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aa7908a54cf43853/Desktop - update/Education/Rutgers MBA/Courses/Major Classes/Capstone/GS - Fixed Income Consulting/"/>
    </mc:Choice>
  </mc:AlternateContent>
  <xr:revisionPtr revIDLastSave="5" documentId="6_{AEC7ED3C-5790-CA4E-B954-2EB363FBE9FD}" xr6:coauthVersionLast="47" xr6:coauthVersionMax="47" xr10:uidLastSave="{1EAF378D-995F-4D54-A4CA-747BE282C3A1}"/>
  <bookViews>
    <workbookView xWindow="-93" yWindow="-93" windowWidth="25786" windowHeight="13866" tabRatio="804" activeTab="2" xr2:uid="{3612B53B-5747-48F8-A7F1-A4FBFA2EB481}"/>
  </bookViews>
  <sheets>
    <sheet name="Read Me" sheetId="11" r:id="rId1"/>
    <sheet name="Investor Input" sheetId="1" r:id="rId2"/>
    <sheet name="High Yield Scenario" sheetId="4" r:id="rId3"/>
    <sheet name="Secure Bonds Scenario" sheetId="9" r:id="rId4"/>
    <sheet name="Stable Income Scenario" sheetId="10" r:id="rId5"/>
    <sheet name="YTM &amp; Duration Analysis" sheetId="8" r:id="rId6"/>
    <sheet name="Cash Flow Analysis" sheetId="5" r:id="rId7"/>
    <sheet name="Master Bond List" sheetId="3" state="hidden" r:id="rId8"/>
    <sheet name="Misc Lists" sheetId="2" state="hidden" r:id="rId9"/>
  </sheets>
  <definedNames>
    <definedName name="_xlnm._FilterDatabase" localSheetId="2" hidden="1">'High Yield Scenario'!$B$3:$AF$503</definedName>
    <definedName name="_xlnm._FilterDatabase" localSheetId="3" hidden="1">'Secure Bonds Scenario'!$B$3:$AF$503</definedName>
    <definedName name="_xlnm._FilterDatabase" localSheetId="4" hidden="1">'Stable Income Scenario'!$B$3:$AB$503</definedName>
    <definedName name="_xlnm._FilterDatabase" localSheetId="5" hidden="1">'YTM &amp; Duration Analysis'!$B$27:$L$27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03" i="10" l="1"/>
  <c r="O502" i="10"/>
  <c r="O501" i="10"/>
  <c r="O500" i="10"/>
  <c r="O499" i="10"/>
  <c r="O498" i="10"/>
  <c r="O497" i="10"/>
  <c r="O496" i="10"/>
  <c r="O495" i="10"/>
  <c r="O494" i="10"/>
  <c r="O493" i="10"/>
  <c r="O492" i="10"/>
  <c r="O491" i="10"/>
  <c r="O490" i="10"/>
  <c r="O489" i="10"/>
  <c r="O488" i="10"/>
  <c r="O487" i="10"/>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2" i="10"/>
  <c r="O41" i="10"/>
  <c r="O40" i="10"/>
  <c r="O39" i="10"/>
  <c r="O38" i="10"/>
  <c r="O36" i="10"/>
  <c r="O35" i="10"/>
  <c r="O34" i="10"/>
  <c r="O33" i="10"/>
  <c r="O29" i="10"/>
  <c r="O26" i="10"/>
  <c r="O25" i="10"/>
  <c r="O23" i="10"/>
  <c r="O17" i="10"/>
  <c r="O16" i="10"/>
  <c r="O14" i="10"/>
  <c r="O11" i="10"/>
  <c r="O10" i="10"/>
  <c r="O9" i="10"/>
  <c r="O7" i="10"/>
  <c r="O6" i="10"/>
  <c r="O5" i="10"/>
  <c r="O4" i="10"/>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8" i="9"/>
  <c r="O307" i="9"/>
  <c r="O306"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5" i="9"/>
  <c r="O244" i="9"/>
  <c r="O243" i="9"/>
  <c r="O242" i="9"/>
  <c r="O241" i="9"/>
  <c r="O240" i="9"/>
  <c r="O238" i="9"/>
  <c r="O236" i="9"/>
  <c r="O235" i="9"/>
  <c r="O232" i="9"/>
  <c r="O231"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3"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6" i="9"/>
  <c r="O5" i="9"/>
  <c r="O4" i="9"/>
  <c r="O5" i="4"/>
  <c r="O7" i="4"/>
  <c r="O8" i="4"/>
  <c r="O10" i="4"/>
  <c r="O11" i="4"/>
  <c r="O12" i="4"/>
  <c r="O14" i="4"/>
  <c r="O15" i="4"/>
  <c r="O17" i="4"/>
  <c r="O18" i="4"/>
  <c r="O20" i="4"/>
  <c r="O21" i="4"/>
  <c r="O22" i="4"/>
  <c r="O23" i="4"/>
  <c r="O25" i="4"/>
  <c r="O26" i="4"/>
  <c r="O27" i="4"/>
  <c r="O28" i="4"/>
  <c r="O29" i="4"/>
  <c r="O30" i="4"/>
  <c r="O31" i="4"/>
  <c r="O32" i="4"/>
  <c r="O33" i="4"/>
  <c r="O34" i="4"/>
  <c r="O35" i="4"/>
  <c r="O36" i="4"/>
  <c r="O37" i="4"/>
  <c r="O38" i="4"/>
  <c r="O39" i="4"/>
  <c r="O40" i="4"/>
  <c r="O41" i="4"/>
  <c r="O42" i="4"/>
  <c r="O43" i="4"/>
  <c r="O45" i="4"/>
  <c r="O46" i="4"/>
  <c r="O47" i="4"/>
  <c r="O48" i="4"/>
  <c r="O49" i="4"/>
  <c r="O50" i="4"/>
  <c r="O51" i="4"/>
  <c r="O52" i="4"/>
  <c r="O53" i="4"/>
  <c r="O54" i="4"/>
  <c r="O55" i="4"/>
  <c r="O56" i="4"/>
  <c r="O57" i="4"/>
  <c r="O58" i="4"/>
  <c r="O59" i="4"/>
  <c r="O60" i="4"/>
  <c r="O61" i="4"/>
  <c r="O62" i="4"/>
  <c r="O63" i="4"/>
  <c r="O64" i="4"/>
  <c r="O65" i="4"/>
  <c r="O67" i="4"/>
  <c r="O68" i="4"/>
  <c r="O69" i="4"/>
  <c r="O70" i="4"/>
  <c r="O71" i="4"/>
  <c r="O72" i="4"/>
  <c r="O73" i="4"/>
  <c r="O74" i="4"/>
  <c r="O75" i="4"/>
  <c r="O76" i="4"/>
  <c r="O77" i="4"/>
  <c r="O78" i="4"/>
  <c r="O79" i="4"/>
  <c r="O80" i="4"/>
  <c r="O81" i="4"/>
  <c r="O82" i="4"/>
  <c r="O83" i="4"/>
  <c r="O84" i="4"/>
  <c r="O85" i="4"/>
  <c r="O86" i="4"/>
  <c r="O87" i="4"/>
  <c r="O88" i="4"/>
  <c r="O89" i="4"/>
  <c r="O90" i="4"/>
  <c r="O91" i="4"/>
  <c r="O92" i="4"/>
  <c r="O94" i="4"/>
  <c r="O95" i="4"/>
  <c r="O96" i="4"/>
  <c r="O97" i="4"/>
  <c r="O98" i="4"/>
  <c r="O99" i="4"/>
  <c r="O100" i="4"/>
  <c r="O101" i="4"/>
  <c r="O102" i="4"/>
  <c r="O103" i="4"/>
  <c r="O104" i="4"/>
  <c r="O105" i="4"/>
  <c r="O106" i="4"/>
  <c r="O107" i="4"/>
  <c r="O108" i="4"/>
  <c r="O109"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6" i="4"/>
  <c r="O257" i="4"/>
  <c r="O258" i="4"/>
  <c r="O259" i="4"/>
  <c r="O261" i="4"/>
  <c r="O262" i="4"/>
  <c r="O263" i="4"/>
  <c r="O264" i="4"/>
  <c r="O265" i="4"/>
  <c r="O266" i="4"/>
  <c r="O267" i="4"/>
  <c r="O268" i="4"/>
  <c r="O269" i="4"/>
  <c r="O270" i="4"/>
  <c r="O271" i="4"/>
  <c r="O273" i="4"/>
  <c r="O274" i="4"/>
  <c r="O275" i="4"/>
  <c r="O276" i="4"/>
  <c r="O277" i="4"/>
  <c r="O279" i="4"/>
  <c r="O281" i="4"/>
  <c r="O282" i="4"/>
  <c r="O283" i="4"/>
  <c r="O284" i="4"/>
  <c r="O285" i="4"/>
  <c r="O286"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3" i="4"/>
  <c r="O494" i="4"/>
  <c r="O495" i="4"/>
  <c r="O496" i="4"/>
  <c r="O497" i="4"/>
  <c r="O498" i="4"/>
  <c r="O499" i="4"/>
  <c r="O500" i="4"/>
  <c r="O501" i="4"/>
  <c r="O502" i="4"/>
  <c r="O503" i="4"/>
  <c r="O4" i="4"/>
  <c r="M505" i="9"/>
  <c r="M505" i="4"/>
  <c r="S503" i="10"/>
  <c r="S502" i="10"/>
  <c r="S501" i="10"/>
  <c r="S500" i="10"/>
  <c r="S499" i="10"/>
  <c r="S498" i="10"/>
  <c r="S497" i="10"/>
  <c r="S496" i="10"/>
  <c r="S495" i="10"/>
  <c r="S494" i="10"/>
  <c r="S493" i="10"/>
  <c r="S492" i="10"/>
  <c r="S491" i="10"/>
  <c r="S490" i="10"/>
  <c r="S489" i="10"/>
  <c r="S488" i="10"/>
  <c r="S487" i="10"/>
  <c r="S486" i="10"/>
  <c r="S485" i="10"/>
  <c r="S484" i="10"/>
  <c r="S483" i="10"/>
  <c r="S482" i="10"/>
  <c r="S481" i="10"/>
  <c r="S480" i="10"/>
  <c r="S479" i="10"/>
  <c r="S478" i="10"/>
  <c r="S477" i="10"/>
  <c r="S476" i="10"/>
  <c r="S475" i="10"/>
  <c r="S474" i="10"/>
  <c r="S473" i="10"/>
  <c r="S472" i="10"/>
  <c r="S471" i="10"/>
  <c r="S470" i="10"/>
  <c r="S469" i="10"/>
  <c r="S468" i="10"/>
  <c r="S467" i="10"/>
  <c r="S466" i="10"/>
  <c r="S465" i="10"/>
  <c r="S464" i="10"/>
  <c r="S463" i="10"/>
  <c r="S462" i="10"/>
  <c r="S461" i="10"/>
  <c r="S460" i="10"/>
  <c r="S459" i="10"/>
  <c r="S458" i="10"/>
  <c r="S457" i="10"/>
  <c r="S456" i="10"/>
  <c r="S455" i="10"/>
  <c r="S454" i="10"/>
  <c r="S453" i="10"/>
  <c r="S452" i="10"/>
  <c r="S451" i="10"/>
  <c r="S450" i="10"/>
  <c r="S449" i="10"/>
  <c r="S448" i="10"/>
  <c r="S447" i="10"/>
  <c r="S446" i="10"/>
  <c r="S445" i="10"/>
  <c r="S444" i="10"/>
  <c r="S443" i="10"/>
  <c r="S442" i="10"/>
  <c r="S441" i="10"/>
  <c r="S440" i="10"/>
  <c r="S439" i="10"/>
  <c r="S438" i="10"/>
  <c r="S437" i="10"/>
  <c r="S436" i="10"/>
  <c r="S435" i="10"/>
  <c r="S434" i="10"/>
  <c r="S433" i="10"/>
  <c r="S432" i="10"/>
  <c r="S431" i="10"/>
  <c r="S430" i="10"/>
  <c r="S429" i="10"/>
  <c r="S428" i="10"/>
  <c r="S427" i="10"/>
  <c r="S426" i="10"/>
  <c r="S425" i="10"/>
  <c r="S424" i="10"/>
  <c r="S423" i="10"/>
  <c r="S422" i="10"/>
  <c r="S421" i="10"/>
  <c r="S420" i="10"/>
  <c r="S419" i="10"/>
  <c r="S418" i="10"/>
  <c r="S417" i="10"/>
  <c r="S416" i="10"/>
  <c r="S415" i="10"/>
  <c r="S414" i="10"/>
  <c r="S413" i="10"/>
  <c r="S412" i="10"/>
  <c r="S411" i="10"/>
  <c r="S410" i="10"/>
  <c r="S409" i="10"/>
  <c r="S408" i="10"/>
  <c r="S407" i="10"/>
  <c r="S406" i="10"/>
  <c r="S405" i="10"/>
  <c r="S404" i="10"/>
  <c r="S403" i="10"/>
  <c r="S402" i="10"/>
  <c r="S401" i="10"/>
  <c r="S400" i="10"/>
  <c r="S399" i="10"/>
  <c r="S398" i="10"/>
  <c r="S397" i="10"/>
  <c r="S396" i="10"/>
  <c r="S395" i="10"/>
  <c r="S394" i="10"/>
  <c r="S393" i="10"/>
  <c r="S392" i="10"/>
  <c r="S391" i="10"/>
  <c r="S390" i="10"/>
  <c r="S389" i="10"/>
  <c r="S388" i="10"/>
  <c r="S387" i="10"/>
  <c r="S386" i="10"/>
  <c r="S385" i="10"/>
  <c r="S384" i="10"/>
  <c r="S383" i="10"/>
  <c r="S382" i="10"/>
  <c r="S381" i="10"/>
  <c r="S380" i="10"/>
  <c r="S379" i="10"/>
  <c r="S378" i="10"/>
  <c r="S377" i="10"/>
  <c r="S376" i="10"/>
  <c r="S375" i="10"/>
  <c r="S374" i="10"/>
  <c r="S373" i="10"/>
  <c r="S372" i="10"/>
  <c r="S371" i="10"/>
  <c r="S370" i="10"/>
  <c r="S369" i="10"/>
  <c r="S368" i="10"/>
  <c r="S367" i="10"/>
  <c r="S366" i="10"/>
  <c r="S365" i="10"/>
  <c r="S364" i="10"/>
  <c r="S363" i="10"/>
  <c r="S362" i="10"/>
  <c r="S361" i="10"/>
  <c r="S360" i="10"/>
  <c r="S359" i="10"/>
  <c r="S358" i="10"/>
  <c r="S357" i="10"/>
  <c r="S356" i="10"/>
  <c r="S355" i="10"/>
  <c r="S354" i="10"/>
  <c r="S353" i="10"/>
  <c r="S352" i="10"/>
  <c r="S351" i="10"/>
  <c r="S350" i="10"/>
  <c r="S349" i="10"/>
  <c r="S348" i="10"/>
  <c r="S347" i="10"/>
  <c r="S346" i="10"/>
  <c r="S345" i="10"/>
  <c r="S344" i="10"/>
  <c r="S343" i="10"/>
  <c r="S342" i="10"/>
  <c r="S341" i="10"/>
  <c r="S340" i="10"/>
  <c r="S339" i="10"/>
  <c r="S338" i="10"/>
  <c r="S337" i="10"/>
  <c r="S336" i="10"/>
  <c r="S335" i="10"/>
  <c r="S334" i="10"/>
  <c r="S333" i="10"/>
  <c r="S332" i="10"/>
  <c r="S331" i="10"/>
  <c r="S330" i="10"/>
  <c r="S329" i="10"/>
  <c r="S328" i="10"/>
  <c r="S327" i="10"/>
  <c r="S326" i="10"/>
  <c r="S325" i="10"/>
  <c r="S324" i="10"/>
  <c r="S323" i="10"/>
  <c r="S322" i="10"/>
  <c r="S321" i="10"/>
  <c r="S320" i="10"/>
  <c r="S319" i="10"/>
  <c r="S318" i="10"/>
  <c r="S317" i="10"/>
  <c r="S316" i="10"/>
  <c r="S315" i="10"/>
  <c r="S314" i="10"/>
  <c r="S313" i="10"/>
  <c r="S312" i="10"/>
  <c r="S311" i="10"/>
  <c r="S310" i="10"/>
  <c r="S309" i="10"/>
  <c r="S308" i="10"/>
  <c r="S307" i="10"/>
  <c r="S306" i="10"/>
  <c r="S305" i="10"/>
  <c r="S304" i="10"/>
  <c r="S303" i="10"/>
  <c r="S302" i="10"/>
  <c r="S301" i="10"/>
  <c r="S300" i="10"/>
  <c r="S299" i="10"/>
  <c r="S298" i="10"/>
  <c r="S297" i="10"/>
  <c r="S296" i="10"/>
  <c r="S295" i="10"/>
  <c r="S294" i="10"/>
  <c r="S293" i="10"/>
  <c r="S292" i="10"/>
  <c r="S291" i="10"/>
  <c r="S290" i="10"/>
  <c r="S289" i="10"/>
  <c r="S288" i="10"/>
  <c r="S287" i="10"/>
  <c r="S286" i="10"/>
  <c r="S285" i="10"/>
  <c r="S284" i="10"/>
  <c r="S283" i="10"/>
  <c r="S282" i="10"/>
  <c r="S281" i="10"/>
  <c r="S280" i="10"/>
  <c r="S279" i="10"/>
  <c r="S278" i="10"/>
  <c r="S277" i="10"/>
  <c r="S276" i="10"/>
  <c r="S275" i="10"/>
  <c r="S274" i="10"/>
  <c r="S273" i="10"/>
  <c r="S272" i="10"/>
  <c r="S271" i="10"/>
  <c r="S270" i="10"/>
  <c r="S269" i="10"/>
  <c r="S268" i="10"/>
  <c r="S267" i="10"/>
  <c r="S266" i="10"/>
  <c r="S265" i="10"/>
  <c r="S264" i="10"/>
  <c r="S263" i="10"/>
  <c r="S262" i="10"/>
  <c r="S261" i="10"/>
  <c r="S260" i="10"/>
  <c r="S259" i="10"/>
  <c r="S258" i="10"/>
  <c r="S257" i="10"/>
  <c r="S256" i="10"/>
  <c r="S255" i="10"/>
  <c r="S254" i="10"/>
  <c r="S253" i="10"/>
  <c r="S252" i="10"/>
  <c r="S251" i="10"/>
  <c r="S250" i="10"/>
  <c r="S249" i="10"/>
  <c r="S248" i="10"/>
  <c r="S247" i="10"/>
  <c r="S246" i="10"/>
  <c r="S245" i="10"/>
  <c r="S244" i="10"/>
  <c r="S243" i="10"/>
  <c r="S242" i="10"/>
  <c r="S241" i="10"/>
  <c r="S240" i="10"/>
  <c r="S239" i="10"/>
  <c r="S238" i="10"/>
  <c r="S237" i="10"/>
  <c r="S236" i="10"/>
  <c r="S235" i="10"/>
  <c r="S234" i="10"/>
  <c r="S233" i="10"/>
  <c r="S232" i="10"/>
  <c r="S231" i="10"/>
  <c r="S230" i="10"/>
  <c r="S229" i="10"/>
  <c r="S228" i="10"/>
  <c r="S227" i="10"/>
  <c r="S226" i="10"/>
  <c r="S225" i="10"/>
  <c r="S224" i="10"/>
  <c r="S223" i="10"/>
  <c r="S222" i="10"/>
  <c r="S221" i="10"/>
  <c r="S220" i="10"/>
  <c r="S219" i="10"/>
  <c r="S218" i="10"/>
  <c r="S217" i="10"/>
  <c r="S216" i="10"/>
  <c r="S215" i="10"/>
  <c r="S214" i="10"/>
  <c r="S213" i="10"/>
  <c r="S212" i="10"/>
  <c r="S211" i="10"/>
  <c r="S210" i="10"/>
  <c r="S209" i="10"/>
  <c r="S208" i="10"/>
  <c r="S207" i="10"/>
  <c r="S206" i="10"/>
  <c r="S205" i="10"/>
  <c r="S204" i="10"/>
  <c r="S203" i="10"/>
  <c r="S202" i="10"/>
  <c r="S201" i="10"/>
  <c r="S200" i="10"/>
  <c r="S199" i="10"/>
  <c r="S198" i="10"/>
  <c r="S197" i="10"/>
  <c r="S196" i="10"/>
  <c r="S195" i="10"/>
  <c r="S194" i="10"/>
  <c r="S193" i="10"/>
  <c r="S192" i="10"/>
  <c r="S191" i="10"/>
  <c r="S190" i="10"/>
  <c r="S189" i="10"/>
  <c r="S188" i="10"/>
  <c r="S187" i="10"/>
  <c r="S186" i="10"/>
  <c r="S185" i="10"/>
  <c r="S184" i="10"/>
  <c r="S183" i="10"/>
  <c r="S182" i="10"/>
  <c r="S181" i="10"/>
  <c r="S180" i="10"/>
  <c r="S179" i="10"/>
  <c r="S178" i="10"/>
  <c r="S177" i="10"/>
  <c r="S176" i="10"/>
  <c r="S175" i="10"/>
  <c r="S174" i="10"/>
  <c r="S173" i="10"/>
  <c r="S172" i="10"/>
  <c r="S171" i="10"/>
  <c r="S170" i="10"/>
  <c r="S169" i="10"/>
  <c r="S168" i="10"/>
  <c r="S167" i="10"/>
  <c r="S166" i="10"/>
  <c r="S165" i="10"/>
  <c r="S164" i="10"/>
  <c r="S163" i="10"/>
  <c r="S162" i="10"/>
  <c r="S161" i="10"/>
  <c r="S160" i="10"/>
  <c r="S159" i="10"/>
  <c r="S158" i="10"/>
  <c r="S157" i="10"/>
  <c r="S156" i="10"/>
  <c r="S155" i="10"/>
  <c r="S154" i="10"/>
  <c r="S153" i="10"/>
  <c r="S152" i="10"/>
  <c r="S151" i="10"/>
  <c r="S150" i="10"/>
  <c r="S149" i="10"/>
  <c r="S148" i="10"/>
  <c r="S147" i="10"/>
  <c r="S146" i="10"/>
  <c r="S145" i="10"/>
  <c r="S144" i="10"/>
  <c r="S143" i="10"/>
  <c r="S142" i="10"/>
  <c r="S141" i="10"/>
  <c r="S140" i="10"/>
  <c r="S139" i="10"/>
  <c r="S138" i="10"/>
  <c r="S137" i="10"/>
  <c r="S136" i="10"/>
  <c r="S135" i="10"/>
  <c r="S134" i="10"/>
  <c r="S133" i="10"/>
  <c r="S132" i="10"/>
  <c r="S131" i="10"/>
  <c r="S130" i="10"/>
  <c r="S129" i="10"/>
  <c r="S128" i="10"/>
  <c r="S127" i="10"/>
  <c r="S126" i="10"/>
  <c r="S125" i="10"/>
  <c r="S124" i="10"/>
  <c r="S123" i="10"/>
  <c r="S122" i="10"/>
  <c r="S121" i="10"/>
  <c r="S120" i="10"/>
  <c r="S119" i="10"/>
  <c r="S118" i="10"/>
  <c r="S117" i="10"/>
  <c r="S116" i="10"/>
  <c r="S115" i="10"/>
  <c r="S114" i="10"/>
  <c r="S113" i="10"/>
  <c r="S112" i="10"/>
  <c r="S111" i="10"/>
  <c r="S110" i="10"/>
  <c r="S109" i="10"/>
  <c r="S108" i="10"/>
  <c r="S107" i="10"/>
  <c r="S106" i="10"/>
  <c r="S105" i="10"/>
  <c r="S104" i="10"/>
  <c r="S103" i="10"/>
  <c r="S102" i="10"/>
  <c r="S101" i="10"/>
  <c r="S100" i="10"/>
  <c r="S99" i="10"/>
  <c r="S98" i="10"/>
  <c r="S97" i="10"/>
  <c r="S96" i="10"/>
  <c r="S95" i="10"/>
  <c r="S94" i="10"/>
  <c r="S93" i="10"/>
  <c r="S92" i="10"/>
  <c r="S91" i="10"/>
  <c r="S90" i="10"/>
  <c r="S89" i="10"/>
  <c r="S88" i="10"/>
  <c r="S87" i="10"/>
  <c r="S86" i="10"/>
  <c r="S85" i="10"/>
  <c r="S84" i="10"/>
  <c r="S83" i="10"/>
  <c r="S82" i="10"/>
  <c r="S81" i="10"/>
  <c r="S80" i="10"/>
  <c r="S79" i="10"/>
  <c r="S78" i="10"/>
  <c r="S77" i="10"/>
  <c r="S76" i="10"/>
  <c r="S75" i="10"/>
  <c r="S74" i="10"/>
  <c r="S73" i="10"/>
  <c r="S72" i="10"/>
  <c r="S71" i="10"/>
  <c r="S70" i="10"/>
  <c r="S69" i="10"/>
  <c r="S68" i="10"/>
  <c r="S67" i="10"/>
  <c r="S66" i="10"/>
  <c r="S65" i="10"/>
  <c r="S64" i="10"/>
  <c r="S63" i="10"/>
  <c r="S62" i="10"/>
  <c r="S61" i="10"/>
  <c r="S60" i="10"/>
  <c r="S59" i="10"/>
  <c r="S58" i="10"/>
  <c r="S57" i="10"/>
  <c r="S56" i="10"/>
  <c r="S55" i="10"/>
  <c r="S54" i="10"/>
  <c r="S53" i="10"/>
  <c r="S52" i="10"/>
  <c r="S51" i="10"/>
  <c r="S50" i="10"/>
  <c r="S49" i="10"/>
  <c r="S48" i="10"/>
  <c r="S47" i="10"/>
  <c r="S46" i="10"/>
  <c r="S45" i="10"/>
  <c r="S42" i="10"/>
  <c r="S41" i="10"/>
  <c r="S40" i="10"/>
  <c r="S39" i="10"/>
  <c r="S38" i="10"/>
  <c r="S36" i="10"/>
  <c r="S35" i="10"/>
  <c r="S34" i="10"/>
  <c r="S33" i="10"/>
  <c r="S29" i="10"/>
  <c r="S26" i="10"/>
  <c r="S25" i="10"/>
  <c r="S23" i="10"/>
  <c r="S17" i="10"/>
  <c r="S16" i="10"/>
  <c r="S14" i="10"/>
  <c r="S11" i="10"/>
  <c r="S10" i="10"/>
  <c r="S9" i="10"/>
  <c r="S7" i="10"/>
  <c r="S6" i="10"/>
  <c r="S5" i="10"/>
  <c r="S4" i="10"/>
  <c r="S503" i="9"/>
  <c r="S502" i="9"/>
  <c r="S501" i="9"/>
  <c r="S500" i="9"/>
  <c r="S499" i="9"/>
  <c r="S498" i="9"/>
  <c r="S497" i="9"/>
  <c r="S496" i="9"/>
  <c r="S495" i="9"/>
  <c r="S494" i="9"/>
  <c r="S493" i="9"/>
  <c r="S492" i="9"/>
  <c r="S491" i="9"/>
  <c r="S490" i="9"/>
  <c r="S489" i="9"/>
  <c r="S488" i="9"/>
  <c r="S487" i="9"/>
  <c r="S486" i="9"/>
  <c r="S485" i="9"/>
  <c r="S484" i="9"/>
  <c r="S483" i="9"/>
  <c r="S482" i="9"/>
  <c r="S481" i="9"/>
  <c r="S480" i="9"/>
  <c r="S479" i="9"/>
  <c r="S478" i="9"/>
  <c r="S477" i="9"/>
  <c r="S476" i="9"/>
  <c r="S475" i="9"/>
  <c r="S474" i="9"/>
  <c r="S473" i="9"/>
  <c r="S472" i="9"/>
  <c r="S470" i="9"/>
  <c r="S469" i="9"/>
  <c r="S468" i="9"/>
  <c r="S467" i="9"/>
  <c r="S466" i="9"/>
  <c r="S465" i="9"/>
  <c r="S464" i="9"/>
  <c r="S463" i="9"/>
  <c r="S462" i="9"/>
  <c r="S461" i="9"/>
  <c r="S460" i="9"/>
  <c r="S459" i="9"/>
  <c r="S458" i="9"/>
  <c r="S457" i="9"/>
  <c r="S456" i="9"/>
  <c r="S455" i="9"/>
  <c r="S454" i="9"/>
  <c r="S453" i="9"/>
  <c r="S452" i="9"/>
  <c r="S451" i="9"/>
  <c r="S450" i="9"/>
  <c r="S449" i="9"/>
  <c r="S448" i="9"/>
  <c r="S447" i="9"/>
  <c r="S446" i="9"/>
  <c r="S445" i="9"/>
  <c r="S444" i="9"/>
  <c r="S443" i="9"/>
  <c r="S442" i="9"/>
  <c r="S441" i="9"/>
  <c r="S440" i="9"/>
  <c r="S439" i="9"/>
  <c r="S438" i="9"/>
  <c r="S437" i="9"/>
  <c r="S436" i="9"/>
  <c r="S435" i="9"/>
  <c r="S434" i="9"/>
  <c r="S433" i="9"/>
  <c r="S432" i="9"/>
  <c r="S431" i="9"/>
  <c r="S430" i="9"/>
  <c r="S429" i="9"/>
  <c r="S428" i="9"/>
  <c r="S427" i="9"/>
  <c r="S425" i="9"/>
  <c r="S424" i="9"/>
  <c r="S423" i="9"/>
  <c r="S422" i="9"/>
  <c r="S421" i="9"/>
  <c r="S420" i="9"/>
  <c r="S419" i="9"/>
  <c r="S418" i="9"/>
  <c r="S417" i="9"/>
  <c r="S416" i="9"/>
  <c r="S415" i="9"/>
  <c r="S414" i="9"/>
  <c r="S413" i="9"/>
  <c r="S412" i="9"/>
  <c r="S411" i="9"/>
  <c r="S410" i="9"/>
  <c r="S409" i="9"/>
  <c r="S408" i="9"/>
  <c r="S407" i="9"/>
  <c r="S406" i="9"/>
  <c r="S405" i="9"/>
  <c r="S404" i="9"/>
  <c r="S403" i="9"/>
  <c r="S402" i="9"/>
  <c r="S401" i="9"/>
  <c r="S400" i="9"/>
  <c r="S399" i="9"/>
  <c r="S398" i="9"/>
  <c r="S397" i="9"/>
  <c r="S396" i="9"/>
  <c r="S395" i="9"/>
  <c r="S394" i="9"/>
  <c r="S393" i="9"/>
  <c r="S392" i="9"/>
  <c r="S391" i="9"/>
  <c r="S390" i="9"/>
  <c r="S389" i="9"/>
  <c r="S388" i="9"/>
  <c r="S387" i="9"/>
  <c r="S386" i="9"/>
  <c r="S385" i="9"/>
  <c r="S384" i="9"/>
  <c r="S383" i="9"/>
  <c r="S382" i="9"/>
  <c r="S381" i="9"/>
  <c r="S380" i="9"/>
  <c r="S379" i="9"/>
  <c r="S378" i="9"/>
  <c r="S377" i="9"/>
  <c r="S376" i="9"/>
  <c r="S375" i="9"/>
  <c r="S374" i="9"/>
  <c r="S373" i="9"/>
  <c r="S372" i="9"/>
  <c r="S371" i="9"/>
  <c r="S370" i="9"/>
  <c r="S369" i="9"/>
  <c r="S368" i="9"/>
  <c r="S367" i="9"/>
  <c r="S366" i="9"/>
  <c r="S365" i="9"/>
  <c r="S364" i="9"/>
  <c r="S363" i="9"/>
  <c r="S362" i="9"/>
  <c r="S361" i="9"/>
  <c r="S360" i="9"/>
  <c r="S359" i="9"/>
  <c r="S358" i="9"/>
  <c r="S357" i="9"/>
  <c r="S356" i="9"/>
  <c r="S355" i="9"/>
  <c r="S354" i="9"/>
  <c r="S353" i="9"/>
  <c r="S352" i="9"/>
  <c r="S351" i="9"/>
  <c r="S350" i="9"/>
  <c r="S349" i="9"/>
  <c r="S348" i="9"/>
  <c r="S347" i="9"/>
  <c r="S346" i="9"/>
  <c r="S345" i="9"/>
  <c r="S344" i="9"/>
  <c r="S343" i="9"/>
  <c r="S342" i="9"/>
  <c r="S341" i="9"/>
  <c r="S340" i="9"/>
  <c r="S339" i="9"/>
  <c r="S338" i="9"/>
  <c r="S337" i="9"/>
  <c r="S336" i="9"/>
  <c r="S335" i="9"/>
  <c r="S334" i="9"/>
  <c r="S333" i="9"/>
  <c r="S332" i="9"/>
  <c r="S331" i="9"/>
  <c r="S330" i="9"/>
  <c r="S329" i="9"/>
  <c r="S328" i="9"/>
  <c r="S327" i="9"/>
  <c r="S326" i="9"/>
  <c r="S325" i="9"/>
  <c r="S324" i="9"/>
  <c r="S323" i="9"/>
  <c r="S322" i="9"/>
  <c r="S321" i="9"/>
  <c r="S320" i="9"/>
  <c r="S319" i="9"/>
  <c r="S318" i="9"/>
  <c r="S317" i="9"/>
  <c r="S316" i="9"/>
  <c r="S315" i="9"/>
  <c r="S314" i="9"/>
  <c r="S313" i="9"/>
  <c r="S312" i="9"/>
  <c r="S311" i="9"/>
  <c r="S310" i="9"/>
  <c r="S308" i="9"/>
  <c r="S307" i="9"/>
  <c r="S306" i="9"/>
  <c r="S304" i="9"/>
  <c r="S303" i="9"/>
  <c r="S302" i="9"/>
  <c r="S301" i="9"/>
  <c r="S300" i="9"/>
  <c r="S299" i="9"/>
  <c r="S298" i="9"/>
  <c r="S297" i="9"/>
  <c r="S296" i="9"/>
  <c r="S295" i="9"/>
  <c r="S294" i="9"/>
  <c r="S293" i="9"/>
  <c r="S292" i="9"/>
  <c r="S291" i="9"/>
  <c r="S290" i="9"/>
  <c r="S289" i="9"/>
  <c r="S288" i="9"/>
  <c r="S287" i="9"/>
  <c r="S286" i="9"/>
  <c r="S285" i="9"/>
  <c r="S284" i="9"/>
  <c r="S283" i="9"/>
  <c r="S282" i="9"/>
  <c r="S281" i="9"/>
  <c r="S280" i="9"/>
  <c r="S279" i="9"/>
  <c r="S278" i="9"/>
  <c r="S277" i="9"/>
  <c r="S276" i="9"/>
  <c r="S275" i="9"/>
  <c r="S274" i="9"/>
  <c r="S273" i="9"/>
  <c r="S272" i="9"/>
  <c r="S271" i="9"/>
  <c r="S270" i="9"/>
  <c r="S269" i="9"/>
  <c r="S268" i="9"/>
  <c r="S267" i="9"/>
  <c r="S266" i="9"/>
  <c r="S265" i="9"/>
  <c r="S264" i="9"/>
  <c r="S263" i="9"/>
  <c r="S262" i="9"/>
  <c r="S261" i="9"/>
  <c r="S260" i="9"/>
  <c r="S259" i="9"/>
  <c r="S258" i="9"/>
  <c r="S257" i="9"/>
  <c r="S256" i="9"/>
  <c r="S255" i="9"/>
  <c r="S254" i="9"/>
  <c r="S253" i="9"/>
  <c r="S252" i="9"/>
  <c r="S251" i="9"/>
  <c r="S250" i="9"/>
  <c r="S249" i="9"/>
  <c r="S248" i="9"/>
  <c r="S247" i="9"/>
  <c r="S245" i="9"/>
  <c r="S244" i="9"/>
  <c r="S243" i="9"/>
  <c r="S242" i="9"/>
  <c r="S241" i="9"/>
  <c r="S240" i="9"/>
  <c r="S238" i="9"/>
  <c r="S236" i="9"/>
  <c r="S235" i="9"/>
  <c r="S232" i="9"/>
  <c r="S231" i="9"/>
  <c r="S229" i="9"/>
  <c r="S228" i="9"/>
  <c r="S227" i="9"/>
  <c r="S226" i="9"/>
  <c r="S225" i="9"/>
  <c r="S224" i="9"/>
  <c r="S223" i="9"/>
  <c r="S222" i="9"/>
  <c r="S221" i="9"/>
  <c r="S220" i="9"/>
  <c r="S219" i="9"/>
  <c r="S218" i="9"/>
  <c r="S217" i="9"/>
  <c r="S216" i="9"/>
  <c r="S215" i="9"/>
  <c r="S214" i="9"/>
  <c r="S213" i="9"/>
  <c r="S212" i="9"/>
  <c r="S211" i="9"/>
  <c r="S210" i="9"/>
  <c r="S209" i="9"/>
  <c r="S208" i="9"/>
  <c r="S207" i="9"/>
  <c r="S206" i="9"/>
  <c r="S205" i="9"/>
  <c r="S204" i="9"/>
  <c r="S203" i="9"/>
  <c r="S202" i="9"/>
  <c r="S201" i="9"/>
  <c r="S200" i="9"/>
  <c r="S199" i="9"/>
  <c r="S198" i="9"/>
  <c r="S197" i="9"/>
  <c r="S196" i="9"/>
  <c r="S195" i="9"/>
  <c r="S194" i="9"/>
  <c r="S193" i="9"/>
  <c r="S192" i="9"/>
  <c r="S191" i="9"/>
  <c r="S190" i="9"/>
  <c r="S189" i="9"/>
  <c r="S188" i="9"/>
  <c r="S187" i="9"/>
  <c r="S186" i="9"/>
  <c r="S185" i="9"/>
  <c r="S184" i="9"/>
  <c r="S183" i="9"/>
  <c r="S182" i="9"/>
  <c r="S181" i="9"/>
  <c r="S180" i="9"/>
  <c r="S179" i="9"/>
  <c r="S178" i="9"/>
  <c r="S177" i="9"/>
  <c r="S176" i="9"/>
  <c r="S175" i="9"/>
  <c r="S174" i="9"/>
  <c r="S173" i="9"/>
  <c r="S172" i="9"/>
  <c r="S171" i="9"/>
  <c r="S170" i="9"/>
  <c r="S169" i="9"/>
  <c r="S168" i="9"/>
  <c r="S167" i="9"/>
  <c r="S166" i="9"/>
  <c r="S165" i="9"/>
  <c r="S164" i="9"/>
  <c r="S163" i="9"/>
  <c r="S162" i="9"/>
  <c r="S161" i="9"/>
  <c r="S160" i="9"/>
  <c r="S159" i="9"/>
  <c r="S158" i="9"/>
  <c r="S157" i="9"/>
  <c r="S156" i="9"/>
  <c r="S155" i="9"/>
  <c r="S154" i="9"/>
  <c r="S153" i="9"/>
  <c r="S152" i="9"/>
  <c r="S151" i="9"/>
  <c r="S150" i="9"/>
  <c r="S149" i="9"/>
  <c r="S148" i="9"/>
  <c r="S147" i="9"/>
  <c r="S146" i="9"/>
  <c r="S145" i="9"/>
  <c r="S144" i="9"/>
  <c r="S143" i="9"/>
  <c r="S142" i="9"/>
  <c r="S141" i="9"/>
  <c r="S140" i="9"/>
  <c r="S139" i="9"/>
  <c r="S138" i="9"/>
  <c r="S137" i="9"/>
  <c r="S136" i="9"/>
  <c r="S135" i="9"/>
  <c r="S134" i="9"/>
  <c r="S133" i="9"/>
  <c r="S132" i="9"/>
  <c r="S131" i="9"/>
  <c r="S130" i="9"/>
  <c r="S129" i="9"/>
  <c r="S128" i="9"/>
  <c r="S127" i="9"/>
  <c r="S126" i="9"/>
  <c r="S125" i="9"/>
  <c r="S124" i="9"/>
  <c r="S123" i="9"/>
  <c r="S122" i="9"/>
  <c r="S121" i="9"/>
  <c r="S120" i="9"/>
  <c r="S119" i="9"/>
  <c r="S118" i="9"/>
  <c r="S117" i="9"/>
  <c r="S116" i="9"/>
  <c r="S115" i="9"/>
  <c r="S114" i="9"/>
  <c r="S113" i="9"/>
  <c r="S112" i="9"/>
  <c r="S111" i="9"/>
  <c r="S110" i="9"/>
  <c r="S109" i="9"/>
  <c r="S108" i="9"/>
  <c r="S107" i="9"/>
  <c r="S106" i="9"/>
  <c r="S105" i="9"/>
  <c r="S104" i="9"/>
  <c r="S103" i="9"/>
  <c r="S102" i="9"/>
  <c r="S101" i="9"/>
  <c r="S100" i="9"/>
  <c r="S99" i="9"/>
  <c r="S98" i="9"/>
  <c r="S97" i="9"/>
  <c r="S96" i="9"/>
  <c r="S95" i="9"/>
  <c r="S94" i="9"/>
  <c r="S93" i="9"/>
  <c r="S92" i="9"/>
  <c r="S91" i="9"/>
  <c r="S90" i="9"/>
  <c r="S89" i="9"/>
  <c r="S88" i="9"/>
  <c r="S87" i="9"/>
  <c r="S86" i="9"/>
  <c r="S85" i="9"/>
  <c r="S84" i="9"/>
  <c r="S83" i="9"/>
  <c r="S82" i="9"/>
  <c r="S81" i="9"/>
  <c r="S80" i="9"/>
  <c r="S79" i="9"/>
  <c r="S78" i="9"/>
  <c r="S77" i="9"/>
  <c r="S76" i="9"/>
  <c r="S75" i="9"/>
  <c r="S73" i="9"/>
  <c r="S71" i="9"/>
  <c r="S70" i="9"/>
  <c r="S69" i="9"/>
  <c r="S68" i="9"/>
  <c r="S67" i="9"/>
  <c r="S66" i="9"/>
  <c r="S65" i="9"/>
  <c r="S64" i="9"/>
  <c r="S63" i="9"/>
  <c r="S62" i="9"/>
  <c r="S61" i="9"/>
  <c r="S60" i="9"/>
  <c r="S59" i="9"/>
  <c r="S58" i="9"/>
  <c r="S57" i="9"/>
  <c r="S56" i="9"/>
  <c r="S55" i="9"/>
  <c r="S54" i="9"/>
  <c r="S53" i="9"/>
  <c r="S52" i="9"/>
  <c r="S51" i="9"/>
  <c r="S50" i="9"/>
  <c r="S49" i="9"/>
  <c r="S48" i="9"/>
  <c r="S47" i="9"/>
  <c r="S46" i="9"/>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S14" i="9"/>
  <c r="S13" i="9"/>
  <c r="S12" i="9"/>
  <c r="S11" i="9"/>
  <c r="S10" i="9"/>
  <c r="S9" i="9"/>
  <c r="S8" i="9"/>
  <c r="S7" i="9"/>
  <c r="S6" i="9"/>
  <c r="S5" i="9"/>
  <c r="S4" i="9"/>
  <c r="S7" i="4"/>
  <c r="S8" i="4"/>
  <c r="S10" i="4"/>
  <c r="S11" i="4"/>
  <c r="S12" i="4"/>
  <c r="S14" i="4"/>
  <c r="S15" i="4"/>
  <c r="S17" i="4"/>
  <c r="S18" i="4"/>
  <c r="S20" i="4"/>
  <c r="S21" i="4"/>
  <c r="S22" i="4"/>
  <c r="S23" i="4"/>
  <c r="S25" i="4"/>
  <c r="S26" i="4"/>
  <c r="S27" i="4"/>
  <c r="S28" i="4"/>
  <c r="S29" i="4"/>
  <c r="S30" i="4"/>
  <c r="S31" i="4"/>
  <c r="S32" i="4"/>
  <c r="S33" i="4"/>
  <c r="S34" i="4"/>
  <c r="S35" i="4"/>
  <c r="S36" i="4"/>
  <c r="S37" i="4"/>
  <c r="S38" i="4"/>
  <c r="S39" i="4"/>
  <c r="S40" i="4"/>
  <c r="S41" i="4"/>
  <c r="S42" i="4"/>
  <c r="S43" i="4"/>
  <c r="S45" i="4"/>
  <c r="S46" i="4"/>
  <c r="S47" i="4"/>
  <c r="S48" i="4"/>
  <c r="S49" i="4"/>
  <c r="S50" i="4"/>
  <c r="S51" i="4"/>
  <c r="S52" i="4"/>
  <c r="S53" i="4"/>
  <c r="S54" i="4"/>
  <c r="S55" i="4"/>
  <c r="S56" i="4"/>
  <c r="S57" i="4"/>
  <c r="S58" i="4"/>
  <c r="S59" i="4"/>
  <c r="S60" i="4"/>
  <c r="S61" i="4"/>
  <c r="S62" i="4"/>
  <c r="S63" i="4"/>
  <c r="S64" i="4"/>
  <c r="S65" i="4"/>
  <c r="S67" i="4"/>
  <c r="S68" i="4"/>
  <c r="S69" i="4"/>
  <c r="S70" i="4"/>
  <c r="S71" i="4"/>
  <c r="S72" i="4"/>
  <c r="S73" i="4"/>
  <c r="S74" i="4"/>
  <c r="S75" i="4"/>
  <c r="S76" i="4"/>
  <c r="S77" i="4"/>
  <c r="S78" i="4"/>
  <c r="S79" i="4"/>
  <c r="S80" i="4"/>
  <c r="S81" i="4"/>
  <c r="S82" i="4"/>
  <c r="S83" i="4"/>
  <c r="S84" i="4"/>
  <c r="S85" i="4"/>
  <c r="S86" i="4"/>
  <c r="S87" i="4"/>
  <c r="S88" i="4"/>
  <c r="S89" i="4"/>
  <c r="S90" i="4"/>
  <c r="S91" i="4"/>
  <c r="S92" i="4"/>
  <c r="S94" i="4"/>
  <c r="S95" i="4"/>
  <c r="S96" i="4"/>
  <c r="S97" i="4"/>
  <c r="S98" i="4"/>
  <c r="S99" i="4"/>
  <c r="S100" i="4"/>
  <c r="S101" i="4"/>
  <c r="S102" i="4"/>
  <c r="S103" i="4"/>
  <c r="S104" i="4"/>
  <c r="S105" i="4"/>
  <c r="S107" i="4"/>
  <c r="S108" i="4"/>
  <c r="S109"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6" i="4"/>
  <c r="S257" i="4"/>
  <c r="S258" i="4"/>
  <c r="S259" i="4"/>
  <c r="S261" i="4"/>
  <c r="S262" i="4"/>
  <c r="S263" i="4"/>
  <c r="S264" i="4"/>
  <c r="S265" i="4"/>
  <c r="S266" i="4"/>
  <c r="S267" i="4"/>
  <c r="S268" i="4"/>
  <c r="S269" i="4"/>
  <c r="S270" i="4"/>
  <c r="S271" i="4"/>
  <c r="S273" i="4"/>
  <c r="S274" i="4"/>
  <c r="S275" i="4"/>
  <c r="S276" i="4"/>
  <c r="S277" i="4"/>
  <c r="S279" i="4"/>
  <c r="S281" i="4"/>
  <c r="S282" i="4"/>
  <c r="S283" i="4"/>
  <c r="S284" i="4"/>
  <c r="S285" i="4"/>
  <c r="S286"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3" i="4"/>
  <c r="S494" i="4"/>
  <c r="S495" i="4"/>
  <c r="S496" i="4"/>
  <c r="S497" i="4"/>
  <c r="S498" i="4"/>
  <c r="S499" i="4"/>
  <c r="S500" i="4"/>
  <c r="S501" i="4"/>
  <c r="S502" i="4"/>
  <c r="S503" i="4"/>
  <c r="S5" i="4"/>
  <c r="S4" i="4"/>
  <c r="R4" i="4"/>
  <c r="T4" i="4"/>
  <c r="U4" i="4"/>
  <c r="AF503" i="10"/>
  <c r="AE503" i="10"/>
  <c r="AD503" i="10"/>
  <c r="AC503" i="10"/>
  <c r="AF502" i="10"/>
  <c r="AE502" i="10"/>
  <c r="AD502" i="10"/>
  <c r="AC502" i="10"/>
  <c r="AF501" i="10"/>
  <c r="AE501" i="10"/>
  <c r="AD501" i="10"/>
  <c r="AC501" i="10"/>
  <c r="AF500" i="10"/>
  <c r="AE500" i="10"/>
  <c r="AD500" i="10"/>
  <c r="AC500" i="10"/>
  <c r="AF499" i="10"/>
  <c r="AE499" i="10"/>
  <c r="AD499" i="10"/>
  <c r="AC499" i="10"/>
  <c r="AF498" i="10"/>
  <c r="AE498" i="10"/>
  <c r="AD498" i="10"/>
  <c r="AC498" i="10"/>
  <c r="AF497" i="10"/>
  <c r="AE497" i="10"/>
  <c r="AD497" i="10"/>
  <c r="AC497" i="10"/>
  <c r="AF496" i="10"/>
  <c r="AE496" i="10"/>
  <c r="AD496" i="10"/>
  <c r="AC496" i="10"/>
  <c r="AF495" i="10"/>
  <c r="AE495" i="10"/>
  <c r="AD495" i="10"/>
  <c r="AC495" i="10"/>
  <c r="AF494" i="10"/>
  <c r="AE494" i="10"/>
  <c r="AD494" i="10"/>
  <c r="AC494" i="10"/>
  <c r="AF493" i="10"/>
  <c r="AE493" i="10"/>
  <c r="AD493" i="10"/>
  <c r="AC493" i="10"/>
  <c r="AF492" i="10"/>
  <c r="AE492" i="10"/>
  <c r="AD492" i="10"/>
  <c r="AC492" i="10"/>
  <c r="AF491" i="10"/>
  <c r="AE491" i="10"/>
  <c r="AD491" i="10"/>
  <c r="AC491" i="10"/>
  <c r="AF490" i="10"/>
  <c r="AE490" i="10"/>
  <c r="AD490" i="10"/>
  <c r="AC490" i="10"/>
  <c r="AF489" i="10"/>
  <c r="AE489" i="10"/>
  <c r="AD489" i="10"/>
  <c r="AC489" i="10"/>
  <c r="AF488" i="10"/>
  <c r="AE488" i="10"/>
  <c r="AD488" i="10"/>
  <c r="AC488" i="10"/>
  <c r="AF487" i="10"/>
  <c r="AE487" i="10"/>
  <c r="AD487" i="10"/>
  <c r="AC487" i="10"/>
  <c r="AF486" i="10"/>
  <c r="AE486" i="10"/>
  <c r="AD486" i="10"/>
  <c r="AC486" i="10"/>
  <c r="AF485" i="10"/>
  <c r="AE485" i="10"/>
  <c r="AD485" i="10"/>
  <c r="AC485" i="10"/>
  <c r="AF484" i="10"/>
  <c r="AE484" i="10"/>
  <c r="AD484" i="10"/>
  <c r="AC484" i="10"/>
  <c r="AF483" i="10"/>
  <c r="AE483" i="10"/>
  <c r="AD483" i="10"/>
  <c r="AC483" i="10"/>
  <c r="AF482" i="10"/>
  <c r="AE482" i="10"/>
  <c r="AD482" i="10"/>
  <c r="AC482" i="10"/>
  <c r="AF481" i="10"/>
  <c r="AE481" i="10"/>
  <c r="AD481" i="10"/>
  <c r="AC481" i="10"/>
  <c r="AF480" i="10"/>
  <c r="AE480" i="10"/>
  <c r="AD480" i="10"/>
  <c r="AC480" i="10"/>
  <c r="AF479" i="10"/>
  <c r="AE479" i="10"/>
  <c r="AD479" i="10"/>
  <c r="AC479" i="10"/>
  <c r="AF478" i="10"/>
  <c r="AE478" i="10"/>
  <c r="AD478" i="10"/>
  <c r="AC478" i="10"/>
  <c r="AF477" i="10"/>
  <c r="AE477" i="10"/>
  <c r="AD477" i="10"/>
  <c r="AC477" i="10"/>
  <c r="AF476" i="10"/>
  <c r="AE476" i="10"/>
  <c r="AD476" i="10"/>
  <c r="AC476" i="10"/>
  <c r="AF475" i="10"/>
  <c r="AE475" i="10"/>
  <c r="AD475" i="10"/>
  <c r="AC475" i="10"/>
  <c r="AF474" i="10"/>
  <c r="AE474" i="10"/>
  <c r="AD474" i="10"/>
  <c r="AC474" i="10"/>
  <c r="AF473" i="10"/>
  <c r="AE473" i="10"/>
  <c r="AD473" i="10"/>
  <c r="AC473" i="10"/>
  <c r="AF472" i="10"/>
  <c r="AE472" i="10"/>
  <c r="AD472" i="10"/>
  <c r="AC472" i="10"/>
  <c r="AF471" i="10"/>
  <c r="AE471" i="10"/>
  <c r="AD471" i="10"/>
  <c r="AC471" i="10"/>
  <c r="AF470" i="10"/>
  <c r="AE470" i="10"/>
  <c r="AD470" i="10"/>
  <c r="AC470" i="10"/>
  <c r="AF469" i="10"/>
  <c r="AE469" i="10"/>
  <c r="AD469" i="10"/>
  <c r="AC469" i="10"/>
  <c r="AF468" i="10"/>
  <c r="AE468" i="10"/>
  <c r="AD468" i="10"/>
  <c r="AC468" i="10"/>
  <c r="AF467" i="10"/>
  <c r="AE467" i="10"/>
  <c r="AD467" i="10"/>
  <c r="AC467" i="10"/>
  <c r="AF466" i="10"/>
  <c r="AE466" i="10"/>
  <c r="AD466" i="10"/>
  <c r="AC466" i="10"/>
  <c r="AF465" i="10"/>
  <c r="AE465" i="10"/>
  <c r="AD465" i="10"/>
  <c r="AC465" i="10"/>
  <c r="AF464" i="10"/>
  <c r="AE464" i="10"/>
  <c r="AD464" i="10"/>
  <c r="AC464" i="10"/>
  <c r="AF463" i="10"/>
  <c r="AE463" i="10"/>
  <c r="AD463" i="10"/>
  <c r="AC463" i="10"/>
  <c r="AF462" i="10"/>
  <c r="AE462" i="10"/>
  <c r="AD462" i="10"/>
  <c r="AC462" i="10"/>
  <c r="AF461" i="10"/>
  <c r="AE461" i="10"/>
  <c r="AD461" i="10"/>
  <c r="AC461" i="10"/>
  <c r="AF460" i="10"/>
  <c r="AE460" i="10"/>
  <c r="AD460" i="10"/>
  <c r="AC460" i="10"/>
  <c r="AF459" i="10"/>
  <c r="AE459" i="10"/>
  <c r="AD459" i="10"/>
  <c r="AC459" i="10"/>
  <c r="AF458" i="10"/>
  <c r="AE458" i="10"/>
  <c r="AD458" i="10"/>
  <c r="AC458" i="10"/>
  <c r="AF457" i="10"/>
  <c r="AE457" i="10"/>
  <c r="AD457" i="10"/>
  <c r="AC457" i="10"/>
  <c r="AF456" i="10"/>
  <c r="AE456" i="10"/>
  <c r="AD456" i="10"/>
  <c r="AC456" i="10"/>
  <c r="AF455" i="10"/>
  <c r="AE455" i="10"/>
  <c r="AD455" i="10"/>
  <c r="AC455" i="10"/>
  <c r="AF454" i="10"/>
  <c r="AE454" i="10"/>
  <c r="AD454" i="10"/>
  <c r="AC454" i="10"/>
  <c r="AF453" i="10"/>
  <c r="AE453" i="10"/>
  <c r="AD453" i="10"/>
  <c r="AC453" i="10"/>
  <c r="AF452" i="10"/>
  <c r="AE452" i="10"/>
  <c r="AD452" i="10"/>
  <c r="AC452" i="10"/>
  <c r="AF451" i="10"/>
  <c r="AE451" i="10"/>
  <c r="AD451" i="10"/>
  <c r="AC451" i="10"/>
  <c r="AF450" i="10"/>
  <c r="AE450" i="10"/>
  <c r="AD450" i="10"/>
  <c r="AC450" i="10"/>
  <c r="AF449" i="10"/>
  <c r="AE449" i="10"/>
  <c r="AD449" i="10"/>
  <c r="AC449" i="10"/>
  <c r="AF448" i="10"/>
  <c r="AE448" i="10"/>
  <c r="AD448" i="10"/>
  <c r="AC448" i="10"/>
  <c r="AF447" i="10"/>
  <c r="AE447" i="10"/>
  <c r="AD447" i="10"/>
  <c r="AC447" i="10"/>
  <c r="AF446" i="10"/>
  <c r="AE446" i="10"/>
  <c r="AD446" i="10"/>
  <c r="AC446" i="10"/>
  <c r="AF445" i="10"/>
  <c r="AE445" i="10"/>
  <c r="AD445" i="10"/>
  <c r="AC445" i="10"/>
  <c r="AF444" i="10"/>
  <c r="AE444" i="10"/>
  <c r="AD444" i="10"/>
  <c r="AC444" i="10"/>
  <c r="AF443" i="10"/>
  <c r="AE443" i="10"/>
  <c r="AD443" i="10"/>
  <c r="AC443" i="10"/>
  <c r="AF442" i="10"/>
  <c r="AE442" i="10"/>
  <c r="AD442" i="10"/>
  <c r="AC442" i="10"/>
  <c r="AF441" i="10"/>
  <c r="AE441" i="10"/>
  <c r="AD441" i="10"/>
  <c r="AC441" i="10"/>
  <c r="AF440" i="10"/>
  <c r="AE440" i="10"/>
  <c r="AD440" i="10"/>
  <c r="AC440" i="10"/>
  <c r="AF439" i="10"/>
  <c r="AE439" i="10"/>
  <c r="AD439" i="10"/>
  <c r="AC439" i="10"/>
  <c r="AF438" i="10"/>
  <c r="AE438" i="10"/>
  <c r="AD438" i="10"/>
  <c r="AC438" i="10"/>
  <c r="AF437" i="10"/>
  <c r="AE437" i="10"/>
  <c r="AD437" i="10"/>
  <c r="AC437" i="10"/>
  <c r="AF436" i="10"/>
  <c r="AE436" i="10"/>
  <c r="AD436" i="10"/>
  <c r="AC436" i="10"/>
  <c r="AF435" i="10"/>
  <c r="AE435" i="10"/>
  <c r="AD435" i="10"/>
  <c r="AC435" i="10"/>
  <c r="AF434" i="10"/>
  <c r="AE434" i="10"/>
  <c r="AD434" i="10"/>
  <c r="AC434" i="10"/>
  <c r="AF433" i="10"/>
  <c r="AE433" i="10"/>
  <c r="AD433" i="10"/>
  <c r="AC433" i="10"/>
  <c r="AF432" i="10"/>
  <c r="AE432" i="10"/>
  <c r="AD432" i="10"/>
  <c r="AC432" i="10"/>
  <c r="AF431" i="10"/>
  <c r="AE431" i="10"/>
  <c r="AD431" i="10"/>
  <c r="AC431" i="10"/>
  <c r="AF430" i="10"/>
  <c r="AE430" i="10"/>
  <c r="AD430" i="10"/>
  <c r="AC430" i="10"/>
  <c r="AF429" i="10"/>
  <c r="AE429" i="10"/>
  <c r="AD429" i="10"/>
  <c r="AC429" i="10"/>
  <c r="AF428" i="10"/>
  <c r="AE428" i="10"/>
  <c r="AD428" i="10"/>
  <c r="AC428" i="10"/>
  <c r="AF427" i="10"/>
  <c r="AE427" i="10"/>
  <c r="AD427" i="10"/>
  <c r="AC427" i="10"/>
  <c r="AF426" i="10"/>
  <c r="AE426" i="10"/>
  <c r="AD426" i="10"/>
  <c r="AC426" i="10"/>
  <c r="AF425" i="10"/>
  <c r="AE425" i="10"/>
  <c r="AD425" i="10"/>
  <c r="AC425" i="10"/>
  <c r="AF424" i="10"/>
  <c r="AE424" i="10"/>
  <c r="AD424" i="10"/>
  <c r="AC424" i="10"/>
  <c r="AF423" i="10"/>
  <c r="AE423" i="10"/>
  <c r="AD423" i="10"/>
  <c r="AC423" i="10"/>
  <c r="AF422" i="10"/>
  <c r="AE422" i="10"/>
  <c r="AD422" i="10"/>
  <c r="AC422" i="10"/>
  <c r="AF421" i="10"/>
  <c r="AE421" i="10"/>
  <c r="AD421" i="10"/>
  <c r="AC421" i="10"/>
  <c r="AF420" i="10"/>
  <c r="AE420" i="10"/>
  <c r="AD420" i="10"/>
  <c r="AC420" i="10"/>
  <c r="AF419" i="10"/>
  <c r="AE419" i="10"/>
  <c r="AD419" i="10"/>
  <c r="AC419" i="10"/>
  <c r="AF418" i="10"/>
  <c r="AE418" i="10"/>
  <c r="AD418" i="10"/>
  <c r="AC418" i="10"/>
  <c r="AF417" i="10"/>
  <c r="AE417" i="10"/>
  <c r="AD417" i="10"/>
  <c r="AC417" i="10"/>
  <c r="AF416" i="10"/>
  <c r="AE416" i="10"/>
  <c r="AD416" i="10"/>
  <c r="AC416" i="10"/>
  <c r="AF415" i="10"/>
  <c r="AE415" i="10"/>
  <c r="AD415" i="10"/>
  <c r="AC415" i="10"/>
  <c r="AF414" i="10"/>
  <c r="AE414" i="10"/>
  <c r="AD414" i="10"/>
  <c r="AC414" i="10"/>
  <c r="AF413" i="10"/>
  <c r="AE413" i="10"/>
  <c r="AD413" i="10"/>
  <c r="AC413" i="10"/>
  <c r="AF412" i="10"/>
  <c r="AE412" i="10"/>
  <c r="AD412" i="10"/>
  <c r="AC412" i="10"/>
  <c r="AF411" i="10"/>
  <c r="AE411" i="10"/>
  <c r="AD411" i="10"/>
  <c r="AC411" i="10"/>
  <c r="AF410" i="10"/>
  <c r="AE410" i="10"/>
  <c r="AD410" i="10"/>
  <c r="AC410" i="10"/>
  <c r="AF409" i="10"/>
  <c r="AE409" i="10"/>
  <c r="AD409" i="10"/>
  <c r="AC409" i="10"/>
  <c r="AF408" i="10"/>
  <c r="AE408" i="10"/>
  <c r="AD408" i="10"/>
  <c r="AC408" i="10"/>
  <c r="AF407" i="10"/>
  <c r="AE407" i="10"/>
  <c r="AD407" i="10"/>
  <c r="AC407" i="10"/>
  <c r="AF406" i="10"/>
  <c r="AE406" i="10"/>
  <c r="AD406" i="10"/>
  <c r="AC406" i="10"/>
  <c r="AF405" i="10"/>
  <c r="AE405" i="10"/>
  <c r="AD405" i="10"/>
  <c r="AC405" i="10"/>
  <c r="AF404" i="10"/>
  <c r="AE404" i="10"/>
  <c r="AD404" i="10"/>
  <c r="AC404" i="10"/>
  <c r="AF403" i="10"/>
  <c r="AE403" i="10"/>
  <c r="AD403" i="10"/>
  <c r="AC403" i="10"/>
  <c r="AF402" i="10"/>
  <c r="AE402" i="10"/>
  <c r="AD402" i="10"/>
  <c r="AC402" i="10"/>
  <c r="AF401" i="10"/>
  <c r="AE401" i="10"/>
  <c r="AD401" i="10"/>
  <c r="AC401" i="10"/>
  <c r="AF400" i="10"/>
  <c r="AE400" i="10"/>
  <c r="AD400" i="10"/>
  <c r="AC400" i="10"/>
  <c r="AF399" i="10"/>
  <c r="AE399" i="10"/>
  <c r="AD399" i="10"/>
  <c r="AC399" i="10"/>
  <c r="AF398" i="10"/>
  <c r="AE398" i="10"/>
  <c r="AD398" i="10"/>
  <c r="AC398" i="10"/>
  <c r="AF397" i="10"/>
  <c r="AE397" i="10"/>
  <c r="AD397" i="10"/>
  <c r="AC397" i="10"/>
  <c r="AF396" i="10"/>
  <c r="AE396" i="10"/>
  <c r="AD396" i="10"/>
  <c r="AC396" i="10"/>
  <c r="AF395" i="10"/>
  <c r="AE395" i="10"/>
  <c r="AD395" i="10"/>
  <c r="AC395" i="10"/>
  <c r="AF394" i="10"/>
  <c r="AE394" i="10"/>
  <c r="AD394" i="10"/>
  <c r="AC394" i="10"/>
  <c r="AF393" i="10"/>
  <c r="AE393" i="10"/>
  <c r="AD393" i="10"/>
  <c r="AC393" i="10"/>
  <c r="AF392" i="10"/>
  <c r="AE392" i="10"/>
  <c r="AD392" i="10"/>
  <c r="AC392" i="10"/>
  <c r="AF391" i="10"/>
  <c r="AE391" i="10"/>
  <c r="AD391" i="10"/>
  <c r="AC391" i="10"/>
  <c r="AF390" i="10"/>
  <c r="AE390" i="10"/>
  <c r="AD390" i="10"/>
  <c r="AC390" i="10"/>
  <c r="AF389" i="10"/>
  <c r="AE389" i="10"/>
  <c r="AD389" i="10"/>
  <c r="AC389" i="10"/>
  <c r="AF388" i="10"/>
  <c r="AE388" i="10"/>
  <c r="AD388" i="10"/>
  <c r="AC388" i="10"/>
  <c r="AF387" i="10"/>
  <c r="AE387" i="10"/>
  <c r="AD387" i="10"/>
  <c r="AC387" i="10"/>
  <c r="AF386" i="10"/>
  <c r="AE386" i="10"/>
  <c r="AD386" i="10"/>
  <c r="AC386" i="10"/>
  <c r="AF385" i="10"/>
  <c r="AE385" i="10"/>
  <c r="AD385" i="10"/>
  <c r="AC385" i="10"/>
  <c r="AF384" i="10"/>
  <c r="AE384" i="10"/>
  <c r="AD384" i="10"/>
  <c r="AC384" i="10"/>
  <c r="AF383" i="10"/>
  <c r="AE383" i="10"/>
  <c r="AD383" i="10"/>
  <c r="AC383" i="10"/>
  <c r="AF382" i="10"/>
  <c r="AE382" i="10"/>
  <c r="AD382" i="10"/>
  <c r="AC382" i="10"/>
  <c r="AF381" i="10"/>
  <c r="AE381" i="10"/>
  <c r="AD381" i="10"/>
  <c r="AC381" i="10"/>
  <c r="AF380" i="10"/>
  <c r="AE380" i="10"/>
  <c r="AD380" i="10"/>
  <c r="AC380" i="10"/>
  <c r="AF379" i="10"/>
  <c r="AE379" i="10"/>
  <c r="AD379" i="10"/>
  <c r="AC379" i="10"/>
  <c r="AF378" i="10"/>
  <c r="AE378" i="10"/>
  <c r="AD378" i="10"/>
  <c r="AC378" i="10"/>
  <c r="AF377" i="10"/>
  <c r="AE377" i="10"/>
  <c r="AD377" i="10"/>
  <c r="AC377" i="10"/>
  <c r="AF376" i="10"/>
  <c r="AE376" i="10"/>
  <c r="AD376" i="10"/>
  <c r="AC376" i="10"/>
  <c r="AF375" i="10"/>
  <c r="AE375" i="10"/>
  <c r="AD375" i="10"/>
  <c r="AC375" i="10"/>
  <c r="AF374" i="10"/>
  <c r="AE374" i="10"/>
  <c r="AD374" i="10"/>
  <c r="AC374" i="10"/>
  <c r="AF373" i="10"/>
  <c r="AE373" i="10"/>
  <c r="AD373" i="10"/>
  <c r="AC373" i="10"/>
  <c r="AF372" i="10"/>
  <c r="AE372" i="10"/>
  <c r="AD372" i="10"/>
  <c r="AC372" i="10"/>
  <c r="AF371" i="10"/>
  <c r="AE371" i="10"/>
  <c r="AD371" i="10"/>
  <c r="AC371" i="10"/>
  <c r="AF370" i="10"/>
  <c r="AE370" i="10"/>
  <c r="AD370" i="10"/>
  <c r="AC370" i="10"/>
  <c r="AF369" i="10"/>
  <c r="AE369" i="10"/>
  <c r="AD369" i="10"/>
  <c r="AC369" i="10"/>
  <c r="AF368" i="10"/>
  <c r="AE368" i="10"/>
  <c r="AD368" i="10"/>
  <c r="AC368" i="10"/>
  <c r="AF367" i="10"/>
  <c r="AE367" i="10"/>
  <c r="AD367" i="10"/>
  <c r="AC367" i="10"/>
  <c r="AF366" i="10"/>
  <c r="AE366" i="10"/>
  <c r="AD366" i="10"/>
  <c r="AC366" i="10"/>
  <c r="AF365" i="10"/>
  <c r="AE365" i="10"/>
  <c r="AD365" i="10"/>
  <c r="AC365" i="10"/>
  <c r="AF364" i="10"/>
  <c r="AE364" i="10"/>
  <c r="AD364" i="10"/>
  <c r="AC364" i="10"/>
  <c r="AF363" i="10"/>
  <c r="AE363" i="10"/>
  <c r="AD363" i="10"/>
  <c r="AC363" i="10"/>
  <c r="AF362" i="10"/>
  <c r="AE362" i="10"/>
  <c r="AD362" i="10"/>
  <c r="AC362" i="10"/>
  <c r="AF361" i="10"/>
  <c r="AE361" i="10"/>
  <c r="AD361" i="10"/>
  <c r="AC361" i="10"/>
  <c r="AF360" i="10"/>
  <c r="AE360" i="10"/>
  <c r="AD360" i="10"/>
  <c r="AC360" i="10"/>
  <c r="AF359" i="10"/>
  <c r="AE359" i="10"/>
  <c r="AD359" i="10"/>
  <c r="AC359" i="10"/>
  <c r="AF358" i="10"/>
  <c r="AE358" i="10"/>
  <c r="AD358" i="10"/>
  <c r="AC358" i="10"/>
  <c r="AF357" i="10"/>
  <c r="AE357" i="10"/>
  <c r="AD357" i="10"/>
  <c r="AC357" i="10"/>
  <c r="AF356" i="10"/>
  <c r="AE356" i="10"/>
  <c r="AD356" i="10"/>
  <c r="AC356" i="10"/>
  <c r="AF355" i="10"/>
  <c r="AE355" i="10"/>
  <c r="AD355" i="10"/>
  <c r="AC355" i="10"/>
  <c r="AF354" i="10"/>
  <c r="AE354" i="10"/>
  <c r="AD354" i="10"/>
  <c r="AC354" i="10"/>
  <c r="AF353" i="10"/>
  <c r="AE353" i="10"/>
  <c r="AD353" i="10"/>
  <c r="AC353" i="10"/>
  <c r="AF352" i="10"/>
  <c r="AE352" i="10"/>
  <c r="AD352" i="10"/>
  <c r="AC352" i="10"/>
  <c r="AF351" i="10"/>
  <c r="AE351" i="10"/>
  <c r="AD351" i="10"/>
  <c r="AC351" i="10"/>
  <c r="AF350" i="10"/>
  <c r="AE350" i="10"/>
  <c r="AD350" i="10"/>
  <c r="AC350" i="10"/>
  <c r="AF349" i="10"/>
  <c r="AE349" i="10"/>
  <c r="AD349" i="10"/>
  <c r="AC349" i="10"/>
  <c r="AF348" i="10"/>
  <c r="AE348" i="10"/>
  <c r="AD348" i="10"/>
  <c r="AC348" i="10"/>
  <c r="AF347" i="10"/>
  <c r="AE347" i="10"/>
  <c r="AD347" i="10"/>
  <c r="AC347" i="10"/>
  <c r="AF346" i="10"/>
  <c r="AE346" i="10"/>
  <c r="AD346" i="10"/>
  <c r="AC346" i="10"/>
  <c r="AF345" i="10"/>
  <c r="AE345" i="10"/>
  <c r="AD345" i="10"/>
  <c r="AC345" i="10"/>
  <c r="AF344" i="10"/>
  <c r="AE344" i="10"/>
  <c r="AD344" i="10"/>
  <c r="AC344" i="10"/>
  <c r="AF343" i="10"/>
  <c r="AE343" i="10"/>
  <c r="AD343" i="10"/>
  <c r="AC343" i="10"/>
  <c r="AF342" i="10"/>
  <c r="AE342" i="10"/>
  <c r="AD342" i="10"/>
  <c r="AC342" i="10"/>
  <c r="AF341" i="10"/>
  <c r="AE341" i="10"/>
  <c r="AD341" i="10"/>
  <c r="AC341" i="10"/>
  <c r="AF340" i="10"/>
  <c r="AE340" i="10"/>
  <c r="AD340" i="10"/>
  <c r="AC340" i="10"/>
  <c r="AF339" i="10"/>
  <c r="AE339" i="10"/>
  <c r="AD339" i="10"/>
  <c r="AC339" i="10"/>
  <c r="AF338" i="10"/>
  <c r="AE338" i="10"/>
  <c r="AD338" i="10"/>
  <c r="AC338" i="10"/>
  <c r="AF337" i="10"/>
  <c r="AE337" i="10"/>
  <c r="AD337" i="10"/>
  <c r="AC337" i="10"/>
  <c r="AF336" i="10"/>
  <c r="AE336" i="10"/>
  <c r="AD336" i="10"/>
  <c r="AC336" i="10"/>
  <c r="AF335" i="10"/>
  <c r="AE335" i="10"/>
  <c r="AD335" i="10"/>
  <c r="AC335" i="10"/>
  <c r="AF334" i="10"/>
  <c r="AE334" i="10"/>
  <c r="AD334" i="10"/>
  <c r="AC334" i="10"/>
  <c r="AF333" i="10"/>
  <c r="AE333" i="10"/>
  <c r="AD333" i="10"/>
  <c r="AC333" i="10"/>
  <c r="AF332" i="10"/>
  <c r="AE332" i="10"/>
  <c r="AD332" i="10"/>
  <c r="AC332" i="10"/>
  <c r="AF331" i="10"/>
  <c r="AE331" i="10"/>
  <c r="AD331" i="10"/>
  <c r="AC331" i="10"/>
  <c r="AF330" i="10"/>
  <c r="AE330" i="10"/>
  <c r="AD330" i="10"/>
  <c r="AC330" i="10"/>
  <c r="AF329" i="10"/>
  <c r="AE329" i="10"/>
  <c r="AD329" i="10"/>
  <c r="AC329" i="10"/>
  <c r="AF328" i="10"/>
  <c r="AE328" i="10"/>
  <c r="AD328" i="10"/>
  <c r="AC328" i="10"/>
  <c r="AF327" i="10"/>
  <c r="AE327" i="10"/>
  <c r="AD327" i="10"/>
  <c r="AC327" i="10"/>
  <c r="AF326" i="10"/>
  <c r="AE326" i="10"/>
  <c r="AD326" i="10"/>
  <c r="AC326" i="10"/>
  <c r="AF325" i="10"/>
  <c r="AE325" i="10"/>
  <c r="AD325" i="10"/>
  <c r="AC325" i="10"/>
  <c r="AF324" i="10"/>
  <c r="AE324" i="10"/>
  <c r="AD324" i="10"/>
  <c r="AC324" i="10"/>
  <c r="AF323" i="10"/>
  <c r="AE323" i="10"/>
  <c r="AD323" i="10"/>
  <c r="AC323" i="10"/>
  <c r="AF322" i="10"/>
  <c r="AE322" i="10"/>
  <c r="AD322" i="10"/>
  <c r="AC322" i="10"/>
  <c r="AF321" i="10"/>
  <c r="AE321" i="10"/>
  <c r="AD321" i="10"/>
  <c r="AC321" i="10"/>
  <c r="AF320" i="10"/>
  <c r="AE320" i="10"/>
  <c r="AD320" i="10"/>
  <c r="AC320" i="10"/>
  <c r="AF319" i="10"/>
  <c r="AE319" i="10"/>
  <c r="AD319" i="10"/>
  <c r="AC319" i="10"/>
  <c r="AF318" i="10"/>
  <c r="AE318" i="10"/>
  <c r="AD318" i="10"/>
  <c r="AC318" i="10"/>
  <c r="AF317" i="10"/>
  <c r="AE317" i="10"/>
  <c r="AD317" i="10"/>
  <c r="AC317" i="10"/>
  <c r="AF316" i="10"/>
  <c r="AE316" i="10"/>
  <c r="AD316" i="10"/>
  <c r="AC316" i="10"/>
  <c r="AF315" i="10"/>
  <c r="AE315" i="10"/>
  <c r="AD315" i="10"/>
  <c r="AC315" i="10"/>
  <c r="AF314" i="10"/>
  <c r="AE314" i="10"/>
  <c r="AD314" i="10"/>
  <c r="AC314" i="10"/>
  <c r="AF313" i="10"/>
  <c r="AE313" i="10"/>
  <c r="AD313" i="10"/>
  <c r="AC313" i="10"/>
  <c r="AF312" i="10"/>
  <c r="AE312" i="10"/>
  <c r="AD312" i="10"/>
  <c r="AC312" i="10"/>
  <c r="AF311" i="10"/>
  <c r="AE311" i="10"/>
  <c r="AD311" i="10"/>
  <c r="AC311" i="10"/>
  <c r="AF310" i="10"/>
  <c r="AE310" i="10"/>
  <c r="AD310" i="10"/>
  <c r="AC310" i="10"/>
  <c r="AF309" i="10"/>
  <c r="AE309" i="10"/>
  <c r="AD309" i="10"/>
  <c r="AC309" i="10"/>
  <c r="AF308" i="10"/>
  <c r="AE308" i="10"/>
  <c r="AD308" i="10"/>
  <c r="AC308" i="10"/>
  <c r="AF307" i="10"/>
  <c r="AE307" i="10"/>
  <c r="AD307" i="10"/>
  <c r="AC307" i="10"/>
  <c r="AF306" i="10"/>
  <c r="AE306" i="10"/>
  <c r="AD306" i="10"/>
  <c r="AC306" i="10"/>
  <c r="AF305" i="10"/>
  <c r="AE305" i="10"/>
  <c r="AD305" i="10"/>
  <c r="AC305" i="10"/>
  <c r="AF304" i="10"/>
  <c r="AE304" i="10"/>
  <c r="AD304" i="10"/>
  <c r="AC304" i="10"/>
  <c r="AF303" i="10"/>
  <c r="AE303" i="10"/>
  <c r="AD303" i="10"/>
  <c r="AC303" i="10"/>
  <c r="AF302" i="10"/>
  <c r="AE302" i="10"/>
  <c r="AD302" i="10"/>
  <c r="AC302" i="10"/>
  <c r="AF301" i="10"/>
  <c r="AE301" i="10"/>
  <c r="AD301" i="10"/>
  <c r="AC301" i="10"/>
  <c r="AF300" i="10"/>
  <c r="AE300" i="10"/>
  <c r="AD300" i="10"/>
  <c r="AC300" i="10"/>
  <c r="AF299" i="10"/>
  <c r="AE299" i="10"/>
  <c r="AD299" i="10"/>
  <c r="AC299" i="10"/>
  <c r="AF298" i="10"/>
  <c r="AE298" i="10"/>
  <c r="AD298" i="10"/>
  <c r="AC298" i="10"/>
  <c r="AF297" i="10"/>
  <c r="AE297" i="10"/>
  <c r="AD297" i="10"/>
  <c r="AC297" i="10"/>
  <c r="AF296" i="10"/>
  <c r="AE296" i="10"/>
  <c r="AD296" i="10"/>
  <c r="AC296" i="10"/>
  <c r="AF295" i="10"/>
  <c r="AE295" i="10"/>
  <c r="AD295" i="10"/>
  <c r="AC295" i="10"/>
  <c r="AF294" i="10"/>
  <c r="AE294" i="10"/>
  <c r="AD294" i="10"/>
  <c r="AC294" i="10"/>
  <c r="AF293" i="10"/>
  <c r="AE293" i="10"/>
  <c r="AD293" i="10"/>
  <c r="AC293" i="10"/>
  <c r="AF292" i="10"/>
  <c r="AE292" i="10"/>
  <c r="AD292" i="10"/>
  <c r="AC292" i="10"/>
  <c r="AF291" i="10"/>
  <c r="AE291" i="10"/>
  <c r="AD291" i="10"/>
  <c r="AC291" i="10"/>
  <c r="AF290" i="10"/>
  <c r="AE290" i="10"/>
  <c r="AD290" i="10"/>
  <c r="AC290" i="10"/>
  <c r="AF289" i="10"/>
  <c r="AE289" i="10"/>
  <c r="AD289" i="10"/>
  <c r="AC289" i="10"/>
  <c r="AF288" i="10"/>
  <c r="AE288" i="10"/>
  <c r="AD288" i="10"/>
  <c r="AC288" i="10"/>
  <c r="AF287" i="10"/>
  <c r="AE287" i="10"/>
  <c r="AD287" i="10"/>
  <c r="AC287" i="10"/>
  <c r="AF286" i="10"/>
  <c r="AE286" i="10"/>
  <c r="AD286" i="10"/>
  <c r="AC286" i="10"/>
  <c r="AF285" i="10"/>
  <c r="AE285" i="10"/>
  <c r="AD285" i="10"/>
  <c r="AC285" i="10"/>
  <c r="AF284" i="10"/>
  <c r="AE284" i="10"/>
  <c r="AD284" i="10"/>
  <c r="AC284" i="10"/>
  <c r="AF283" i="10"/>
  <c r="AE283" i="10"/>
  <c r="AD283" i="10"/>
  <c r="AC283" i="10"/>
  <c r="AF282" i="10"/>
  <c r="AE282" i="10"/>
  <c r="AD282" i="10"/>
  <c r="AC282" i="10"/>
  <c r="AF281" i="10"/>
  <c r="AE281" i="10"/>
  <c r="AD281" i="10"/>
  <c r="AC281" i="10"/>
  <c r="AF280" i="10"/>
  <c r="AE280" i="10"/>
  <c r="AD280" i="10"/>
  <c r="AC280" i="10"/>
  <c r="AF279" i="10"/>
  <c r="AE279" i="10"/>
  <c r="AD279" i="10"/>
  <c r="AC279" i="10"/>
  <c r="AF278" i="10"/>
  <c r="AE278" i="10"/>
  <c r="AD278" i="10"/>
  <c r="AC278" i="10"/>
  <c r="AF277" i="10"/>
  <c r="AE277" i="10"/>
  <c r="AD277" i="10"/>
  <c r="AC277" i="10"/>
  <c r="AF276" i="10"/>
  <c r="AE276" i="10"/>
  <c r="AD276" i="10"/>
  <c r="AC276" i="10"/>
  <c r="AF275" i="10"/>
  <c r="AE275" i="10"/>
  <c r="AD275" i="10"/>
  <c r="AC275" i="10"/>
  <c r="AF274" i="10"/>
  <c r="AE274" i="10"/>
  <c r="AD274" i="10"/>
  <c r="AC274" i="10"/>
  <c r="AF273" i="10"/>
  <c r="AE273" i="10"/>
  <c r="AD273" i="10"/>
  <c r="AC273" i="10"/>
  <c r="AF272" i="10"/>
  <c r="AE272" i="10"/>
  <c r="AD272" i="10"/>
  <c r="AC272" i="10"/>
  <c r="AF271" i="10"/>
  <c r="AE271" i="10"/>
  <c r="AD271" i="10"/>
  <c r="AC271" i="10"/>
  <c r="AF270" i="10"/>
  <c r="AE270" i="10"/>
  <c r="AD270" i="10"/>
  <c r="AC270" i="10"/>
  <c r="AF269" i="10"/>
  <c r="AE269" i="10"/>
  <c r="AD269" i="10"/>
  <c r="AC269" i="10"/>
  <c r="AF268" i="10"/>
  <c r="AE268" i="10"/>
  <c r="AD268" i="10"/>
  <c r="AC268" i="10"/>
  <c r="AF267" i="10"/>
  <c r="AE267" i="10"/>
  <c r="AD267" i="10"/>
  <c r="AC267" i="10"/>
  <c r="AF266" i="10"/>
  <c r="AE266" i="10"/>
  <c r="AD266" i="10"/>
  <c r="AC266" i="10"/>
  <c r="AF265" i="10"/>
  <c r="AE265" i="10"/>
  <c r="AD265" i="10"/>
  <c r="AC265" i="10"/>
  <c r="AF264" i="10"/>
  <c r="AE264" i="10"/>
  <c r="AD264" i="10"/>
  <c r="AC264" i="10"/>
  <c r="AF263" i="10"/>
  <c r="AE263" i="10"/>
  <c r="AD263" i="10"/>
  <c r="AC263" i="10"/>
  <c r="AF262" i="10"/>
  <c r="AE262" i="10"/>
  <c r="AD262" i="10"/>
  <c r="AC262" i="10"/>
  <c r="AF261" i="10"/>
  <c r="AE261" i="10"/>
  <c r="AD261" i="10"/>
  <c r="AC261" i="10"/>
  <c r="AF260" i="10"/>
  <c r="AE260" i="10"/>
  <c r="AD260" i="10"/>
  <c r="AC260" i="10"/>
  <c r="AF259" i="10"/>
  <c r="AE259" i="10"/>
  <c r="AD259" i="10"/>
  <c r="AC259" i="10"/>
  <c r="AF258" i="10"/>
  <c r="AE258" i="10"/>
  <c r="AD258" i="10"/>
  <c r="AC258" i="10"/>
  <c r="AF257" i="10"/>
  <c r="AE257" i="10"/>
  <c r="AD257" i="10"/>
  <c r="AC257" i="10"/>
  <c r="AF256" i="10"/>
  <c r="AE256" i="10"/>
  <c r="AD256" i="10"/>
  <c r="AC256" i="10"/>
  <c r="AF255" i="10"/>
  <c r="AE255" i="10"/>
  <c r="AD255" i="10"/>
  <c r="AC255" i="10"/>
  <c r="AF254" i="10"/>
  <c r="AE254" i="10"/>
  <c r="AD254" i="10"/>
  <c r="AC254" i="10"/>
  <c r="AF253" i="10"/>
  <c r="AE253" i="10"/>
  <c r="AD253" i="10"/>
  <c r="AC253" i="10"/>
  <c r="AF252" i="10"/>
  <c r="AE252" i="10"/>
  <c r="AD252" i="10"/>
  <c r="AC252" i="10"/>
  <c r="AF251" i="10"/>
  <c r="AE251" i="10"/>
  <c r="AD251" i="10"/>
  <c r="AC251" i="10"/>
  <c r="AF250" i="10"/>
  <c r="AE250" i="10"/>
  <c r="AD250" i="10"/>
  <c r="AC250" i="10"/>
  <c r="AF249" i="10"/>
  <c r="AE249" i="10"/>
  <c r="AD249" i="10"/>
  <c r="AC249" i="10"/>
  <c r="AF248" i="10"/>
  <c r="AE248" i="10"/>
  <c r="AD248" i="10"/>
  <c r="AC248" i="10"/>
  <c r="AF247" i="10"/>
  <c r="AE247" i="10"/>
  <c r="AD247" i="10"/>
  <c r="AC247" i="10"/>
  <c r="AF246" i="10"/>
  <c r="AE246" i="10"/>
  <c r="AD246" i="10"/>
  <c r="AC246" i="10"/>
  <c r="AF245" i="10"/>
  <c r="AE245" i="10"/>
  <c r="AD245" i="10"/>
  <c r="AC245" i="10"/>
  <c r="AF244" i="10"/>
  <c r="AE244" i="10"/>
  <c r="AD244" i="10"/>
  <c r="AC244" i="10"/>
  <c r="AF243" i="10"/>
  <c r="AE243" i="10"/>
  <c r="AD243" i="10"/>
  <c r="AC243" i="10"/>
  <c r="AF242" i="10"/>
  <c r="AE242" i="10"/>
  <c r="AD242" i="10"/>
  <c r="AC242" i="10"/>
  <c r="AF241" i="10"/>
  <c r="AE241" i="10"/>
  <c r="AD241" i="10"/>
  <c r="AC241" i="10"/>
  <c r="AF240" i="10"/>
  <c r="AE240" i="10"/>
  <c r="AD240" i="10"/>
  <c r="AC240" i="10"/>
  <c r="AF239" i="10"/>
  <c r="AE239" i="10"/>
  <c r="AD239" i="10"/>
  <c r="AC239" i="10"/>
  <c r="AF238" i="10"/>
  <c r="AE238" i="10"/>
  <c r="AD238" i="10"/>
  <c r="AC238" i="10"/>
  <c r="AF237" i="10"/>
  <c r="AE237" i="10"/>
  <c r="AD237" i="10"/>
  <c r="AC237" i="10"/>
  <c r="AF236" i="10"/>
  <c r="AE236" i="10"/>
  <c r="AD236" i="10"/>
  <c r="AC236" i="10"/>
  <c r="AF235" i="10"/>
  <c r="AE235" i="10"/>
  <c r="AD235" i="10"/>
  <c r="AC235" i="10"/>
  <c r="AF234" i="10"/>
  <c r="AE234" i="10"/>
  <c r="AD234" i="10"/>
  <c r="AC234" i="10"/>
  <c r="AF233" i="10"/>
  <c r="AE233" i="10"/>
  <c r="AD233" i="10"/>
  <c r="AC233" i="10"/>
  <c r="AF232" i="10"/>
  <c r="AE232" i="10"/>
  <c r="AD232" i="10"/>
  <c r="AC232" i="10"/>
  <c r="AF231" i="10"/>
  <c r="AE231" i="10"/>
  <c r="AD231" i="10"/>
  <c r="AC231" i="10"/>
  <c r="AF230" i="10"/>
  <c r="AE230" i="10"/>
  <c r="AD230" i="10"/>
  <c r="AC230" i="10"/>
  <c r="AF229" i="10"/>
  <c r="AE229" i="10"/>
  <c r="AD229" i="10"/>
  <c r="AC229" i="10"/>
  <c r="AF228" i="10"/>
  <c r="AE228" i="10"/>
  <c r="AD228" i="10"/>
  <c r="AC228" i="10"/>
  <c r="AF227" i="10"/>
  <c r="AE227" i="10"/>
  <c r="AD227" i="10"/>
  <c r="AC227" i="10"/>
  <c r="AF226" i="10"/>
  <c r="AE226" i="10"/>
  <c r="AD226" i="10"/>
  <c r="AC226" i="10"/>
  <c r="AF225" i="10"/>
  <c r="AE225" i="10"/>
  <c r="AD225" i="10"/>
  <c r="AC225" i="10"/>
  <c r="AF224" i="10"/>
  <c r="AE224" i="10"/>
  <c r="AD224" i="10"/>
  <c r="AC224" i="10"/>
  <c r="AF223" i="10"/>
  <c r="AE223" i="10"/>
  <c r="AD223" i="10"/>
  <c r="AC223" i="10"/>
  <c r="AF222" i="10"/>
  <c r="AE222" i="10"/>
  <c r="AD222" i="10"/>
  <c r="AC222" i="10"/>
  <c r="AF221" i="10"/>
  <c r="AE221" i="10"/>
  <c r="AD221" i="10"/>
  <c r="AC221" i="10"/>
  <c r="AF220" i="10"/>
  <c r="AE220" i="10"/>
  <c r="AD220" i="10"/>
  <c r="AC220" i="10"/>
  <c r="AF219" i="10"/>
  <c r="AE219" i="10"/>
  <c r="AD219" i="10"/>
  <c r="AC219" i="10"/>
  <c r="AF218" i="10"/>
  <c r="AE218" i="10"/>
  <c r="AD218" i="10"/>
  <c r="AC218" i="10"/>
  <c r="AF217" i="10"/>
  <c r="AE217" i="10"/>
  <c r="AD217" i="10"/>
  <c r="AC217" i="10"/>
  <c r="AF216" i="10"/>
  <c r="AE216" i="10"/>
  <c r="AD216" i="10"/>
  <c r="AC216" i="10"/>
  <c r="AF215" i="10"/>
  <c r="AE215" i="10"/>
  <c r="AD215" i="10"/>
  <c r="AC215" i="10"/>
  <c r="AF214" i="10"/>
  <c r="AE214" i="10"/>
  <c r="AD214" i="10"/>
  <c r="AC214" i="10"/>
  <c r="AF213" i="10"/>
  <c r="AE213" i="10"/>
  <c r="AD213" i="10"/>
  <c r="AC213" i="10"/>
  <c r="AF212" i="10"/>
  <c r="AE212" i="10"/>
  <c r="AD212" i="10"/>
  <c r="AC212" i="10"/>
  <c r="AF211" i="10"/>
  <c r="AE211" i="10"/>
  <c r="AD211" i="10"/>
  <c r="AC211" i="10"/>
  <c r="AF210" i="10"/>
  <c r="AE210" i="10"/>
  <c r="AD210" i="10"/>
  <c r="AC210" i="10"/>
  <c r="AF209" i="10"/>
  <c r="AE209" i="10"/>
  <c r="AD209" i="10"/>
  <c r="AC209" i="10"/>
  <c r="AF208" i="10"/>
  <c r="AE208" i="10"/>
  <c r="AD208" i="10"/>
  <c r="AC208" i="10"/>
  <c r="AF207" i="10"/>
  <c r="AE207" i="10"/>
  <c r="AD207" i="10"/>
  <c r="AC207" i="10"/>
  <c r="AF206" i="10"/>
  <c r="AE206" i="10"/>
  <c r="AD206" i="10"/>
  <c r="AC206" i="10"/>
  <c r="AF205" i="10"/>
  <c r="AE205" i="10"/>
  <c r="AD205" i="10"/>
  <c r="AC205" i="10"/>
  <c r="AF204" i="10"/>
  <c r="AE204" i="10"/>
  <c r="AD204" i="10"/>
  <c r="AC204" i="10"/>
  <c r="AF203" i="10"/>
  <c r="AE203" i="10"/>
  <c r="AD203" i="10"/>
  <c r="AC203" i="10"/>
  <c r="AF202" i="10"/>
  <c r="AE202" i="10"/>
  <c r="AD202" i="10"/>
  <c r="AC202" i="10"/>
  <c r="AF201" i="10"/>
  <c r="AE201" i="10"/>
  <c r="AD201" i="10"/>
  <c r="AC201" i="10"/>
  <c r="AF200" i="10"/>
  <c r="AE200" i="10"/>
  <c r="AD200" i="10"/>
  <c r="AC200" i="10"/>
  <c r="AF199" i="10"/>
  <c r="AE199" i="10"/>
  <c r="AD199" i="10"/>
  <c r="AC199" i="10"/>
  <c r="AF198" i="10"/>
  <c r="AE198" i="10"/>
  <c r="AD198" i="10"/>
  <c r="AC198" i="10"/>
  <c r="AF197" i="10"/>
  <c r="AE197" i="10"/>
  <c r="AD197" i="10"/>
  <c r="AC197" i="10"/>
  <c r="AF196" i="10"/>
  <c r="AE196" i="10"/>
  <c r="AD196" i="10"/>
  <c r="AC196" i="10"/>
  <c r="AF195" i="10"/>
  <c r="AE195" i="10"/>
  <c r="AD195" i="10"/>
  <c r="AC195" i="10"/>
  <c r="AF194" i="10"/>
  <c r="AE194" i="10"/>
  <c r="AD194" i="10"/>
  <c r="AC194" i="10"/>
  <c r="AF193" i="10"/>
  <c r="AE193" i="10"/>
  <c r="AD193" i="10"/>
  <c r="AC193" i="10"/>
  <c r="AF192" i="10"/>
  <c r="AE192" i="10"/>
  <c r="AD192" i="10"/>
  <c r="AC192" i="10"/>
  <c r="AF191" i="10"/>
  <c r="AE191" i="10"/>
  <c r="AD191" i="10"/>
  <c r="AC191" i="10"/>
  <c r="AF190" i="10"/>
  <c r="AE190" i="10"/>
  <c r="AD190" i="10"/>
  <c r="AC190" i="10"/>
  <c r="AF189" i="10"/>
  <c r="AE189" i="10"/>
  <c r="AD189" i="10"/>
  <c r="AC189" i="10"/>
  <c r="AF188" i="10"/>
  <c r="AE188" i="10"/>
  <c r="AD188" i="10"/>
  <c r="AC188" i="10"/>
  <c r="AF187" i="10"/>
  <c r="AE187" i="10"/>
  <c r="AD187" i="10"/>
  <c r="AC187" i="10"/>
  <c r="AF186" i="10"/>
  <c r="AE186" i="10"/>
  <c r="AD186" i="10"/>
  <c r="AC186" i="10"/>
  <c r="AF185" i="10"/>
  <c r="AE185" i="10"/>
  <c r="AD185" i="10"/>
  <c r="AC185" i="10"/>
  <c r="AF184" i="10"/>
  <c r="AE184" i="10"/>
  <c r="AD184" i="10"/>
  <c r="AC184" i="10"/>
  <c r="AF183" i="10"/>
  <c r="AE183" i="10"/>
  <c r="AD183" i="10"/>
  <c r="AC183" i="10"/>
  <c r="AF182" i="10"/>
  <c r="AE182" i="10"/>
  <c r="AD182" i="10"/>
  <c r="AC182" i="10"/>
  <c r="AF181" i="10"/>
  <c r="AE181" i="10"/>
  <c r="AD181" i="10"/>
  <c r="AC181" i="10"/>
  <c r="AF180" i="10"/>
  <c r="AE180" i="10"/>
  <c r="AD180" i="10"/>
  <c r="AC180" i="10"/>
  <c r="AF179" i="10"/>
  <c r="AE179" i="10"/>
  <c r="AD179" i="10"/>
  <c r="AC179" i="10"/>
  <c r="AF178" i="10"/>
  <c r="AE178" i="10"/>
  <c r="AD178" i="10"/>
  <c r="AC178" i="10"/>
  <c r="AF177" i="10"/>
  <c r="AE177" i="10"/>
  <c r="AD177" i="10"/>
  <c r="AC177" i="10"/>
  <c r="AF176" i="10"/>
  <c r="AE176" i="10"/>
  <c r="AD176" i="10"/>
  <c r="AC176" i="10"/>
  <c r="AF175" i="10"/>
  <c r="AE175" i="10"/>
  <c r="AD175" i="10"/>
  <c r="AC175" i="10"/>
  <c r="AF174" i="10"/>
  <c r="AE174" i="10"/>
  <c r="AD174" i="10"/>
  <c r="AC174" i="10"/>
  <c r="AF173" i="10"/>
  <c r="AE173" i="10"/>
  <c r="AD173" i="10"/>
  <c r="AC173" i="10"/>
  <c r="AF172" i="10"/>
  <c r="AE172" i="10"/>
  <c r="AD172" i="10"/>
  <c r="AC172" i="10"/>
  <c r="AF171" i="10"/>
  <c r="AE171" i="10"/>
  <c r="AD171" i="10"/>
  <c r="AC171" i="10"/>
  <c r="AF170" i="10"/>
  <c r="AE170" i="10"/>
  <c r="AD170" i="10"/>
  <c r="AC170" i="10"/>
  <c r="AF169" i="10"/>
  <c r="AE169" i="10"/>
  <c r="AD169" i="10"/>
  <c r="AC169" i="10"/>
  <c r="AF168" i="10"/>
  <c r="AE168" i="10"/>
  <c r="AD168" i="10"/>
  <c r="AC168" i="10"/>
  <c r="AF167" i="10"/>
  <c r="AE167" i="10"/>
  <c r="AD167" i="10"/>
  <c r="AC167" i="10"/>
  <c r="AF166" i="10"/>
  <c r="AE166" i="10"/>
  <c r="AD166" i="10"/>
  <c r="AC166" i="10"/>
  <c r="AF165" i="10"/>
  <c r="AE165" i="10"/>
  <c r="AD165" i="10"/>
  <c r="AC165" i="10"/>
  <c r="AF164" i="10"/>
  <c r="AE164" i="10"/>
  <c r="AD164" i="10"/>
  <c r="AC164" i="10"/>
  <c r="AF163" i="10"/>
  <c r="AE163" i="10"/>
  <c r="AD163" i="10"/>
  <c r="AC163" i="10"/>
  <c r="AF162" i="10"/>
  <c r="AE162" i="10"/>
  <c r="AD162" i="10"/>
  <c r="AC162" i="10"/>
  <c r="AF161" i="10"/>
  <c r="AE161" i="10"/>
  <c r="AD161" i="10"/>
  <c r="AC161" i="10"/>
  <c r="AF160" i="10"/>
  <c r="AE160" i="10"/>
  <c r="AD160" i="10"/>
  <c r="AC160" i="10"/>
  <c r="AF159" i="10"/>
  <c r="AE159" i="10"/>
  <c r="AD159" i="10"/>
  <c r="AC159" i="10"/>
  <c r="AF158" i="10"/>
  <c r="AE158" i="10"/>
  <c r="AD158" i="10"/>
  <c r="AC158" i="10"/>
  <c r="AF157" i="10"/>
  <c r="AE157" i="10"/>
  <c r="AD157" i="10"/>
  <c r="AC157" i="10"/>
  <c r="AF156" i="10"/>
  <c r="AE156" i="10"/>
  <c r="AD156" i="10"/>
  <c r="AC156" i="10"/>
  <c r="AF155" i="10"/>
  <c r="AE155" i="10"/>
  <c r="AD155" i="10"/>
  <c r="AC155" i="10"/>
  <c r="AF154" i="10"/>
  <c r="AE154" i="10"/>
  <c r="AD154" i="10"/>
  <c r="AC154" i="10"/>
  <c r="AF153" i="10"/>
  <c r="AE153" i="10"/>
  <c r="AD153" i="10"/>
  <c r="AC153" i="10"/>
  <c r="AF152" i="10"/>
  <c r="AE152" i="10"/>
  <c r="AD152" i="10"/>
  <c r="AC152" i="10"/>
  <c r="AF151" i="10"/>
  <c r="AE151" i="10"/>
  <c r="AD151" i="10"/>
  <c r="AC151" i="10"/>
  <c r="AF150" i="10"/>
  <c r="AE150" i="10"/>
  <c r="AD150" i="10"/>
  <c r="AC150" i="10"/>
  <c r="AF149" i="10"/>
  <c r="AE149" i="10"/>
  <c r="AD149" i="10"/>
  <c r="AC149" i="10"/>
  <c r="AF148" i="10"/>
  <c r="AE148" i="10"/>
  <c r="AD148" i="10"/>
  <c r="AC148" i="10"/>
  <c r="AF147" i="10"/>
  <c r="AE147" i="10"/>
  <c r="AD147" i="10"/>
  <c r="AC147" i="10"/>
  <c r="AF146" i="10"/>
  <c r="AE146" i="10"/>
  <c r="AD146" i="10"/>
  <c r="AC146" i="10"/>
  <c r="AF145" i="10"/>
  <c r="AE145" i="10"/>
  <c r="AD145" i="10"/>
  <c r="AC145" i="10"/>
  <c r="AF144" i="10"/>
  <c r="AE144" i="10"/>
  <c r="AD144" i="10"/>
  <c r="AC144" i="10"/>
  <c r="AF143" i="10"/>
  <c r="AE143" i="10"/>
  <c r="AD143" i="10"/>
  <c r="AC143" i="10"/>
  <c r="AF142" i="10"/>
  <c r="AE142" i="10"/>
  <c r="AD142" i="10"/>
  <c r="AC142" i="10"/>
  <c r="AF141" i="10"/>
  <c r="AE141" i="10"/>
  <c r="AD141" i="10"/>
  <c r="AC141" i="10"/>
  <c r="AF140" i="10"/>
  <c r="AE140" i="10"/>
  <c r="AD140" i="10"/>
  <c r="AC140" i="10"/>
  <c r="AF139" i="10"/>
  <c r="AE139" i="10"/>
  <c r="AD139" i="10"/>
  <c r="AC139" i="10"/>
  <c r="AF138" i="10"/>
  <c r="AE138" i="10"/>
  <c r="AD138" i="10"/>
  <c r="AC138" i="10"/>
  <c r="AF137" i="10"/>
  <c r="AE137" i="10"/>
  <c r="AD137" i="10"/>
  <c r="AC137" i="10"/>
  <c r="AF136" i="10"/>
  <c r="AE136" i="10"/>
  <c r="AD136" i="10"/>
  <c r="AC136" i="10"/>
  <c r="AF135" i="10"/>
  <c r="AE135" i="10"/>
  <c r="AD135" i="10"/>
  <c r="AC135" i="10"/>
  <c r="AF134" i="10"/>
  <c r="AE134" i="10"/>
  <c r="AD134" i="10"/>
  <c r="AC134" i="10"/>
  <c r="AF133" i="10"/>
  <c r="AE133" i="10"/>
  <c r="AD133" i="10"/>
  <c r="AC133" i="10"/>
  <c r="AF132" i="10"/>
  <c r="AE132" i="10"/>
  <c r="AD132" i="10"/>
  <c r="AC132" i="10"/>
  <c r="AF131" i="10"/>
  <c r="AE131" i="10"/>
  <c r="AD131" i="10"/>
  <c r="AC131" i="10"/>
  <c r="AF130" i="10"/>
  <c r="AE130" i="10"/>
  <c r="AD130" i="10"/>
  <c r="AC130" i="10"/>
  <c r="AF129" i="10"/>
  <c r="AE129" i="10"/>
  <c r="AD129" i="10"/>
  <c r="AC129" i="10"/>
  <c r="AF128" i="10"/>
  <c r="AE128" i="10"/>
  <c r="AD128" i="10"/>
  <c r="AC128" i="10"/>
  <c r="AF127" i="10"/>
  <c r="AE127" i="10"/>
  <c r="AD127" i="10"/>
  <c r="AC127" i="10"/>
  <c r="AF126" i="10"/>
  <c r="AE126" i="10"/>
  <c r="AD126" i="10"/>
  <c r="AC126" i="10"/>
  <c r="AF125" i="10"/>
  <c r="AE125" i="10"/>
  <c r="AD125" i="10"/>
  <c r="AC125" i="10"/>
  <c r="AF124" i="10"/>
  <c r="AE124" i="10"/>
  <c r="AD124" i="10"/>
  <c r="AC124" i="10"/>
  <c r="AF123" i="10"/>
  <c r="AE123" i="10"/>
  <c r="AD123" i="10"/>
  <c r="AC123" i="10"/>
  <c r="AF122" i="10"/>
  <c r="AE122" i="10"/>
  <c r="AD122" i="10"/>
  <c r="AC122" i="10"/>
  <c r="AF121" i="10"/>
  <c r="AE121" i="10"/>
  <c r="AD121" i="10"/>
  <c r="AC121" i="10"/>
  <c r="AF120" i="10"/>
  <c r="AE120" i="10"/>
  <c r="AD120" i="10"/>
  <c r="AC120" i="10"/>
  <c r="AF119" i="10"/>
  <c r="AE119" i="10"/>
  <c r="AD119" i="10"/>
  <c r="AC119" i="10"/>
  <c r="AF118" i="10"/>
  <c r="AE118" i="10"/>
  <c r="AD118" i="10"/>
  <c r="AC118" i="10"/>
  <c r="AF117" i="10"/>
  <c r="AE117" i="10"/>
  <c r="AD117" i="10"/>
  <c r="AC117" i="10"/>
  <c r="AF116" i="10"/>
  <c r="AE116" i="10"/>
  <c r="AD116" i="10"/>
  <c r="AC116" i="10"/>
  <c r="AF115" i="10"/>
  <c r="AE115" i="10"/>
  <c r="AD115" i="10"/>
  <c r="AC115" i="10"/>
  <c r="AF114" i="10"/>
  <c r="AE114" i="10"/>
  <c r="AD114" i="10"/>
  <c r="AC114" i="10"/>
  <c r="AF113" i="10"/>
  <c r="AE113" i="10"/>
  <c r="AD113" i="10"/>
  <c r="AC113" i="10"/>
  <c r="AF112" i="10"/>
  <c r="AE112" i="10"/>
  <c r="AD112" i="10"/>
  <c r="AC112" i="10"/>
  <c r="AF111" i="10"/>
  <c r="AE111" i="10"/>
  <c r="AD111" i="10"/>
  <c r="AC111" i="10"/>
  <c r="AF110" i="10"/>
  <c r="AE110" i="10"/>
  <c r="AD110" i="10"/>
  <c r="AC110" i="10"/>
  <c r="AF109" i="10"/>
  <c r="AE109" i="10"/>
  <c r="AD109" i="10"/>
  <c r="AC109" i="10"/>
  <c r="AF108" i="10"/>
  <c r="AE108" i="10"/>
  <c r="AD108" i="10"/>
  <c r="AC108" i="10"/>
  <c r="AF107" i="10"/>
  <c r="AE107" i="10"/>
  <c r="AD107" i="10"/>
  <c r="AC107" i="10"/>
  <c r="AF106" i="10"/>
  <c r="AE106" i="10"/>
  <c r="AD106" i="10"/>
  <c r="AC106" i="10"/>
  <c r="AF105" i="10"/>
  <c r="AE105" i="10"/>
  <c r="AD105" i="10"/>
  <c r="AC105" i="10"/>
  <c r="AF104" i="10"/>
  <c r="AE104" i="10"/>
  <c r="AD104" i="10"/>
  <c r="AC104" i="10"/>
  <c r="AF103" i="10"/>
  <c r="AE103" i="10"/>
  <c r="AD103" i="10"/>
  <c r="AC103" i="10"/>
  <c r="AF102" i="10"/>
  <c r="AE102" i="10"/>
  <c r="AD102" i="10"/>
  <c r="AC102" i="10"/>
  <c r="AF101" i="10"/>
  <c r="AE101" i="10"/>
  <c r="AD101" i="10"/>
  <c r="AC101" i="10"/>
  <c r="AF100" i="10"/>
  <c r="AE100" i="10"/>
  <c r="AD100" i="10"/>
  <c r="AC100" i="10"/>
  <c r="AF99" i="10"/>
  <c r="AE99" i="10"/>
  <c r="AD99" i="10"/>
  <c r="AC99" i="10"/>
  <c r="AF98" i="10"/>
  <c r="AE98" i="10"/>
  <c r="AD98" i="10"/>
  <c r="AC98" i="10"/>
  <c r="AF97" i="10"/>
  <c r="AE97" i="10"/>
  <c r="AD97" i="10"/>
  <c r="AC97" i="10"/>
  <c r="AF96" i="10"/>
  <c r="AE96" i="10"/>
  <c r="AD96" i="10"/>
  <c r="AC96" i="10"/>
  <c r="AF95" i="10"/>
  <c r="AE95" i="10"/>
  <c r="AD95" i="10"/>
  <c r="AC95" i="10"/>
  <c r="AF94" i="10"/>
  <c r="AE94" i="10"/>
  <c r="AD94" i="10"/>
  <c r="AC94" i="10"/>
  <c r="AF93" i="10"/>
  <c r="AE93" i="10"/>
  <c r="AD93" i="10"/>
  <c r="AC93" i="10"/>
  <c r="AF92" i="10"/>
  <c r="AE92" i="10"/>
  <c r="AD92" i="10"/>
  <c r="AC92" i="10"/>
  <c r="AF91" i="10"/>
  <c r="AE91" i="10"/>
  <c r="AD91" i="10"/>
  <c r="AC91" i="10"/>
  <c r="AF90" i="10"/>
  <c r="AE90" i="10"/>
  <c r="AD90" i="10"/>
  <c r="AC90" i="10"/>
  <c r="AF89" i="10"/>
  <c r="AE89" i="10"/>
  <c r="AD89" i="10"/>
  <c r="AC89" i="10"/>
  <c r="AF88" i="10"/>
  <c r="AE88" i="10"/>
  <c r="AD88" i="10"/>
  <c r="AC88" i="10"/>
  <c r="AF87" i="10"/>
  <c r="AE87" i="10"/>
  <c r="AD87" i="10"/>
  <c r="AC87" i="10"/>
  <c r="AF86" i="10"/>
  <c r="AE86" i="10"/>
  <c r="AD86" i="10"/>
  <c r="AC86" i="10"/>
  <c r="AF85" i="10"/>
  <c r="AE85" i="10"/>
  <c r="AD85" i="10"/>
  <c r="AC85" i="10"/>
  <c r="AF84" i="10"/>
  <c r="AE84" i="10"/>
  <c r="AD84" i="10"/>
  <c r="AC84" i="10"/>
  <c r="AF83" i="10"/>
  <c r="AE83" i="10"/>
  <c r="AD83" i="10"/>
  <c r="AC83" i="10"/>
  <c r="AF82" i="10"/>
  <c r="AE82" i="10"/>
  <c r="AD82" i="10"/>
  <c r="AC82" i="10"/>
  <c r="AF81" i="10"/>
  <c r="AE81" i="10"/>
  <c r="AD81" i="10"/>
  <c r="AC81" i="10"/>
  <c r="AF80" i="10"/>
  <c r="AE80" i="10"/>
  <c r="AD80" i="10"/>
  <c r="AC80" i="10"/>
  <c r="AF79" i="10"/>
  <c r="AE79" i="10"/>
  <c r="AD79" i="10"/>
  <c r="AC79" i="10"/>
  <c r="AF78" i="10"/>
  <c r="AE78" i="10"/>
  <c r="AD78" i="10"/>
  <c r="AC78" i="10"/>
  <c r="AF77" i="10"/>
  <c r="AE77" i="10"/>
  <c r="AD77" i="10"/>
  <c r="AC77" i="10"/>
  <c r="AF76" i="10"/>
  <c r="AE76" i="10"/>
  <c r="AD76" i="10"/>
  <c r="AC76" i="10"/>
  <c r="AF75" i="10"/>
  <c r="AE75" i="10"/>
  <c r="AD75" i="10"/>
  <c r="AC75" i="10"/>
  <c r="AF74" i="10"/>
  <c r="AE74" i="10"/>
  <c r="AD74" i="10"/>
  <c r="AC74" i="10"/>
  <c r="AF73" i="10"/>
  <c r="AE73" i="10"/>
  <c r="AD73" i="10"/>
  <c r="AC73" i="10"/>
  <c r="AF72" i="10"/>
  <c r="AE72" i="10"/>
  <c r="AD72" i="10"/>
  <c r="AC72" i="10"/>
  <c r="AF71" i="10"/>
  <c r="AE71" i="10"/>
  <c r="AD71" i="10"/>
  <c r="AC71" i="10"/>
  <c r="AF70" i="10"/>
  <c r="AE70" i="10"/>
  <c r="AD70" i="10"/>
  <c r="AC70" i="10"/>
  <c r="AF69" i="10"/>
  <c r="AE69" i="10"/>
  <c r="AD69" i="10"/>
  <c r="AC69" i="10"/>
  <c r="AF68" i="10"/>
  <c r="AE68" i="10"/>
  <c r="AD68" i="10"/>
  <c r="AC68" i="10"/>
  <c r="AF67" i="10"/>
  <c r="AE67" i="10"/>
  <c r="AD67" i="10"/>
  <c r="AC67" i="10"/>
  <c r="AF66" i="10"/>
  <c r="AE66" i="10"/>
  <c r="AD66" i="10"/>
  <c r="AC66" i="10"/>
  <c r="AF65" i="10"/>
  <c r="AE65" i="10"/>
  <c r="AD65" i="10"/>
  <c r="AC65" i="10"/>
  <c r="AF64" i="10"/>
  <c r="AE64" i="10"/>
  <c r="AD64" i="10"/>
  <c r="AC64" i="10"/>
  <c r="AF63" i="10"/>
  <c r="AE63" i="10"/>
  <c r="AD63" i="10"/>
  <c r="AC63" i="10"/>
  <c r="AF62" i="10"/>
  <c r="AE62" i="10"/>
  <c r="AD62" i="10"/>
  <c r="AC62" i="10"/>
  <c r="AF61" i="10"/>
  <c r="AE61" i="10"/>
  <c r="AD61" i="10"/>
  <c r="AC61" i="10"/>
  <c r="AF60" i="10"/>
  <c r="AE60" i="10"/>
  <c r="AD60" i="10"/>
  <c r="AC60" i="10"/>
  <c r="AF59" i="10"/>
  <c r="AE59" i="10"/>
  <c r="AD59" i="10"/>
  <c r="AC59" i="10"/>
  <c r="AF58" i="10"/>
  <c r="AE58" i="10"/>
  <c r="AD58" i="10"/>
  <c r="AC58" i="10"/>
  <c r="AF57" i="10"/>
  <c r="AE57" i="10"/>
  <c r="AD57" i="10"/>
  <c r="AC57" i="10"/>
  <c r="AF56" i="10"/>
  <c r="AE56" i="10"/>
  <c r="AD56" i="10"/>
  <c r="AC56" i="10"/>
  <c r="AF55" i="10"/>
  <c r="AE55" i="10"/>
  <c r="AD55" i="10"/>
  <c r="AC55" i="10"/>
  <c r="AF54" i="10"/>
  <c r="AE54" i="10"/>
  <c r="AD54" i="10"/>
  <c r="AC54" i="10"/>
  <c r="AF53" i="10"/>
  <c r="AE53" i="10"/>
  <c r="AD53" i="10"/>
  <c r="AC53" i="10"/>
  <c r="AF52" i="10"/>
  <c r="AE52" i="10"/>
  <c r="AD52" i="10"/>
  <c r="AC52" i="10"/>
  <c r="AF51" i="10"/>
  <c r="AE51" i="10"/>
  <c r="AD51" i="10"/>
  <c r="AC51" i="10"/>
  <c r="AF50" i="10"/>
  <c r="AE50" i="10"/>
  <c r="AD50" i="10"/>
  <c r="AC50" i="10"/>
  <c r="AF49" i="10"/>
  <c r="AE49" i="10"/>
  <c r="AD49" i="10"/>
  <c r="AC49" i="10"/>
  <c r="AF48" i="10"/>
  <c r="AE48" i="10"/>
  <c r="AD48" i="10"/>
  <c r="AC48" i="10"/>
  <c r="AF47" i="10"/>
  <c r="AE47" i="10"/>
  <c r="AD47" i="10"/>
  <c r="AC47" i="10"/>
  <c r="AF46" i="10"/>
  <c r="AE46" i="10"/>
  <c r="AD46" i="10"/>
  <c r="AC46" i="10"/>
  <c r="AF45" i="10"/>
  <c r="AE45" i="10"/>
  <c r="AD45" i="10"/>
  <c r="AC45" i="10"/>
  <c r="AF42" i="10"/>
  <c r="AE42" i="10"/>
  <c r="AD42" i="10"/>
  <c r="AC42" i="10"/>
  <c r="AF41" i="10"/>
  <c r="AE41" i="10"/>
  <c r="AD41" i="10"/>
  <c r="AC41" i="10"/>
  <c r="AF40" i="10"/>
  <c r="AE40" i="10"/>
  <c r="AD40" i="10"/>
  <c r="AC40" i="10"/>
  <c r="AF39" i="10"/>
  <c r="AE39" i="10"/>
  <c r="AD39" i="10"/>
  <c r="AC39" i="10"/>
  <c r="AF38" i="10"/>
  <c r="AE38" i="10"/>
  <c r="AD38" i="10"/>
  <c r="AC38" i="10"/>
  <c r="AF36" i="10"/>
  <c r="AE36" i="10"/>
  <c r="AD36" i="10"/>
  <c r="AC36" i="10"/>
  <c r="AF35" i="10"/>
  <c r="AE35" i="10"/>
  <c r="AD35" i="10"/>
  <c r="AC35" i="10"/>
  <c r="AF34" i="10"/>
  <c r="AE34" i="10"/>
  <c r="AD34" i="10"/>
  <c r="AC34" i="10"/>
  <c r="AF33" i="10"/>
  <c r="AE33" i="10"/>
  <c r="AD33" i="10"/>
  <c r="AC33" i="10"/>
  <c r="AF29" i="10"/>
  <c r="AE29" i="10"/>
  <c r="AD29" i="10"/>
  <c r="AC29" i="10"/>
  <c r="AF26" i="10"/>
  <c r="AE26" i="10"/>
  <c r="AD26" i="10"/>
  <c r="AC26" i="10"/>
  <c r="AF25" i="10"/>
  <c r="AE25" i="10"/>
  <c r="AD25" i="10"/>
  <c r="AC25" i="10"/>
  <c r="AF23" i="10"/>
  <c r="AE23" i="10"/>
  <c r="AD23" i="10"/>
  <c r="AC23" i="10"/>
  <c r="AF17" i="10"/>
  <c r="AE17" i="10"/>
  <c r="AD17" i="10"/>
  <c r="AC17" i="10"/>
  <c r="AF16" i="10"/>
  <c r="AE16" i="10"/>
  <c r="AD16" i="10"/>
  <c r="AC16" i="10"/>
  <c r="AF14" i="10"/>
  <c r="AE14" i="10"/>
  <c r="AD14" i="10"/>
  <c r="AC14" i="10"/>
  <c r="AF11" i="10"/>
  <c r="AE11" i="10"/>
  <c r="AD11" i="10"/>
  <c r="AC11" i="10"/>
  <c r="AF10" i="10"/>
  <c r="AE10" i="10"/>
  <c r="AD10" i="10"/>
  <c r="AC10" i="10"/>
  <c r="AF9" i="10"/>
  <c r="AE9" i="10"/>
  <c r="AD9" i="10"/>
  <c r="AC9" i="10"/>
  <c r="AF7" i="10"/>
  <c r="AE7" i="10"/>
  <c r="AD7" i="10"/>
  <c r="AC7" i="10"/>
  <c r="AF6" i="10"/>
  <c r="AE6" i="10"/>
  <c r="AD6" i="10"/>
  <c r="AC6" i="10"/>
  <c r="AF5" i="10"/>
  <c r="AE5" i="10"/>
  <c r="AD5" i="10"/>
  <c r="AC5" i="10"/>
  <c r="AF4" i="10"/>
  <c r="AE4" i="10"/>
  <c r="AD4" i="10"/>
  <c r="AC4" i="10"/>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AF73" i="9"/>
  <c r="AF75" i="9"/>
  <c r="AF76" i="9"/>
  <c r="AF77" i="9"/>
  <c r="AF78" i="9"/>
  <c r="AF79" i="9"/>
  <c r="AF80" i="9"/>
  <c r="AF81" i="9"/>
  <c r="AF82" i="9"/>
  <c r="AF83" i="9"/>
  <c r="AF84" i="9"/>
  <c r="AF85" i="9"/>
  <c r="AF86" i="9"/>
  <c r="AF87" i="9"/>
  <c r="AF88" i="9"/>
  <c r="AF89" i="9"/>
  <c r="AF90" i="9"/>
  <c r="AF91" i="9"/>
  <c r="AF92" i="9"/>
  <c r="AF93" i="9"/>
  <c r="AF94" i="9"/>
  <c r="AF95" i="9"/>
  <c r="AF96" i="9"/>
  <c r="AF97" i="9"/>
  <c r="AF98" i="9"/>
  <c r="AF99" i="9"/>
  <c r="AF100" i="9"/>
  <c r="AF101" i="9"/>
  <c r="AF102" i="9"/>
  <c r="AF103" i="9"/>
  <c r="AF104" i="9"/>
  <c r="AF105" i="9"/>
  <c r="AF106" i="9"/>
  <c r="AF107" i="9"/>
  <c r="AF108" i="9"/>
  <c r="AF109" i="9"/>
  <c r="AF110" i="9"/>
  <c r="AF111" i="9"/>
  <c r="AF112" i="9"/>
  <c r="AF113" i="9"/>
  <c r="AF114" i="9"/>
  <c r="AF115" i="9"/>
  <c r="AF116" i="9"/>
  <c r="AF117" i="9"/>
  <c r="AF118" i="9"/>
  <c r="AF119" i="9"/>
  <c r="AF120" i="9"/>
  <c r="AF121" i="9"/>
  <c r="AF122" i="9"/>
  <c r="AF123" i="9"/>
  <c r="AF124" i="9"/>
  <c r="AF125" i="9"/>
  <c r="AF126" i="9"/>
  <c r="AF127" i="9"/>
  <c r="AF128" i="9"/>
  <c r="AF129" i="9"/>
  <c r="AF130" i="9"/>
  <c r="AF131" i="9"/>
  <c r="AF132" i="9"/>
  <c r="AF133" i="9"/>
  <c r="AF134" i="9"/>
  <c r="AF135" i="9"/>
  <c r="AF136" i="9"/>
  <c r="AF137" i="9"/>
  <c r="AF138" i="9"/>
  <c r="AF139" i="9"/>
  <c r="AF140" i="9"/>
  <c r="AF141" i="9"/>
  <c r="AF142" i="9"/>
  <c r="AF143" i="9"/>
  <c r="AF144" i="9"/>
  <c r="AF145" i="9"/>
  <c r="AF146" i="9"/>
  <c r="AF147" i="9"/>
  <c r="AF148" i="9"/>
  <c r="AF149" i="9"/>
  <c r="AF150" i="9"/>
  <c r="AF151" i="9"/>
  <c r="AF152" i="9"/>
  <c r="AF153" i="9"/>
  <c r="AF154" i="9"/>
  <c r="AF155" i="9"/>
  <c r="AF156" i="9"/>
  <c r="AF157" i="9"/>
  <c r="AF158" i="9"/>
  <c r="AF159" i="9"/>
  <c r="AF160" i="9"/>
  <c r="AF161" i="9"/>
  <c r="AF162" i="9"/>
  <c r="AF163" i="9"/>
  <c r="AF164" i="9"/>
  <c r="AF165" i="9"/>
  <c r="AF166" i="9"/>
  <c r="AF167" i="9"/>
  <c r="AF168" i="9"/>
  <c r="AF169" i="9"/>
  <c r="AF170" i="9"/>
  <c r="AF171" i="9"/>
  <c r="AF172" i="9"/>
  <c r="AF173" i="9"/>
  <c r="AF174" i="9"/>
  <c r="AF175" i="9"/>
  <c r="AF176" i="9"/>
  <c r="AF177" i="9"/>
  <c r="AF178" i="9"/>
  <c r="AF179" i="9"/>
  <c r="AF180" i="9"/>
  <c r="AF181" i="9"/>
  <c r="AF182" i="9"/>
  <c r="AF183" i="9"/>
  <c r="AF184" i="9"/>
  <c r="AF185" i="9"/>
  <c r="AF186" i="9"/>
  <c r="AF187" i="9"/>
  <c r="AF188" i="9"/>
  <c r="AF189" i="9"/>
  <c r="AF190" i="9"/>
  <c r="AF191" i="9"/>
  <c r="AF192" i="9"/>
  <c r="AF193" i="9"/>
  <c r="AF194" i="9"/>
  <c r="AF195" i="9"/>
  <c r="AF196" i="9"/>
  <c r="AF197" i="9"/>
  <c r="AF198" i="9"/>
  <c r="AF199" i="9"/>
  <c r="AF200" i="9"/>
  <c r="AF201" i="9"/>
  <c r="AF202" i="9"/>
  <c r="AF203" i="9"/>
  <c r="AF204" i="9"/>
  <c r="AF205" i="9"/>
  <c r="AF206" i="9"/>
  <c r="AF207" i="9"/>
  <c r="AF208" i="9"/>
  <c r="AF209" i="9"/>
  <c r="AF210" i="9"/>
  <c r="AF211" i="9"/>
  <c r="AF213" i="9"/>
  <c r="AF214" i="9"/>
  <c r="AF215" i="9"/>
  <c r="AF216" i="9"/>
  <c r="AF217" i="9"/>
  <c r="AF218" i="9"/>
  <c r="AF219" i="9"/>
  <c r="AF220" i="9"/>
  <c r="AF221" i="9"/>
  <c r="AF222" i="9"/>
  <c r="AF223" i="9"/>
  <c r="AF224" i="9"/>
  <c r="AF225" i="9"/>
  <c r="AF226" i="9"/>
  <c r="AF227" i="9"/>
  <c r="AF228" i="9"/>
  <c r="AF229" i="9"/>
  <c r="AF231" i="9"/>
  <c r="AF232" i="9"/>
  <c r="AF235" i="9"/>
  <c r="AF236" i="9"/>
  <c r="AF238" i="9"/>
  <c r="AF240" i="9"/>
  <c r="AF241" i="9"/>
  <c r="AF242" i="9"/>
  <c r="AF243" i="9"/>
  <c r="AF244" i="9"/>
  <c r="AF245" i="9"/>
  <c r="AF247" i="9"/>
  <c r="AF248" i="9"/>
  <c r="AF249" i="9"/>
  <c r="AF250" i="9"/>
  <c r="AF251" i="9"/>
  <c r="AF252" i="9"/>
  <c r="AF253" i="9"/>
  <c r="AF254" i="9"/>
  <c r="AF255" i="9"/>
  <c r="AF256" i="9"/>
  <c r="AF257" i="9"/>
  <c r="AF258" i="9"/>
  <c r="AF259" i="9"/>
  <c r="AF260"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6" i="9"/>
  <c r="AF307" i="9"/>
  <c r="AF308"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3"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3" i="9"/>
  <c r="AD214" i="9"/>
  <c r="AD215" i="9"/>
  <c r="AD216" i="9"/>
  <c r="AD217" i="9"/>
  <c r="AD218" i="9"/>
  <c r="AD219" i="9"/>
  <c r="AD220" i="9"/>
  <c r="AD221" i="9"/>
  <c r="AD222" i="9"/>
  <c r="AD223" i="9"/>
  <c r="AD224" i="9"/>
  <c r="AD225" i="9"/>
  <c r="AD226" i="9"/>
  <c r="AD227" i="9"/>
  <c r="AD228" i="9"/>
  <c r="AD229" i="9"/>
  <c r="AD231" i="9"/>
  <c r="AD232" i="9"/>
  <c r="AD235" i="9"/>
  <c r="AD236" i="9"/>
  <c r="AD238" i="9"/>
  <c r="AD240" i="9"/>
  <c r="AD241" i="9"/>
  <c r="AD242" i="9"/>
  <c r="AD243" i="9"/>
  <c r="AD244" i="9"/>
  <c r="AD245"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6" i="9"/>
  <c r="AD307" i="9"/>
  <c r="AD308"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4" i="9"/>
  <c r="AF5" i="4"/>
  <c r="AF7" i="4"/>
  <c r="AF8" i="4"/>
  <c r="AF10" i="4"/>
  <c r="AF11" i="4"/>
  <c r="AF12" i="4"/>
  <c r="AF14" i="4"/>
  <c r="AF15" i="4"/>
  <c r="AF17" i="4"/>
  <c r="AF18" i="4"/>
  <c r="AF20" i="4"/>
  <c r="AF21" i="4"/>
  <c r="AF22" i="4"/>
  <c r="AF23" i="4"/>
  <c r="AF25" i="4"/>
  <c r="AF26" i="4"/>
  <c r="AF27" i="4"/>
  <c r="AF28" i="4"/>
  <c r="AF29" i="4"/>
  <c r="AF30" i="4"/>
  <c r="AF31" i="4"/>
  <c r="AF32" i="4"/>
  <c r="AF33" i="4"/>
  <c r="AF34" i="4"/>
  <c r="AF35" i="4"/>
  <c r="AF36" i="4"/>
  <c r="AF37" i="4"/>
  <c r="AF38" i="4"/>
  <c r="AF39" i="4"/>
  <c r="AF40" i="4"/>
  <c r="AF41" i="4"/>
  <c r="AF42" i="4"/>
  <c r="AF43" i="4"/>
  <c r="AF45" i="4"/>
  <c r="AF46" i="4"/>
  <c r="AF47" i="4"/>
  <c r="AF48" i="4"/>
  <c r="AF49" i="4"/>
  <c r="AF50" i="4"/>
  <c r="AF51" i="4"/>
  <c r="AF52" i="4"/>
  <c r="AF53" i="4"/>
  <c r="AF54" i="4"/>
  <c r="AF55" i="4"/>
  <c r="AF56" i="4"/>
  <c r="AF57" i="4"/>
  <c r="AF58" i="4"/>
  <c r="AF59" i="4"/>
  <c r="AF60" i="4"/>
  <c r="AF61" i="4"/>
  <c r="AF62" i="4"/>
  <c r="AF63" i="4"/>
  <c r="AF64" i="4"/>
  <c r="AF65"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4" i="4"/>
  <c r="AF95" i="4"/>
  <c r="AF96" i="4"/>
  <c r="AF97" i="4"/>
  <c r="AF98" i="4"/>
  <c r="AF99" i="4"/>
  <c r="AF100" i="4"/>
  <c r="AF101" i="4"/>
  <c r="AF102" i="4"/>
  <c r="AF103" i="4"/>
  <c r="AF104" i="4"/>
  <c r="AF105" i="4"/>
  <c r="AF107" i="4"/>
  <c r="AF108" i="4"/>
  <c r="AF109"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6" i="4"/>
  <c r="AF257" i="4"/>
  <c r="AF258" i="4"/>
  <c r="AF259" i="4"/>
  <c r="AF261" i="4"/>
  <c r="AF262" i="4"/>
  <c r="AF263" i="4"/>
  <c r="AF264" i="4"/>
  <c r="AF265" i="4"/>
  <c r="AF266" i="4"/>
  <c r="AF267" i="4"/>
  <c r="AF268" i="4"/>
  <c r="AF269" i="4"/>
  <c r="AF270" i="4"/>
  <c r="AF271" i="4"/>
  <c r="AF273" i="4"/>
  <c r="AF274" i="4"/>
  <c r="AF275" i="4"/>
  <c r="AF276" i="4"/>
  <c r="AF277" i="4"/>
  <c r="AF279" i="4"/>
  <c r="AF281" i="4"/>
  <c r="AF282" i="4"/>
  <c r="AF283" i="4"/>
  <c r="AF284" i="4"/>
  <c r="AF285" i="4"/>
  <c r="AF286"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3" i="4"/>
  <c r="AF494" i="4"/>
  <c r="AF495" i="4"/>
  <c r="AF496" i="4"/>
  <c r="AF497" i="4"/>
  <c r="AF498" i="4"/>
  <c r="AF499" i="4"/>
  <c r="AF500" i="4"/>
  <c r="AF501" i="4"/>
  <c r="AF502" i="4"/>
  <c r="AF503" i="4"/>
  <c r="AF4" i="4"/>
  <c r="AD5" i="4"/>
  <c r="AD7" i="4"/>
  <c r="AD8" i="4"/>
  <c r="AD10" i="4"/>
  <c r="AD11" i="4"/>
  <c r="AD12" i="4"/>
  <c r="AD14" i="4"/>
  <c r="AD15" i="4"/>
  <c r="AD17" i="4"/>
  <c r="AD18" i="4"/>
  <c r="AD20" i="4"/>
  <c r="AD21" i="4"/>
  <c r="AD22" i="4"/>
  <c r="AD23" i="4"/>
  <c r="AD25" i="4"/>
  <c r="AD26" i="4"/>
  <c r="AD27" i="4"/>
  <c r="AD28" i="4"/>
  <c r="AD29" i="4"/>
  <c r="AD30" i="4"/>
  <c r="AD31" i="4"/>
  <c r="AD32" i="4"/>
  <c r="AD33" i="4"/>
  <c r="AD34" i="4"/>
  <c r="AD35" i="4"/>
  <c r="AD36" i="4"/>
  <c r="AD37" i="4"/>
  <c r="AD38" i="4"/>
  <c r="AD39" i="4"/>
  <c r="AD40" i="4"/>
  <c r="AD41" i="4"/>
  <c r="AD42" i="4"/>
  <c r="AD43" i="4"/>
  <c r="AD45" i="4"/>
  <c r="AD46" i="4"/>
  <c r="AD47" i="4"/>
  <c r="AD48" i="4"/>
  <c r="AD49" i="4"/>
  <c r="AD50" i="4"/>
  <c r="AD51" i="4"/>
  <c r="AD52" i="4"/>
  <c r="AD53" i="4"/>
  <c r="AD54" i="4"/>
  <c r="AD55" i="4"/>
  <c r="AD56" i="4"/>
  <c r="AD57" i="4"/>
  <c r="AD58" i="4"/>
  <c r="AD59" i="4"/>
  <c r="AD60" i="4"/>
  <c r="AD61" i="4"/>
  <c r="AD62" i="4"/>
  <c r="AD63" i="4"/>
  <c r="AD64" i="4"/>
  <c r="AD65"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4" i="4"/>
  <c r="AD95" i="4"/>
  <c r="AD96" i="4"/>
  <c r="AD97" i="4"/>
  <c r="AD98" i="4"/>
  <c r="AD99" i="4"/>
  <c r="AD100" i="4"/>
  <c r="AD101" i="4"/>
  <c r="AD102" i="4"/>
  <c r="AD103" i="4"/>
  <c r="AD104" i="4"/>
  <c r="AD105" i="4"/>
  <c r="AD107" i="4"/>
  <c r="AD108" i="4"/>
  <c r="AD109"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6" i="4"/>
  <c r="AD257" i="4"/>
  <c r="AD258" i="4"/>
  <c r="AD259" i="4"/>
  <c r="AD261" i="4"/>
  <c r="AD262" i="4"/>
  <c r="AD263" i="4"/>
  <c r="AD264" i="4"/>
  <c r="AD265" i="4"/>
  <c r="AD266" i="4"/>
  <c r="AD267" i="4"/>
  <c r="AD268" i="4"/>
  <c r="AD269" i="4"/>
  <c r="AD270" i="4"/>
  <c r="AD271" i="4"/>
  <c r="AD273" i="4"/>
  <c r="AD274" i="4"/>
  <c r="AD275" i="4"/>
  <c r="AD276" i="4"/>
  <c r="AD277" i="4"/>
  <c r="AD279" i="4"/>
  <c r="AD281" i="4"/>
  <c r="AD282" i="4"/>
  <c r="AD283" i="4"/>
  <c r="AD284" i="4"/>
  <c r="AD285" i="4"/>
  <c r="AD286"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3" i="4"/>
  <c r="AD494" i="4"/>
  <c r="AD495" i="4"/>
  <c r="AD496" i="4"/>
  <c r="AD497" i="4"/>
  <c r="AD498" i="4"/>
  <c r="AD499" i="4"/>
  <c r="AD500" i="4"/>
  <c r="AD501" i="4"/>
  <c r="AD502" i="4"/>
  <c r="AD503" i="4"/>
  <c r="AD4" i="4"/>
  <c r="AE503" i="9"/>
  <c r="AC503" i="9"/>
  <c r="AE502" i="9"/>
  <c r="AC502" i="9"/>
  <c r="AE501" i="9"/>
  <c r="AC501" i="9"/>
  <c r="AE500" i="9"/>
  <c r="AC500" i="9"/>
  <c r="AE499" i="9"/>
  <c r="AC499" i="9"/>
  <c r="AE498" i="9"/>
  <c r="AC498" i="9"/>
  <c r="AE497" i="9"/>
  <c r="AC497" i="9"/>
  <c r="AE496" i="9"/>
  <c r="AC496" i="9"/>
  <c r="AE495" i="9"/>
  <c r="AC495" i="9"/>
  <c r="AE494" i="9"/>
  <c r="AC494" i="9"/>
  <c r="AE493" i="9"/>
  <c r="AC493" i="9"/>
  <c r="AE492" i="9"/>
  <c r="AC492" i="9"/>
  <c r="AE491" i="9"/>
  <c r="AC491" i="9"/>
  <c r="AE490" i="9"/>
  <c r="AC490" i="9"/>
  <c r="AE489" i="9"/>
  <c r="AC489" i="9"/>
  <c r="AE488" i="9"/>
  <c r="AC488" i="9"/>
  <c r="AE487" i="9"/>
  <c r="AC487" i="9"/>
  <c r="AE486" i="9"/>
  <c r="AC486" i="9"/>
  <c r="AE485" i="9"/>
  <c r="AC485" i="9"/>
  <c r="AE484" i="9"/>
  <c r="AC484" i="9"/>
  <c r="AE483" i="9"/>
  <c r="AC483" i="9"/>
  <c r="AE482" i="9"/>
  <c r="AC482" i="9"/>
  <c r="AE481" i="9"/>
  <c r="AC481" i="9"/>
  <c r="AE480" i="9"/>
  <c r="AC480" i="9"/>
  <c r="AE479" i="9"/>
  <c r="AC479" i="9"/>
  <c r="AE478" i="9"/>
  <c r="AC478" i="9"/>
  <c r="AE477" i="9"/>
  <c r="AC477" i="9"/>
  <c r="AE476" i="9"/>
  <c r="AC476" i="9"/>
  <c r="AE475" i="9"/>
  <c r="AC475" i="9"/>
  <c r="AE474" i="9"/>
  <c r="AC474" i="9"/>
  <c r="AE473" i="9"/>
  <c r="AC473" i="9"/>
  <c r="AE472" i="9"/>
  <c r="AC472" i="9"/>
  <c r="AE470" i="9"/>
  <c r="AC470" i="9"/>
  <c r="AE469" i="9"/>
  <c r="AC469" i="9"/>
  <c r="AE468" i="9"/>
  <c r="AC468" i="9"/>
  <c r="AE467" i="9"/>
  <c r="AC467" i="9"/>
  <c r="AE466" i="9"/>
  <c r="AC466" i="9"/>
  <c r="AE465" i="9"/>
  <c r="AC465" i="9"/>
  <c r="AE464" i="9"/>
  <c r="AC464" i="9"/>
  <c r="AE463" i="9"/>
  <c r="AC463" i="9"/>
  <c r="AE462" i="9"/>
  <c r="AC462" i="9"/>
  <c r="AE461" i="9"/>
  <c r="AC461" i="9"/>
  <c r="AE460" i="9"/>
  <c r="AC460" i="9"/>
  <c r="AE459" i="9"/>
  <c r="AC459" i="9"/>
  <c r="AE458" i="9"/>
  <c r="AC458" i="9"/>
  <c r="AE457" i="9"/>
  <c r="AC457" i="9"/>
  <c r="AE456" i="9"/>
  <c r="AC456" i="9"/>
  <c r="AE455" i="9"/>
  <c r="AC455" i="9"/>
  <c r="AE454" i="9"/>
  <c r="AC454" i="9"/>
  <c r="AE453" i="9"/>
  <c r="AC453" i="9"/>
  <c r="AE452" i="9"/>
  <c r="AC452" i="9"/>
  <c r="AE451" i="9"/>
  <c r="AC451" i="9"/>
  <c r="AE450" i="9"/>
  <c r="AC450" i="9"/>
  <c r="AE449" i="9"/>
  <c r="AC449" i="9"/>
  <c r="AE448" i="9"/>
  <c r="AC448" i="9"/>
  <c r="AE447" i="9"/>
  <c r="AC447" i="9"/>
  <c r="AE446" i="9"/>
  <c r="AC446" i="9"/>
  <c r="AE445" i="9"/>
  <c r="AC445" i="9"/>
  <c r="AE444" i="9"/>
  <c r="AC444" i="9"/>
  <c r="AE443" i="9"/>
  <c r="AC443" i="9"/>
  <c r="AE442" i="9"/>
  <c r="AC442" i="9"/>
  <c r="AE441" i="9"/>
  <c r="AC441" i="9"/>
  <c r="AE440" i="9"/>
  <c r="AC440" i="9"/>
  <c r="AE439" i="9"/>
  <c r="AC439" i="9"/>
  <c r="AE438" i="9"/>
  <c r="AC438" i="9"/>
  <c r="AE437" i="9"/>
  <c r="AC437" i="9"/>
  <c r="AE436" i="9"/>
  <c r="AC436" i="9"/>
  <c r="AE435" i="9"/>
  <c r="AC435" i="9"/>
  <c r="AE434" i="9"/>
  <c r="AC434" i="9"/>
  <c r="AE433" i="9"/>
  <c r="AC433" i="9"/>
  <c r="AE432" i="9"/>
  <c r="AC432" i="9"/>
  <c r="AE431" i="9"/>
  <c r="AC431" i="9"/>
  <c r="AE430" i="9"/>
  <c r="AC430" i="9"/>
  <c r="AE429" i="9"/>
  <c r="AC429" i="9"/>
  <c r="AE428" i="9"/>
  <c r="AC428" i="9"/>
  <c r="AE427" i="9"/>
  <c r="AC427" i="9"/>
  <c r="AE425" i="9"/>
  <c r="AC425" i="9"/>
  <c r="AE424" i="9"/>
  <c r="AC424" i="9"/>
  <c r="AE423" i="9"/>
  <c r="AC423" i="9"/>
  <c r="AE422" i="9"/>
  <c r="AC422" i="9"/>
  <c r="AE421" i="9"/>
  <c r="AC421" i="9"/>
  <c r="AE420" i="9"/>
  <c r="AC420" i="9"/>
  <c r="AE419" i="9"/>
  <c r="AC419" i="9"/>
  <c r="AE418" i="9"/>
  <c r="AC418" i="9"/>
  <c r="AE417" i="9"/>
  <c r="AC417" i="9"/>
  <c r="AE416" i="9"/>
  <c r="AC416" i="9"/>
  <c r="AE415" i="9"/>
  <c r="AC415" i="9"/>
  <c r="AE414" i="9"/>
  <c r="AC414" i="9"/>
  <c r="AE413" i="9"/>
  <c r="AC413" i="9"/>
  <c r="AE412" i="9"/>
  <c r="AC412" i="9"/>
  <c r="AE411" i="9"/>
  <c r="AC411" i="9"/>
  <c r="AE410" i="9"/>
  <c r="AC410" i="9"/>
  <c r="AE409" i="9"/>
  <c r="AC409" i="9"/>
  <c r="AE408" i="9"/>
  <c r="AC408" i="9"/>
  <c r="AE407" i="9"/>
  <c r="AC407" i="9"/>
  <c r="AE406" i="9"/>
  <c r="AC406" i="9"/>
  <c r="AE405" i="9"/>
  <c r="AC405" i="9"/>
  <c r="AE404" i="9"/>
  <c r="AC404" i="9"/>
  <c r="AE403" i="9"/>
  <c r="AC403" i="9"/>
  <c r="AE402" i="9"/>
  <c r="AC402" i="9"/>
  <c r="AE401" i="9"/>
  <c r="AC401" i="9"/>
  <c r="AE400" i="9"/>
  <c r="AC400" i="9"/>
  <c r="AE399" i="9"/>
  <c r="AC399" i="9"/>
  <c r="AE398" i="9"/>
  <c r="AC398" i="9"/>
  <c r="AE397" i="9"/>
  <c r="AC397" i="9"/>
  <c r="AE396" i="9"/>
  <c r="AC396" i="9"/>
  <c r="AE395" i="9"/>
  <c r="AC395" i="9"/>
  <c r="AE394" i="9"/>
  <c r="AC394" i="9"/>
  <c r="AE393" i="9"/>
  <c r="AC393" i="9"/>
  <c r="AE392" i="9"/>
  <c r="AC392" i="9"/>
  <c r="AE391" i="9"/>
  <c r="AC391" i="9"/>
  <c r="AE390" i="9"/>
  <c r="AC390" i="9"/>
  <c r="AE389" i="9"/>
  <c r="AC389" i="9"/>
  <c r="AE388" i="9"/>
  <c r="AC388" i="9"/>
  <c r="AE387" i="9"/>
  <c r="AC387" i="9"/>
  <c r="AE386" i="9"/>
  <c r="AC386" i="9"/>
  <c r="AE385" i="9"/>
  <c r="AC385" i="9"/>
  <c r="AE384" i="9"/>
  <c r="AC384" i="9"/>
  <c r="AE383" i="9"/>
  <c r="AC383" i="9"/>
  <c r="AE382" i="9"/>
  <c r="AC382" i="9"/>
  <c r="AE381" i="9"/>
  <c r="AC381" i="9"/>
  <c r="AE380" i="9"/>
  <c r="AC380" i="9"/>
  <c r="AE379" i="9"/>
  <c r="AC379" i="9"/>
  <c r="AE378" i="9"/>
  <c r="AC378" i="9"/>
  <c r="AE377" i="9"/>
  <c r="AC377" i="9"/>
  <c r="AE376" i="9"/>
  <c r="AC376" i="9"/>
  <c r="AE375" i="9"/>
  <c r="AC375" i="9"/>
  <c r="AE374" i="9"/>
  <c r="AC374" i="9"/>
  <c r="AE373" i="9"/>
  <c r="AC373" i="9"/>
  <c r="AE372" i="9"/>
  <c r="AC372" i="9"/>
  <c r="AE371" i="9"/>
  <c r="AC371" i="9"/>
  <c r="AE370" i="9"/>
  <c r="AC370" i="9"/>
  <c r="AE369" i="9"/>
  <c r="AC369" i="9"/>
  <c r="AE368" i="9"/>
  <c r="AC368" i="9"/>
  <c r="AE367" i="9"/>
  <c r="AC367" i="9"/>
  <c r="AE366" i="9"/>
  <c r="AC366" i="9"/>
  <c r="AE365" i="9"/>
  <c r="AC365" i="9"/>
  <c r="AE364" i="9"/>
  <c r="AC364" i="9"/>
  <c r="AE363" i="9"/>
  <c r="AC363" i="9"/>
  <c r="AE362" i="9"/>
  <c r="AC362" i="9"/>
  <c r="AE361" i="9"/>
  <c r="AC361" i="9"/>
  <c r="AE360" i="9"/>
  <c r="AC360" i="9"/>
  <c r="AE359" i="9"/>
  <c r="AC359" i="9"/>
  <c r="AE358" i="9"/>
  <c r="AC358" i="9"/>
  <c r="AE357" i="9"/>
  <c r="AC357" i="9"/>
  <c r="AE356" i="9"/>
  <c r="AC356" i="9"/>
  <c r="AE355" i="9"/>
  <c r="AC355" i="9"/>
  <c r="AE354" i="9"/>
  <c r="AC354" i="9"/>
  <c r="AE353" i="9"/>
  <c r="AC353" i="9"/>
  <c r="AE352" i="9"/>
  <c r="AC352" i="9"/>
  <c r="AE351" i="9"/>
  <c r="AC351" i="9"/>
  <c r="AE350" i="9"/>
  <c r="AC350" i="9"/>
  <c r="AE349" i="9"/>
  <c r="AC349" i="9"/>
  <c r="AE348" i="9"/>
  <c r="AC348" i="9"/>
  <c r="AE347" i="9"/>
  <c r="AC347" i="9"/>
  <c r="AE346" i="9"/>
  <c r="AC346" i="9"/>
  <c r="AE345" i="9"/>
  <c r="AC345" i="9"/>
  <c r="AE344" i="9"/>
  <c r="AC344" i="9"/>
  <c r="AE343" i="9"/>
  <c r="AC343" i="9"/>
  <c r="AE342" i="9"/>
  <c r="AC342" i="9"/>
  <c r="AE341" i="9"/>
  <c r="AC341" i="9"/>
  <c r="AE340" i="9"/>
  <c r="AC340" i="9"/>
  <c r="AE339" i="9"/>
  <c r="AC339" i="9"/>
  <c r="AE338" i="9"/>
  <c r="AC338" i="9"/>
  <c r="AE337" i="9"/>
  <c r="AC337" i="9"/>
  <c r="AE336" i="9"/>
  <c r="AC336" i="9"/>
  <c r="AE335" i="9"/>
  <c r="AC335" i="9"/>
  <c r="AE334" i="9"/>
  <c r="AC334" i="9"/>
  <c r="AE333" i="9"/>
  <c r="AC333" i="9"/>
  <c r="AE332" i="9"/>
  <c r="AC332" i="9"/>
  <c r="AE331" i="9"/>
  <c r="AC331" i="9"/>
  <c r="AE330" i="9"/>
  <c r="AC330" i="9"/>
  <c r="AE329" i="9"/>
  <c r="AC329" i="9"/>
  <c r="AE328" i="9"/>
  <c r="AC328" i="9"/>
  <c r="AE327" i="9"/>
  <c r="AC327" i="9"/>
  <c r="AE326" i="9"/>
  <c r="AC326" i="9"/>
  <c r="AE325" i="9"/>
  <c r="AC325" i="9"/>
  <c r="AE324" i="9"/>
  <c r="AC324" i="9"/>
  <c r="AE323" i="9"/>
  <c r="AC323" i="9"/>
  <c r="AE322" i="9"/>
  <c r="AC322" i="9"/>
  <c r="AE321" i="9"/>
  <c r="AC321" i="9"/>
  <c r="AE320" i="9"/>
  <c r="AC320" i="9"/>
  <c r="AE319" i="9"/>
  <c r="AC319" i="9"/>
  <c r="AE318" i="9"/>
  <c r="AC318" i="9"/>
  <c r="AE317" i="9"/>
  <c r="AC317" i="9"/>
  <c r="AE316" i="9"/>
  <c r="AC316" i="9"/>
  <c r="AE315" i="9"/>
  <c r="AC315" i="9"/>
  <c r="AE314" i="9"/>
  <c r="AC314" i="9"/>
  <c r="AE313" i="9"/>
  <c r="AC313" i="9"/>
  <c r="AE312" i="9"/>
  <c r="AC312" i="9"/>
  <c r="AE311" i="9"/>
  <c r="AC311" i="9"/>
  <c r="AE310" i="9"/>
  <c r="AC310" i="9"/>
  <c r="AE308" i="9"/>
  <c r="AC308" i="9"/>
  <c r="AE307" i="9"/>
  <c r="AC307" i="9"/>
  <c r="AE306" i="9"/>
  <c r="AC306" i="9"/>
  <c r="AE304" i="9"/>
  <c r="AC304" i="9"/>
  <c r="AE303" i="9"/>
  <c r="AC303" i="9"/>
  <c r="AE302" i="9"/>
  <c r="AC302" i="9"/>
  <c r="AE301" i="9"/>
  <c r="AC301" i="9"/>
  <c r="AE300" i="9"/>
  <c r="AC300" i="9"/>
  <c r="AE299" i="9"/>
  <c r="AC299" i="9"/>
  <c r="AE298" i="9"/>
  <c r="AC298" i="9"/>
  <c r="AE297" i="9"/>
  <c r="AC297" i="9"/>
  <c r="AE296" i="9"/>
  <c r="AC296" i="9"/>
  <c r="AE295" i="9"/>
  <c r="AC295" i="9"/>
  <c r="AE294" i="9"/>
  <c r="AC294" i="9"/>
  <c r="AE293" i="9"/>
  <c r="AC293" i="9"/>
  <c r="AE292" i="9"/>
  <c r="AC292" i="9"/>
  <c r="AE291" i="9"/>
  <c r="AC291" i="9"/>
  <c r="AE290" i="9"/>
  <c r="AC290" i="9"/>
  <c r="AE289" i="9"/>
  <c r="AC289" i="9"/>
  <c r="AE288" i="9"/>
  <c r="AC288" i="9"/>
  <c r="AE287" i="9"/>
  <c r="AC287" i="9"/>
  <c r="AE286" i="9"/>
  <c r="AC286" i="9"/>
  <c r="AE285" i="9"/>
  <c r="AC285" i="9"/>
  <c r="AE284" i="9"/>
  <c r="AC284" i="9"/>
  <c r="AE283" i="9"/>
  <c r="AC283" i="9"/>
  <c r="AE282" i="9"/>
  <c r="AC282" i="9"/>
  <c r="AE281" i="9"/>
  <c r="AC281" i="9"/>
  <c r="AE280" i="9"/>
  <c r="AC280" i="9"/>
  <c r="AE279" i="9"/>
  <c r="AC279" i="9"/>
  <c r="AE278" i="9"/>
  <c r="AC278" i="9"/>
  <c r="AE277" i="9"/>
  <c r="AC277" i="9"/>
  <c r="AE276" i="9"/>
  <c r="AC276" i="9"/>
  <c r="AE275" i="9"/>
  <c r="AC275" i="9"/>
  <c r="AE274" i="9"/>
  <c r="AC274" i="9"/>
  <c r="AE273" i="9"/>
  <c r="AC273" i="9"/>
  <c r="AE272" i="9"/>
  <c r="AC272" i="9"/>
  <c r="AE271" i="9"/>
  <c r="AC271" i="9"/>
  <c r="AE270" i="9"/>
  <c r="AC270" i="9"/>
  <c r="AE269" i="9"/>
  <c r="AC269" i="9"/>
  <c r="AE268" i="9"/>
  <c r="AC268" i="9"/>
  <c r="AE267" i="9"/>
  <c r="AC267" i="9"/>
  <c r="AE266" i="9"/>
  <c r="AC266" i="9"/>
  <c r="AE265" i="9"/>
  <c r="AC265" i="9"/>
  <c r="AE264" i="9"/>
  <c r="AC264" i="9"/>
  <c r="AE263" i="9"/>
  <c r="AC263" i="9"/>
  <c r="AE262" i="9"/>
  <c r="AC262" i="9"/>
  <c r="AE261" i="9"/>
  <c r="AC261" i="9"/>
  <c r="AE260" i="9"/>
  <c r="AC260" i="9"/>
  <c r="AE259" i="9"/>
  <c r="AC259" i="9"/>
  <c r="AE258" i="9"/>
  <c r="AC258" i="9"/>
  <c r="AE257" i="9"/>
  <c r="AC257" i="9"/>
  <c r="AE256" i="9"/>
  <c r="AC256" i="9"/>
  <c r="AE255" i="9"/>
  <c r="AC255" i="9"/>
  <c r="AE254" i="9"/>
  <c r="AC254" i="9"/>
  <c r="AE253" i="9"/>
  <c r="AC253" i="9"/>
  <c r="AE252" i="9"/>
  <c r="AC252" i="9"/>
  <c r="AE251" i="9"/>
  <c r="AC251" i="9"/>
  <c r="AE250" i="9"/>
  <c r="AC250" i="9"/>
  <c r="AE249" i="9"/>
  <c r="AC249" i="9"/>
  <c r="AE248" i="9"/>
  <c r="AC248" i="9"/>
  <c r="AE247" i="9"/>
  <c r="AC247" i="9"/>
  <c r="AE245" i="9"/>
  <c r="AC245" i="9"/>
  <c r="AE244" i="9"/>
  <c r="AC244" i="9"/>
  <c r="AE243" i="9"/>
  <c r="AC243" i="9"/>
  <c r="AE242" i="9"/>
  <c r="AC242" i="9"/>
  <c r="AE241" i="9"/>
  <c r="AC241" i="9"/>
  <c r="AE240" i="9"/>
  <c r="AC240" i="9"/>
  <c r="AE238" i="9"/>
  <c r="AC238" i="9"/>
  <c r="AE236" i="9"/>
  <c r="AC236" i="9"/>
  <c r="AE235" i="9"/>
  <c r="AC235" i="9"/>
  <c r="AE232" i="9"/>
  <c r="AC232" i="9"/>
  <c r="AE231" i="9"/>
  <c r="AC231" i="9"/>
  <c r="AE229" i="9"/>
  <c r="AC229" i="9"/>
  <c r="AE228" i="9"/>
  <c r="AC228" i="9"/>
  <c r="AE227" i="9"/>
  <c r="AC227" i="9"/>
  <c r="AE226" i="9"/>
  <c r="AC226" i="9"/>
  <c r="AE225" i="9"/>
  <c r="AC225" i="9"/>
  <c r="AE224" i="9"/>
  <c r="AC224" i="9"/>
  <c r="AE223" i="9"/>
  <c r="AC223" i="9"/>
  <c r="AE222" i="9"/>
  <c r="AC222" i="9"/>
  <c r="AE221" i="9"/>
  <c r="AC221" i="9"/>
  <c r="AE220" i="9"/>
  <c r="AC220" i="9"/>
  <c r="AE219" i="9"/>
  <c r="AC219" i="9"/>
  <c r="AE218" i="9"/>
  <c r="AC218" i="9"/>
  <c r="AE217" i="9"/>
  <c r="AC217" i="9"/>
  <c r="AE216" i="9"/>
  <c r="AC216" i="9"/>
  <c r="AE215" i="9"/>
  <c r="AC215" i="9"/>
  <c r="AE214" i="9"/>
  <c r="AC214" i="9"/>
  <c r="AE213" i="9"/>
  <c r="AC213" i="9"/>
  <c r="AE211" i="9"/>
  <c r="AC211" i="9"/>
  <c r="AE210" i="9"/>
  <c r="AC210" i="9"/>
  <c r="AE209" i="9"/>
  <c r="AC209" i="9"/>
  <c r="AE208" i="9"/>
  <c r="AC208" i="9"/>
  <c r="AE207" i="9"/>
  <c r="AC207" i="9"/>
  <c r="AE206" i="9"/>
  <c r="AC206" i="9"/>
  <c r="AE205" i="9"/>
  <c r="AC205" i="9"/>
  <c r="AE204" i="9"/>
  <c r="AC204" i="9"/>
  <c r="AE203" i="9"/>
  <c r="AC203" i="9"/>
  <c r="AE202" i="9"/>
  <c r="AC202" i="9"/>
  <c r="AE201" i="9"/>
  <c r="AC201" i="9"/>
  <c r="AE200" i="9"/>
  <c r="AC200" i="9"/>
  <c r="AE199" i="9"/>
  <c r="AC199" i="9"/>
  <c r="AE198" i="9"/>
  <c r="AC198" i="9"/>
  <c r="AE197" i="9"/>
  <c r="AC197" i="9"/>
  <c r="AE196" i="9"/>
  <c r="AC196" i="9"/>
  <c r="AE195" i="9"/>
  <c r="AC195" i="9"/>
  <c r="AE194" i="9"/>
  <c r="AC194" i="9"/>
  <c r="AE193" i="9"/>
  <c r="AC193" i="9"/>
  <c r="AE192" i="9"/>
  <c r="AC192" i="9"/>
  <c r="AE191" i="9"/>
  <c r="AC191" i="9"/>
  <c r="AE190" i="9"/>
  <c r="AC190" i="9"/>
  <c r="AE189" i="9"/>
  <c r="AC189" i="9"/>
  <c r="AE188" i="9"/>
  <c r="AC188" i="9"/>
  <c r="AE187" i="9"/>
  <c r="AC187" i="9"/>
  <c r="AE186" i="9"/>
  <c r="AC186" i="9"/>
  <c r="AE185" i="9"/>
  <c r="AC185" i="9"/>
  <c r="AE184" i="9"/>
  <c r="AC184" i="9"/>
  <c r="AE183" i="9"/>
  <c r="AC183" i="9"/>
  <c r="AE182" i="9"/>
  <c r="AC182" i="9"/>
  <c r="AE181" i="9"/>
  <c r="AC181" i="9"/>
  <c r="AE180" i="9"/>
  <c r="AC180" i="9"/>
  <c r="AE179" i="9"/>
  <c r="AC179" i="9"/>
  <c r="AE178" i="9"/>
  <c r="AC178" i="9"/>
  <c r="AE177" i="9"/>
  <c r="AC177" i="9"/>
  <c r="AE176" i="9"/>
  <c r="AC176" i="9"/>
  <c r="AE175" i="9"/>
  <c r="AC175" i="9"/>
  <c r="AE174" i="9"/>
  <c r="AC174" i="9"/>
  <c r="AE173" i="9"/>
  <c r="AC173" i="9"/>
  <c r="AE172" i="9"/>
  <c r="AC172" i="9"/>
  <c r="AE171" i="9"/>
  <c r="AC171" i="9"/>
  <c r="AE170" i="9"/>
  <c r="AC170" i="9"/>
  <c r="AE169" i="9"/>
  <c r="AC169" i="9"/>
  <c r="AE168" i="9"/>
  <c r="AC168" i="9"/>
  <c r="AE167" i="9"/>
  <c r="AC167" i="9"/>
  <c r="AE166" i="9"/>
  <c r="AC166" i="9"/>
  <c r="AE165" i="9"/>
  <c r="AC165" i="9"/>
  <c r="AE164" i="9"/>
  <c r="AC164" i="9"/>
  <c r="AE163" i="9"/>
  <c r="AC163" i="9"/>
  <c r="AE162" i="9"/>
  <c r="AC162" i="9"/>
  <c r="AE161" i="9"/>
  <c r="AC161" i="9"/>
  <c r="AE160" i="9"/>
  <c r="AC160" i="9"/>
  <c r="AE159" i="9"/>
  <c r="AC159" i="9"/>
  <c r="AE158" i="9"/>
  <c r="AC158" i="9"/>
  <c r="AE157" i="9"/>
  <c r="AC157" i="9"/>
  <c r="AE156" i="9"/>
  <c r="AC156" i="9"/>
  <c r="AE155" i="9"/>
  <c r="AC155" i="9"/>
  <c r="AE154" i="9"/>
  <c r="AC154" i="9"/>
  <c r="AE153" i="9"/>
  <c r="AC153" i="9"/>
  <c r="AE152" i="9"/>
  <c r="AC152" i="9"/>
  <c r="AE151" i="9"/>
  <c r="AC151" i="9"/>
  <c r="AE150" i="9"/>
  <c r="AC150" i="9"/>
  <c r="AE149" i="9"/>
  <c r="AC149" i="9"/>
  <c r="AE148" i="9"/>
  <c r="AC148" i="9"/>
  <c r="AE147" i="9"/>
  <c r="AC147" i="9"/>
  <c r="AE146" i="9"/>
  <c r="AC146" i="9"/>
  <c r="AE145" i="9"/>
  <c r="AC145" i="9"/>
  <c r="AE144" i="9"/>
  <c r="AC144" i="9"/>
  <c r="AE143" i="9"/>
  <c r="AC143" i="9"/>
  <c r="AE142" i="9"/>
  <c r="AC142" i="9"/>
  <c r="AE141" i="9"/>
  <c r="AC141" i="9"/>
  <c r="AE140" i="9"/>
  <c r="AC140" i="9"/>
  <c r="AE139" i="9"/>
  <c r="AC139" i="9"/>
  <c r="AE138" i="9"/>
  <c r="AC138" i="9"/>
  <c r="AE137" i="9"/>
  <c r="AC137" i="9"/>
  <c r="AE136" i="9"/>
  <c r="AC136" i="9"/>
  <c r="AE135" i="9"/>
  <c r="AC135" i="9"/>
  <c r="AE134" i="9"/>
  <c r="AC134" i="9"/>
  <c r="AE133" i="9"/>
  <c r="AC133" i="9"/>
  <c r="AE132" i="9"/>
  <c r="AC132" i="9"/>
  <c r="AE131" i="9"/>
  <c r="AC131" i="9"/>
  <c r="AE130" i="9"/>
  <c r="AC130" i="9"/>
  <c r="AE129" i="9"/>
  <c r="AC129" i="9"/>
  <c r="AE128" i="9"/>
  <c r="AC128" i="9"/>
  <c r="AE127" i="9"/>
  <c r="AC127" i="9"/>
  <c r="AE126" i="9"/>
  <c r="AC126" i="9"/>
  <c r="AE125" i="9"/>
  <c r="AC125" i="9"/>
  <c r="AE124" i="9"/>
  <c r="AC124" i="9"/>
  <c r="AE123" i="9"/>
  <c r="AC123" i="9"/>
  <c r="AE122" i="9"/>
  <c r="AC122" i="9"/>
  <c r="AE121" i="9"/>
  <c r="AC121" i="9"/>
  <c r="AE120" i="9"/>
  <c r="AC120" i="9"/>
  <c r="AE119" i="9"/>
  <c r="AC119" i="9"/>
  <c r="AE118" i="9"/>
  <c r="AC118" i="9"/>
  <c r="AE117" i="9"/>
  <c r="AC117" i="9"/>
  <c r="AE116" i="9"/>
  <c r="AC116" i="9"/>
  <c r="AE115" i="9"/>
  <c r="AC115" i="9"/>
  <c r="AE114" i="9"/>
  <c r="AC114" i="9"/>
  <c r="AE113" i="9"/>
  <c r="AC113" i="9"/>
  <c r="AE112" i="9"/>
  <c r="AC112" i="9"/>
  <c r="AE111" i="9"/>
  <c r="AC111" i="9"/>
  <c r="AE110" i="9"/>
  <c r="AC110" i="9"/>
  <c r="AE109" i="9"/>
  <c r="AC109" i="9"/>
  <c r="AE108" i="9"/>
  <c r="AC108" i="9"/>
  <c r="AE107" i="9"/>
  <c r="AC107" i="9"/>
  <c r="AE106" i="9"/>
  <c r="AC106" i="9"/>
  <c r="AE105" i="9"/>
  <c r="AC105" i="9"/>
  <c r="AE104" i="9"/>
  <c r="AC104" i="9"/>
  <c r="AE103" i="9"/>
  <c r="AC103" i="9"/>
  <c r="AE102" i="9"/>
  <c r="AC102" i="9"/>
  <c r="AE101" i="9"/>
  <c r="AC101" i="9"/>
  <c r="AE100" i="9"/>
  <c r="AC100" i="9"/>
  <c r="AE99" i="9"/>
  <c r="AC99" i="9"/>
  <c r="AE98" i="9"/>
  <c r="AC98" i="9"/>
  <c r="AE97" i="9"/>
  <c r="AC97" i="9"/>
  <c r="AE96" i="9"/>
  <c r="AC96" i="9"/>
  <c r="AE95" i="9"/>
  <c r="AC95" i="9"/>
  <c r="AE94" i="9"/>
  <c r="AC94" i="9"/>
  <c r="AE93" i="9"/>
  <c r="AC93" i="9"/>
  <c r="AE92" i="9"/>
  <c r="AC92" i="9"/>
  <c r="AE91" i="9"/>
  <c r="AC91" i="9"/>
  <c r="AE90" i="9"/>
  <c r="AC90" i="9"/>
  <c r="AE89" i="9"/>
  <c r="AC89" i="9"/>
  <c r="AE88" i="9"/>
  <c r="AC88" i="9"/>
  <c r="AE87" i="9"/>
  <c r="AC87" i="9"/>
  <c r="AE86" i="9"/>
  <c r="AC86" i="9"/>
  <c r="AE85" i="9"/>
  <c r="AC85" i="9"/>
  <c r="AE84" i="9"/>
  <c r="AC84" i="9"/>
  <c r="AE83" i="9"/>
  <c r="AC83" i="9"/>
  <c r="AE82" i="9"/>
  <c r="AC82" i="9"/>
  <c r="AE81" i="9"/>
  <c r="AC81" i="9"/>
  <c r="AE80" i="9"/>
  <c r="AC80" i="9"/>
  <c r="AE79" i="9"/>
  <c r="AC79" i="9"/>
  <c r="AE78" i="9"/>
  <c r="AC78" i="9"/>
  <c r="AE77" i="9"/>
  <c r="AC77" i="9"/>
  <c r="AE76" i="9"/>
  <c r="AC76" i="9"/>
  <c r="AE75" i="9"/>
  <c r="AC75" i="9"/>
  <c r="AE73" i="9"/>
  <c r="AC73" i="9"/>
  <c r="AE71" i="9"/>
  <c r="AC71" i="9"/>
  <c r="AE70" i="9"/>
  <c r="AC70" i="9"/>
  <c r="AE69" i="9"/>
  <c r="AC69" i="9"/>
  <c r="AE68" i="9"/>
  <c r="AC68" i="9"/>
  <c r="AE67" i="9"/>
  <c r="AC67" i="9"/>
  <c r="AE66" i="9"/>
  <c r="AC66" i="9"/>
  <c r="AE65" i="9"/>
  <c r="AC65" i="9"/>
  <c r="AE64" i="9"/>
  <c r="AC64" i="9"/>
  <c r="AE63" i="9"/>
  <c r="AC63" i="9"/>
  <c r="AE62" i="9"/>
  <c r="AC62" i="9"/>
  <c r="AE61" i="9"/>
  <c r="AC61" i="9"/>
  <c r="AE60" i="9"/>
  <c r="AC60" i="9"/>
  <c r="AE59" i="9"/>
  <c r="AC59" i="9"/>
  <c r="AE58" i="9"/>
  <c r="AC58" i="9"/>
  <c r="AE57" i="9"/>
  <c r="AC57" i="9"/>
  <c r="AE56" i="9"/>
  <c r="AC56" i="9"/>
  <c r="AE55" i="9"/>
  <c r="AC55" i="9"/>
  <c r="AE54" i="9"/>
  <c r="AC54" i="9"/>
  <c r="AE53" i="9"/>
  <c r="AC53" i="9"/>
  <c r="AE52" i="9"/>
  <c r="AC52" i="9"/>
  <c r="AE51" i="9"/>
  <c r="AC51" i="9"/>
  <c r="AE50" i="9"/>
  <c r="AC50" i="9"/>
  <c r="AE49" i="9"/>
  <c r="AC49" i="9"/>
  <c r="AE48" i="9"/>
  <c r="AC48" i="9"/>
  <c r="AE47" i="9"/>
  <c r="AC47" i="9"/>
  <c r="AE46" i="9"/>
  <c r="AC46" i="9"/>
  <c r="AE45" i="9"/>
  <c r="AC45" i="9"/>
  <c r="AE44" i="9"/>
  <c r="AC44" i="9"/>
  <c r="AE43" i="9"/>
  <c r="AC43" i="9"/>
  <c r="AE42" i="9"/>
  <c r="AC42" i="9"/>
  <c r="AE41" i="9"/>
  <c r="AC41" i="9"/>
  <c r="AE40" i="9"/>
  <c r="AC40" i="9"/>
  <c r="AE39" i="9"/>
  <c r="AC39" i="9"/>
  <c r="AE38" i="9"/>
  <c r="AC38" i="9"/>
  <c r="AE37" i="9"/>
  <c r="AC37" i="9"/>
  <c r="AE36" i="9"/>
  <c r="AC36" i="9"/>
  <c r="AE35" i="9"/>
  <c r="AC35" i="9"/>
  <c r="AE34" i="9"/>
  <c r="AC34" i="9"/>
  <c r="AE33" i="9"/>
  <c r="AC33" i="9"/>
  <c r="AE32" i="9"/>
  <c r="AC32" i="9"/>
  <c r="AE31" i="9"/>
  <c r="AC31" i="9"/>
  <c r="AE30" i="9"/>
  <c r="AC30" i="9"/>
  <c r="AE29" i="9"/>
  <c r="AC29" i="9"/>
  <c r="AE28" i="9"/>
  <c r="AC28" i="9"/>
  <c r="AE27" i="9"/>
  <c r="AC27" i="9"/>
  <c r="AE26" i="9"/>
  <c r="AC26" i="9"/>
  <c r="AE25" i="9"/>
  <c r="AC25" i="9"/>
  <c r="AE24" i="9"/>
  <c r="AC24" i="9"/>
  <c r="AE23" i="9"/>
  <c r="AC23" i="9"/>
  <c r="AE22" i="9"/>
  <c r="AC22" i="9"/>
  <c r="AE21" i="9"/>
  <c r="AC21" i="9"/>
  <c r="AE20" i="9"/>
  <c r="AC20" i="9"/>
  <c r="AE19" i="9"/>
  <c r="AC19" i="9"/>
  <c r="AE18" i="9"/>
  <c r="AC18" i="9"/>
  <c r="AE17" i="9"/>
  <c r="AC17" i="9"/>
  <c r="AE16" i="9"/>
  <c r="AC16" i="9"/>
  <c r="AE15" i="9"/>
  <c r="AC15" i="9"/>
  <c r="AE14" i="9"/>
  <c r="AC14" i="9"/>
  <c r="AE13" i="9"/>
  <c r="AC13" i="9"/>
  <c r="AE12" i="9"/>
  <c r="AC12" i="9"/>
  <c r="AE11" i="9"/>
  <c r="AC11" i="9"/>
  <c r="AE10" i="9"/>
  <c r="AC10" i="9"/>
  <c r="AE9" i="9"/>
  <c r="AC9" i="9"/>
  <c r="AE8" i="9"/>
  <c r="AC8" i="9"/>
  <c r="AE7" i="9"/>
  <c r="AC7" i="9"/>
  <c r="AE6" i="9"/>
  <c r="AC6" i="9"/>
  <c r="AE5" i="9"/>
  <c r="AC5" i="9"/>
  <c r="AE4" i="9"/>
  <c r="AC4" i="9"/>
  <c r="AE5" i="4"/>
  <c r="AE7" i="4"/>
  <c r="AE8" i="4"/>
  <c r="AE10" i="4"/>
  <c r="AE11" i="4"/>
  <c r="AE12" i="4"/>
  <c r="AE14" i="4"/>
  <c r="AE15" i="4"/>
  <c r="AE17" i="4"/>
  <c r="AE18" i="4"/>
  <c r="AE20" i="4"/>
  <c r="AE21" i="4"/>
  <c r="AE22" i="4"/>
  <c r="AE23" i="4"/>
  <c r="AE25" i="4"/>
  <c r="AE26" i="4"/>
  <c r="AE27" i="4"/>
  <c r="AE28" i="4"/>
  <c r="AE29" i="4"/>
  <c r="AE30" i="4"/>
  <c r="AE31" i="4"/>
  <c r="AE32" i="4"/>
  <c r="AE33" i="4"/>
  <c r="AE34" i="4"/>
  <c r="AE35" i="4"/>
  <c r="AE36" i="4"/>
  <c r="AE37" i="4"/>
  <c r="AE38" i="4"/>
  <c r="AE39" i="4"/>
  <c r="AE40" i="4"/>
  <c r="AE41" i="4"/>
  <c r="AE42" i="4"/>
  <c r="AE43" i="4"/>
  <c r="AE45" i="4"/>
  <c r="AE46" i="4"/>
  <c r="AE47" i="4"/>
  <c r="AE48" i="4"/>
  <c r="AE49" i="4"/>
  <c r="AE50" i="4"/>
  <c r="AE51" i="4"/>
  <c r="AE52" i="4"/>
  <c r="AE53" i="4"/>
  <c r="AE54" i="4"/>
  <c r="AE55" i="4"/>
  <c r="AE56" i="4"/>
  <c r="AE57" i="4"/>
  <c r="AE58" i="4"/>
  <c r="AE59" i="4"/>
  <c r="AE60" i="4"/>
  <c r="AE61" i="4"/>
  <c r="AE62" i="4"/>
  <c r="AE63" i="4"/>
  <c r="AE64" i="4"/>
  <c r="AE65"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4" i="4"/>
  <c r="AE95" i="4"/>
  <c r="AE96" i="4"/>
  <c r="AE97" i="4"/>
  <c r="AE98" i="4"/>
  <c r="AE99" i="4"/>
  <c r="AE100" i="4"/>
  <c r="AE101" i="4"/>
  <c r="AE102" i="4"/>
  <c r="AE103" i="4"/>
  <c r="AE104" i="4"/>
  <c r="AE105" i="4"/>
  <c r="AE107" i="4"/>
  <c r="AE108" i="4"/>
  <c r="AE109"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6" i="4"/>
  <c r="AE257" i="4"/>
  <c r="AE258" i="4"/>
  <c r="AE259" i="4"/>
  <c r="AE261" i="4"/>
  <c r="AE262" i="4"/>
  <c r="AE263" i="4"/>
  <c r="AE264" i="4"/>
  <c r="AE265" i="4"/>
  <c r="AE266" i="4"/>
  <c r="AE267" i="4"/>
  <c r="AE268" i="4"/>
  <c r="AE269" i="4"/>
  <c r="AE270" i="4"/>
  <c r="AE271" i="4"/>
  <c r="AE273" i="4"/>
  <c r="AE274" i="4"/>
  <c r="AE275" i="4"/>
  <c r="AE276" i="4"/>
  <c r="AE277" i="4"/>
  <c r="AE279" i="4"/>
  <c r="AE281" i="4"/>
  <c r="AE282" i="4"/>
  <c r="AE283" i="4"/>
  <c r="AE284" i="4"/>
  <c r="AE285" i="4"/>
  <c r="AE286"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3" i="4"/>
  <c r="AE494" i="4"/>
  <c r="AE495" i="4"/>
  <c r="AE496" i="4"/>
  <c r="AE497" i="4"/>
  <c r="AE498" i="4"/>
  <c r="AE499" i="4"/>
  <c r="AE500" i="4"/>
  <c r="AE501" i="4"/>
  <c r="AE502" i="4"/>
  <c r="AE503" i="4"/>
  <c r="AE4" i="4"/>
  <c r="AC4" i="4"/>
  <c r="AC5" i="4"/>
  <c r="AC7" i="4"/>
  <c r="AC8" i="4"/>
  <c r="AC10" i="4"/>
  <c r="AC11" i="4"/>
  <c r="AC12" i="4"/>
  <c r="AC14" i="4"/>
  <c r="AC15" i="4"/>
  <c r="AC17" i="4"/>
  <c r="AC18" i="4"/>
  <c r="AC20" i="4"/>
  <c r="AC21" i="4"/>
  <c r="AC22" i="4"/>
  <c r="AC23" i="4"/>
  <c r="AC25" i="4"/>
  <c r="AC26" i="4"/>
  <c r="AC27" i="4"/>
  <c r="AC28" i="4"/>
  <c r="AC29" i="4"/>
  <c r="AC30" i="4"/>
  <c r="AC31" i="4"/>
  <c r="AC32" i="4"/>
  <c r="AC33" i="4"/>
  <c r="AC34" i="4"/>
  <c r="AC35" i="4"/>
  <c r="AC36" i="4"/>
  <c r="AC37" i="4"/>
  <c r="AC38" i="4"/>
  <c r="AC39" i="4"/>
  <c r="AC40" i="4"/>
  <c r="AC41" i="4"/>
  <c r="AC42" i="4"/>
  <c r="AC43" i="4"/>
  <c r="AC45" i="4"/>
  <c r="AC46" i="4"/>
  <c r="AC47" i="4"/>
  <c r="AC48" i="4"/>
  <c r="AC49" i="4"/>
  <c r="AC50" i="4"/>
  <c r="AC51" i="4"/>
  <c r="AC52" i="4"/>
  <c r="AC53" i="4"/>
  <c r="AC54" i="4"/>
  <c r="AC55" i="4"/>
  <c r="AC56" i="4"/>
  <c r="AC57" i="4"/>
  <c r="AC58" i="4"/>
  <c r="AC59" i="4"/>
  <c r="AC60" i="4"/>
  <c r="AC61" i="4"/>
  <c r="AC62" i="4"/>
  <c r="AC63" i="4"/>
  <c r="AC64" i="4"/>
  <c r="AC65"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4" i="4"/>
  <c r="AC95" i="4"/>
  <c r="AC96" i="4"/>
  <c r="AC97" i="4"/>
  <c r="AC98" i="4"/>
  <c r="AC99" i="4"/>
  <c r="AC100" i="4"/>
  <c r="AC101" i="4"/>
  <c r="AC102" i="4"/>
  <c r="AC103" i="4"/>
  <c r="AC104" i="4"/>
  <c r="AC105" i="4"/>
  <c r="AC107" i="4"/>
  <c r="AC108" i="4"/>
  <c r="AC109"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6" i="4"/>
  <c r="AC257" i="4"/>
  <c r="AC258" i="4"/>
  <c r="AC259" i="4"/>
  <c r="AC261" i="4"/>
  <c r="AC262" i="4"/>
  <c r="AC263" i="4"/>
  <c r="AC264" i="4"/>
  <c r="AC265" i="4"/>
  <c r="AC266" i="4"/>
  <c r="AC267" i="4"/>
  <c r="AC268" i="4"/>
  <c r="AC269" i="4"/>
  <c r="AC270" i="4"/>
  <c r="AC271" i="4"/>
  <c r="AC273" i="4"/>
  <c r="AC274" i="4"/>
  <c r="AC275" i="4"/>
  <c r="AC276" i="4"/>
  <c r="AC277" i="4"/>
  <c r="AC279" i="4"/>
  <c r="AC281" i="4"/>
  <c r="AC282" i="4"/>
  <c r="AC283" i="4"/>
  <c r="AC284" i="4"/>
  <c r="AC285" i="4"/>
  <c r="AC286"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3" i="4"/>
  <c r="AC494" i="4"/>
  <c r="AC495" i="4"/>
  <c r="AC496" i="4"/>
  <c r="AC497" i="4"/>
  <c r="AC498" i="4"/>
  <c r="AC499" i="4"/>
  <c r="AC500" i="4"/>
  <c r="AC501" i="4"/>
  <c r="AC502" i="4"/>
  <c r="AC503" i="4"/>
  <c r="N4" i="4"/>
  <c r="J5" i="2"/>
  <c r="J6" i="2"/>
  <c r="J7" i="2"/>
  <c r="J8" i="2"/>
  <c r="J9" i="2"/>
  <c r="J10" i="2"/>
  <c r="J11" i="2"/>
  <c r="J12" i="2"/>
  <c r="J13" i="2"/>
  <c r="J14" i="2"/>
  <c r="J15" i="2"/>
  <c r="J16" i="2"/>
  <c r="J17" i="2"/>
  <c r="J18" i="2"/>
  <c r="J19" i="2"/>
  <c r="J20" i="2"/>
  <c r="J21" i="2"/>
  <c r="J22" i="2"/>
  <c r="J23" i="2"/>
  <c r="J24" i="2"/>
  <c r="M505" i="10"/>
  <c r="A4488" i="3"/>
  <c r="A4487" i="3"/>
  <c r="A4486" i="3"/>
  <c r="A4485" i="3"/>
  <c r="A4484" i="3"/>
  <c r="A4483" i="3"/>
  <c r="A4482" i="3"/>
  <c r="A4481" i="3"/>
  <c r="A4480" i="3"/>
  <c r="A4479" i="3"/>
  <c r="A4478" i="3"/>
  <c r="A4477" i="3"/>
  <c r="A4476" i="3"/>
  <c r="A4475" i="3"/>
  <c r="A4474" i="3"/>
  <c r="A4473" i="3"/>
  <c r="A4472" i="3"/>
  <c r="A4471" i="3"/>
  <c r="A4470" i="3"/>
  <c r="A4469" i="3"/>
  <c r="A4468" i="3"/>
  <c r="A4467" i="3"/>
  <c r="A4466" i="3"/>
  <c r="A4465" i="3"/>
  <c r="A4464" i="3"/>
  <c r="A4463" i="3"/>
  <c r="A4462" i="3"/>
  <c r="A4461" i="3"/>
  <c r="A4460" i="3"/>
  <c r="A4459" i="3"/>
  <c r="A4458" i="3"/>
  <c r="A4457" i="3"/>
  <c r="A4456" i="3"/>
  <c r="A4455" i="3"/>
  <c r="A4454" i="3"/>
  <c r="A4453" i="3"/>
  <c r="A4452" i="3"/>
  <c r="A4451" i="3"/>
  <c r="A4450" i="3"/>
  <c r="A4449" i="3"/>
  <c r="A4448" i="3"/>
  <c r="A4447" i="3"/>
  <c r="A4446" i="3"/>
  <c r="A4445" i="3"/>
  <c r="A4444" i="3"/>
  <c r="A4443" i="3"/>
  <c r="A4442" i="3"/>
  <c r="A4441" i="3"/>
  <c r="A4440" i="3"/>
  <c r="A4439" i="3"/>
  <c r="A4438" i="3"/>
  <c r="A4437" i="3"/>
  <c r="A4436" i="3"/>
  <c r="A4435" i="3"/>
  <c r="A4434" i="3"/>
  <c r="A4433" i="3"/>
  <c r="A4432" i="3"/>
  <c r="A4431" i="3"/>
  <c r="A4430" i="3"/>
  <c r="A4429" i="3"/>
  <c r="A4428" i="3"/>
  <c r="A4427" i="3"/>
  <c r="A4426" i="3"/>
  <c r="A4425" i="3"/>
  <c r="A4424" i="3"/>
  <c r="A4423" i="3"/>
  <c r="A4422" i="3"/>
  <c r="A4421" i="3"/>
  <c r="A4420" i="3"/>
  <c r="A4419" i="3"/>
  <c r="A4418" i="3"/>
  <c r="A4417" i="3"/>
  <c r="A4416" i="3"/>
  <c r="A4415" i="3"/>
  <c r="A4414" i="3"/>
  <c r="A4413" i="3"/>
  <c r="A4412" i="3"/>
  <c r="A4411" i="3"/>
  <c r="A4410" i="3"/>
  <c r="A4409" i="3"/>
  <c r="A4408" i="3"/>
  <c r="A4407" i="3"/>
  <c r="A4406" i="3"/>
  <c r="A4405" i="3"/>
  <c r="A4404" i="3"/>
  <c r="A4403" i="3"/>
  <c r="A4402" i="3"/>
  <c r="A4401" i="3"/>
  <c r="A4400" i="3"/>
  <c r="A4399" i="3"/>
  <c r="A4398" i="3"/>
  <c r="A4397" i="3"/>
  <c r="A4396" i="3"/>
  <c r="A4395" i="3"/>
  <c r="A4394" i="3"/>
  <c r="A4393" i="3"/>
  <c r="A4392" i="3"/>
  <c r="A4391" i="3"/>
  <c r="A4390" i="3"/>
  <c r="A4389" i="3"/>
  <c r="A4388" i="3"/>
  <c r="A4387" i="3"/>
  <c r="A4386" i="3"/>
  <c r="A4385" i="3"/>
  <c r="A4384" i="3"/>
  <c r="A4383" i="3"/>
  <c r="A4382" i="3"/>
  <c r="A4381" i="3"/>
  <c r="A4380" i="3"/>
  <c r="A4379" i="3"/>
  <c r="A4378" i="3"/>
  <c r="A4377" i="3"/>
  <c r="A4376" i="3"/>
  <c r="A4375" i="3"/>
  <c r="A4374" i="3"/>
  <c r="A4373" i="3"/>
  <c r="A4372" i="3"/>
  <c r="A4371" i="3"/>
  <c r="A4370" i="3"/>
  <c r="A4369" i="3"/>
  <c r="A4368" i="3"/>
  <c r="A4367" i="3"/>
  <c r="A4366" i="3"/>
  <c r="A4365" i="3"/>
  <c r="A4364" i="3"/>
  <c r="A4363" i="3"/>
  <c r="A4362" i="3"/>
  <c r="A4361" i="3"/>
  <c r="A4360" i="3"/>
  <c r="A4359" i="3"/>
  <c r="A4358" i="3"/>
  <c r="A4357" i="3"/>
  <c r="A4356" i="3"/>
  <c r="A4355" i="3"/>
  <c r="A4354" i="3"/>
  <c r="A4353" i="3"/>
  <c r="A4352" i="3"/>
  <c r="A4351" i="3"/>
  <c r="A4350" i="3"/>
  <c r="A4349" i="3"/>
  <c r="A4348" i="3"/>
  <c r="A4347" i="3"/>
  <c r="A4346" i="3"/>
  <c r="A4345" i="3"/>
  <c r="A4344" i="3"/>
  <c r="A4343" i="3"/>
  <c r="A4342" i="3"/>
  <c r="A4341" i="3"/>
  <c r="A4340" i="3"/>
  <c r="A4339" i="3"/>
  <c r="A4338" i="3"/>
  <c r="A4337" i="3"/>
  <c r="A4336" i="3"/>
  <c r="A4335" i="3"/>
  <c r="A4334" i="3"/>
  <c r="A4333" i="3"/>
  <c r="A4332" i="3"/>
  <c r="A4331" i="3"/>
  <c r="A4330" i="3"/>
  <c r="A4329" i="3"/>
  <c r="A4328" i="3"/>
  <c r="A4327" i="3"/>
  <c r="A4326" i="3"/>
  <c r="A4325" i="3"/>
  <c r="A4324" i="3"/>
  <c r="A4323" i="3"/>
  <c r="A4322" i="3"/>
  <c r="A4321" i="3"/>
  <c r="A4320" i="3"/>
  <c r="A4319" i="3"/>
  <c r="A4318" i="3"/>
  <c r="A4317" i="3"/>
  <c r="A4316" i="3"/>
  <c r="A4315" i="3"/>
  <c r="A4314" i="3"/>
  <c r="A4313" i="3"/>
  <c r="A4312" i="3"/>
  <c r="A4311" i="3"/>
  <c r="A4310" i="3"/>
  <c r="A4309" i="3"/>
  <c r="A4308" i="3"/>
  <c r="A4307" i="3"/>
  <c r="A4306" i="3"/>
  <c r="A4305" i="3"/>
  <c r="A4304" i="3"/>
  <c r="A4303" i="3"/>
  <c r="A4302" i="3"/>
  <c r="A4301" i="3"/>
  <c r="A4300" i="3"/>
  <c r="A4299" i="3"/>
  <c r="A4298" i="3"/>
  <c r="A4297" i="3"/>
  <c r="A4296" i="3"/>
  <c r="A4295" i="3"/>
  <c r="A4294" i="3"/>
  <c r="A4293" i="3"/>
  <c r="A4292" i="3"/>
  <c r="A4291" i="3"/>
  <c r="A4290" i="3"/>
  <c r="A4289" i="3"/>
  <c r="A4288" i="3"/>
  <c r="A4287" i="3"/>
  <c r="A4286" i="3"/>
  <c r="A4285" i="3"/>
  <c r="A4284" i="3"/>
  <c r="A4283" i="3"/>
  <c r="A4282" i="3"/>
  <c r="A4281" i="3"/>
  <c r="A4280" i="3"/>
  <c r="A4279" i="3"/>
  <c r="A4278" i="3"/>
  <c r="A4277" i="3"/>
  <c r="A4276" i="3"/>
  <c r="A4275" i="3"/>
  <c r="A4274" i="3"/>
  <c r="A4273" i="3"/>
  <c r="A4272" i="3"/>
  <c r="A4271" i="3"/>
  <c r="A4270" i="3"/>
  <c r="A4269" i="3"/>
  <c r="A4268" i="3"/>
  <c r="A4267" i="3"/>
  <c r="A4266" i="3"/>
  <c r="A4265" i="3"/>
  <c r="A4264" i="3"/>
  <c r="A4263" i="3"/>
  <c r="A4262" i="3"/>
  <c r="A4261" i="3"/>
  <c r="A4260" i="3"/>
  <c r="A4259" i="3"/>
  <c r="A4258" i="3"/>
  <c r="A4257" i="3"/>
  <c r="A4256" i="3"/>
  <c r="A4255" i="3"/>
  <c r="A4254" i="3"/>
  <c r="A4253" i="3"/>
  <c r="A4252" i="3"/>
  <c r="A4251" i="3"/>
  <c r="A4250" i="3"/>
  <c r="A4249" i="3"/>
  <c r="A4248" i="3"/>
  <c r="A4247" i="3"/>
  <c r="A4246" i="3"/>
  <c r="A4245" i="3"/>
  <c r="A4244" i="3"/>
  <c r="A4243" i="3"/>
  <c r="A4242" i="3"/>
  <c r="A4241" i="3"/>
  <c r="A4240" i="3"/>
  <c r="A4239" i="3"/>
  <c r="A4238" i="3"/>
  <c r="A4237" i="3"/>
  <c r="A4236" i="3"/>
  <c r="A4235" i="3"/>
  <c r="A4234" i="3"/>
  <c r="A4233" i="3"/>
  <c r="A4232" i="3"/>
  <c r="A4231" i="3"/>
  <c r="A4230" i="3"/>
  <c r="A4229" i="3"/>
  <c r="A4228" i="3"/>
  <c r="A4227" i="3"/>
  <c r="A4226" i="3"/>
  <c r="A4225" i="3"/>
  <c r="A4224" i="3"/>
  <c r="A4223" i="3"/>
  <c r="A4222" i="3"/>
  <c r="A4221" i="3"/>
  <c r="A4220" i="3"/>
  <c r="A4219" i="3"/>
  <c r="A4218" i="3"/>
  <c r="A4217" i="3"/>
  <c r="A4216" i="3"/>
  <c r="A4215" i="3"/>
  <c r="A4214" i="3"/>
  <c r="A4213" i="3"/>
  <c r="A4212" i="3"/>
  <c r="A4211" i="3"/>
  <c r="A4210" i="3"/>
  <c r="A4209" i="3"/>
  <c r="A4208" i="3"/>
  <c r="A4207" i="3"/>
  <c r="A4206" i="3"/>
  <c r="A4205" i="3"/>
  <c r="A4204" i="3"/>
  <c r="A4203" i="3"/>
  <c r="A4202" i="3"/>
  <c r="A4201" i="3"/>
  <c r="A4200" i="3"/>
  <c r="A4199" i="3"/>
  <c r="A4198" i="3"/>
  <c r="A4197" i="3"/>
  <c r="A4196" i="3"/>
  <c r="A4195" i="3"/>
  <c r="A4194" i="3"/>
  <c r="A4193" i="3"/>
  <c r="A4192" i="3"/>
  <c r="A4191" i="3"/>
  <c r="A4190" i="3"/>
  <c r="A4189" i="3"/>
  <c r="A4188" i="3"/>
  <c r="A4187" i="3"/>
  <c r="A4186" i="3"/>
  <c r="A4185" i="3"/>
  <c r="A4184" i="3"/>
  <c r="A4183" i="3"/>
  <c r="A4182" i="3"/>
  <c r="A4181" i="3"/>
  <c r="A4180" i="3"/>
  <c r="A4179" i="3"/>
  <c r="A4178" i="3"/>
  <c r="A4177" i="3"/>
  <c r="A4176" i="3"/>
  <c r="A4175" i="3"/>
  <c r="A4174" i="3"/>
  <c r="A4173" i="3"/>
  <c r="A4172" i="3"/>
  <c r="A4171" i="3"/>
  <c r="A4170" i="3"/>
  <c r="A4169" i="3"/>
  <c r="A4168" i="3"/>
  <c r="A4167" i="3"/>
  <c r="A4166" i="3"/>
  <c r="A4165" i="3"/>
  <c r="A4164" i="3"/>
  <c r="A4163" i="3"/>
  <c r="A4162" i="3"/>
  <c r="A4161" i="3"/>
  <c r="A4160" i="3"/>
  <c r="A4159" i="3"/>
  <c r="A4158" i="3"/>
  <c r="A4157" i="3"/>
  <c r="A4156" i="3"/>
  <c r="A4155" i="3"/>
  <c r="A4154" i="3"/>
  <c r="A4153" i="3"/>
  <c r="A4152" i="3"/>
  <c r="A4151" i="3"/>
  <c r="A4150" i="3"/>
  <c r="A4149" i="3"/>
  <c r="A4148" i="3"/>
  <c r="A4147" i="3"/>
  <c r="A4146" i="3"/>
  <c r="A4145" i="3"/>
  <c r="A4144" i="3"/>
  <c r="A4143" i="3"/>
  <c r="A4142" i="3"/>
  <c r="A4141" i="3"/>
  <c r="A4140" i="3"/>
  <c r="A4139" i="3"/>
  <c r="A4138" i="3"/>
  <c r="A4137" i="3"/>
  <c r="A4136" i="3"/>
  <c r="A4135" i="3"/>
  <c r="A4134" i="3"/>
  <c r="A4133" i="3"/>
  <c r="A4132" i="3"/>
  <c r="A4131" i="3"/>
  <c r="A4130" i="3"/>
  <c r="A4129" i="3"/>
  <c r="A4128" i="3"/>
  <c r="A4127" i="3"/>
  <c r="A4126" i="3"/>
  <c r="A4125" i="3"/>
  <c r="A4124" i="3"/>
  <c r="A4123" i="3"/>
  <c r="A4122" i="3"/>
  <c r="A4121" i="3"/>
  <c r="A4120" i="3"/>
  <c r="A4119" i="3"/>
  <c r="A4118" i="3"/>
  <c r="A4117" i="3"/>
  <c r="A4116" i="3"/>
  <c r="A4115" i="3"/>
  <c r="A4114" i="3"/>
  <c r="A4113" i="3"/>
  <c r="A4112" i="3"/>
  <c r="A4111" i="3"/>
  <c r="A4110" i="3"/>
  <c r="A4109" i="3"/>
  <c r="A4108" i="3"/>
  <c r="A4107" i="3"/>
  <c r="A4106" i="3"/>
  <c r="A4105" i="3"/>
  <c r="A4104" i="3"/>
  <c r="A4103" i="3"/>
  <c r="A4102" i="3"/>
  <c r="A4101" i="3"/>
  <c r="A4100" i="3"/>
  <c r="A4099" i="3"/>
  <c r="A4098" i="3"/>
  <c r="A4097" i="3"/>
  <c r="A4096" i="3"/>
  <c r="A4095" i="3"/>
  <c r="A4094" i="3"/>
  <c r="A4093" i="3"/>
  <c r="A4092" i="3"/>
  <c r="A4091" i="3"/>
  <c r="A4090" i="3"/>
  <c r="A4089" i="3"/>
  <c r="A4088" i="3"/>
  <c r="A4087" i="3"/>
  <c r="A4086" i="3"/>
  <c r="A4085" i="3"/>
  <c r="A4084" i="3"/>
  <c r="A4083" i="3"/>
  <c r="A4082" i="3"/>
  <c r="A4081" i="3"/>
  <c r="A4080" i="3"/>
  <c r="A4079" i="3"/>
  <c r="A4078" i="3"/>
  <c r="A4077" i="3"/>
  <c r="A4076" i="3"/>
  <c r="A4075" i="3"/>
  <c r="A4074" i="3"/>
  <c r="A4073" i="3"/>
  <c r="A4072" i="3"/>
  <c r="A4071" i="3"/>
  <c r="A4070" i="3"/>
  <c r="A4069" i="3"/>
  <c r="A4068" i="3"/>
  <c r="A4067" i="3"/>
  <c r="A4066" i="3"/>
  <c r="A4065" i="3"/>
  <c r="A4064" i="3"/>
  <c r="A4063" i="3"/>
  <c r="A4062" i="3"/>
  <c r="A4061" i="3"/>
  <c r="A4060" i="3"/>
  <c r="A4059" i="3"/>
  <c r="A4058" i="3"/>
  <c r="A4057" i="3"/>
  <c r="A4056" i="3"/>
  <c r="A4055" i="3"/>
  <c r="A4054" i="3"/>
  <c r="A4053" i="3"/>
  <c r="A4052" i="3"/>
  <c r="A4051" i="3"/>
  <c r="A4050" i="3"/>
  <c r="A4049" i="3"/>
  <c r="A4048" i="3"/>
  <c r="A4047" i="3"/>
  <c r="A4046" i="3"/>
  <c r="A4045" i="3"/>
  <c r="A4044" i="3"/>
  <c r="A4043" i="3"/>
  <c r="A4042" i="3"/>
  <c r="A4041" i="3"/>
  <c r="A4040" i="3"/>
  <c r="A4039" i="3"/>
  <c r="A4038" i="3"/>
  <c r="A4037" i="3"/>
  <c r="A4036" i="3"/>
  <c r="A4035" i="3"/>
  <c r="A4034" i="3"/>
  <c r="A4033" i="3"/>
  <c r="A4032" i="3"/>
  <c r="A4031" i="3"/>
  <c r="A4030" i="3"/>
  <c r="A4029" i="3"/>
  <c r="A4028" i="3"/>
  <c r="A4027" i="3"/>
  <c r="A4026" i="3"/>
  <c r="A4025" i="3"/>
  <c r="A4024" i="3"/>
  <c r="A4023" i="3"/>
  <c r="A4022" i="3"/>
  <c r="A4021" i="3"/>
  <c r="A4020" i="3"/>
  <c r="A4019" i="3"/>
  <c r="A4018" i="3"/>
  <c r="A4017" i="3"/>
  <c r="A4016" i="3"/>
  <c r="A4015" i="3"/>
  <c r="A4014" i="3"/>
  <c r="A4013" i="3"/>
  <c r="A4012" i="3"/>
  <c r="A4011" i="3"/>
  <c r="A4010" i="3"/>
  <c r="A4009" i="3"/>
  <c r="A4008" i="3"/>
  <c r="A4007" i="3"/>
  <c r="A4006" i="3"/>
  <c r="A4005" i="3"/>
  <c r="A4004" i="3"/>
  <c r="A4003" i="3"/>
  <c r="A4002" i="3"/>
  <c r="A4001" i="3"/>
  <c r="A4000" i="3"/>
  <c r="A3999" i="3"/>
  <c r="A3998" i="3"/>
  <c r="A3997" i="3"/>
  <c r="A3996" i="3"/>
  <c r="A3995" i="3"/>
  <c r="A3994" i="3"/>
  <c r="A3993" i="3"/>
  <c r="A3992" i="3"/>
  <c r="A3991" i="3"/>
  <c r="A3990" i="3"/>
  <c r="A3989" i="3"/>
  <c r="A3988" i="3"/>
  <c r="A3987" i="3"/>
  <c r="A3986" i="3"/>
  <c r="A3985" i="3"/>
  <c r="A3984" i="3"/>
  <c r="A3983" i="3"/>
  <c r="A3982" i="3"/>
  <c r="A3981" i="3"/>
  <c r="A3980" i="3"/>
  <c r="A3979" i="3"/>
  <c r="A3978" i="3"/>
  <c r="A3977" i="3"/>
  <c r="A3976" i="3"/>
  <c r="A3975" i="3"/>
  <c r="A3974" i="3"/>
  <c r="A3973" i="3"/>
  <c r="A3972" i="3"/>
  <c r="A3971" i="3"/>
  <c r="A3970" i="3"/>
  <c r="A3969" i="3"/>
  <c r="A3968" i="3"/>
  <c r="A3967" i="3"/>
  <c r="A3966" i="3"/>
  <c r="A3965" i="3"/>
  <c r="A3964" i="3"/>
  <c r="A3963" i="3"/>
  <c r="A3962" i="3"/>
  <c r="A3961" i="3"/>
  <c r="A3960" i="3"/>
  <c r="A3959" i="3"/>
  <c r="A3958" i="3"/>
  <c r="A3957" i="3"/>
  <c r="A3956" i="3"/>
  <c r="A3955" i="3"/>
  <c r="A3954" i="3"/>
  <c r="A3953" i="3"/>
  <c r="A3952" i="3"/>
  <c r="A3951" i="3"/>
  <c r="A3950" i="3"/>
  <c r="A3949" i="3"/>
  <c r="A3948" i="3"/>
  <c r="A3947" i="3"/>
  <c r="A3946" i="3"/>
  <c r="A3945" i="3"/>
  <c r="A3944" i="3"/>
  <c r="A3943" i="3"/>
  <c r="A3942" i="3"/>
  <c r="A3941" i="3"/>
  <c r="A3940" i="3"/>
  <c r="A3939" i="3"/>
  <c r="A3938" i="3"/>
  <c r="A3937" i="3"/>
  <c r="A3936" i="3"/>
  <c r="A3935" i="3"/>
  <c r="A3934" i="3"/>
  <c r="A3933" i="3"/>
  <c r="A3932" i="3"/>
  <c r="A3931" i="3"/>
  <c r="A3930" i="3"/>
  <c r="A3929" i="3"/>
  <c r="A3928" i="3"/>
  <c r="A3927" i="3"/>
  <c r="A3926" i="3"/>
  <c r="A3925" i="3"/>
  <c r="A3924" i="3"/>
  <c r="A3923" i="3"/>
  <c r="A3922" i="3"/>
  <c r="A3921" i="3"/>
  <c r="A3920" i="3"/>
  <c r="A3919" i="3"/>
  <c r="A3918" i="3"/>
  <c r="A3917" i="3"/>
  <c r="A3916" i="3"/>
  <c r="A3915" i="3"/>
  <c r="A3914" i="3"/>
  <c r="A3913" i="3"/>
  <c r="A3912" i="3"/>
  <c r="A3911" i="3"/>
  <c r="A3910" i="3"/>
  <c r="A3909" i="3"/>
  <c r="A3908" i="3"/>
  <c r="A3907" i="3"/>
  <c r="A3906" i="3"/>
  <c r="A3905" i="3"/>
  <c r="A3904" i="3"/>
  <c r="A3903" i="3"/>
  <c r="A3902" i="3"/>
  <c r="A3901" i="3"/>
  <c r="A3900" i="3"/>
  <c r="A3899" i="3"/>
  <c r="A3898" i="3"/>
  <c r="A3897" i="3"/>
  <c r="A3896" i="3"/>
  <c r="A3895" i="3"/>
  <c r="A3894" i="3"/>
  <c r="A3893" i="3"/>
  <c r="A3892" i="3"/>
  <c r="A3891" i="3"/>
  <c r="A3890" i="3"/>
  <c r="A3889" i="3"/>
  <c r="A3888" i="3"/>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A503" i="10"/>
  <c r="AB503" i="10" s="1"/>
  <c r="Z503" i="10"/>
  <c r="Y503" i="10"/>
  <c r="X503" i="10"/>
  <c r="W503" i="10"/>
  <c r="V503" i="10"/>
  <c r="T503" i="10"/>
  <c r="U503" i="10" s="1"/>
  <c r="R503" i="10"/>
  <c r="Q503" i="10"/>
  <c r="P503" i="10"/>
  <c r="N503" i="10"/>
  <c r="AA502" i="10"/>
  <c r="AB502" i="10" s="1"/>
  <c r="Z502" i="10"/>
  <c r="Y502" i="10"/>
  <c r="X502" i="10"/>
  <c r="W502" i="10"/>
  <c r="V502" i="10"/>
  <c r="T502" i="10"/>
  <c r="U502" i="10" s="1"/>
  <c r="R502" i="10"/>
  <c r="Q502" i="10"/>
  <c r="P502" i="10"/>
  <c r="N502" i="10"/>
  <c r="AA501" i="10"/>
  <c r="AB501" i="10" s="1"/>
  <c r="Z501" i="10"/>
  <c r="Y501" i="10"/>
  <c r="X501" i="10"/>
  <c r="W501" i="10"/>
  <c r="V501" i="10"/>
  <c r="T501" i="10"/>
  <c r="U501" i="10" s="1"/>
  <c r="R501" i="10"/>
  <c r="Q501" i="10"/>
  <c r="P501" i="10"/>
  <c r="N501" i="10"/>
  <c r="AA500" i="10"/>
  <c r="AB500" i="10" s="1"/>
  <c r="Z500" i="10"/>
  <c r="Y500" i="10"/>
  <c r="X500" i="10"/>
  <c r="W500" i="10"/>
  <c r="V500" i="10"/>
  <c r="T500" i="10"/>
  <c r="U500" i="10" s="1"/>
  <c r="R500" i="10"/>
  <c r="Q500" i="10"/>
  <c r="P500" i="10"/>
  <c r="N500" i="10"/>
  <c r="AA499" i="10"/>
  <c r="AB499" i="10" s="1"/>
  <c r="Z499" i="10"/>
  <c r="Y499" i="10"/>
  <c r="X499" i="10"/>
  <c r="W499" i="10"/>
  <c r="V499" i="10"/>
  <c r="T499" i="10"/>
  <c r="U499" i="10" s="1"/>
  <c r="R499" i="10"/>
  <c r="Q499" i="10"/>
  <c r="P499" i="10"/>
  <c r="N499" i="10"/>
  <c r="AA498" i="10"/>
  <c r="AB498" i="10" s="1"/>
  <c r="Z498" i="10"/>
  <c r="Y498" i="10"/>
  <c r="X498" i="10"/>
  <c r="W498" i="10"/>
  <c r="V498" i="10"/>
  <c r="T498" i="10"/>
  <c r="U498" i="10" s="1"/>
  <c r="R498" i="10"/>
  <c r="Q498" i="10"/>
  <c r="P498" i="10"/>
  <c r="N498" i="10"/>
  <c r="AA497" i="10"/>
  <c r="AB497" i="10" s="1"/>
  <c r="Z497" i="10"/>
  <c r="Y497" i="10"/>
  <c r="X497" i="10"/>
  <c r="W497" i="10"/>
  <c r="V497" i="10"/>
  <c r="T497" i="10"/>
  <c r="U497" i="10" s="1"/>
  <c r="R497" i="10"/>
  <c r="Q497" i="10"/>
  <c r="P497" i="10"/>
  <c r="N497" i="10"/>
  <c r="AA496" i="10"/>
  <c r="AB496" i="10" s="1"/>
  <c r="Z496" i="10"/>
  <c r="Y496" i="10"/>
  <c r="X496" i="10"/>
  <c r="W496" i="10"/>
  <c r="V496" i="10"/>
  <c r="T496" i="10"/>
  <c r="U496" i="10"/>
  <c r="R496" i="10"/>
  <c r="Q496" i="10"/>
  <c r="P496" i="10"/>
  <c r="N496" i="10"/>
  <c r="AA495" i="10"/>
  <c r="AB495" i="10" s="1"/>
  <c r="Z495" i="10"/>
  <c r="Y495" i="10"/>
  <c r="X495" i="10"/>
  <c r="W495" i="10"/>
  <c r="V495" i="10"/>
  <c r="T495" i="10"/>
  <c r="U495" i="10" s="1"/>
  <c r="R495" i="10"/>
  <c r="Q495" i="10"/>
  <c r="P495" i="10"/>
  <c r="N495" i="10"/>
  <c r="AA494" i="10"/>
  <c r="AB494" i="10" s="1"/>
  <c r="Z494" i="10"/>
  <c r="Y494" i="10"/>
  <c r="X494" i="10"/>
  <c r="W494" i="10"/>
  <c r="V494" i="10"/>
  <c r="T494" i="10"/>
  <c r="U494" i="10"/>
  <c r="R494" i="10"/>
  <c r="Q494" i="10"/>
  <c r="P494" i="10"/>
  <c r="N494" i="10"/>
  <c r="AA493" i="10"/>
  <c r="AB493" i="10" s="1"/>
  <c r="Z493" i="10"/>
  <c r="Y493" i="10"/>
  <c r="X493" i="10"/>
  <c r="W493" i="10"/>
  <c r="V493" i="10"/>
  <c r="T493" i="10"/>
  <c r="U493" i="10" s="1"/>
  <c r="R493" i="10"/>
  <c r="Q493" i="10"/>
  <c r="P493" i="10"/>
  <c r="N493" i="10"/>
  <c r="AA492" i="10"/>
  <c r="AB492" i="10" s="1"/>
  <c r="Z492" i="10"/>
  <c r="Y492" i="10"/>
  <c r="X492" i="10"/>
  <c r="W492" i="10"/>
  <c r="V492" i="10"/>
  <c r="T492" i="10"/>
  <c r="U492" i="10" s="1"/>
  <c r="R492" i="10"/>
  <c r="Q492" i="10"/>
  <c r="P492" i="10"/>
  <c r="N492" i="10"/>
  <c r="AA491" i="10"/>
  <c r="AB491" i="10" s="1"/>
  <c r="Z491" i="10"/>
  <c r="Y491" i="10"/>
  <c r="X491" i="10"/>
  <c r="W491" i="10"/>
  <c r="V491" i="10"/>
  <c r="T491" i="10"/>
  <c r="U491" i="10" s="1"/>
  <c r="R491" i="10"/>
  <c r="Q491" i="10"/>
  <c r="P491" i="10"/>
  <c r="N491" i="10"/>
  <c r="AA490" i="10"/>
  <c r="AB490" i="10" s="1"/>
  <c r="Z490" i="10"/>
  <c r="Y490" i="10"/>
  <c r="X490" i="10"/>
  <c r="W490" i="10"/>
  <c r="V490" i="10"/>
  <c r="T490" i="10"/>
  <c r="U490" i="10" s="1"/>
  <c r="R490" i="10"/>
  <c r="Q490" i="10"/>
  <c r="P490" i="10"/>
  <c r="N490" i="10"/>
  <c r="AA489" i="10"/>
  <c r="AB489" i="10" s="1"/>
  <c r="Z489" i="10"/>
  <c r="Y489" i="10"/>
  <c r="X489" i="10"/>
  <c r="W489" i="10"/>
  <c r="V489" i="10"/>
  <c r="T489" i="10"/>
  <c r="U489" i="10" s="1"/>
  <c r="R489" i="10"/>
  <c r="Q489" i="10"/>
  <c r="P489" i="10"/>
  <c r="N489" i="10"/>
  <c r="AA488" i="10"/>
  <c r="AB488" i="10" s="1"/>
  <c r="Z488" i="10"/>
  <c r="Y488" i="10"/>
  <c r="X488" i="10"/>
  <c r="W488" i="10"/>
  <c r="V488" i="10"/>
  <c r="T488" i="10"/>
  <c r="U488" i="10"/>
  <c r="R488" i="10"/>
  <c r="Q488" i="10"/>
  <c r="P488" i="10"/>
  <c r="N488" i="10"/>
  <c r="AA487" i="10"/>
  <c r="AB487" i="10" s="1"/>
  <c r="Z487" i="10"/>
  <c r="Y487" i="10"/>
  <c r="X487" i="10"/>
  <c r="W487" i="10"/>
  <c r="V487" i="10"/>
  <c r="T487" i="10"/>
  <c r="U487" i="10" s="1"/>
  <c r="R487" i="10"/>
  <c r="Q487" i="10"/>
  <c r="P487" i="10"/>
  <c r="N487" i="10"/>
  <c r="AA486" i="10"/>
  <c r="AB486" i="10" s="1"/>
  <c r="Z486" i="10"/>
  <c r="Y486" i="10"/>
  <c r="X486" i="10"/>
  <c r="W486" i="10"/>
  <c r="V486" i="10"/>
  <c r="T486" i="10"/>
  <c r="U486" i="10"/>
  <c r="R486" i="10"/>
  <c r="Q486" i="10"/>
  <c r="P486" i="10"/>
  <c r="N486" i="10"/>
  <c r="AA485" i="10"/>
  <c r="AB485" i="10" s="1"/>
  <c r="Z485" i="10"/>
  <c r="Y485" i="10"/>
  <c r="X485" i="10"/>
  <c r="W485" i="10"/>
  <c r="V485" i="10"/>
  <c r="T485" i="10"/>
  <c r="U485" i="10" s="1"/>
  <c r="R485" i="10"/>
  <c r="Q485" i="10"/>
  <c r="P485" i="10"/>
  <c r="N485" i="10"/>
  <c r="AA484" i="10"/>
  <c r="AB484" i="10" s="1"/>
  <c r="Z484" i="10"/>
  <c r="Y484" i="10"/>
  <c r="X484" i="10"/>
  <c r="W484" i="10"/>
  <c r="V484" i="10"/>
  <c r="T484" i="10"/>
  <c r="U484" i="10" s="1"/>
  <c r="R484" i="10"/>
  <c r="Q484" i="10"/>
  <c r="P484" i="10"/>
  <c r="N484" i="10"/>
  <c r="AA483" i="10"/>
  <c r="AB483" i="10" s="1"/>
  <c r="Z483" i="10"/>
  <c r="Y483" i="10"/>
  <c r="X483" i="10"/>
  <c r="W483" i="10"/>
  <c r="V483" i="10"/>
  <c r="T483" i="10"/>
  <c r="U483" i="10" s="1"/>
  <c r="R483" i="10"/>
  <c r="Q483" i="10"/>
  <c r="P483" i="10"/>
  <c r="N483" i="10"/>
  <c r="AA482" i="10"/>
  <c r="AB482" i="10" s="1"/>
  <c r="Z482" i="10"/>
  <c r="Y482" i="10"/>
  <c r="X482" i="10"/>
  <c r="W482" i="10"/>
  <c r="V482" i="10"/>
  <c r="T482" i="10"/>
  <c r="U482" i="10" s="1"/>
  <c r="R482" i="10"/>
  <c r="Q482" i="10"/>
  <c r="P482" i="10"/>
  <c r="N482" i="10"/>
  <c r="AA481" i="10"/>
  <c r="AB481" i="10" s="1"/>
  <c r="Z481" i="10"/>
  <c r="Y481" i="10"/>
  <c r="X481" i="10"/>
  <c r="W481" i="10"/>
  <c r="V481" i="10"/>
  <c r="T481" i="10"/>
  <c r="U481" i="10" s="1"/>
  <c r="R481" i="10"/>
  <c r="Q481" i="10"/>
  <c r="P481" i="10"/>
  <c r="N481" i="10"/>
  <c r="AA480" i="10"/>
  <c r="AB480" i="10" s="1"/>
  <c r="Z480" i="10"/>
  <c r="Y480" i="10"/>
  <c r="X480" i="10"/>
  <c r="W480" i="10"/>
  <c r="V480" i="10"/>
  <c r="T480" i="10"/>
  <c r="U480" i="10"/>
  <c r="R480" i="10"/>
  <c r="Q480" i="10"/>
  <c r="P480" i="10"/>
  <c r="N480" i="10"/>
  <c r="AA479" i="10"/>
  <c r="AB479" i="10" s="1"/>
  <c r="Z479" i="10"/>
  <c r="Y479" i="10"/>
  <c r="X479" i="10"/>
  <c r="W479" i="10"/>
  <c r="V479" i="10"/>
  <c r="T479" i="10"/>
  <c r="U479" i="10" s="1"/>
  <c r="R479" i="10"/>
  <c r="Q479" i="10"/>
  <c r="P479" i="10"/>
  <c r="N479" i="10"/>
  <c r="AA478" i="10"/>
  <c r="AB478" i="10" s="1"/>
  <c r="Z478" i="10"/>
  <c r="Y478" i="10"/>
  <c r="X478" i="10"/>
  <c r="W478" i="10"/>
  <c r="V478" i="10"/>
  <c r="T478" i="10"/>
  <c r="U478" i="10"/>
  <c r="R478" i="10"/>
  <c r="Q478" i="10"/>
  <c r="P478" i="10"/>
  <c r="N478" i="10"/>
  <c r="AA477" i="10"/>
  <c r="AB477" i="10" s="1"/>
  <c r="Z477" i="10"/>
  <c r="Y477" i="10"/>
  <c r="X477" i="10"/>
  <c r="W477" i="10"/>
  <c r="V477" i="10"/>
  <c r="T477" i="10"/>
  <c r="U477" i="10" s="1"/>
  <c r="R477" i="10"/>
  <c r="Q477" i="10"/>
  <c r="P477" i="10"/>
  <c r="N477" i="10"/>
  <c r="AA476" i="10"/>
  <c r="AB476" i="10" s="1"/>
  <c r="Z476" i="10"/>
  <c r="Y476" i="10"/>
  <c r="X476" i="10"/>
  <c r="W476" i="10"/>
  <c r="V476" i="10"/>
  <c r="T476" i="10"/>
  <c r="U476" i="10" s="1"/>
  <c r="R476" i="10"/>
  <c r="Q476" i="10"/>
  <c r="P476" i="10"/>
  <c r="N476" i="10"/>
  <c r="AA475" i="10"/>
  <c r="AB475" i="10" s="1"/>
  <c r="Z475" i="10"/>
  <c r="Y475" i="10"/>
  <c r="X475" i="10"/>
  <c r="W475" i="10"/>
  <c r="V475" i="10"/>
  <c r="T475" i="10"/>
  <c r="U475" i="10" s="1"/>
  <c r="R475" i="10"/>
  <c r="Q475" i="10"/>
  <c r="P475" i="10"/>
  <c r="N475" i="10"/>
  <c r="AA474" i="10"/>
  <c r="AB474" i="10" s="1"/>
  <c r="Z474" i="10"/>
  <c r="Y474" i="10"/>
  <c r="X474" i="10"/>
  <c r="W474" i="10"/>
  <c r="V474" i="10"/>
  <c r="T474" i="10"/>
  <c r="U474" i="10" s="1"/>
  <c r="R474" i="10"/>
  <c r="Q474" i="10"/>
  <c r="P474" i="10"/>
  <c r="N474" i="10"/>
  <c r="AA473" i="10"/>
  <c r="AB473" i="10" s="1"/>
  <c r="Z473" i="10"/>
  <c r="Y473" i="10"/>
  <c r="X473" i="10"/>
  <c r="W473" i="10"/>
  <c r="V473" i="10"/>
  <c r="T473" i="10"/>
  <c r="U473" i="10" s="1"/>
  <c r="R473" i="10"/>
  <c r="Q473" i="10"/>
  <c r="P473" i="10"/>
  <c r="N473" i="10"/>
  <c r="AA472" i="10"/>
  <c r="AB472" i="10" s="1"/>
  <c r="Z472" i="10"/>
  <c r="Y472" i="10"/>
  <c r="X472" i="10"/>
  <c r="W472" i="10"/>
  <c r="V472" i="10"/>
  <c r="T472" i="10"/>
  <c r="U472" i="10"/>
  <c r="R472" i="10"/>
  <c r="Q472" i="10"/>
  <c r="P472" i="10"/>
  <c r="N472" i="10"/>
  <c r="AA471" i="10"/>
  <c r="AB471" i="10" s="1"/>
  <c r="Z471" i="10"/>
  <c r="Y471" i="10"/>
  <c r="X471" i="10"/>
  <c r="W471" i="10"/>
  <c r="V471" i="10"/>
  <c r="T471" i="10"/>
  <c r="U471" i="10" s="1"/>
  <c r="R471" i="10"/>
  <c r="Q471" i="10"/>
  <c r="P471" i="10"/>
  <c r="N471" i="10"/>
  <c r="AA470" i="10"/>
  <c r="AB470" i="10" s="1"/>
  <c r="Z470" i="10"/>
  <c r="Y470" i="10"/>
  <c r="X470" i="10"/>
  <c r="W470" i="10"/>
  <c r="V470" i="10"/>
  <c r="T470" i="10"/>
  <c r="U470" i="10"/>
  <c r="R470" i="10"/>
  <c r="Q470" i="10"/>
  <c r="P470" i="10"/>
  <c r="N470" i="10"/>
  <c r="AA469" i="10"/>
  <c r="AB469" i="10" s="1"/>
  <c r="Z469" i="10"/>
  <c r="Y469" i="10"/>
  <c r="X469" i="10"/>
  <c r="W469" i="10"/>
  <c r="V469" i="10"/>
  <c r="T469" i="10"/>
  <c r="U469" i="10" s="1"/>
  <c r="R469" i="10"/>
  <c r="Q469" i="10"/>
  <c r="P469" i="10"/>
  <c r="N469" i="10"/>
  <c r="AA468" i="10"/>
  <c r="AB468" i="10" s="1"/>
  <c r="Z468" i="10"/>
  <c r="Y468" i="10"/>
  <c r="X468" i="10"/>
  <c r="W468" i="10"/>
  <c r="V468" i="10"/>
  <c r="T468" i="10"/>
  <c r="U468" i="10" s="1"/>
  <c r="R468" i="10"/>
  <c r="Q468" i="10"/>
  <c r="P468" i="10"/>
  <c r="N468" i="10"/>
  <c r="AA467" i="10"/>
  <c r="AB467" i="10" s="1"/>
  <c r="Z467" i="10"/>
  <c r="Y467" i="10"/>
  <c r="X467" i="10"/>
  <c r="W467" i="10"/>
  <c r="V467" i="10"/>
  <c r="T467" i="10"/>
  <c r="U467" i="10" s="1"/>
  <c r="R467" i="10"/>
  <c r="Q467" i="10"/>
  <c r="P467" i="10"/>
  <c r="N467" i="10"/>
  <c r="AA466" i="10"/>
  <c r="AB466" i="10" s="1"/>
  <c r="Z466" i="10"/>
  <c r="Y466" i="10"/>
  <c r="X466" i="10"/>
  <c r="W466" i="10"/>
  <c r="V466" i="10"/>
  <c r="T466" i="10"/>
  <c r="U466" i="10" s="1"/>
  <c r="R466" i="10"/>
  <c r="Q466" i="10"/>
  <c r="P466" i="10"/>
  <c r="N466" i="10"/>
  <c r="AA465" i="10"/>
  <c r="AB465" i="10" s="1"/>
  <c r="Z465" i="10"/>
  <c r="Y465" i="10"/>
  <c r="X465" i="10"/>
  <c r="W465" i="10"/>
  <c r="V465" i="10"/>
  <c r="T465" i="10"/>
  <c r="U465" i="10" s="1"/>
  <c r="R465" i="10"/>
  <c r="Q465" i="10"/>
  <c r="P465" i="10"/>
  <c r="N465" i="10"/>
  <c r="AA464" i="10"/>
  <c r="AB464" i="10" s="1"/>
  <c r="Z464" i="10"/>
  <c r="Y464" i="10"/>
  <c r="X464" i="10"/>
  <c r="W464" i="10"/>
  <c r="V464" i="10"/>
  <c r="T464" i="10"/>
  <c r="U464" i="10"/>
  <c r="R464" i="10"/>
  <c r="Q464" i="10"/>
  <c r="P464" i="10"/>
  <c r="N464" i="10"/>
  <c r="AA463" i="10"/>
  <c r="AB463" i="10" s="1"/>
  <c r="Z463" i="10"/>
  <c r="Y463" i="10"/>
  <c r="X463" i="10"/>
  <c r="W463" i="10"/>
  <c r="V463" i="10"/>
  <c r="T463" i="10"/>
  <c r="U463" i="10" s="1"/>
  <c r="R463" i="10"/>
  <c r="Q463" i="10"/>
  <c r="P463" i="10"/>
  <c r="N463" i="10"/>
  <c r="AA462" i="10"/>
  <c r="AB462" i="10" s="1"/>
  <c r="Z462" i="10"/>
  <c r="Y462" i="10"/>
  <c r="X462" i="10"/>
  <c r="W462" i="10"/>
  <c r="V462" i="10"/>
  <c r="T462" i="10"/>
  <c r="U462" i="10"/>
  <c r="R462" i="10"/>
  <c r="Q462" i="10"/>
  <c r="P462" i="10"/>
  <c r="N462" i="10"/>
  <c r="AA461" i="10"/>
  <c r="AB461" i="10" s="1"/>
  <c r="Z461" i="10"/>
  <c r="Y461" i="10"/>
  <c r="X461" i="10"/>
  <c r="W461" i="10"/>
  <c r="V461" i="10"/>
  <c r="T461" i="10"/>
  <c r="U461" i="10" s="1"/>
  <c r="R461" i="10"/>
  <c r="Q461" i="10"/>
  <c r="P461" i="10"/>
  <c r="N461" i="10"/>
  <c r="AA460" i="10"/>
  <c r="AB460" i="10" s="1"/>
  <c r="Z460" i="10"/>
  <c r="Y460" i="10"/>
  <c r="X460" i="10"/>
  <c r="W460" i="10"/>
  <c r="V460" i="10"/>
  <c r="T460" i="10"/>
  <c r="U460" i="10" s="1"/>
  <c r="R460" i="10"/>
  <c r="Q460" i="10"/>
  <c r="P460" i="10"/>
  <c r="N460" i="10"/>
  <c r="AA459" i="10"/>
  <c r="AB459" i="10" s="1"/>
  <c r="Z459" i="10"/>
  <c r="Y459" i="10"/>
  <c r="X459" i="10"/>
  <c r="W459" i="10"/>
  <c r="V459" i="10"/>
  <c r="T459" i="10"/>
  <c r="U459" i="10" s="1"/>
  <c r="R459" i="10"/>
  <c r="Q459" i="10"/>
  <c r="P459" i="10"/>
  <c r="N459" i="10"/>
  <c r="AA458" i="10"/>
  <c r="AB458" i="10" s="1"/>
  <c r="Z458" i="10"/>
  <c r="Y458" i="10"/>
  <c r="X458" i="10"/>
  <c r="W458" i="10"/>
  <c r="V458" i="10"/>
  <c r="T458" i="10"/>
  <c r="U458" i="10" s="1"/>
  <c r="R458" i="10"/>
  <c r="Q458" i="10"/>
  <c r="P458" i="10"/>
  <c r="N458" i="10"/>
  <c r="AA457" i="10"/>
  <c r="AB457" i="10" s="1"/>
  <c r="Z457" i="10"/>
  <c r="Y457" i="10"/>
  <c r="X457" i="10"/>
  <c r="W457" i="10"/>
  <c r="V457" i="10"/>
  <c r="T457" i="10"/>
  <c r="U457" i="10" s="1"/>
  <c r="R457" i="10"/>
  <c r="Q457" i="10"/>
  <c r="P457" i="10"/>
  <c r="N457" i="10"/>
  <c r="AA456" i="10"/>
  <c r="AB456" i="10" s="1"/>
  <c r="Z456" i="10"/>
  <c r="Y456" i="10"/>
  <c r="X456" i="10"/>
  <c r="W456" i="10"/>
  <c r="V456" i="10"/>
  <c r="T456" i="10"/>
  <c r="U456" i="10"/>
  <c r="R456" i="10"/>
  <c r="Q456" i="10"/>
  <c r="P456" i="10"/>
  <c r="N456" i="10"/>
  <c r="AA455" i="10"/>
  <c r="AB455" i="10" s="1"/>
  <c r="Z455" i="10"/>
  <c r="Y455" i="10"/>
  <c r="X455" i="10"/>
  <c r="W455" i="10"/>
  <c r="V455" i="10"/>
  <c r="T455" i="10"/>
  <c r="U455" i="10" s="1"/>
  <c r="R455" i="10"/>
  <c r="Q455" i="10"/>
  <c r="P455" i="10"/>
  <c r="N455" i="10"/>
  <c r="AA454" i="10"/>
  <c r="AB454" i="10" s="1"/>
  <c r="Z454" i="10"/>
  <c r="Y454" i="10"/>
  <c r="X454" i="10"/>
  <c r="W454" i="10"/>
  <c r="V454" i="10"/>
  <c r="T454" i="10"/>
  <c r="U454" i="10"/>
  <c r="R454" i="10"/>
  <c r="Q454" i="10"/>
  <c r="P454" i="10"/>
  <c r="N454" i="10"/>
  <c r="AA453" i="10"/>
  <c r="AB453" i="10" s="1"/>
  <c r="Z453" i="10"/>
  <c r="Y453" i="10"/>
  <c r="X453" i="10"/>
  <c r="W453" i="10"/>
  <c r="V453" i="10"/>
  <c r="T453" i="10"/>
  <c r="U453" i="10" s="1"/>
  <c r="R453" i="10"/>
  <c r="Q453" i="10"/>
  <c r="P453" i="10"/>
  <c r="N453" i="10"/>
  <c r="AA452" i="10"/>
  <c r="AB452" i="10" s="1"/>
  <c r="Z452" i="10"/>
  <c r="Y452" i="10"/>
  <c r="X452" i="10"/>
  <c r="W452" i="10"/>
  <c r="V452" i="10"/>
  <c r="T452" i="10"/>
  <c r="U452" i="10" s="1"/>
  <c r="R452" i="10"/>
  <c r="Q452" i="10"/>
  <c r="P452" i="10"/>
  <c r="N452" i="10"/>
  <c r="AA451" i="10"/>
  <c r="AB451" i="10" s="1"/>
  <c r="Z451" i="10"/>
  <c r="Y451" i="10"/>
  <c r="X451" i="10"/>
  <c r="W451" i="10"/>
  <c r="V451" i="10"/>
  <c r="T451" i="10"/>
  <c r="U451" i="10" s="1"/>
  <c r="R451" i="10"/>
  <c r="Q451" i="10"/>
  <c r="P451" i="10"/>
  <c r="N451" i="10"/>
  <c r="AA450" i="10"/>
  <c r="AB450" i="10" s="1"/>
  <c r="Z450" i="10"/>
  <c r="Y450" i="10"/>
  <c r="X450" i="10"/>
  <c r="W450" i="10"/>
  <c r="V450" i="10"/>
  <c r="T450" i="10"/>
  <c r="U450" i="10" s="1"/>
  <c r="R450" i="10"/>
  <c r="Q450" i="10"/>
  <c r="P450" i="10"/>
  <c r="N450" i="10"/>
  <c r="AA449" i="10"/>
  <c r="AB449" i="10" s="1"/>
  <c r="Z449" i="10"/>
  <c r="Y449" i="10"/>
  <c r="X449" i="10"/>
  <c r="W449" i="10"/>
  <c r="V449" i="10"/>
  <c r="T449" i="10"/>
  <c r="U449" i="10" s="1"/>
  <c r="R449" i="10"/>
  <c r="Q449" i="10"/>
  <c r="P449" i="10"/>
  <c r="N449" i="10"/>
  <c r="AA448" i="10"/>
  <c r="AB448" i="10" s="1"/>
  <c r="Z448" i="10"/>
  <c r="Y448" i="10"/>
  <c r="X448" i="10"/>
  <c r="W448" i="10"/>
  <c r="V448" i="10"/>
  <c r="T448" i="10"/>
  <c r="U448" i="10"/>
  <c r="R448" i="10"/>
  <c r="Q448" i="10"/>
  <c r="P448" i="10"/>
  <c r="N448" i="10"/>
  <c r="AA447" i="10"/>
  <c r="AB447" i="10" s="1"/>
  <c r="Z447" i="10"/>
  <c r="Y447" i="10"/>
  <c r="X447" i="10"/>
  <c r="W447" i="10"/>
  <c r="V447" i="10"/>
  <c r="T447" i="10"/>
  <c r="U447" i="10" s="1"/>
  <c r="R447" i="10"/>
  <c r="Q447" i="10"/>
  <c r="P447" i="10"/>
  <c r="N447" i="10"/>
  <c r="AA446" i="10"/>
  <c r="AB446" i="10" s="1"/>
  <c r="Z446" i="10"/>
  <c r="Y446" i="10"/>
  <c r="X446" i="10"/>
  <c r="W446" i="10"/>
  <c r="V446" i="10"/>
  <c r="T446" i="10"/>
  <c r="U446" i="10"/>
  <c r="R446" i="10"/>
  <c r="Q446" i="10"/>
  <c r="P446" i="10"/>
  <c r="N446" i="10"/>
  <c r="AA445" i="10"/>
  <c r="AB445" i="10" s="1"/>
  <c r="Z445" i="10"/>
  <c r="Y445" i="10"/>
  <c r="X445" i="10"/>
  <c r="W445" i="10"/>
  <c r="V445" i="10"/>
  <c r="T445" i="10"/>
  <c r="U445" i="10" s="1"/>
  <c r="R445" i="10"/>
  <c r="Q445" i="10"/>
  <c r="P445" i="10"/>
  <c r="N445" i="10"/>
  <c r="AA444" i="10"/>
  <c r="AB444" i="10" s="1"/>
  <c r="Z444" i="10"/>
  <c r="Y444" i="10"/>
  <c r="X444" i="10"/>
  <c r="W444" i="10"/>
  <c r="V444" i="10"/>
  <c r="T444" i="10"/>
  <c r="U444" i="10" s="1"/>
  <c r="R444" i="10"/>
  <c r="Q444" i="10"/>
  <c r="P444" i="10"/>
  <c r="N444" i="10"/>
  <c r="AA443" i="10"/>
  <c r="AB443" i="10" s="1"/>
  <c r="Z443" i="10"/>
  <c r="Y443" i="10"/>
  <c r="X443" i="10"/>
  <c r="W443" i="10"/>
  <c r="V443" i="10"/>
  <c r="T443" i="10"/>
  <c r="U443" i="10" s="1"/>
  <c r="R443" i="10"/>
  <c r="Q443" i="10"/>
  <c r="P443" i="10"/>
  <c r="N443" i="10"/>
  <c r="AA442" i="10"/>
  <c r="AB442" i="10" s="1"/>
  <c r="Z442" i="10"/>
  <c r="Y442" i="10"/>
  <c r="X442" i="10"/>
  <c r="W442" i="10"/>
  <c r="V442" i="10"/>
  <c r="T442" i="10"/>
  <c r="U442" i="10" s="1"/>
  <c r="R442" i="10"/>
  <c r="Q442" i="10"/>
  <c r="P442" i="10"/>
  <c r="N442" i="10"/>
  <c r="AA441" i="10"/>
  <c r="AB441" i="10" s="1"/>
  <c r="Z441" i="10"/>
  <c r="Y441" i="10"/>
  <c r="X441" i="10"/>
  <c r="W441" i="10"/>
  <c r="V441" i="10"/>
  <c r="T441" i="10"/>
  <c r="U441" i="10" s="1"/>
  <c r="R441" i="10"/>
  <c r="Q441" i="10"/>
  <c r="P441" i="10"/>
  <c r="N441" i="10"/>
  <c r="AA440" i="10"/>
  <c r="AB440" i="10" s="1"/>
  <c r="Z440" i="10"/>
  <c r="Y440" i="10"/>
  <c r="X440" i="10"/>
  <c r="W440" i="10"/>
  <c r="V440" i="10"/>
  <c r="T440" i="10"/>
  <c r="U440" i="10"/>
  <c r="R440" i="10"/>
  <c r="Q440" i="10"/>
  <c r="P440" i="10"/>
  <c r="N440" i="10"/>
  <c r="AA439" i="10"/>
  <c r="AB439" i="10" s="1"/>
  <c r="Z439" i="10"/>
  <c r="Y439" i="10"/>
  <c r="X439" i="10"/>
  <c r="W439" i="10"/>
  <c r="V439" i="10"/>
  <c r="T439" i="10"/>
  <c r="U439" i="10" s="1"/>
  <c r="R439" i="10"/>
  <c r="Q439" i="10"/>
  <c r="P439" i="10"/>
  <c r="N439" i="10"/>
  <c r="AA438" i="10"/>
  <c r="AB438" i="10" s="1"/>
  <c r="Z438" i="10"/>
  <c r="Y438" i="10"/>
  <c r="X438" i="10"/>
  <c r="W438" i="10"/>
  <c r="V438" i="10"/>
  <c r="T438" i="10"/>
  <c r="U438" i="10"/>
  <c r="R438" i="10"/>
  <c r="Q438" i="10"/>
  <c r="P438" i="10"/>
  <c r="N438" i="10"/>
  <c r="AA437" i="10"/>
  <c r="AB437" i="10" s="1"/>
  <c r="Z437" i="10"/>
  <c r="Y437" i="10"/>
  <c r="X437" i="10"/>
  <c r="W437" i="10"/>
  <c r="V437" i="10"/>
  <c r="T437" i="10"/>
  <c r="U437" i="10" s="1"/>
  <c r="R437" i="10"/>
  <c r="Q437" i="10"/>
  <c r="P437" i="10"/>
  <c r="N437" i="10"/>
  <c r="AA436" i="10"/>
  <c r="AB436" i="10" s="1"/>
  <c r="Z436" i="10"/>
  <c r="Y436" i="10"/>
  <c r="X436" i="10"/>
  <c r="W436" i="10"/>
  <c r="V436" i="10"/>
  <c r="T436" i="10"/>
  <c r="U436" i="10" s="1"/>
  <c r="R436" i="10"/>
  <c r="Q436" i="10"/>
  <c r="P436" i="10"/>
  <c r="N436" i="10"/>
  <c r="AA435" i="10"/>
  <c r="AB435" i="10" s="1"/>
  <c r="Z435" i="10"/>
  <c r="Y435" i="10"/>
  <c r="X435" i="10"/>
  <c r="W435" i="10"/>
  <c r="V435" i="10"/>
  <c r="T435" i="10"/>
  <c r="U435" i="10" s="1"/>
  <c r="R435" i="10"/>
  <c r="Q435" i="10"/>
  <c r="P435" i="10"/>
  <c r="N435" i="10"/>
  <c r="AA434" i="10"/>
  <c r="AB434" i="10" s="1"/>
  <c r="Z434" i="10"/>
  <c r="Y434" i="10"/>
  <c r="X434" i="10"/>
  <c r="W434" i="10"/>
  <c r="V434" i="10"/>
  <c r="T434" i="10"/>
  <c r="U434" i="10" s="1"/>
  <c r="R434" i="10"/>
  <c r="Q434" i="10"/>
  <c r="P434" i="10"/>
  <c r="N434" i="10"/>
  <c r="AA433" i="10"/>
  <c r="AB433" i="10" s="1"/>
  <c r="Z433" i="10"/>
  <c r="Y433" i="10"/>
  <c r="X433" i="10"/>
  <c r="W433" i="10"/>
  <c r="V433" i="10"/>
  <c r="T433" i="10"/>
  <c r="U433" i="10" s="1"/>
  <c r="R433" i="10"/>
  <c r="Q433" i="10"/>
  <c r="P433" i="10"/>
  <c r="N433" i="10"/>
  <c r="AA432" i="10"/>
  <c r="AB432" i="10" s="1"/>
  <c r="Z432" i="10"/>
  <c r="Y432" i="10"/>
  <c r="X432" i="10"/>
  <c r="W432" i="10"/>
  <c r="V432" i="10"/>
  <c r="T432" i="10"/>
  <c r="U432" i="10"/>
  <c r="R432" i="10"/>
  <c r="Q432" i="10"/>
  <c r="P432" i="10"/>
  <c r="N432" i="10"/>
  <c r="AA431" i="10"/>
  <c r="AB431" i="10" s="1"/>
  <c r="Z431" i="10"/>
  <c r="Y431" i="10"/>
  <c r="X431" i="10"/>
  <c r="W431" i="10"/>
  <c r="V431" i="10"/>
  <c r="T431" i="10"/>
  <c r="U431" i="10" s="1"/>
  <c r="R431" i="10"/>
  <c r="Q431" i="10"/>
  <c r="P431" i="10"/>
  <c r="N431" i="10"/>
  <c r="AA430" i="10"/>
  <c r="AB430" i="10" s="1"/>
  <c r="Z430" i="10"/>
  <c r="Y430" i="10"/>
  <c r="X430" i="10"/>
  <c r="W430" i="10"/>
  <c r="V430" i="10"/>
  <c r="T430" i="10"/>
  <c r="U430" i="10"/>
  <c r="R430" i="10"/>
  <c r="Q430" i="10"/>
  <c r="P430" i="10"/>
  <c r="N430" i="10"/>
  <c r="AA429" i="10"/>
  <c r="AB429" i="10" s="1"/>
  <c r="Z429" i="10"/>
  <c r="Y429" i="10"/>
  <c r="X429" i="10"/>
  <c r="W429" i="10"/>
  <c r="V429" i="10"/>
  <c r="T429" i="10"/>
  <c r="U429" i="10" s="1"/>
  <c r="R429" i="10"/>
  <c r="Q429" i="10"/>
  <c r="P429" i="10"/>
  <c r="N429" i="10"/>
  <c r="AA428" i="10"/>
  <c r="AB428" i="10" s="1"/>
  <c r="Z428" i="10"/>
  <c r="Y428" i="10"/>
  <c r="X428" i="10"/>
  <c r="W428" i="10"/>
  <c r="V428" i="10"/>
  <c r="T428" i="10"/>
  <c r="U428" i="10" s="1"/>
  <c r="R428" i="10"/>
  <c r="Q428" i="10"/>
  <c r="P428" i="10"/>
  <c r="N428" i="10"/>
  <c r="AA427" i="10"/>
  <c r="AB427" i="10" s="1"/>
  <c r="Z427" i="10"/>
  <c r="Y427" i="10"/>
  <c r="X427" i="10"/>
  <c r="W427" i="10"/>
  <c r="V427" i="10"/>
  <c r="T427" i="10"/>
  <c r="U427" i="10" s="1"/>
  <c r="R427" i="10"/>
  <c r="Q427" i="10"/>
  <c r="P427" i="10"/>
  <c r="N427" i="10"/>
  <c r="AA426" i="10"/>
  <c r="AB426" i="10" s="1"/>
  <c r="Z426" i="10"/>
  <c r="Y426" i="10"/>
  <c r="X426" i="10"/>
  <c r="W426" i="10"/>
  <c r="V426" i="10"/>
  <c r="T426" i="10"/>
  <c r="U426" i="10" s="1"/>
  <c r="R426" i="10"/>
  <c r="Q426" i="10"/>
  <c r="P426" i="10"/>
  <c r="N426" i="10"/>
  <c r="AA425" i="10"/>
  <c r="AB425" i="10" s="1"/>
  <c r="Z425" i="10"/>
  <c r="Y425" i="10"/>
  <c r="X425" i="10"/>
  <c r="W425" i="10"/>
  <c r="V425" i="10"/>
  <c r="T425" i="10"/>
  <c r="U425" i="10" s="1"/>
  <c r="R425" i="10"/>
  <c r="Q425" i="10"/>
  <c r="P425" i="10"/>
  <c r="N425" i="10"/>
  <c r="AA424" i="10"/>
  <c r="AB424" i="10" s="1"/>
  <c r="Z424" i="10"/>
  <c r="Y424" i="10"/>
  <c r="X424" i="10"/>
  <c r="W424" i="10"/>
  <c r="V424" i="10"/>
  <c r="T424" i="10"/>
  <c r="U424" i="10"/>
  <c r="R424" i="10"/>
  <c r="Q424" i="10"/>
  <c r="P424" i="10"/>
  <c r="N424" i="10"/>
  <c r="AA423" i="10"/>
  <c r="AB423" i="10" s="1"/>
  <c r="Z423" i="10"/>
  <c r="Y423" i="10"/>
  <c r="X423" i="10"/>
  <c r="W423" i="10"/>
  <c r="V423" i="10"/>
  <c r="T423" i="10"/>
  <c r="U423" i="10" s="1"/>
  <c r="R423" i="10"/>
  <c r="Q423" i="10"/>
  <c r="P423" i="10"/>
  <c r="N423" i="10"/>
  <c r="AA422" i="10"/>
  <c r="AB422" i="10" s="1"/>
  <c r="Z422" i="10"/>
  <c r="Y422" i="10"/>
  <c r="X422" i="10"/>
  <c r="W422" i="10"/>
  <c r="V422" i="10"/>
  <c r="T422" i="10"/>
  <c r="U422" i="10"/>
  <c r="R422" i="10"/>
  <c r="Q422" i="10"/>
  <c r="P422" i="10"/>
  <c r="N422" i="10"/>
  <c r="AA421" i="10"/>
  <c r="AB421" i="10" s="1"/>
  <c r="Z421" i="10"/>
  <c r="Y421" i="10"/>
  <c r="X421" i="10"/>
  <c r="W421" i="10"/>
  <c r="V421" i="10"/>
  <c r="T421" i="10"/>
  <c r="U421" i="10" s="1"/>
  <c r="R421" i="10"/>
  <c r="Q421" i="10"/>
  <c r="P421" i="10"/>
  <c r="N421" i="10"/>
  <c r="AA420" i="10"/>
  <c r="AB420" i="10" s="1"/>
  <c r="Z420" i="10"/>
  <c r="Y420" i="10"/>
  <c r="X420" i="10"/>
  <c r="W420" i="10"/>
  <c r="V420" i="10"/>
  <c r="T420" i="10"/>
  <c r="U420" i="10" s="1"/>
  <c r="R420" i="10"/>
  <c r="Q420" i="10"/>
  <c r="P420" i="10"/>
  <c r="N420" i="10"/>
  <c r="AA419" i="10"/>
  <c r="AB419" i="10" s="1"/>
  <c r="Z419" i="10"/>
  <c r="Y419" i="10"/>
  <c r="X419" i="10"/>
  <c r="W419" i="10"/>
  <c r="V419" i="10"/>
  <c r="T419" i="10"/>
  <c r="U419" i="10" s="1"/>
  <c r="R419" i="10"/>
  <c r="Q419" i="10"/>
  <c r="P419" i="10"/>
  <c r="N419" i="10"/>
  <c r="AA418" i="10"/>
  <c r="AB418" i="10" s="1"/>
  <c r="Z418" i="10"/>
  <c r="Y418" i="10"/>
  <c r="X418" i="10"/>
  <c r="W418" i="10"/>
  <c r="V418" i="10"/>
  <c r="T418" i="10"/>
  <c r="U418" i="10" s="1"/>
  <c r="R418" i="10"/>
  <c r="Q418" i="10"/>
  <c r="P418" i="10"/>
  <c r="N418" i="10"/>
  <c r="AA417" i="10"/>
  <c r="AB417" i="10" s="1"/>
  <c r="Z417" i="10"/>
  <c r="Y417" i="10"/>
  <c r="X417" i="10"/>
  <c r="W417" i="10"/>
  <c r="V417" i="10"/>
  <c r="T417" i="10"/>
  <c r="U417" i="10" s="1"/>
  <c r="R417" i="10"/>
  <c r="Q417" i="10"/>
  <c r="P417" i="10"/>
  <c r="N417" i="10"/>
  <c r="AA416" i="10"/>
  <c r="AB416" i="10" s="1"/>
  <c r="Z416" i="10"/>
  <c r="Y416" i="10"/>
  <c r="X416" i="10"/>
  <c r="W416" i="10"/>
  <c r="V416" i="10"/>
  <c r="T416" i="10"/>
  <c r="U416" i="10"/>
  <c r="R416" i="10"/>
  <c r="Q416" i="10"/>
  <c r="P416" i="10"/>
  <c r="N416" i="10"/>
  <c r="AA415" i="10"/>
  <c r="AB415" i="10" s="1"/>
  <c r="Z415" i="10"/>
  <c r="Y415" i="10"/>
  <c r="X415" i="10"/>
  <c r="W415" i="10"/>
  <c r="V415" i="10"/>
  <c r="T415" i="10"/>
  <c r="U415" i="10" s="1"/>
  <c r="R415" i="10"/>
  <c r="Q415" i="10"/>
  <c r="P415" i="10"/>
  <c r="N415" i="10"/>
  <c r="AA414" i="10"/>
  <c r="AB414" i="10" s="1"/>
  <c r="Z414" i="10"/>
  <c r="Y414" i="10"/>
  <c r="X414" i="10"/>
  <c r="W414" i="10"/>
  <c r="V414" i="10"/>
  <c r="T414" i="10"/>
  <c r="U414" i="10"/>
  <c r="R414" i="10"/>
  <c r="Q414" i="10"/>
  <c r="P414" i="10"/>
  <c r="N414" i="10"/>
  <c r="AA413" i="10"/>
  <c r="AB413" i="10" s="1"/>
  <c r="Z413" i="10"/>
  <c r="Y413" i="10"/>
  <c r="X413" i="10"/>
  <c r="W413" i="10"/>
  <c r="V413" i="10"/>
  <c r="T413" i="10"/>
  <c r="U413" i="10" s="1"/>
  <c r="R413" i="10"/>
  <c r="Q413" i="10"/>
  <c r="P413" i="10"/>
  <c r="N413" i="10"/>
  <c r="AA412" i="10"/>
  <c r="AB412" i="10" s="1"/>
  <c r="Z412" i="10"/>
  <c r="Y412" i="10"/>
  <c r="X412" i="10"/>
  <c r="W412" i="10"/>
  <c r="V412" i="10"/>
  <c r="T412" i="10"/>
  <c r="U412" i="10" s="1"/>
  <c r="R412" i="10"/>
  <c r="Q412" i="10"/>
  <c r="P412" i="10"/>
  <c r="N412" i="10"/>
  <c r="AA411" i="10"/>
  <c r="AB411" i="10" s="1"/>
  <c r="Z411" i="10"/>
  <c r="Y411" i="10"/>
  <c r="X411" i="10"/>
  <c r="W411" i="10"/>
  <c r="V411" i="10"/>
  <c r="T411" i="10"/>
  <c r="U411" i="10" s="1"/>
  <c r="R411" i="10"/>
  <c r="Q411" i="10"/>
  <c r="P411" i="10"/>
  <c r="N411" i="10"/>
  <c r="AA410" i="10"/>
  <c r="AB410" i="10" s="1"/>
  <c r="Z410" i="10"/>
  <c r="Y410" i="10"/>
  <c r="X410" i="10"/>
  <c r="W410" i="10"/>
  <c r="V410" i="10"/>
  <c r="T410" i="10"/>
  <c r="U410" i="10" s="1"/>
  <c r="R410" i="10"/>
  <c r="Q410" i="10"/>
  <c r="P410" i="10"/>
  <c r="N410" i="10"/>
  <c r="AA409" i="10"/>
  <c r="AB409" i="10" s="1"/>
  <c r="Z409" i="10"/>
  <c r="Y409" i="10"/>
  <c r="X409" i="10"/>
  <c r="W409" i="10"/>
  <c r="V409" i="10"/>
  <c r="T409" i="10"/>
  <c r="U409" i="10" s="1"/>
  <c r="R409" i="10"/>
  <c r="Q409" i="10"/>
  <c r="P409" i="10"/>
  <c r="N409" i="10"/>
  <c r="AA408" i="10"/>
  <c r="AB408" i="10" s="1"/>
  <c r="Z408" i="10"/>
  <c r="Y408" i="10"/>
  <c r="X408" i="10"/>
  <c r="W408" i="10"/>
  <c r="V408" i="10"/>
  <c r="T408" i="10"/>
  <c r="U408" i="10"/>
  <c r="R408" i="10"/>
  <c r="Q408" i="10"/>
  <c r="P408" i="10"/>
  <c r="N408" i="10"/>
  <c r="AA407" i="10"/>
  <c r="AB407" i="10" s="1"/>
  <c r="Z407" i="10"/>
  <c r="Y407" i="10"/>
  <c r="X407" i="10"/>
  <c r="W407" i="10"/>
  <c r="V407" i="10"/>
  <c r="T407" i="10"/>
  <c r="U407" i="10" s="1"/>
  <c r="R407" i="10"/>
  <c r="Q407" i="10"/>
  <c r="P407" i="10"/>
  <c r="N407" i="10"/>
  <c r="AA406" i="10"/>
  <c r="AB406" i="10" s="1"/>
  <c r="Z406" i="10"/>
  <c r="Y406" i="10"/>
  <c r="X406" i="10"/>
  <c r="W406" i="10"/>
  <c r="V406" i="10"/>
  <c r="T406" i="10"/>
  <c r="U406" i="10"/>
  <c r="R406" i="10"/>
  <c r="Q406" i="10"/>
  <c r="P406" i="10"/>
  <c r="N406" i="10"/>
  <c r="AA405" i="10"/>
  <c r="AB405" i="10" s="1"/>
  <c r="Z405" i="10"/>
  <c r="Y405" i="10"/>
  <c r="X405" i="10"/>
  <c r="W405" i="10"/>
  <c r="V405" i="10"/>
  <c r="T405" i="10"/>
  <c r="U405" i="10" s="1"/>
  <c r="R405" i="10"/>
  <c r="Q405" i="10"/>
  <c r="P405" i="10"/>
  <c r="N405" i="10"/>
  <c r="AA404" i="10"/>
  <c r="AB404" i="10" s="1"/>
  <c r="Z404" i="10"/>
  <c r="Y404" i="10"/>
  <c r="X404" i="10"/>
  <c r="W404" i="10"/>
  <c r="V404" i="10"/>
  <c r="T404" i="10"/>
  <c r="U404" i="10" s="1"/>
  <c r="R404" i="10"/>
  <c r="Q404" i="10"/>
  <c r="P404" i="10"/>
  <c r="N404" i="10"/>
  <c r="AA403" i="10"/>
  <c r="AB403" i="10" s="1"/>
  <c r="Z403" i="10"/>
  <c r="Y403" i="10"/>
  <c r="X403" i="10"/>
  <c r="W403" i="10"/>
  <c r="V403" i="10"/>
  <c r="T403" i="10"/>
  <c r="U403" i="10" s="1"/>
  <c r="R403" i="10"/>
  <c r="Q403" i="10"/>
  <c r="P403" i="10"/>
  <c r="N403" i="10"/>
  <c r="AA402" i="10"/>
  <c r="AB402" i="10" s="1"/>
  <c r="Z402" i="10"/>
  <c r="Y402" i="10"/>
  <c r="X402" i="10"/>
  <c r="W402" i="10"/>
  <c r="V402" i="10"/>
  <c r="T402" i="10"/>
  <c r="U402" i="10" s="1"/>
  <c r="R402" i="10"/>
  <c r="Q402" i="10"/>
  <c r="P402" i="10"/>
  <c r="N402" i="10"/>
  <c r="AA401" i="10"/>
  <c r="AB401" i="10" s="1"/>
  <c r="Z401" i="10"/>
  <c r="Y401" i="10"/>
  <c r="X401" i="10"/>
  <c r="W401" i="10"/>
  <c r="V401" i="10"/>
  <c r="T401" i="10"/>
  <c r="U401" i="10" s="1"/>
  <c r="R401" i="10"/>
  <c r="Q401" i="10"/>
  <c r="P401" i="10"/>
  <c r="N401" i="10"/>
  <c r="AA400" i="10"/>
  <c r="AB400" i="10" s="1"/>
  <c r="Z400" i="10"/>
  <c r="Y400" i="10"/>
  <c r="X400" i="10"/>
  <c r="W400" i="10"/>
  <c r="V400" i="10"/>
  <c r="T400" i="10"/>
  <c r="U400" i="10" s="1"/>
  <c r="R400" i="10"/>
  <c r="Q400" i="10"/>
  <c r="P400" i="10"/>
  <c r="N400" i="10"/>
  <c r="AA399" i="10"/>
  <c r="AB399" i="10" s="1"/>
  <c r="Z399" i="10"/>
  <c r="Y399" i="10"/>
  <c r="X399" i="10"/>
  <c r="W399" i="10"/>
  <c r="V399" i="10"/>
  <c r="T399" i="10"/>
  <c r="U399" i="10"/>
  <c r="R399" i="10"/>
  <c r="Q399" i="10"/>
  <c r="P399" i="10"/>
  <c r="N399" i="10"/>
  <c r="AA398" i="10"/>
  <c r="AB398" i="10" s="1"/>
  <c r="Z398" i="10"/>
  <c r="Y398" i="10"/>
  <c r="X398" i="10"/>
  <c r="W398" i="10"/>
  <c r="V398" i="10"/>
  <c r="T398" i="10"/>
  <c r="U398" i="10" s="1"/>
  <c r="R398" i="10"/>
  <c r="Q398" i="10"/>
  <c r="P398" i="10"/>
  <c r="N398" i="10"/>
  <c r="AA397" i="10"/>
  <c r="AB397" i="10" s="1"/>
  <c r="Z397" i="10"/>
  <c r="Y397" i="10"/>
  <c r="X397" i="10"/>
  <c r="W397" i="10"/>
  <c r="V397" i="10"/>
  <c r="T397" i="10"/>
  <c r="U397" i="10" s="1"/>
  <c r="R397" i="10"/>
  <c r="Q397" i="10"/>
  <c r="P397" i="10"/>
  <c r="N397" i="10"/>
  <c r="AA396" i="10"/>
  <c r="AB396" i="10" s="1"/>
  <c r="Z396" i="10"/>
  <c r="Y396" i="10"/>
  <c r="X396" i="10"/>
  <c r="W396" i="10"/>
  <c r="V396" i="10"/>
  <c r="T396" i="10"/>
  <c r="U396" i="10" s="1"/>
  <c r="R396" i="10"/>
  <c r="Q396" i="10"/>
  <c r="P396" i="10"/>
  <c r="N396" i="10"/>
  <c r="AA395" i="10"/>
  <c r="AB395" i="10" s="1"/>
  <c r="Z395" i="10"/>
  <c r="Y395" i="10"/>
  <c r="X395" i="10"/>
  <c r="W395" i="10"/>
  <c r="V395" i="10"/>
  <c r="T395" i="10"/>
  <c r="U395" i="10"/>
  <c r="R395" i="10"/>
  <c r="Q395" i="10"/>
  <c r="P395" i="10"/>
  <c r="N395" i="10"/>
  <c r="AA394" i="10"/>
  <c r="AB394" i="10" s="1"/>
  <c r="Z394" i="10"/>
  <c r="Y394" i="10"/>
  <c r="X394" i="10"/>
  <c r="W394" i="10"/>
  <c r="V394" i="10"/>
  <c r="T394" i="10"/>
  <c r="U394" i="10" s="1"/>
  <c r="R394" i="10"/>
  <c r="Q394" i="10"/>
  <c r="P394" i="10"/>
  <c r="N394" i="10"/>
  <c r="AA393" i="10"/>
  <c r="AB393" i="10" s="1"/>
  <c r="Z393" i="10"/>
  <c r="Y393" i="10"/>
  <c r="X393" i="10"/>
  <c r="W393" i="10"/>
  <c r="V393" i="10"/>
  <c r="T393" i="10"/>
  <c r="U393" i="10" s="1"/>
  <c r="R393" i="10"/>
  <c r="Q393" i="10"/>
  <c r="P393" i="10"/>
  <c r="N393" i="10"/>
  <c r="AA392" i="10"/>
  <c r="AB392" i="10" s="1"/>
  <c r="Z392" i="10"/>
  <c r="Y392" i="10"/>
  <c r="X392" i="10"/>
  <c r="W392" i="10"/>
  <c r="V392" i="10"/>
  <c r="T392" i="10"/>
  <c r="U392" i="10" s="1"/>
  <c r="R392" i="10"/>
  <c r="Q392" i="10"/>
  <c r="P392" i="10"/>
  <c r="N392" i="10"/>
  <c r="AA391" i="10"/>
  <c r="AB391" i="10" s="1"/>
  <c r="Z391" i="10"/>
  <c r="Y391" i="10"/>
  <c r="X391" i="10"/>
  <c r="W391" i="10"/>
  <c r="V391" i="10"/>
  <c r="T391" i="10"/>
  <c r="U391" i="10"/>
  <c r="R391" i="10"/>
  <c r="Q391" i="10"/>
  <c r="P391" i="10"/>
  <c r="N391" i="10"/>
  <c r="AA390" i="10"/>
  <c r="AB390" i="10" s="1"/>
  <c r="Z390" i="10"/>
  <c r="Y390" i="10"/>
  <c r="X390" i="10"/>
  <c r="W390" i="10"/>
  <c r="V390" i="10"/>
  <c r="T390" i="10"/>
  <c r="U390" i="10" s="1"/>
  <c r="R390" i="10"/>
  <c r="Q390" i="10"/>
  <c r="P390" i="10"/>
  <c r="N390" i="10"/>
  <c r="AA389" i="10"/>
  <c r="AB389" i="10" s="1"/>
  <c r="Z389" i="10"/>
  <c r="Y389" i="10"/>
  <c r="X389" i="10"/>
  <c r="W389" i="10"/>
  <c r="V389" i="10"/>
  <c r="T389" i="10"/>
  <c r="U389" i="10" s="1"/>
  <c r="R389" i="10"/>
  <c r="Q389" i="10"/>
  <c r="P389" i="10"/>
  <c r="N389" i="10"/>
  <c r="AA388" i="10"/>
  <c r="AB388" i="10" s="1"/>
  <c r="Z388" i="10"/>
  <c r="Y388" i="10"/>
  <c r="X388" i="10"/>
  <c r="W388" i="10"/>
  <c r="V388" i="10"/>
  <c r="T388" i="10"/>
  <c r="U388" i="10" s="1"/>
  <c r="R388" i="10"/>
  <c r="Q388" i="10"/>
  <c r="P388" i="10"/>
  <c r="N388" i="10"/>
  <c r="AA387" i="10"/>
  <c r="AB387" i="10" s="1"/>
  <c r="Z387" i="10"/>
  <c r="Y387" i="10"/>
  <c r="X387" i="10"/>
  <c r="W387" i="10"/>
  <c r="V387" i="10"/>
  <c r="T387" i="10"/>
  <c r="U387" i="10"/>
  <c r="R387" i="10"/>
  <c r="Q387" i="10"/>
  <c r="P387" i="10"/>
  <c r="N387" i="10"/>
  <c r="AA386" i="10"/>
  <c r="AB386" i="10" s="1"/>
  <c r="Z386" i="10"/>
  <c r="Y386" i="10"/>
  <c r="X386" i="10"/>
  <c r="W386" i="10"/>
  <c r="V386" i="10"/>
  <c r="T386" i="10"/>
  <c r="U386" i="10" s="1"/>
  <c r="R386" i="10"/>
  <c r="Q386" i="10"/>
  <c r="P386" i="10"/>
  <c r="N386" i="10"/>
  <c r="AA385" i="10"/>
  <c r="AB385" i="10" s="1"/>
  <c r="Z385" i="10"/>
  <c r="Y385" i="10"/>
  <c r="X385" i="10"/>
  <c r="W385" i="10"/>
  <c r="V385" i="10"/>
  <c r="T385" i="10"/>
  <c r="U385" i="10" s="1"/>
  <c r="R385" i="10"/>
  <c r="Q385" i="10"/>
  <c r="P385" i="10"/>
  <c r="N385" i="10"/>
  <c r="AA384" i="10"/>
  <c r="AB384" i="10" s="1"/>
  <c r="Z384" i="10"/>
  <c r="Y384" i="10"/>
  <c r="X384" i="10"/>
  <c r="W384" i="10"/>
  <c r="V384" i="10"/>
  <c r="T384" i="10"/>
  <c r="U384" i="10" s="1"/>
  <c r="R384" i="10"/>
  <c r="Q384" i="10"/>
  <c r="P384" i="10"/>
  <c r="N384" i="10"/>
  <c r="AA383" i="10"/>
  <c r="AB383" i="10" s="1"/>
  <c r="Z383" i="10"/>
  <c r="Y383" i="10"/>
  <c r="X383" i="10"/>
  <c r="W383" i="10"/>
  <c r="V383" i="10"/>
  <c r="T383" i="10"/>
  <c r="U383" i="10"/>
  <c r="R383" i="10"/>
  <c r="Q383" i="10"/>
  <c r="P383" i="10"/>
  <c r="N383" i="10"/>
  <c r="AA382" i="10"/>
  <c r="AB382" i="10" s="1"/>
  <c r="Z382" i="10"/>
  <c r="Y382" i="10"/>
  <c r="X382" i="10"/>
  <c r="W382" i="10"/>
  <c r="V382" i="10"/>
  <c r="T382" i="10"/>
  <c r="U382" i="10" s="1"/>
  <c r="R382" i="10"/>
  <c r="Q382" i="10"/>
  <c r="P382" i="10"/>
  <c r="N382" i="10"/>
  <c r="AA381" i="10"/>
  <c r="AB381" i="10" s="1"/>
  <c r="Z381" i="10"/>
  <c r="Y381" i="10"/>
  <c r="X381" i="10"/>
  <c r="W381" i="10"/>
  <c r="V381" i="10"/>
  <c r="T381" i="10"/>
  <c r="U381" i="10" s="1"/>
  <c r="R381" i="10"/>
  <c r="Q381" i="10"/>
  <c r="P381" i="10"/>
  <c r="N381" i="10"/>
  <c r="AA380" i="10"/>
  <c r="AB380" i="10" s="1"/>
  <c r="Z380" i="10"/>
  <c r="Y380" i="10"/>
  <c r="X380" i="10"/>
  <c r="W380" i="10"/>
  <c r="V380" i="10"/>
  <c r="T380" i="10"/>
  <c r="U380" i="10" s="1"/>
  <c r="R380" i="10"/>
  <c r="Q380" i="10"/>
  <c r="P380" i="10"/>
  <c r="N380" i="10"/>
  <c r="AA379" i="10"/>
  <c r="AB379" i="10" s="1"/>
  <c r="Z379" i="10"/>
  <c r="Y379" i="10"/>
  <c r="X379" i="10"/>
  <c r="W379" i="10"/>
  <c r="V379" i="10"/>
  <c r="T379" i="10"/>
  <c r="U379" i="10"/>
  <c r="R379" i="10"/>
  <c r="Q379" i="10"/>
  <c r="P379" i="10"/>
  <c r="N379" i="10"/>
  <c r="AA378" i="10"/>
  <c r="AB378" i="10" s="1"/>
  <c r="Z378" i="10"/>
  <c r="Y378" i="10"/>
  <c r="X378" i="10"/>
  <c r="W378" i="10"/>
  <c r="V378" i="10"/>
  <c r="T378" i="10"/>
  <c r="U378" i="10" s="1"/>
  <c r="R378" i="10"/>
  <c r="Q378" i="10"/>
  <c r="P378" i="10"/>
  <c r="N378" i="10"/>
  <c r="AA377" i="10"/>
  <c r="AB377" i="10" s="1"/>
  <c r="Z377" i="10"/>
  <c r="Y377" i="10"/>
  <c r="X377" i="10"/>
  <c r="W377" i="10"/>
  <c r="V377" i="10"/>
  <c r="T377" i="10"/>
  <c r="U377" i="10" s="1"/>
  <c r="R377" i="10"/>
  <c r="Q377" i="10"/>
  <c r="P377" i="10"/>
  <c r="N377" i="10"/>
  <c r="AA376" i="10"/>
  <c r="AB376" i="10" s="1"/>
  <c r="Z376" i="10"/>
  <c r="Y376" i="10"/>
  <c r="X376" i="10"/>
  <c r="W376" i="10"/>
  <c r="V376" i="10"/>
  <c r="T376" i="10"/>
  <c r="U376" i="10" s="1"/>
  <c r="R376" i="10"/>
  <c r="Q376" i="10"/>
  <c r="P376" i="10"/>
  <c r="N376" i="10"/>
  <c r="AA375" i="10"/>
  <c r="AB375" i="10" s="1"/>
  <c r="Z375" i="10"/>
  <c r="Y375" i="10"/>
  <c r="X375" i="10"/>
  <c r="W375" i="10"/>
  <c r="V375" i="10"/>
  <c r="T375" i="10"/>
  <c r="U375" i="10"/>
  <c r="R375" i="10"/>
  <c r="Q375" i="10"/>
  <c r="P375" i="10"/>
  <c r="N375" i="10"/>
  <c r="AA374" i="10"/>
  <c r="AB374" i="10" s="1"/>
  <c r="Z374" i="10"/>
  <c r="Y374" i="10"/>
  <c r="X374" i="10"/>
  <c r="W374" i="10"/>
  <c r="V374" i="10"/>
  <c r="T374" i="10"/>
  <c r="U374" i="10" s="1"/>
  <c r="R374" i="10"/>
  <c r="Q374" i="10"/>
  <c r="P374" i="10"/>
  <c r="N374" i="10"/>
  <c r="AA373" i="10"/>
  <c r="AB373" i="10" s="1"/>
  <c r="Z373" i="10"/>
  <c r="Y373" i="10"/>
  <c r="X373" i="10"/>
  <c r="W373" i="10"/>
  <c r="V373" i="10"/>
  <c r="T373" i="10"/>
  <c r="U373" i="10" s="1"/>
  <c r="R373" i="10"/>
  <c r="Q373" i="10"/>
  <c r="P373" i="10"/>
  <c r="N373" i="10"/>
  <c r="AA372" i="10"/>
  <c r="AB372" i="10" s="1"/>
  <c r="Z372" i="10"/>
  <c r="Y372" i="10"/>
  <c r="X372" i="10"/>
  <c r="W372" i="10"/>
  <c r="V372" i="10"/>
  <c r="T372" i="10"/>
  <c r="U372" i="10" s="1"/>
  <c r="R372" i="10"/>
  <c r="Q372" i="10"/>
  <c r="P372" i="10"/>
  <c r="N372" i="10"/>
  <c r="AA371" i="10"/>
  <c r="AB371" i="10" s="1"/>
  <c r="Z371" i="10"/>
  <c r="Y371" i="10"/>
  <c r="X371" i="10"/>
  <c r="W371" i="10"/>
  <c r="V371" i="10"/>
  <c r="T371" i="10"/>
  <c r="U371" i="10"/>
  <c r="R371" i="10"/>
  <c r="Q371" i="10"/>
  <c r="P371" i="10"/>
  <c r="N371" i="10"/>
  <c r="AA370" i="10"/>
  <c r="AB370" i="10" s="1"/>
  <c r="Z370" i="10"/>
  <c r="Y370" i="10"/>
  <c r="X370" i="10"/>
  <c r="W370" i="10"/>
  <c r="V370" i="10"/>
  <c r="T370" i="10"/>
  <c r="U370" i="10" s="1"/>
  <c r="R370" i="10"/>
  <c r="Q370" i="10"/>
  <c r="P370" i="10"/>
  <c r="N370" i="10"/>
  <c r="AA369" i="10"/>
  <c r="AB369" i="10" s="1"/>
  <c r="Z369" i="10"/>
  <c r="Y369" i="10"/>
  <c r="X369" i="10"/>
  <c r="W369" i="10"/>
  <c r="V369" i="10"/>
  <c r="T369" i="10"/>
  <c r="U369" i="10" s="1"/>
  <c r="R369" i="10"/>
  <c r="Q369" i="10"/>
  <c r="P369" i="10"/>
  <c r="N369" i="10"/>
  <c r="AA368" i="10"/>
  <c r="AB368" i="10" s="1"/>
  <c r="Z368" i="10"/>
  <c r="Y368" i="10"/>
  <c r="X368" i="10"/>
  <c r="W368" i="10"/>
  <c r="V368" i="10"/>
  <c r="T368" i="10"/>
  <c r="U368" i="10" s="1"/>
  <c r="R368" i="10"/>
  <c r="Q368" i="10"/>
  <c r="P368" i="10"/>
  <c r="N368" i="10"/>
  <c r="AA367" i="10"/>
  <c r="AB367" i="10" s="1"/>
  <c r="Z367" i="10"/>
  <c r="Y367" i="10"/>
  <c r="X367" i="10"/>
  <c r="W367" i="10"/>
  <c r="V367" i="10"/>
  <c r="T367" i="10"/>
  <c r="U367" i="10"/>
  <c r="R367" i="10"/>
  <c r="Q367" i="10"/>
  <c r="P367" i="10"/>
  <c r="N367" i="10"/>
  <c r="AA366" i="10"/>
  <c r="AB366" i="10" s="1"/>
  <c r="Z366" i="10"/>
  <c r="Y366" i="10"/>
  <c r="X366" i="10"/>
  <c r="W366" i="10"/>
  <c r="V366" i="10"/>
  <c r="T366" i="10"/>
  <c r="U366" i="10" s="1"/>
  <c r="R366" i="10"/>
  <c r="Q366" i="10"/>
  <c r="P366" i="10"/>
  <c r="N366" i="10"/>
  <c r="AA365" i="10"/>
  <c r="AB365" i="10" s="1"/>
  <c r="Z365" i="10"/>
  <c r="Y365" i="10"/>
  <c r="X365" i="10"/>
  <c r="W365" i="10"/>
  <c r="V365" i="10"/>
  <c r="T365" i="10"/>
  <c r="U365" i="10" s="1"/>
  <c r="R365" i="10"/>
  <c r="Q365" i="10"/>
  <c r="P365" i="10"/>
  <c r="N365" i="10"/>
  <c r="AA364" i="10"/>
  <c r="AB364" i="10" s="1"/>
  <c r="Z364" i="10"/>
  <c r="Y364" i="10"/>
  <c r="X364" i="10"/>
  <c r="W364" i="10"/>
  <c r="V364" i="10"/>
  <c r="T364" i="10"/>
  <c r="U364" i="10" s="1"/>
  <c r="R364" i="10"/>
  <c r="Q364" i="10"/>
  <c r="P364" i="10"/>
  <c r="N364" i="10"/>
  <c r="AA363" i="10"/>
  <c r="AB363" i="10" s="1"/>
  <c r="Z363" i="10"/>
  <c r="Y363" i="10"/>
  <c r="X363" i="10"/>
  <c r="W363" i="10"/>
  <c r="V363" i="10"/>
  <c r="T363" i="10"/>
  <c r="U363" i="10"/>
  <c r="R363" i="10"/>
  <c r="Q363" i="10"/>
  <c r="P363" i="10"/>
  <c r="N363" i="10"/>
  <c r="AA362" i="10"/>
  <c r="AB362" i="10" s="1"/>
  <c r="Z362" i="10"/>
  <c r="Y362" i="10"/>
  <c r="X362" i="10"/>
  <c r="W362" i="10"/>
  <c r="V362" i="10"/>
  <c r="T362" i="10"/>
  <c r="U362" i="10" s="1"/>
  <c r="R362" i="10"/>
  <c r="Q362" i="10"/>
  <c r="P362" i="10"/>
  <c r="N362" i="10"/>
  <c r="AA361" i="10"/>
  <c r="AB361" i="10" s="1"/>
  <c r="Z361" i="10"/>
  <c r="Y361" i="10"/>
  <c r="X361" i="10"/>
  <c r="W361" i="10"/>
  <c r="V361" i="10"/>
  <c r="T361" i="10"/>
  <c r="U361" i="10" s="1"/>
  <c r="R361" i="10"/>
  <c r="Q361" i="10"/>
  <c r="P361" i="10"/>
  <c r="N361" i="10"/>
  <c r="AA360" i="10"/>
  <c r="AB360" i="10" s="1"/>
  <c r="Z360" i="10"/>
  <c r="Y360" i="10"/>
  <c r="X360" i="10"/>
  <c r="W360" i="10"/>
  <c r="V360" i="10"/>
  <c r="T360" i="10"/>
  <c r="U360" i="10" s="1"/>
  <c r="R360" i="10"/>
  <c r="Q360" i="10"/>
  <c r="P360" i="10"/>
  <c r="N360" i="10"/>
  <c r="AA359" i="10"/>
  <c r="AB359" i="10" s="1"/>
  <c r="Z359" i="10"/>
  <c r="Y359" i="10"/>
  <c r="X359" i="10"/>
  <c r="W359" i="10"/>
  <c r="V359" i="10"/>
  <c r="T359" i="10"/>
  <c r="U359" i="10"/>
  <c r="R359" i="10"/>
  <c r="Q359" i="10"/>
  <c r="P359" i="10"/>
  <c r="N359" i="10"/>
  <c r="AA358" i="10"/>
  <c r="AB358" i="10" s="1"/>
  <c r="Z358" i="10"/>
  <c r="Y358" i="10"/>
  <c r="X358" i="10"/>
  <c r="W358" i="10"/>
  <c r="V358" i="10"/>
  <c r="T358" i="10"/>
  <c r="U358" i="10" s="1"/>
  <c r="R358" i="10"/>
  <c r="Q358" i="10"/>
  <c r="P358" i="10"/>
  <c r="N358" i="10"/>
  <c r="AA357" i="10"/>
  <c r="AB357" i="10" s="1"/>
  <c r="Z357" i="10"/>
  <c r="Y357" i="10"/>
  <c r="X357" i="10"/>
  <c r="W357" i="10"/>
  <c r="V357" i="10"/>
  <c r="T357" i="10"/>
  <c r="U357" i="10" s="1"/>
  <c r="R357" i="10"/>
  <c r="Q357" i="10"/>
  <c r="P357" i="10"/>
  <c r="N357" i="10"/>
  <c r="AA356" i="10"/>
  <c r="AB356" i="10" s="1"/>
  <c r="Z356" i="10"/>
  <c r="Y356" i="10"/>
  <c r="X356" i="10"/>
  <c r="W356" i="10"/>
  <c r="V356" i="10"/>
  <c r="T356" i="10"/>
  <c r="U356" i="10" s="1"/>
  <c r="R356" i="10"/>
  <c r="Q356" i="10"/>
  <c r="P356" i="10"/>
  <c r="N356" i="10"/>
  <c r="AA355" i="10"/>
  <c r="AB355" i="10" s="1"/>
  <c r="Z355" i="10"/>
  <c r="Y355" i="10"/>
  <c r="X355" i="10"/>
  <c r="W355" i="10"/>
  <c r="V355" i="10"/>
  <c r="T355" i="10"/>
  <c r="U355" i="10"/>
  <c r="R355" i="10"/>
  <c r="Q355" i="10"/>
  <c r="P355" i="10"/>
  <c r="N355" i="10"/>
  <c r="AA354" i="10"/>
  <c r="AB354" i="10" s="1"/>
  <c r="Z354" i="10"/>
  <c r="Y354" i="10"/>
  <c r="X354" i="10"/>
  <c r="W354" i="10"/>
  <c r="V354" i="10"/>
  <c r="T354" i="10"/>
  <c r="U354" i="10" s="1"/>
  <c r="R354" i="10"/>
  <c r="Q354" i="10"/>
  <c r="P354" i="10"/>
  <c r="N354" i="10"/>
  <c r="AA353" i="10"/>
  <c r="AB353" i="10" s="1"/>
  <c r="Z353" i="10"/>
  <c r="Y353" i="10"/>
  <c r="X353" i="10"/>
  <c r="W353" i="10"/>
  <c r="V353" i="10"/>
  <c r="T353" i="10"/>
  <c r="U353" i="10" s="1"/>
  <c r="R353" i="10"/>
  <c r="Q353" i="10"/>
  <c r="P353" i="10"/>
  <c r="N353" i="10"/>
  <c r="AA352" i="10"/>
  <c r="AB352" i="10" s="1"/>
  <c r="Z352" i="10"/>
  <c r="Y352" i="10"/>
  <c r="X352" i="10"/>
  <c r="W352" i="10"/>
  <c r="V352" i="10"/>
  <c r="T352" i="10"/>
  <c r="U352" i="10" s="1"/>
  <c r="R352" i="10"/>
  <c r="Q352" i="10"/>
  <c r="P352" i="10"/>
  <c r="N352" i="10"/>
  <c r="AA351" i="10"/>
  <c r="AB351" i="10" s="1"/>
  <c r="Z351" i="10"/>
  <c r="Y351" i="10"/>
  <c r="X351" i="10"/>
  <c r="W351" i="10"/>
  <c r="V351" i="10"/>
  <c r="T351" i="10"/>
  <c r="U351" i="10"/>
  <c r="R351" i="10"/>
  <c r="Q351" i="10"/>
  <c r="P351" i="10"/>
  <c r="N351" i="10"/>
  <c r="AA350" i="10"/>
  <c r="AB350" i="10" s="1"/>
  <c r="Z350" i="10"/>
  <c r="Y350" i="10"/>
  <c r="X350" i="10"/>
  <c r="W350" i="10"/>
  <c r="V350" i="10"/>
  <c r="T350" i="10"/>
  <c r="U350" i="10" s="1"/>
  <c r="R350" i="10"/>
  <c r="Q350" i="10"/>
  <c r="P350" i="10"/>
  <c r="N350" i="10"/>
  <c r="AA349" i="10"/>
  <c r="AB349" i="10" s="1"/>
  <c r="Z349" i="10"/>
  <c r="Y349" i="10"/>
  <c r="X349" i="10"/>
  <c r="W349" i="10"/>
  <c r="V349" i="10"/>
  <c r="T349" i="10"/>
  <c r="U349" i="10" s="1"/>
  <c r="R349" i="10"/>
  <c r="Q349" i="10"/>
  <c r="P349" i="10"/>
  <c r="N349" i="10"/>
  <c r="AA348" i="10"/>
  <c r="AB348" i="10" s="1"/>
  <c r="Z348" i="10"/>
  <c r="Y348" i="10"/>
  <c r="X348" i="10"/>
  <c r="W348" i="10"/>
  <c r="V348" i="10"/>
  <c r="T348" i="10"/>
  <c r="U348" i="10" s="1"/>
  <c r="R348" i="10"/>
  <c r="Q348" i="10"/>
  <c r="P348" i="10"/>
  <c r="N348" i="10"/>
  <c r="AA347" i="10"/>
  <c r="AB347" i="10" s="1"/>
  <c r="Z347" i="10"/>
  <c r="Y347" i="10"/>
  <c r="X347" i="10"/>
  <c r="W347" i="10"/>
  <c r="V347" i="10"/>
  <c r="T347" i="10"/>
  <c r="U347" i="10"/>
  <c r="R347" i="10"/>
  <c r="Q347" i="10"/>
  <c r="P347" i="10"/>
  <c r="N347" i="10"/>
  <c r="AA346" i="10"/>
  <c r="AB346" i="10" s="1"/>
  <c r="Z346" i="10"/>
  <c r="Y346" i="10"/>
  <c r="X346" i="10"/>
  <c r="W346" i="10"/>
  <c r="V346" i="10"/>
  <c r="T346" i="10"/>
  <c r="U346" i="10" s="1"/>
  <c r="R346" i="10"/>
  <c r="Q346" i="10"/>
  <c r="P346" i="10"/>
  <c r="N346" i="10"/>
  <c r="AA345" i="10"/>
  <c r="AB345" i="10" s="1"/>
  <c r="Z345" i="10"/>
  <c r="Y345" i="10"/>
  <c r="X345" i="10"/>
  <c r="W345" i="10"/>
  <c r="V345" i="10"/>
  <c r="T345" i="10"/>
  <c r="U345" i="10"/>
  <c r="R345" i="10"/>
  <c r="Q345" i="10"/>
  <c r="P345" i="10"/>
  <c r="N345" i="10"/>
  <c r="AA344" i="10"/>
  <c r="AB344" i="10"/>
  <c r="Z344" i="10"/>
  <c r="Y344" i="10"/>
  <c r="X344" i="10"/>
  <c r="W344" i="10"/>
  <c r="V344" i="10"/>
  <c r="T344" i="10"/>
  <c r="U344" i="10" s="1"/>
  <c r="R344" i="10"/>
  <c r="Q344" i="10"/>
  <c r="P344" i="10"/>
  <c r="N344" i="10"/>
  <c r="AA343" i="10"/>
  <c r="AB343" i="10" s="1"/>
  <c r="Z343" i="10"/>
  <c r="Y343" i="10"/>
  <c r="X343" i="10"/>
  <c r="W343" i="10"/>
  <c r="V343" i="10"/>
  <c r="T343" i="10"/>
  <c r="U343" i="10" s="1"/>
  <c r="R343" i="10"/>
  <c r="Q343" i="10"/>
  <c r="P343" i="10"/>
  <c r="N343" i="10"/>
  <c r="AA342" i="10"/>
  <c r="AB342" i="10" s="1"/>
  <c r="Z342" i="10"/>
  <c r="Y342" i="10"/>
  <c r="X342" i="10"/>
  <c r="W342" i="10"/>
  <c r="V342" i="10"/>
  <c r="T342" i="10"/>
  <c r="U342" i="10" s="1"/>
  <c r="R342" i="10"/>
  <c r="Q342" i="10"/>
  <c r="P342" i="10"/>
  <c r="N342" i="10"/>
  <c r="AA341" i="10"/>
  <c r="AB341" i="10" s="1"/>
  <c r="Z341" i="10"/>
  <c r="Y341" i="10"/>
  <c r="X341" i="10"/>
  <c r="W341" i="10"/>
  <c r="V341" i="10"/>
  <c r="T341" i="10"/>
  <c r="U341" i="10" s="1"/>
  <c r="R341" i="10"/>
  <c r="Q341" i="10"/>
  <c r="P341" i="10"/>
  <c r="N341" i="10"/>
  <c r="AA340" i="10"/>
  <c r="AB340" i="10" s="1"/>
  <c r="Z340" i="10"/>
  <c r="Y340" i="10"/>
  <c r="X340" i="10"/>
  <c r="W340" i="10"/>
  <c r="V340" i="10"/>
  <c r="T340" i="10"/>
  <c r="U340" i="10"/>
  <c r="R340" i="10"/>
  <c r="Q340" i="10"/>
  <c r="P340" i="10"/>
  <c r="N340" i="10"/>
  <c r="AA339" i="10"/>
  <c r="AB339" i="10" s="1"/>
  <c r="Z339" i="10"/>
  <c r="Y339" i="10"/>
  <c r="X339" i="10"/>
  <c r="W339" i="10"/>
  <c r="V339" i="10"/>
  <c r="T339" i="10"/>
  <c r="U339" i="10" s="1"/>
  <c r="R339" i="10"/>
  <c r="Q339" i="10"/>
  <c r="P339" i="10"/>
  <c r="N339" i="10"/>
  <c r="AA338" i="10"/>
  <c r="AB338" i="10" s="1"/>
  <c r="Z338" i="10"/>
  <c r="Y338" i="10"/>
  <c r="X338" i="10"/>
  <c r="W338" i="10"/>
  <c r="V338" i="10"/>
  <c r="T338" i="10"/>
  <c r="U338" i="10" s="1"/>
  <c r="R338" i="10"/>
  <c r="Q338" i="10"/>
  <c r="P338" i="10"/>
  <c r="N338" i="10"/>
  <c r="AA337" i="10"/>
  <c r="AB337" i="10"/>
  <c r="Z337" i="10"/>
  <c r="Y337" i="10"/>
  <c r="X337" i="10"/>
  <c r="W337" i="10"/>
  <c r="V337" i="10"/>
  <c r="T337" i="10"/>
  <c r="U337" i="10" s="1"/>
  <c r="R337" i="10"/>
  <c r="Q337" i="10"/>
  <c r="P337" i="10"/>
  <c r="N337" i="10"/>
  <c r="AA336" i="10"/>
  <c r="AB336" i="10" s="1"/>
  <c r="Z336" i="10"/>
  <c r="Y336" i="10"/>
  <c r="X336" i="10"/>
  <c r="W336" i="10"/>
  <c r="V336" i="10"/>
  <c r="T336" i="10"/>
  <c r="U336" i="10" s="1"/>
  <c r="R336" i="10"/>
  <c r="Q336" i="10"/>
  <c r="P336" i="10"/>
  <c r="N336" i="10"/>
  <c r="AA335" i="10"/>
  <c r="AB335" i="10" s="1"/>
  <c r="Z335" i="10"/>
  <c r="Y335" i="10"/>
  <c r="X335" i="10"/>
  <c r="W335" i="10"/>
  <c r="V335" i="10"/>
  <c r="T335" i="10"/>
  <c r="U335" i="10"/>
  <c r="R335" i="10"/>
  <c r="Q335" i="10"/>
  <c r="P335" i="10"/>
  <c r="N335" i="10"/>
  <c r="AA334" i="10"/>
  <c r="AB334" i="10" s="1"/>
  <c r="Z334" i="10"/>
  <c r="Y334" i="10"/>
  <c r="X334" i="10"/>
  <c r="W334" i="10"/>
  <c r="V334" i="10"/>
  <c r="T334" i="10"/>
  <c r="U334" i="10" s="1"/>
  <c r="R334" i="10"/>
  <c r="Q334" i="10"/>
  <c r="P334" i="10"/>
  <c r="N334" i="10"/>
  <c r="AA333" i="10"/>
  <c r="AB333" i="10" s="1"/>
  <c r="Z333" i="10"/>
  <c r="Y333" i="10"/>
  <c r="X333" i="10"/>
  <c r="W333" i="10"/>
  <c r="V333" i="10"/>
  <c r="T333" i="10"/>
  <c r="U333" i="10" s="1"/>
  <c r="R333" i="10"/>
  <c r="Q333" i="10"/>
  <c r="P333" i="10"/>
  <c r="N333" i="10"/>
  <c r="AA332" i="10"/>
  <c r="AB332" i="10" s="1"/>
  <c r="Z332" i="10"/>
  <c r="Y332" i="10"/>
  <c r="X332" i="10"/>
  <c r="W332" i="10"/>
  <c r="V332" i="10"/>
  <c r="T332" i="10"/>
  <c r="U332" i="10" s="1"/>
  <c r="R332" i="10"/>
  <c r="Q332" i="10"/>
  <c r="P332" i="10"/>
  <c r="N332" i="10"/>
  <c r="AA331" i="10"/>
  <c r="AB331" i="10" s="1"/>
  <c r="Z331" i="10"/>
  <c r="Y331" i="10"/>
  <c r="X331" i="10"/>
  <c r="W331" i="10"/>
  <c r="V331" i="10"/>
  <c r="T331" i="10"/>
  <c r="U331" i="10"/>
  <c r="R331" i="10"/>
  <c r="Q331" i="10"/>
  <c r="P331" i="10"/>
  <c r="N331" i="10"/>
  <c r="AA330" i="10"/>
  <c r="AB330" i="10" s="1"/>
  <c r="Z330" i="10"/>
  <c r="Y330" i="10"/>
  <c r="X330" i="10"/>
  <c r="W330" i="10"/>
  <c r="V330" i="10"/>
  <c r="T330" i="10"/>
  <c r="U330" i="10" s="1"/>
  <c r="R330" i="10"/>
  <c r="Q330" i="10"/>
  <c r="P330" i="10"/>
  <c r="N330" i="10"/>
  <c r="AA329" i="10"/>
  <c r="AB329" i="10" s="1"/>
  <c r="Z329" i="10"/>
  <c r="Y329" i="10"/>
  <c r="X329" i="10"/>
  <c r="W329" i="10"/>
  <c r="V329" i="10"/>
  <c r="T329" i="10"/>
  <c r="U329" i="10" s="1"/>
  <c r="R329" i="10"/>
  <c r="Q329" i="10"/>
  <c r="P329" i="10"/>
  <c r="N329" i="10"/>
  <c r="AA328" i="10"/>
  <c r="AB328" i="10" s="1"/>
  <c r="Z328" i="10"/>
  <c r="Y328" i="10"/>
  <c r="X328" i="10"/>
  <c r="W328" i="10"/>
  <c r="V328" i="10"/>
  <c r="T328" i="10"/>
  <c r="U328" i="10" s="1"/>
  <c r="R328" i="10"/>
  <c r="Q328" i="10"/>
  <c r="P328" i="10"/>
  <c r="N328" i="10"/>
  <c r="AA327" i="10"/>
  <c r="AB327" i="10" s="1"/>
  <c r="Z327" i="10"/>
  <c r="Y327" i="10"/>
  <c r="X327" i="10"/>
  <c r="W327" i="10"/>
  <c r="V327" i="10"/>
  <c r="T327" i="10"/>
  <c r="U327" i="10"/>
  <c r="R327" i="10"/>
  <c r="Q327" i="10"/>
  <c r="P327" i="10"/>
  <c r="N327" i="10"/>
  <c r="AA326" i="10"/>
  <c r="AB326" i="10"/>
  <c r="Z326" i="10"/>
  <c r="Y326" i="10"/>
  <c r="X326" i="10"/>
  <c r="W326" i="10"/>
  <c r="V326" i="10"/>
  <c r="T326" i="10"/>
  <c r="U326" i="10" s="1"/>
  <c r="R326" i="10"/>
  <c r="Q326" i="10"/>
  <c r="P326" i="10"/>
  <c r="N326" i="10"/>
  <c r="AA325" i="10"/>
  <c r="AB325" i="10" s="1"/>
  <c r="Z325" i="10"/>
  <c r="Y325" i="10"/>
  <c r="X325" i="10"/>
  <c r="W325" i="10"/>
  <c r="V325" i="10"/>
  <c r="T325" i="10"/>
  <c r="U325" i="10" s="1"/>
  <c r="R325" i="10"/>
  <c r="Q325" i="10"/>
  <c r="P325" i="10"/>
  <c r="N325" i="10"/>
  <c r="AA324" i="10"/>
  <c r="AB324" i="10"/>
  <c r="Z324" i="10"/>
  <c r="Y324" i="10"/>
  <c r="X324" i="10"/>
  <c r="W324" i="10"/>
  <c r="V324" i="10"/>
  <c r="T324" i="10"/>
  <c r="U324" i="10" s="1"/>
  <c r="R324" i="10"/>
  <c r="Q324" i="10"/>
  <c r="P324" i="10"/>
  <c r="N324" i="10"/>
  <c r="AA323" i="10"/>
  <c r="AB323" i="10" s="1"/>
  <c r="Z323" i="10"/>
  <c r="Y323" i="10"/>
  <c r="X323" i="10"/>
  <c r="W323" i="10"/>
  <c r="V323" i="10"/>
  <c r="T323" i="10"/>
  <c r="U323" i="10" s="1"/>
  <c r="R323" i="10"/>
  <c r="Q323" i="10"/>
  <c r="P323" i="10"/>
  <c r="N323" i="10"/>
  <c r="AA322" i="10"/>
  <c r="AB322" i="10" s="1"/>
  <c r="Z322" i="10"/>
  <c r="Y322" i="10"/>
  <c r="X322" i="10"/>
  <c r="W322" i="10"/>
  <c r="V322" i="10"/>
  <c r="T322" i="10"/>
  <c r="U322" i="10" s="1"/>
  <c r="R322" i="10"/>
  <c r="Q322" i="10"/>
  <c r="P322" i="10"/>
  <c r="N322" i="10"/>
  <c r="AA321" i="10"/>
  <c r="AB321" i="10" s="1"/>
  <c r="Z321" i="10"/>
  <c r="Y321" i="10"/>
  <c r="X321" i="10"/>
  <c r="W321" i="10"/>
  <c r="V321" i="10"/>
  <c r="T321" i="10"/>
  <c r="U321" i="10" s="1"/>
  <c r="R321" i="10"/>
  <c r="Q321" i="10"/>
  <c r="P321" i="10"/>
  <c r="N321" i="10"/>
  <c r="AA320" i="10"/>
  <c r="AB320" i="10" s="1"/>
  <c r="Z320" i="10"/>
  <c r="Y320" i="10"/>
  <c r="X320" i="10"/>
  <c r="W320" i="10"/>
  <c r="V320" i="10"/>
  <c r="T320" i="10"/>
  <c r="U320" i="10"/>
  <c r="R320" i="10"/>
  <c r="Q320" i="10"/>
  <c r="P320" i="10"/>
  <c r="N320" i="10"/>
  <c r="AA319" i="10"/>
  <c r="AB319" i="10" s="1"/>
  <c r="Z319" i="10"/>
  <c r="Y319" i="10"/>
  <c r="X319" i="10"/>
  <c r="W319" i="10"/>
  <c r="V319" i="10"/>
  <c r="T319" i="10"/>
  <c r="U319" i="10" s="1"/>
  <c r="R319" i="10"/>
  <c r="Q319" i="10"/>
  <c r="P319" i="10"/>
  <c r="N319" i="10"/>
  <c r="AA318" i="10"/>
  <c r="AB318" i="10" s="1"/>
  <c r="Z318" i="10"/>
  <c r="Y318" i="10"/>
  <c r="X318" i="10"/>
  <c r="W318" i="10"/>
  <c r="V318" i="10"/>
  <c r="T318" i="10"/>
  <c r="U318" i="10" s="1"/>
  <c r="R318" i="10"/>
  <c r="Q318" i="10"/>
  <c r="P318" i="10"/>
  <c r="N318" i="10"/>
  <c r="AA317" i="10"/>
  <c r="AB317" i="10"/>
  <c r="Z317" i="10"/>
  <c r="Y317" i="10"/>
  <c r="X317" i="10"/>
  <c r="W317" i="10"/>
  <c r="V317" i="10"/>
  <c r="T317" i="10"/>
  <c r="U317" i="10" s="1"/>
  <c r="R317" i="10"/>
  <c r="Q317" i="10"/>
  <c r="P317" i="10"/>
  <c r="N317" i="10"/>
  <c r="AA316" i="10"/>
  <c r="AB316" i="10" s="1"/>
  <c r="Z316" i="10"/>
  <c r="Y316" i="10"/>
  <c r="X316" i="10"/>
  <c r="W316" i="10"/>
  <c r="V316" i="10"/>
  <c r="T316" i="10"/>
  <c r="U316" i="10"/>
  <c r="R316" i="10"/>
  <c r="Q316" i="10"/>
  <c r="P316" i="10"/>
  <c r="N316" i="10"/>
  <c r="AA315" i="10"/>
  <c r="AB315" i="10" s="1"/>
  <c r="Z315" i="10"/>
  <c r="Y315" i="10"/>
  <c r="X315" i="10"/>
  <c r="W315" i="10"/>
  <c r="V315" i="10"/>
  <c r="T315" i="10"/>
  <c r="U315" i="10" s="1"/>
  <c r="R315" i="10"/>
  <c r="Q315" i="10"/>
  <c r="P315" i="10"/>
  <c r="N315" i="10"/>
  <c r="AA314" i="10"/>
  <c r="AB314" i="10" s="1"/>
  <c r="Z314" i="10"/>
  <c r="Y314" i="10"/>
  <c r="X314" i="10"/>
  <c r="W314" i="10"/>
  <c r="V314" i="10"/>
  <c r="T314" i="10"/>
  <c r="U314" i="10" s="1"/>
  <c r="R314" i="10"/>
  <c r="Q314" i="10"/>
  <c r="P314" i="10"/>
  <c r="N314" i="10"/>
  <c r="AA313" i="10"/>
  <c r="AB313" i="10"/>
  <c r="Z313" i="10"/>
  <c r="Y313" i="10"/>
  <c r="X313" i="10"/>
  <c r="W313" i="10"/>
  <c r="V313" i="10"/>
  <c r="T313" i="10"/>
  <c r="U313" i="10" s="1"/>
  <c r="R313" i="10"/>
  <c r="Q313" i="10"/>
  <c r="P313" i="10"/>
  <c r="N313" i="10"/>
  <c r="AA312" i="10"/>
  <c r="AB312" i="10"/>
  <c r="Z312" i="10"/>
  <c r="Y312" i="10"/>
  <c r="X312" i="10"/>
  <c r="W312" i="10"/>
  <c r="V312" i="10"/>
  <c r="T312" i="10"/>
  <c r="U312" i="10" s="1"/>
  <c r="R312" i="10"/>
  <c r="Q312" i="10"/>
  <c r="P312" i="10"/>
  <c r="N312" i="10"/>
  <c r="AA311" i="10"/>
  <c r="AB311" i="10" s="1"/>
  <c r="Z311" i="10"/>
  <c r="Y311" i="10"/>
  <c r="X311" i="10"/>
  <c r="W311" i="10"/>
  <c r="V311" i="10"/>
  <c r="T311" i="10"/>
  <c r="U311" i="10" s="1"/>
  <c r="R311" i="10"/>
  <c r="Q311" i="10"/>
  <c r="P311" i="10"/>
  <c r="N311" i="10"/>
  <c r="AA310" i="10"/>
  <c r="AB310" i="10"/>
  <c r="Z310" i="10"/>
  <c r="Y310" i="10"/>
  <c r="X310" i="10"/>
  <c r="W310" i="10"/>
  <c r="V310" i="10"/>
  <c r="T310" i="10"/>
  <c r="U310" i="10" s="1"/>
  <c r="R310" i="10"/>
  <c r="Q310" i="10"/>
  <c r="P310" i="10"/>
  <c r="N310" i="10"/>
  <c r="AA309" i="10"/>
  <c r="AB309" i="10" s="1"/>
  <c r="Z309" i="10"/>
  <c r="Y309" i="10"/>
  <c r="X309" i="10"/>
  <c r="W309" i="10"/>
  <c r="V309" i="10"/>
  <c r="T309" i="10"/>
  <c r="U309" i="10" s="1"/>
  <c r="R309" i="10"/>
  <c r="Q309" i="10"/>
  <c r="P309" i="10"/>
  <c r="N309" i="10"/>
  <c r="AA308" i="10"/>
  <c r="AB308" i="10" s="1"/>
  <c r="Z308" i="10"/>
  <c r="Y308" i="10"/>
  <c r="X308" i="10"/>
  <c r="W308" i="10"/>
  <c r="V308" i="10"/>
  <c r="T308" i="10"/>
  <c r="U308" i="10"/>
  <c r="R308" i="10"/>
  <c r="Q308" i="10"/>
  <c r="P308" i="10"/>
  <c r="N308" i="10"/>
  <c r="AA307" i="10"/>
  <c r="AB307" i="10" s="1"/>
  <c r="Z307" i="10"/>
  <c r="Y307" i="10"/>
  <c r="X307" i="10"/>
  <c r="W307" i="10"/>
  <c r="V307" i="10"/>
  <c r="T307" i="10"/>
  <c r="U307" i="10" s="1"/>
  <c r="R307" i="10"/>
  <c r="Q307" i="10"/>
  <c r="P307" i="10"/>
  <c r="N307" i="10"/>
  <c r="AA306" i="10"/>
  <c r="AB306" i="10" s="1"/>
  <c r="Z306" i="10"/>
  <c r="Y306" i="10"/>
  <c r="X306" i="10"/>
  <c r="W306" i="10"/>
  <c r="V306" i="10"/>
  <c r="T306" i="10"/>
  <c r="U306" i="10" s="1"/>
  <c r="R306" i="10"/>
  <c r="Q306" i="10"/>
  <c r="P306" i="10"/>
  <c r="N306" i="10"/>
  <c r="AA305" i="10"/>
  <c r="AB305" i="10"/>
  <c r="Z305" i="10"/>
  <c r="Y305" i="10"/>
  <c r="X305" i="10"/>
  <c r="W305" i="10"/>
  <c r="V305" i="10"/>
  <c r="T305" i="10"/>
  <c r="U305" i="10" s="1"/>
  <c r="R305" i="10"/>
  <c r="Q305" i="10"/>
  <c r="P305" i="10"/>
  <c r="N305" i="10"/>
  <c r="AA304" i="10"/>
  <c r="AB304" i="10"/>
  <c r="Z304" i="10"/>
  <c r="Y304" i="10"/>
  <c r="X304" i="10"/>
  <c r="W304" i="10"/>
  <c r="V304" i="10"/>
  <c r="T304" i="10"/>
  <c r="U304" i="10" s="1"/>
  <c r="R304" i="10"/>
  <c r="Q304" i="10"/>
  <c r="P304" i="10"/>
  <c r="N304" i="10"/>
  <c r="AA303" i="10"/>
  <c r="AB303" i="10" s="1"/>
  <c r="Z303" i="10"/>
  <c r="Y303" i="10"/>
  <c r="X303" i="10"/>
  <c r="W303" i="10"/>
  <c r="V303" i="10"/>
  <c r="T303" i="10"/>
  <c r="U303" i="10"/>
  <c r="R303" i="10"/>
  <c r="Q303" i="10"/>
  <c r="P303" i="10"/>
  <c r="N303" i="10"/>
  <c r="AA302" i="10"/>
  <c r="AB302" i="10" s="1"/>
  <c r="Z302" i="10"/>
  <c r="Y302" i="10"/>
  <c r="X302" i="10"/>
  <c r="W302" i="10"/>
  <c r="V302" i="10"/>
  <c r="T302" i="10"/>
  <c r="U302" i="10" s="1"/>
  <c r="R302" i="10"/>
  <c r="Q302" i="10"/>
  <c r="P302" i="10"/>
  <c r="N302" i="10"/>
  <c r="AA301" i="10"/>
  <c r="AB301" i="10" s="1"/>
  <c r="Z301" i="10"/>
  <c r="Y301" i="10"/>
  <c r="X301" i="10"/>
  <c r="W301" i="10"/>
  <c r="V301" i="10"/>
  <c r="T301" i="10"/>
  <c r="U301" i="10" s="1"/>
  <c r="R301" i="10"/>
  <c r="Q301" i="10"/>
  <c r="P301" i="10"/>
  <c r="N301" i="10"/>
  <c r="AA300" i="10"/>
  <c r="AB300" i="10" s="1"/>
  <c r="Z300" i="10"/>
  <c r="Y300" i="10"/>
  <c r="X300" i="10"/>
  <c r="W300" i="10"/>
  <c r="V300" i="10"/>
  <c r="T300" i="10"/>
  <c r="U300" i="10" s="1"/>
  <c r="R300" i="10"/>
  <c r="Q300" i="10"/>
  <c r="P300" i="10"/>
  <c r="N300" i="10"/>
  <c r="AA299" i="10"/>
  <c r="AB299" i="10" s="1"/>
  <c r="Z299" i="10"/>
  <c r="Y299" i="10"/>
  <c r="X299" i="10"/>
  <c r="W299" i="10"/>
  <c r="V299" i="10"/>
  <c r="T299" i="10"/>
  <c r="U299" i="10"/>
  <c r="R299" i="10"/>
  <c r="Q299" i="10"/>
  <c r="P299" i="10"/>
  <c r="N299" i="10"/>
  <c r="AA298" i="10"/>
  <c r="AB298" i="10" s="1"/>
  <c r="Z298" i="10"/>
  <c r="Y298" i="10"/>
  <c r="X298" i="10"/>
  <c r="W298" i="10"/>
  <c r="V298" i="10"/>
  <c r="T298" i="10"/>
  <c r="U298" i="10" s="1"/>
  <c r="R298" i="10"/>
  <c r="Q298" i="10"/>
  <c r="P298" i="10"/>
  <c r="N298" i="10"/>
  <c r="AA297" i="10"/>
  <c r="AB297" i="10" s="1"/>
  <c r="Z297" i="10"/>
  <c r="Y297" i="10"/>
  <c r="X297" i="10"/>
  <c r="W297" i="10"/>
  <c r="V297" i="10"/>
  <c r="T297" i="10"/>
  <c r="U297" i="10"/>
  <c r="R297" i="10"/>
  <c r="Q297" i="10"/>
  <c r="P297" i="10"/>
  <c r="N297" i="10"/>
  <c r="AA296" i="10"/>
  <c r="AB296" i="10" s="1"/>
  <c r="Z296" i="10"/>
  <c r="Y296" i="10"/>
  <c r="X296" i="10"/>
  <c r="W296" i="10"/>
  <c r="V296" i="10"/>
  <c r="T296" i="10"/>
  <c r="U296" i="10"/>
  <c r="R296" i="10"/>
  <c r="Q296" i="10"/>
  <c r="P296" i="10"/>
  <c r="N296" i="10"/>
  <c r="AA295" i="10"/>
  <c r="AB295" i="10" s="1"/>
  <c r="Z295" i="10"/>
  <c r="Y295" i="10"/>
  <c r="X295" i="10"/>
  <c r="W295" i="10"/>
  <c r="V295" i="10"/>
  <c r="T295" i="10"/>
  <c r="U295" i="10" s="1"/>
  <c r="R295" i="10"/>
  <c r="Q295" i="10"/>
  <c r="P295" i="10"/>
  <c r="N295" i="10"/>
  <c r="AA294" i="10"/>
  <c r="AB294" i="10" s="1"/>
  <c r="Z294" i="10"/>
  <c r="Y294" i="10"/>
  <c r="X294" i="10"/>
  <c r="W294" i="10"/>
  <c r="V294" i="10"/>
  <c r="T294" i="10"/>
  <c r="U294" i="10" s="1"/>
  <c r="R294" i="10"/>
  <c r="Q294" i="10"/>
  <c r="P294" i="10"/>
  <c r="N294" i="10"/>
  <c r="AA293" i="10"/>
  <c r="AB293" i="10"/>
  <c r="Z293" i="10"/>
  <c r="Y293" i="10"/>
  <c r="X293" i="10"/>
  <c r="W293" i="10"/>
  <c r="V293" i="10"/>
  <c r="T293" i="10"/>
  <c r="U293" i="10" s="1"/>
  <c r="R293" i="10"/>
  <c r="Q293" i="10"/>
  <c r="P293" i="10"/>
  <c r="N293" i="10"/>
  <c r="AA292" i="10"/>
  <c r="AB292" i="10" s="1"/>
  <c r="Z292" i="10"/>
  <c r="Y292" i="10"/>
  <c r="X292" i="10"/>
  <c r="W292" i="10"/>
  <c r="V292" i="10"/>
  <c r="T292" i="10"/>
  <c r="U292" i="10" s="1"/>
  <c r="R292" i="10"/>
  <c r="Q292" i="10"/>
  <c r="P292" i="10"/>
  <c r="N292" i="10"/>
  <c r="AA291" i="10"/>
  <c r="AB291" i="10" s="1"/>
  <c r="Z291" i="10"/>
  <c r="Y291" i="10"/>
  <c r="X291" i="10"/>
  <c r="W291" i="10"/>
  <c r="V291" i="10"/>
  <c r="T291" i="10"/>
  <c r="U291" i="10" s="1"/>
  <c r="R291" i="10"/>
  <c r="Q291" i="10"/>
  <c r="P291" i="10"/>
  <c r="N291" i="10"/>
  <c r="AA290" i="10"/>
  <c r="AB290" i="10" s="1"/>
  <c r="Z290" i="10"/>
  <c r="Y290" i="10"/>
  <c r="X290" i="10"/>
  <c r="W290" i="10"/>
  <c r="V290" i="10"/>
  <c r="T290" i="10"/>
  <c r="U290" i="10" s="1"/>
  <c r="R290" i="10"/>
  <c r="Q290" i="10"/>
  <c r="P290" i="10"/>
  <c r="N290" i="10"/>
  <c r="AA289" i="10"/>
  <c r="AB289" i="10"/>
  <c r="Z289" i="10"/>
  <c r="Y289" i="10"/>
  <c r="X289" i="10"/>
  <c r="W289" i="10"/>
  <c r="V289" i="10"/>
  <c r="T289" i="10"/>
  <c r="U289" i="10" s="1"/>
  <c r="R289" i="10"/>
  <c r="Q289" i="10"/>
  <c r="P289" i="10"/>
  <c r="N289" i="10"/>
  <c r="AA288" i="10"/>
  <c r="AB288" i="10" s="1"/>
  <c r="Z288" i="10"/>
  <c r="Y288" i="10"/>
  <c r="X288" i="10"/>
  <c r="W288" i="10"/>
  <c r="V288" i="10"/>
  <c r="T288" i="10"/>
  <c r="U288" i="10" s="1"/>
  <c r="R288" i="10"/>
  <c r="Q288" i="10"/>
  <c r="P288" i="10"/>
  <c r="N288" i="10"/>
  <c r="AA287" i="10"/>
  <c r="AB287" i="10" s="1"/>
  <c r="Z287" i="10"/>
  <c r="Y287" i="10"/>
  <c r="X287" i="10"/>
  <c r="W287" i="10"/>
  <c r="V287" i="10"/>
  <c r="T287" i="10"/>
  <c r="U287" i="10" s="1"/>
  <c r="R287" i="10"/>
  <c r="Q287" i="10"/>
  <c r="P287" i="10"/>
  <c r="N287" i="10"/>
  <c r="AA286" i="10"/>
  <c r="AB286" i="10" s="1"/>
  <c r="Z286" i="10"/>
  <c r="Y286" i="10"/>
  <c r="X286" i="10"/>
  <c r="W286" i="10"/>
  <c r="V286" i="10"/>
  <c r="T286" i="10"/>
  <c r="U286" i="10" s="1"/>
  <c r="R286" i="10"/>
  <c r="Q286" i="10"/>
  <c r="P286" i="10"/>
  <c r="N286" i="10"/>
  <c r="AA285" i="10"/>
  <c r="AB285" i="10"/>
  <c r="Z285" i="10"/>
  <c r="Y285" i="10"/>
  <c r="X285" i="10"/>
  <c r="W285" i="10"/>
  <c r="V285" i="10"/>
  <c r="T285" i="10"/>
  <c r="U285" i="10" s="1"/>
  <c r="R285" i="10"/>
  <c r="Q285" i="10"/>
  <c r="P285" i="10"/>
  <c r="N285" i="10"/>
  <c r="Q284" i="10"/>
  <c r="AA283" i="10"/>
  <c r="AB283" i="10" s="1"/>
  <c r="Z283" i="10"/>
  <c r="Y283" i="10"/>
  <c r="X283" i="10"/>
  <c r="W283" i="10"/>
  <c r="V283" i="10"/>
  <c r="T283" i="10"/>
  <c r="U283" i="10" s="1"/>
  <c r="R283" i="10"/>
  <c r="Q283" i="10"/>
  <c r="P283" i="10"/>
  <c r="N283" i="10"/>
  <c r="AA282" i="10"/>
  <c r="AB282" i="10" s="1"/>
  <c r="Z282" i="10"/>
  <c r="Y282" i="10"/>
  <c r="X282" i="10"/>
  <c r="W282" i="10"/>
  <c r="V282" i="10"/>
  <c r="T282" i="10"/>
  <c r="U282" i="10" s="1"/>
  <c r="R282" i="10"/>
  <c r="Q282" i="10"/>
  <c r="P282" i="10"/>
  <c r="N282" i="10"/>
  <c r="AA281" i="10"/>
  <c r="AB281" i="10" s="1"/>
  <c r="Z281" i="10"/>
  <c r="Y281" i="10"/>
  <c r="X281" i="10"/>
  <c r="W281" i="10"/>
  <c r="V281" i="10"/>
  <c r="T281" i="10"/>
  <c r="U281" i="10" s="1"/>
  <c r="R281" i="10"/>
  <c r="Q281" i="10"/>
  <c r="P281" i="10"/>
  <c r="N281" i="10"/>
  <c r="AA280" i="10"/>
  <c r="AB280" i="10" s="1"/>
  <c r="Z280" i="10"/>
  <c r="Y280" i="10"/>
  <c r="X280" i="10"/>
  <c r="W280" i="10"/>
  <c r="V280" i="10"/>
  <c r="T280" i="10"/>
  <c r="U280" i="10" s="1"/>
  <c r="R280" i="10"/>
  <c r="Q280" i="10"/>
  <c r="P280" i="10"/>
  <c r="N280" i="10"/>
  <c r="Q279" i="10"/>
  <c r="AA278" i="10"/>
  <c r="AB278" i="10" s="1"/>
  <c r="Z278" i="10"/>
  <c r="Y278" i="10"/>
  <c r="X278" i="10"/>
  <c r="W278" i="10"/>
  <c r="V278" i="10"/>
  <c r="T278" i="10"/>
  <c r="U278" i="10" s="1"/>
  <c r="R278" i="10"/>
  <c r="Q278" i="10"/>
  <c r="P278" i="10"/>
  <c r="N278" i="10"/>
  <c r="AA277" i="10"/>
  <c r="AB277" i="10"/>
  <c r="Z277" i="10"/>
  <c r="Y277" i="10"/>
  <c r="X277" i="10"/>
  <c r="W277" i="10"/>
  <c r="V277" i="10"/>
  <c r="T277" i="10"/>
  <c r="U277" i="10" s="1"/>
  <c r="R277" i="10"/>
  <c r="Q277" i="10"/>
  <c r="P277" i="10"/>
  <c r="N277" i="10"/>
  <c r="AA276" i="10"/>
  <c r="AB276" i="10" s="1"/>
  <c r="Z276" i="10"/>
  <c r="Y276" i="10"/>
  <c r="X276" i="10"/>
  <c r="W276" i="10"/>
  <c r="V276" i="10"/>
  <c r="T276" i="10"/>
  <c r="U276" i="10"/>
  <c r="R276" i="10"/>
  <c r="Q276" i="10"/>
  <c r="P276" i="10"/>
  <c r="N276" i="10"/>
  <c r="AA275" i="10"/>
  <c r="AB275" i="10" s="1"/>
  <c r="Z275" i="10"/>
  <c r="Y275" i="10"/>
  <c r="X275" i="10"/>
  <c r="W275" i="10"/>
  <c r="V275" i="10"/>
  <c r="T275" i="10"/>
  <c r="U275" i="10" s="1"/>
  <c r="R275" i="10"/>
  <c r="Q275" i="10"/>
  <c r="P275" i="10"/>
  <c r="N275" i="10"/>
  <c r="AA274" i="10"/>
  <c r="AB274" i="10" s="1"/>
  <c r="Z274" i="10"/>
  <c r="Y274" i="10"/>
  <c r="X274" i="10"/>
  <c r="W274" i="10"/>
  <c r="V274" i="10"/>
  <c r="T274" i="10"/>
  <c r="U274" i="10" s="1"/>
  <c r="R274" i="10"/>
  <c r="Q274" i="10"/>
  <c r="P274" i="10"/>
  <c r="N274" i="10"/>
  <c r="Q273" i="10"/>
  <c r="AA272" i="10"/>
  <c r="AB272" i="10" s="1"/>
  <c r="Z272" i="10"/>
  <c r="Y272" i="10"/>
  <c r="X272" i="10"/>
  <c r="W272" i="10"/>
  <c r="V272" i="10"/>
  <c r="T272" i="10"/>
  <c r="U272" i="10" s="1"/>
  <c r="R272" i="10"/>
  <c r="Q272" i="10"/>
  <c r="P272" i="10"/>
  <c r="N272" i="10"/>
  <c r="AA271" i="10"/>
  <c r="AB271" i="10" s="1"/>
  <c r="Z271" i="10"/>
  <c r="Y271" i="10"/>
  <c r="X271" i="10"/>
  <c r="W271" i="10"/>
  <c r="V271" i="10"/>
  <c r="T271" i="10"/>
  <c r="U271" i="10"/>
  <c r="R271" i="10"/>
  <c r="Q271" i="10"/>
  <c r="P271" i="10"/>
  <c r="N271" i="10"/>
  <c r="AA270" i="10"/>
  <c r="AB270" i="10" s="1"/>
  <c r="Z270" i="10"/>
  <c r="Y270" i="10"/>
  <c r="X270" i="10"/>
  <c r="W270" i="10"/>
  <c r="V270" i="10"/>
  <c r="T270" i="10"/>
  <c r="U270" i="10" s="1"/>
  <c r="R270" i="10"/>
  <c r="Q270" i="10"/>
  <c r="P270" i="10"/>
  <c r="N270" i="10"/>
  <c r="AA269" i="10"/>
  <c r="AB269" i="10" s="1"/>
  <c r="Z269" i="10"/>
  <c r="Y269" i="10"/>
  <c r="X269" i="10"/>
  <c r="W269" i="10"/>
  <c r="V269" i="10"/>
  <c r="T269" i="10"/>
  <c r="U269" i="10" s="1"/>
  <c r="R269" i="10"/>
  <c r="Q269" i="10"/>
  <c r="P269" i="10"/>
  <c r="N269" i="10"/>
  <c r="AA268" i="10"/>
  <c r="AB268" i="10" s="1"/>
  <c r="Z268" i="10"/>
  <c r="Y268" i="10"/>
  <c r="X268" i="10"/>
  <c r="W268" i="10"/>
  <c r="V268" i="10"/>
  <c r="T268" i="10"/>
  <c r="U268" i="10" s="1"/>
  <c r="R268" i="10"/>
  <c r="Q268" i="10"/>
  <c r="P268" i="10"/>
  <c r="N268" i="10"/>
  <c r="AA267" i="10"/>
  <c r="AB267" i="10" s="1"/>
  <c r="Z267" i="10"/>
  <c r="Y267" i="10"/>
  <c r="X267" i="10"/>
  <c r="W267" i="10"/>
  <c r="V267" i="10"/>
  <c r="T267" i="10"/>
  <c r="U267" i="10" s="1"/>
  <c r="R267" i="10"/>
  <c r="Q267" i="10"/>
  <c r="P267" i="10"/>
  <c r="N267" i="10"/>
  <c r="AA266" i="10"/>
  <c r="AB266" i="10" s="1"/>
  <c r="Z266" i="10"/>
  <c r="Y266" i="10"/>
  <c r="X266" i="10"/>
  <c r="W266" i="10"/>
  <c r="V266" i="10"/>
  <c r="T266" i="10"/>
  <c r="U266" i="10" s="1"/>
  <c r="R266" i="10"/>
  <c r="Q266" i="10"/>
  <c r="P266" i="10"/>
  <c r="N266" i="10"/>
  <c r="AA265" i="10"/>
  <c r="AB265" i="10"/>
  <c r="Z265" i="10"/>
  <c r="Y265" i="10"/>
  <c r="X265" i="10"/>
  <c r="W265" i="10"/>
  <c r="V265" i="10"/>
  <c r="T265" i="10"/>
  <c r="U265" i="10" s="1"/>
  <c r="R265" i="10"/>
  <c r="Q265" i="10"/>
  <c r="P265" i="10"/>
  <c r="N265" i="10"/>
  <c r="Q264" i="10"/>
  <c r="AA263" i="10"/>
  <c r="AB263" i="10" s="1"/>
  <c r="Z263" i="10"/>
  <c r="Y263" i="10"/>
  <c r="X263" i="10"/>
  <c r="W263" i="10"/>
  <c r="V263" i="10"/>
  <c r="T263" i="10"/>
  <c r="U263" i="10"/>
  <c r="R263" i="10"/>
  <c r="Q263" i="10"/>
  <c r="P263" i="10"/>
  <c r="N263" i="10"/>
  <c r="AA262" i="10"/>
  <c r="AB262" i="10" s="1"/>
  <c r="Z262" i="10"/>
  <c r="Y262" i="10"/>
  <c r="X262" i="10"/>
  <c r="W262" i="10"/>
  <c r="V262" i="10"/>
  <c r="T262" i="10"/>
  <c r="U262" i="10" s="1"/>
  <c r="R262" i="10"/>
  <c r="Q262" i="10"/>
  <c r="P262" i="10"/>
  <c r="N262" i="10"/>
  <c r="AA261" i="10"/>
  <c r="AB261" i="10" s="1"/>
  <c r="Z261" i="10"/>
  <c r="Y261" i="10"/>
  <c r="X261" i="10"/>
  <c r="W261" i="10"/>
  <c r="V261" i="10"/>
  <c r="T261" i="10"/>
  <c r="U261" i="10" s="1"/>
  <c r="R261" i="10"/>
  <c r="Q261" i="10"/>
  <c r="P261" i="10"/>
  <c r="N261" i="10"/>
  <c r="AA260" i="10"/>
  <c r="AB260" i="10"/>
  <c r="Z260" i="10"/>
  <c r="Y260" i="10"/>
  <c r="X260" i="10"/>
  <c r="W260" i="10"/>
  <c r="V260" i="10"/>
  <c r="T260" i="10"/>
  <c r="U260" i="10" s="1"/>
  <c r="R260" i="10"/>
  <c r="Q260" i="10"/>
  <c r="P260" i="10"/>
  <c r="N260" i="10"/>
  <c r="AA259" i="10"/>
  <c r="AB259" i="10" s="1"/>
  <c r="Z259" i="10"/>
  <c r="Y259" i="10"/>
  <c r="X259" i="10"/>
  <c r="W259" i="10"/>
  <c r="V259" i="10"/>
  <c r="T259" i="10"/>
  <c r="U259" i="10"/>
  <c r="R259" i="10"/>
  <c r="Q259" i="10"/>
  <c r="P259" i="10"/>
  <c r="N259" i="10"/>
  <c r="AA258" i="10"/>
  <c r="AB258" i="10" s="1"/>
  <c r="Z258" i="10"/>
  <c r="Y258" i="10"/>
  <c r="X258" i="10"/>
  <c r="W258" i="10"/>
  <c r="V258" i="10"/>
  <c r="T258" i="10"/>
  <c r="U258" i="10" s="1"/>
  <c r="R258" i="10"/>
  <c r="Q258" i="10"/>
  <c r="P258" i="10"/>
  <c r="N258" i="10"/>
  <c r="AA257" i="10"/>
  <c r="AB257" i="10" s="1"/>
  <c r="Z257" i="10"/>
  <c r="Y257" i="10"/>
  <c r="X257" i="10"/>
  <c r="W257" i="10"/>
  <c r="V257" i="10"/>
  <c r="T257" i="10"/>
  <c r="U257" i="10" s="1"/>
  <c r="R257" i="10"/>
  <c r="Q257" i="10"/>
  <c r="P257" i="10"/>
  <c r="N257" i="10"/>
  <c r="AA256" i="10"/>
  <c r="AB256" i="10"/>
  <c r="Z256" i="10"/>
  <c r="Y256" i="10"/>
  <c r="X256" i="10"/>
  <c r="W256" i="10"/>
  <c r="V256" i="10"/>
  <c r="T256" i="10"/>
  <c r="U256" i="10" s="1"/>
  <c r="R256" i="10"/>
  <c r="Q256" i="10"/>
  <c r="P256" i="10"/>
  <c r="N256" i="10"/>
  <c r="AA255" i="10"/>
  <c r="AB255" i="10" s="1"/>
  <c r="Z255" i="10"/>
  <c r="Y255" i="10"/>
  <c r="X255" i="10"/>
  <c r="W255" i="10"/>
  <c r="V255" i="10"/>
  <c r="T255" i="10"/>
  <c r="U255" i="10"/>
  <c r="R255" i="10"/>
  <c r="Q255" i="10"/>
  <c r="P255" i="10"/>
  <c r="N255" i="10"/>
  <c r="AA254" i="10"/>
  <c r="AB254" i="10" s="1"/>
  <c r="Z254" i="10"/>
  <c r="Y254" i="10"/>
  <c r="X254" i="10"/>
  <c r="W254" i="10"/>
  <c r="V254" i="10"/>
  <c r="T254" i="10"/>
  <c r="U254" i="10" s="1"/>
  <c r="R254" i="10"/>
  <c r="Q254" i="10"/>
  <c r="P254" i="10"/>
  <c r="N254" i="10"/>
  <c r="AA253" i="10"/>
  <c r="AB253" i="10" s="1"/>
  <c r="Z253" i="10"/>
  <c r="Y253" i="10"/>
  <c r="X253" i="10"/>
  <c r="W253" i="10"/>
  <c r="V253" i="10"/>
  <c r="T253" i="10"/>
  <c r="U253" i="10" s="1"/>
  <c r="R253" i="10"/>
  <c r="Q253" i="10"/>
  <c r="P253" i="10"/>
  <c r="N253" i="10"/>
  <c r="AA252" i="10"/>
  <c r="AB252" i="10"/>
  <c r="Z252" i="10"/>
  <c r="Y252" i="10"/>
  <c r="X252" i="10"/>
  <c r="W252" i="10"/>
  <c r="V252" i="10"/>
  <c r="T252" i="10"/>
  <c r="U252" i="10" s="1"/>
  <c r="R252" i="10"/>
  <c r="Q252" i="10"/>
  <c r="P252" i="10"/>
  <c r="N252" i="10"/>
  <c r="AA251" i="10"/>
  <c r="AB251" i="10" s="1"/>
  <c r="Z251" i="10"/>
  <c r="Y251" i="10"/>
  <c r="X251" i="10"/>
  <c r="W251" i="10"/>
  <c r="V251" i="10"/>
  <c r="T251" i="10"/>
  <c r="U251" i="10"/>
  <c r="R251" i="10"/>
  <c r="Q251" i="10"/>
  <c r="P251" i="10"/>
  <c r="N251" i="10"/>
  <c r="AA250" i="10"/>
  <c r="AB250" i="10" s="1"/>
  <c r="Z250" i="10"/>
  <c r="Y250" i="10"/>
  <c r="X250" i="10"/>
  <c r="W250" i="10"/>
  <c r="V250" i="10"/>
  <c r="T250" i="10"/>
  <c r="U250" i="10" s="1"/>
  <c r="R250" i="10"/>
  <c r="Q250" i="10"/>
  <c r="P250" i="10"/>
  <c r="N250" i="10"/>
  <c r="AA249" i="10"/>
  <c r="AB249" i="10" s="1"/>
  <c r="Z249" i="10"/>
  <c r="Y249" i="10"/>
  <c r="X249" i="10"/>
  <c r="W249" i="10"/>
  <c r="V249" i="10"/>
  <c r="T249" i="10"/>
  <c r="U249" i="10" s="1"/>
  <c r="R249" i="10"/>
  <c r="Q249" i="10"/>
  <c r="P249" i="10"/>
  <c r="N249" i="10"/>
  <c r="AA248" i="10"/>
  <c r="AB248" i="10"/>
  <c r="Z248" i="10"/>
  <c r="Y248" i="10"/>
  <c r="X248" i="10"/>
  <c r="W248" i="10"/>
  <c r="V248" i="10"/>
  <c r="T248" i="10"/>
  <c r="U248" i="10" s="1"/>
  <c r="R248" i="10"/>
  <c r="Q248" i="10"/>
  <c r="P248" i="10"/>
  <c r="N248" i="10"/>
  <c r="AA247" i="10"/>
  <c r="AB247" i="10" s="1"/>
  <c r="Z247" i="10"/>
  <c r="Y247" i="10"/>
  <c r="X247" i="10"/>
  <c r="W247" i="10"/>
  <c r="V247" i="10"/>
  <c r="T247" i="10"/>
  <c r="U247" i="10"/>
  <c r="R247" i="10"/>
  <c r="Q247" i="10"/>
  <c r="P247" i="10"/>
  <c r="N247" i="10"/>
  <c r="AA246" i="10"/>
  <c r="AB246" i="10" s="1"/>
  <c r="Z246" i="10"/>
  <c r="Y246" i="10"/>
  <c r="X246" i="10"/>
  <c r="W246" i="10"/>
  <c r="V246" i="10"/>
  <c r="T246" i="10"/>
  <c r="U246" i="10" s="1"/>
  <c r="R246" i="10"/>
  <c r="Q246" i="10"/>
  <c r="P246" i="10"/>
  <c r="N246" i="10"/>
  <c r="AA245" i="10"/>
  <c r="AB245" i="10" s="1"/>
  <c r="Z245" i="10"/>
  <c r="Y245" i="10"/>
  <c r="X245" i="10"/>
  <c r="W245" i="10"/>
  <c r="V245" i="10"/>
  <c r="T245" i="10"/>
  <c r="U245" i="10" s="1"/>
  <c r="R245" i="10"/>
  <c r="Q245" i="10"/>
  <c r="P245" i="10"/>
  <c r="N245" i="10"/>
  <c r="AA244" i="10"/>
  <c r="AB244" i="10"/>
  <c r="Z244" i="10"/>
  <c r="Y244" i="10"/>
  <c r="X244" i="10"/>
  <c r="W244" i="10"/>
  <c r="V244" i="10"/>
  <c r="T244" i="10"/>
  <c r="U244" i="10" s="1"/>
  <c r="R244" i="10"/>
  <c r="Q244" i="10"/>
  <c r="P244" i="10"/>
  <c r="N244" i="10"/>
  <c r="AA243" i="10"/>
  <c r="AB243" i="10" s="1"/>
  <c r="Z243" i="10"/>
  <c r="Y243" i="10"/>
  <c r="X243" i="10"/>
  <c r="W243" i="10"/>
  <c r="V243" i="10"/>
  <c r="T243" i="10"/>
  <c r="U243" i="10"/>
  <c r="R243" i="10"/>
  <c r="Q243" i="10"/>
  <c r="P243" i="10"/>
  <c r="N243" i="10"/>
  <c r="AA242" i="10"/>
  <c r="AB242" i="10" s="1"/>
  <c r="Z242" i="10"/>
  <c r="Y242" i="10"/>
  <c r="X242" i="10"/>
  <c r="W242" i="10"/>
  <c r="V242" i="10"/>
  <c r="T242" i="10"/>
  <c r="U242" i="10" s="1"/>
  <c r="R242" i="10"/>
  <c r="Q242" i="10"/>
  <c r="P242" i="10"/>
  <c r="N242" i="10"/>
  <c r="AA241" i="10"/>
  <c r="AB241" i="10" s="1"/>
  <c r="Z241" i="10"/>
  <c r="Y241" i="10"/>
  <c r="X241" i="10"/>
  <c r="W241" i="10"/>
  <c r="V241" i="10"/>
  <c r="T241" i="10"/>
  <c r="U241" i="10" s="1"/>
  <c r="R241" i="10"/>
  <c r="Q241" i="10"/>
  <c r="P241" i="10"/>
  <c r="N241" i="10"/>
  <c r="AA240" i="10"/>
  <c r="AB240" i="10"/>
  <c r="Z240" i="10"/>
  <c r="Y240" i="10"/>
  <c r="X240" i="10"/>
  <c r="W240" i="10"/>
  <c r="V240" i="10"/>
  <c r="T240" i="10"/>
  <c r="U240" i="10" s="1"/>
  <c r="R240" i="10"/>
  <c r="Q240" i="10"/>
  <c r="P240" i="10"/>
  <c r="N240" i="10"/>
  <c r="AA239" i="10"/>
  <c r="AB239" i="10" s="1"/>
  <c r="Z239" i="10"/>
  <c r="Y239" i="10"/>
  <c r="X239" i="10"/>
  <c r="W239" i="10"/>
  <c r="V239" i="10"/>
  <c r="T239" i="10"/>
  <c r="U239" i="10"/>
  <c r="R239" i="10"/>
  <c r="Q239" i="10"/>
  <c r="P239" i="10"/>
  <c r="N239" i="10"/>
  <c r="AA238" i="10"/>
  <c r="AB238" i="10" s="1"/>
  <c r="Z238" i="10"/>
  <c r="Y238" i="10"/>
  <c r="X238" i="10"/>
  <c r="W238" i="10"/>
  <c r="V238" i="10"/>
  <c r="T238" i="10"/>
  <c r="U238" i="10" s="1"/>
  <c r="R238" i="10"/>
  <c r="Q238" i="10"/>
  <c r="P238" i="10"/>
  <c r="N238" i="10"/>
  <c r="AA237" i="10"/>
  <c r="AB237" i="10" s="1"/>
  <c r="Z237" i="10"/>
  <c r="Y237" i="10"/>
  <c r="X237" i="10"/>
  <c r="W237" i="10"/>
  <c r="V237" i="10"/>
  <c r="T237" i="10"/>
  <c r="U237" i="10" s="1"/>
  <c r="R237" i="10"/>
  <c r="Q237" i="10"/>
  <c r="P237" i="10"/>
  <c r="N237" i="10"/>
  <c r="AA236" i="10"/>
  <c r="AB236" i="10"/>
  <c r="Z236" i="10"/>
  <c r="Y236" i="10"/>
  <c r="X236" i="10"/>
  <c r="W236" i="10"/>
  <c r="V236" i="10"/>
  <c r="T236" i="10"/>
  <c r="U236" i="10" s="1"/>
  <c r="R236" i="10"/>
  <c r="Q236" i="10"/>
  <c r="P236" i="10"/>
  <c r="N236" i="10"/>
  <c r="AA235" i="10"/>
  <c r="AB235" i="10" s="1"/>
  <c r="Z235" i="10"/>
  <c r="Y235" i="10"/>
  <c r="X235" i="10"/>
  <c r="W235" i="10"/>
  <c r="V235" i="10"/>
  <c r="T235" i="10"/>
  <c r="U235" i="10"/>
  <c r="R235" i="10"/>
  <c r="Q235" i="10"/>
  <c r="P235" i="10"/>
  <c r="N235" i="10"/>
  <c r="AA234" i="10"/>
  <c r="AB234" i="10" s="1"/>
  <c r="Z234" i="10"/>
  <c r="Y234" i="10"/>
  <c r="X234" i="10"/>
  <c r="W234" i="10"/>
  <c r="V234" i="10"/>
  <c r="T234" i="10"/>
  <c r="U234" i="10" s="1"/>
  <c r="R234" i="10"/>
  <c r="Q234" i="10"/>
  <c r="P234" i="10"/>
  <c r="N234" i="10"/>
  <c r="AA233" i="10"/>
  <c r="AB233" i="10" s="1"/>
  <c r="Z233" i="10"/>
  <c r="Y233" i="10"/>
  <c r="X233" i="10"/>
  <c r="W233" i="10"/>
  <c r="V233" i="10"/>
  <c r="T233" i="10"/>
  <c r="U233" i="10" s="1"/>
  <c r="R233" i="10"/>
  <c r="Q233" i="10"/>
  <c r="P233" i="10"/>
  <c r="N233" i="10"/>
  <c r="AA232" i="10"/>
  <c r="AB232" i="10"/>
  <c r="Z232" i="10"/>
  <c r="Y232" i="10"/>
  <c r="X232" i="10"/>
  <c r="W232" i="10"/>
  <c r="V232" i="10"/>
  <c r="T232" i="10"/>
  <c r="U232" i="10" s="1"/>
  <c r="R232" i="10"/>
  <c r="Q232" i="10"/>
  <c r="P232" i="10"/>
  <c r="N232" i="10"/>
  <c r="AA231" i="10"/>
  <c r="AB231" i="10" s="1"/>
  <c r="Z231" i="10"/>
  <c r="Y231" i="10"/>
  <c r="X231" i="10"/>
  <c r="W231" i="10"/>
  <c r="V231" i="10"/>
  <c r="T231" i="10"/>
  <c r="U231" i="10"/>
  <c r="R231" i="10"/>
  <c r="Q231" i="10"/>
  <c r="P231" i="10"/>
  <c r="N231" i="10"/>
  <c r="AA230" i="10"/>
  <c r="AB230" i="10" s="1"/>
  <c r="Z230" i="10"/>
  <c r="Y230" i="10"/>
  <c r="X230" i="10"/>
  <c r="W230" i="10"/>
  <c r="V230" i="10"/>
  <c r="T230" i="10"/>
  <c r="U230" i="10" s="1"/>
  <c r="R230" i="10"/>
  <c r="Q230" i="10"/>
  <c r="P230" i="10"/>
  <c r="N230" i="10"/>
  <c r="AA229" i="10"/>
  <c r="AB229" i="10" s="1"/>
  <c r="Z229" i="10"/>
  <c r="Y229" i="10"/>
  <c r="X229" i="10"/>
  <c r="W229" i="10"/>
  <c r="V229" i="10"/>
  <c r="T229" i="10"/>
  <c r="U229" i="10" s="1"/>
  <c r="R229" i="10"/>
  <c r="Q229" i="10"/>
  <c r="P229" i="10"/>
  <c r="N229" i="10"/>
  <c r="AA228" i="10"/>
  <c r="AB228" i="10"/>
  <c r="Z228" i="10"/>
  <c r="Y228" i="10"/>
  <c r="X228" i="10"/>
  <c r="W228" i="10"/>
  <c r="V228" i="10"/>
  <c r="T228" i="10"/>
  <c r="U228" i="10" s="1"/>
  <c r="R228" i="10"/>
  <c r="Q228" i="10"/>
  <c r="P228" i="10"/>
  <c r="N228" i="10"/>
  <c r="AA227" i="10"/>
  <c r="AB227" i="10" s="1"/>
  <c r="Z227" i="10"/>
  <c r="Y227" i="10"/>
  <c r="X227" i="10"/>
  <c r="W227" i="10"/>
  <c r="V227" i="10"/>
  <c r="T227" i="10"/>
  <c r="U227" i="10"/>
  <c r="R227" i="10"/>
  <c r="Q227" i="10"/>
  <c r="P227" i="10"/>
  <c r="N227" i="10"/>
  <c r="AA226" i="10"/>
  <c r="AB226" i="10" s="1"/>
  <c r="Z226" i="10"/>
  <c r="Y226" i="10"/>
  <c r="X226" i="10"/>
  <c r="W226" i="10"/>
  <c r="V226" i="10"/>
  <c r="T226" i="10"/>
  <c r="U226" i="10" s="1"/>
  <c r="R226" i="10"/>
  <c r="Q226" i="10"/>
  <c r="P226" i="10"/>
  <c r="N226" i="10"/>
  <c r="AA225" i="10"/>
  <c r="AB225" i="10" s="1"/>
  <c r="Z225" i="10"/>
  <c r="Y225" i="10"/>
  <c r="X225" i="10"/>
  <c r="W225" i="10"/>
  <c r="V225" i="10"/>
  <c r="T225" i="10"/>
  <c r="U225" i="10" s="1"/>
  <c r="R225" i="10"/>
  <c r="Q225" i="10"/>
  <c r="P225" i="10"/>
  <c r="N225" i="10"/>
  <c r="AA224" i="10"/>
  <c r="AB224" i="10"/>
  <c r="Z224" i="10"/>
  <c r="Y224" i="10"/>
  <c r="X224" i="10"/>
  <c r="W224" i="10"/>
  <c r="V224" i="10"/>
  <c r="T224" i="10"/>
  <c r="U224" i="10" s="1"/>
  <c r="R224" i="10"/>
  <c r="Q224" i="10"/>
  <c r="P224" i="10"/>
  <c r="N224" i="10"/>
  <c r="AA223" i="10"/>
  <c r="AB223" i="10" s="1"/>
  <c r="Z223" i="10"/>
  <c r="Y223" i="10"/>
  <c r="X223" i="10"/>
  <c r="W223" i="10"/>
  <c r="V223" i="10"/>
  <c r="T223" i="10"/>
  <c r="U223" i="10"/>
  <c r="R223" i="10"/>
  <c r="Q223" i="10"/>
  <c r="P223" i="10"/>
  <c r="N223" i="10"/>
  <c r="AA222" i="10"/>
  <c r="AB222" i="10" s="1"/>
  <c r="Z222" i="10"/>
  <c r="Y222" i="10"/>
  <c r="X222" i="10"/>
  <c r="W222" i="10"/>
  <c r="V222" i="10"/>
  <c r="T222" i="10"/>
  <c r="U222" i="10" s="1"/>
  <c r="R222" i="10"/>
  <c r="Q222" i="10"/>
  <c r="P222" i="10"/>
  <c r="N222" i="10"/>
  <c r="AA221" i="10"/>
  <c r="AB221" i="10" s="1"/>
  <c r="Z221" i="10"/>
  <c r="Y221" i="10"/>
  <c r="X221" i="10"/>
  <c r="W221" i="10"/>
  <c r="V221" i="10"/>
  <c r="T221" i="10"/>
  <c r="U221" i="10" s="1"/>
  <c r="R221" i="10"/>
  <c r="Q221" i="10"/>
  <c r="P221" i="10"/>
  <c r="N221" i="10"/>
  <c r="AA220" i="10"/>
  <c r="AB220" i="10"/>
  <c r="Z220" i="10"/>
  <c r="Y220" i="10"/>
  <c r="X220" i="10"/>
  <c r="W220" i="10"/>
  <c r="V220" i="10"/>
  <c r="T220" i="10"/>
  <c r="U220" i="10" s="1"/>
  <c r="R220" i="10"/>
  <c r="Q220" i="10"/>
  <c r="P220" i="10"/>
  <c r="N220" i="10"/>
  <c r="AA219" i="10"/>
  <c r="AB219" i="10" s="1"/>
  <c r="Z219" i="10"/>
  <c r="Y219" i="10"/>
  <c r="X219" i="10"/>
  <c r="W219" i="10"/>
  <c r="V219" i="10"/>
  <c r="T219" i="10"/>
  <c r="U219" i="10"/>
  <c r="R219" i="10"/>
  <c r="Q219" i="10"/>
  <c r="P219" i="10"/>
  <c r="N219" i="10"/>
  <c r="AA218" i="10"/>
  <c r="AB218" i="10" s="1"/>
  <c r="Z218" i="10"/>
  <c r="Y218" i="10"/>
  <c r="X218" i="10"/>
  <c r="W218" i="10"/>
  <c r="V218" i="10"/>
  <c r="T218" i="10"/>
  <c r="U218" i="10" s="1"/>
  <c r="R218" i="10"/>
  <c r="Q218" i="10"/>
  <c r="P218" i="10"/>
  <c r="N218" i="10"/>
  <c r="AA217" i="10"/>
  <c r="AB217" i="10" s="1"/>
  <c r="Z217" i="10"/>
  <c r="Y217" i="10"/>
  <c r="X217" i="10"/>
  <c r="W217" i="10"/>
  <c r="V217" i="10"/>
  <c r="T217" i="10"/>
  <c r="U217" i="10" s="1"/>
  <c r="R217" i="10"/>
  <c r="Q217" i="10"/>
  <c r="P217" i="10"/>
  <c r="N217" i="10"/>
  <c r="AA216" i="10"/>
  <c r="AB216" i="10"/>
  <c r="Z216" i="10"/>
  <c r="Y216" i="10"/>
  <c r="X216" i="10"/>
  <c r="W216" i="10"/>
  <c r="V216" i="10"/>
  <c r="T216" i="10"/>
  <c r="U216" i="10" s="1"/>
  <c r="R216" i="10"/>
  <c r="Q216" i="10"/>
  <c r="P216" i="10"/>
  <c r="N216" i="10"/>
  <c r="AA215" i="10"/>
  <c r="AB215" i="10" s="1"/>
  <c r="Z215" i="10"/>
  <c r="Y215" i="10"/>
  <c r="X215" i="10"/>
  <c r="W215" i="10"/>
  <c r="V215" i="10"/>
  <c r="T215" i="10"/>
  <c r="U215" i="10"/>
  <c r="R215" i="10"/>
  <c r="Q215" i="10"/>
  <c r="P215" i="10"/>
  <c r="N215" i="10"/>
  <c r="AA214" i="10"/>
  <c r="AB214" i="10" s="1"/>
  <c r="Z214" i="10"/>
  <c r="Y214" i="10"/>
  <c r="X214" i="10"/>
  <c r="W214" i="10"/>
  <c r="V214" i="10"/>
  <c r="T214" i="10"/>
  <c r="U214" i="10" s="1"/>
  <c r="R214" i="10"/>
  <c r="Q214" i="10"/>
  <c r="P214" i="10"/>
  <c r="N214" i="10"/>
  <c r="AA213" i="10"/>
  <c r="AB213" i="10" s="1"/>
  <c r="Z213" i="10"/>
  <c r="Y213" i="10"/>
  <c r="X213" i="10"/>
  <c r="W213" i="10"/>
  <c r="V213" i="10"/>
  <c r="T213" i="10"/>
  <c r="U213" i="10" s="1"/>
  <c r="R213" i="10"/>
  <c r="Q213" i="10"/>
  <c r="P213" i="10"/>
  <c r="N213" i="10"/>
  <c r="AA212" i="10"/>
  <c r="AB212" i="10"/>
  <c r="Z212" i="10"/>
  <c r="Y212" i="10"/>
  <c r="X212" i="10"/>
  <c r="W212" i="10"/>
  <c r="V212" i="10"/>
  <c r="T212" i="10"/>
  <c r="U212" i="10" s="1"/>
  <c r="R212" i="10"/>
  <c r="Q212" i="10"/>
  <c r="P212" i="10"/>
  <c r="N212" i="10"/>
  <c r="AA211" i="10"/>
  <c r="AB211" i="10" s="1"/>
  <c r="Z211" i="10"/>
  <c r="Y211" i="10"/>
  <c r="X211" i="10"/>
  <c r="W211" i="10"/>
  <c r="V211" i="10"/>
  <c r="T211" i="10"/>
  <c r="U211" i="10"/>
  <c r="R211" i="10"/>
  <c r="Q211" i="10"/>
  <c r="P211" i="10"/>
  <c r="N211" i="10"/>
  <c r="AA210" i="10"/>
  <c r="AB210" i="10" s="1"/>
  <c r="Z210" i="10"/>
  <c r="Y210" i="10"/>
  <c r="X210" i="10"/>
  <c r="W210" i="10"/>
  <c r="V210" i="10"/>
  <c r="T210" i="10"/>
  <c r="U210" i="10" s="1"/>
  <c r="R210" i="10"/>
  <c r="Q210" i="10"/>
  <c r="P210" i="10"/>
  <c r="N210" i="10"/>
  <c r="AA209" i="10"/>
  <c r="AB209" i="10" s="1"/>
  <c r="Z209" i="10"/>
  <c r="Y209" i="10"/>
  <c r="X209" i="10"/>
  <c r="W209" i="10"/>
  <c r="V209" i="10"/>
  <c r="T209" i="10"/>
  <c r="U209" i="10" s="1"/>
  <c r="R209" i="10"/>
  <c r="Q209" i="10"/>
  <c r="P209" i="10"/>
  <c r="N209" i="10"/>
  <c r="AA208" i="10"/>
  <c r="AB208" i="10"/>
  <c r="Z208" i="10"/>
  <c r="Y208" i="10"/>
  <c r="X208" i="10"/>
  <c r="W208" i="10"/>
  <c r="V208" i="10"/>
  <c r="T208" i="10"/>
  <c r="U208" i="10" s="1"/>
  <c r="R208" i="10"/>
  <c r="Q208" i="10"/>
  <c r="P208" i="10"/>
  <c r="N208" i="10"/>
  <c r="AA207" i="10"/>
  <c r="AB207" i="10" s="1"/>
  <c r="Z207" i="10"/>
  <c r="Y207" i="10"/>
  <c r="X207" i="10"/>
  <c r="W207" i="10"/>
  <c r="V207" i="10"/>
  <c r="T207" i="10"/>
  <c r="U207" i="10"/>
  <c r="R207" i="10"/>
  <c r="Q207" i="10"/>
  <c r="P207" i="10"/>
  <c r="N207" i="10"/>
  <c r="AA206" i="10"/>
  <c r="AB206" i="10" s="1"/>
  <c r="Z206" i="10"/>
  <c r="Y206" i="10"/>
  <c r="X206" i="10"/>
  <c r="W206" i="10"/>
  <c r="V206" i="10"/>
  <c r="T206" i="10"/>
  <c r="U206" i="10" s="1"/>
  <c r="R206" i="10"/>
  <c r="Q206" i="10"/>
  <c r="P206" i="10"/>
  <c r="N206" i="10"/>
  <c r="AA205" i="10"/>
  <c r="AB205" i="10" s="1"/>
  <c r="Z205" i="10"/>
  <c r="Y205" i="10"/>
  <c r="X205" i="10"/>
  <c r="W205" i="10"/>
  <c r="V205" i="10"/>
  <c r="T205" i="10"/>
  <c r="U205" i="10" s="1"/>
  <c r="R205" i="10"/>
  <c r="Q205" i="10"/>
  <c r="P205" i="10"/>
  <c r="N205" i="10"/>
  <c r="AA204" i="10"/>
  <c r="AB204" i="10"/>
  <c r="Z204" i="10"/>
  <c r="Y204" i="10"/>
  <c r="X204" i="10"/>
  <c r="W204" i="10"/>
  <c r="V204" i="10"/>
  <c r="T204" i="10"/>
  <c r="U204" i="10" s="1"/>
  <c r="R204" i="10"/>
  <c r="Q204" i="10"/>
  <c r="P204" i="10"/>
  <c r="N204" i="10"/>
  <c r="AA203" i="10"/>
  <c r="AB203" i="10" s="1"/>
  <c r="Z203" i="10"/>
  <c r="Y203" i="10"/>
  <c r="X203" i="10"/>
  <c r="W203" i="10"/>
  <c r="V203" i="10"/>
  <c r="T203" i="10"/>
  <c r="U203" i="10"/>
  <c r="R203" i="10"/>
  <c r="Q203" i="10"/>
  <c r="P203" i="10"/>
  <c r="N203" i="10"/>
  <c r="AA202" i="10"/>
  <c r="AB202" i="10" s="1"/>
  <c r="Z202" i="10"/>
  <c r="Y202" i="10"/>
  <c r="X202" i="10"/>
  <c r="W202" i="10"/>
  <c r="V202" i="10"/>
  <c r="T202" i="10"/>
  <c r="U202" i="10" s="1"/>
  <c r="R202" i="10"/>
  <c r="Q202" i="10"/>
  <c r="P202" i="10"/>
  <c r="N202" i="10"/>
  <c r="AA201" i="10"/>
  <c r="AB201" i="10" s="1"/>
  <c r="Z201" i="10"/>
  <c r="Y201" i="10"/>
  <c r="X201" i="10"/>
  <c r="W201" i="10"/>
  <c r="V201" i="10"/>
  <c r="T201" i="10"/>
  <c r="U201" i="10" s="1"/>
  <c r="R201" i="10"/>
  <c r="Q201" i="10"/>
  <c r="P201" i="10"/>
  <c r="N201" i="10"/>
  <c r="AA200" i="10"/>
  <c r="AB200" i="10"/>
  <c r="Z200" i="10"/>
  <c r="Y200" i="10"/>
  <c r="X200" i="10"/>
  <c r="W200" i="10"/>
  <c r="V200" i="10"/>
  <c r="T200" i="10"/>
  <c r="U200" i="10" s="1"/>
  <c r="R200" i="10"/>
  <c r="Q200" i="10"/>
  <c r="P200" i="10"/>
  <c r="N200" i="10"/>
  <c r="AA199" i="10"/>
  <c r="AB199" i="10" s="1"/>
  <c r="Z199" i="10"/>
  <c r="Y199" i="10"/>
  <c r="X199" i="10"/>
  <c r="W199" i="10"/>
  <c r="V199" i="10"/>
  <c r="T199" i="10"/>
  <c r="U199" i="10" s="1"/>
  <c r="R199" i="10"/>
  <c r="Q199" i="10"/>
  <c r="P199" i="10"/>
  <c r="N199" i="10"/>
  <c r="AA198" i="10"/>
  <c r="AB198" i="10" s="1"/>
  <c r="Z198" i="10"/>
  <c r="Y198" i="10"/>
  <c r="X198" i="10"/>
  <c r="W198" i="10"/>
  <c r="V198" i="10"/>
  <c r="T198" i="10"/>
  <c r="U198" i="10" s="1"/>
  <c r="R198" i="10"/>
  <c r="Q198" i="10"/>
  <c r="P198" i="10"/>
  <c r="N198" i="10"/>
  <c r="AA197" i="10"/>
  <c r="AB197" i="10" s="1"/>
  <c r="Z197" i="10"/>
  <c r="Y197" i="10"/>
  <c r="X197" i="10"/>
  <c r="W197" i="10"/>
  <c r="V197" i="10"/>
  <c r="T197" i="10"/>
  <c r="U197" i="10" s="1"/>
  <c r="R197" i="10"/>
  <c r="Q197" i="10"/>
  <c r="P197" i="10"/>
  <c r="N197" i="10"/>
  <c r="AA196" i="10"/>
  <c r="AB196" i="10"/>
  <c r="Z196" i="10"/>
  <c r="Y196" i="10"/>
  <c r="X196" i="10"/>
  <c r="W196" i="10"/>
  <c r="V196" i="10"/>
  <c r="T196" i="10"/>
  <c r="U196" i="10" s="1"/>
  <c r="R196" i="10"/>
  <c r="Q196" i="10"/>
  <c r="P196" i="10"/>
  <c r="N196" i="10"/>
  <c r="AA195" i="10"/>
  <c r="AB195" i="10" s="1"/>
  <c r="Z195" i="10"/>
  <c r="Y195" i="10"/>
  <c r="X195" i="10"/>
  <c r="W195" i="10"/>
  <c r="V195" i="10"/>
  <c r="T195" i="10"/>
  <c r="U195" i="10" s="1"/>
  <c r="R195" i="10"/>
  <c r="Q195" i="10"/>
  <c r="P195" i="10"/>
  <c r="N195" i="10"/>
  <c r="AA194" i="10"/>
  <c r="AB194" i="10" s="1"/>
  <c r="Z194" i="10"/>
  <c r="Y194" i="10"/>
  <c r="X194" i="10"/>
  <c r="W194" i="10"/>
  <c r="V194" i="10"/>
  <c r="T194" i="10"/>
  <c r="U194" i="10"/>
  <c r="R194" i="10"/>
  <c r="Q194" i="10"/>
  <c r="P194" i="10"/>
  <c r="N194" i="10"/>
  <c r="AA193" i="10"/>
  <c r="AB193" i="10" s="1"/>
  <c r="Z193" i="10"/>
  <c r="Y193" i="10"/>
  <c r="X193" i="10"/>
  <c r="W193" i="10"/>
  <c r="V193" i="10"/>
  <c r="T193" i="10"/>
  <c r="U193" i="10" s="1"/>
  <c r="R193" i="10"/>
  <c r="Q193" i="10"/>
  <c r="P193" i="10"/>
  <c r="N193" i="10"/>
  <c r="AA192" i="10"/>
  <c r="AB192" i="10" s="1"/>
  <c r="Z192" i="10"/>
  <c r="Y192" i="10"/>
  <c r="X192" i="10"/>
  <c r="W192" i="10"/>
  <c r="V192" i="10"/>
  <c r="T192" i="10"/>
  <c r="U192" i="10"/>
  <c r="R192" i="10"/>
  <c r="Q192" i="10"/>
  <c r="P192" i="10"/>
  <c r="N192" i="10"/>
  <c r="AA191" i="10"/>
  <c r="AB191" i="10" s="1"/>
  <c r="Z191" i="10"/>
  <c r="Y191" i="10"/>
  <c r="X191" i="10"/>
  <c r="W191" i="10"/>
  <c r="V191" i="10"/>
  <c r="T191" i="10"/>
  <c r="U191" i="10" s="1"/>
  <c r="R191" i="10"/>
  <c r="Q191" i="10"/>
  <c r="P191" i="10"/>
  <c r="N191" i="10"/>
  <c r="AA190" i="10"/>
  <c r="AB190" i="10" s="1"/>
  <c r="Z190" i="10"/>
  <c r="Y190" i="10"/>
  <c r="X190" i="10"/>
  <c r="W190" i="10"/>
  <c r="V190" i="10"/>
  <c r="T190" i="10"/>
  <c r="U190" i="10" s="1"/>
  <c r="R190" i="10"/>
  <c r="Q190" i="10"/>
  <c r="P190" i="10"/>
  <c r="N190" i="10"/>
  <c r="AA189" i="10"/>
  <c r="AB189" i="10"/>
  <c r="Z189" i="10"/>
  <c r="Y189" i="10"/>
  <c r="X189" i="10"/>
  <c r="W189" i="10"/>
  <c r="V189" i="10"/>
  <c r="T189" i="10"/>
  <c r="U189" i="10" s="1"/>
  <c r="R189" i="10"/>
  <c r="Q189" i="10"/>
  <c r="P189" i="10"/>
  <c r="N189" i="10"/>
  <c r="AA188" i="10"/>
  <c r="AB188" i="10" s="1"/>
  <c r="Z188" i="10"/>
  <c r="Y188" i="10"/>
  <c r="X188" i="10"/>
  <c r="W188" i="10"/>
  <c r="V188" i="10"/>
  <c r="T188" i="10"/>
  <c r="U188" i="10"/>
  <c r="R188" i="10"/>
  <c r="Q188" i="10"/>
  <c r="P188" i="10"/>
  <c r="N188" i="10"/>
  <c r="AA187" i="10"/>
  <c r="AB187" i="10" s="1"/>
  <c r="Z187" i="10"/>
  <c r="Y187" i="10"/>
  <c r="X187" i="10"/>
  <c r="W187" i="10"/>
  <c r="V187" i="10"/>
  <c r="T187" i="10"/>
  <c r="U187" i="10" s="1"/>
  <c r="R187" i="10"/>
  <c r="Q187" i="10"/>
  <c r="P187" i="10"/>
  <c r="N187" i="10"/>
  <c r="AA186" i="10"/>
  <c r="AB186" i="10" s="1"/>
  <c r="Z186" i="10"/>
  <c r="Y186" i="10"/>
  <c r="X186" i="10"/>
  <c r="W186" i="10"/>
  <c r="V186" i="10"/>
  <c r="T186" i="10"/>
  <c r="U186" i="10" s="1"/>
  <c r="R186" i="10"/>
  <c r="Q186" i="10"/>
  <c r="P186" i="10"/>
  <c r="N186" i="10"/>
  <c r="AA185" i="10"/>
  <c r="AB185" i="10"/>
  <c r="Z185" i="10"/>
  <c r="Y185" i="10"/>
  <c r="X185" i="10"/>
  <c r="W185" i="10"/>
  <c r="V185" i="10"/>
  <c r="T185" i="10"/>
  <c r="U185" i="10" s="1"/>
  <c r="R185" i="10"/>
  <c r="Q185" i="10"/>
  <c r="P185" i="10"/>
  <c r="N185" i="10"/>
  <c r="AA184" i="10"/>
  <c r="AB184" i="10" s="1"/>
  <c r="Z184" i="10"/>
  <c r="Y184" i="10"/>
  <c r="X184" i="10"/>
  <c r="W184" i="10"/>
  <c r="V184" i="10"/>
  <c r="T184" i="10"/>
  <c r="U184" i="10" s="1"/>
  <c r="R184" i="10"/>
  <c r="Q184" i="10"/>
  <c r="P184" i="10"/>
  <c r="N184" i="10"/>
  <c r="AA183" i="10"/>
  <c r="AB183" i="10"/>
  <c r="Z183" i="10"/>
  <c r="Y183" i="10"/>
  <c r="X183" i="10"/>
  <c r="W183" i="10"/>
  <c r="V183" i="10"/>
  <c r="T183" i="10"/>
  <c r="U183" i="10" s="1"/>
  <c r="R183" i="10"/>
  <c r="Q183" i="10"/>
  <c r="P183" i="10"/>
  <c r="N183" i="10"/>
  <c r="AA182" i="10"/>
  <c r="AB182" i="10" s="1"/>
  <c r="Z182" i="10"/>
  <c r="Y182" i="10"/>
  <c r="X182" i="10"/>
  <c r="W182" i="10"/>
  <c r="V182" i="10"/>
  <c r="T182" i="10"/>
  <c r="U182" i="10" s="1"/>
  <c r="R182" i="10"/>
  <c r="Q182" i="10"/>
  <c r="P182" i="10"/>
  <c r="N182" i="10"/>
  <c r="AA181" i="10"/>
  <c r="AB181" i="10"/>
  <c r="Z181" i="10"/>
  <c r="Y181" i="10"/>
  <c r="X181" i="10"/>
  <c r="W181" i="10"/>
  <c r="V181" i="10"/>
  <c r="T181" i="10"/>
  <c r="U181" i="10" s="1"/>
  <c r="R181" i="10"/>
  <c r="Q181" i="10"/>
  <c r="P181" i="10"/>
  <c r="N181" i="10"/>
  <c r="AA180" i="10"/>
  <c r="AB180" i="10" s="1"/>
  <c r="Z180" i="10"/>
  <c r="Y180" i="10"/>
  <c r="X180" i="10"/>
  <c r="W180" i="10"/>
  <c r="V180" i="10"/>
  <c r="T180" i="10"/>
  <c r="U180" i="10"/>
  <c r="R180" i="10"/>
  <c r="Q180" i="10"/>
  <c r="P180" i="10"/>
  <c r="N180" i="10"/>
  <c r="Q179" i="10"/>
  <c r="AA178" i="10"/>
  <c r="AB178" i="10" s="1"/>
  <c r="Z178" i="10"/>
  <c r="Y178" i="10"/>
  <c r="X178" i="10"/>
  <c r="W178" i="10"/>
  <c r="V178" i="10"/>
  <c r="T178" i="10"/>
  <c r="U178" i="10" s="1"/>
  <c r="R178" i="10"/>
  <c r="Q178" i="10"/>
  <c r="P178" i="10"/>
  <c r="N178" i="10"/>
  <c r="AA177" i="10"/>
  <c r="AB177" i="10"/>
  <c r="Z177" i="10"/>
  <c r="Y177" i="10"/>
  <c r="X177" i="10"/>
  <c r="W177" i="10"/>
  <c r="V177" i="10"/>
  <c r="T177" i="10"/>
  <c r="U177" i="10" s="1"/>
  <c r="R177" i="10"/>
  <c r="Q177" i="10"/>
  <c r="P177" i="10"/>
  <c r="N177" i="10"/>
  <c r="AA176" i="10"/>
  <c r="AB176" i="10" s="1"/>
  <c r="Z176" i="10"/>
  <c r="Y176" i="10"/>
  <c r="X176" i="10"/>
  <c r="W176" i="10"/>
  <c r="V176" i="10"/>
  <c r="T176" i="10"/>
  <c r="U176" i="10" s="1"/>
  <c r="R176" i="10"/>
  <c r="Q176" i="10"/>
  <c r="P176" i="10"/>
  <c r="N176" i="10"/>
  <c r="AA175" i="10"/>
  <c r="AB175" i="10"/>
  <c r="Z175" i="10"/>
  <c r="Y175" i="10"/>
  <c r="X175" i="10"/>
  <c r="W175" i="10"/>
  <c r="V175" i="10"/>
  <c r="T175" i="10"/>
  <c r="U175" i="10" s="1"/>
  <c r="R175" i="10"/>
  <c r="Q175" i="10"/>
  <c r="P175" i="10"/>
  <c r="N175" i="10"/>
  <c r="AA174" i="10"/>
  <c r="AB174" i="10" s="1"/>
  <c r="Z174" i="10"/>
  <c r="Y174" i="10"/>
  <c r="X174" i="10"/>
  <c r="W174" i="10"/>
  <c r="V174" i="10"/>
  <c r="T174" i="10"/>
  <c r="U174" i="10" s="1"/>
  <c r="R174" i="10"/>
  <c r="Q174" i="10"/>
  <c r="P174" i="10"/>
  <c r="N174" i="10"/>
  <c r="AA173" i="10"/>
  <c r="AB173" i="10"/>
  <c r="Z173" i="10"/>
  <c r="Y173" i="10"/>
  <c r="X173" i="10"/>
  <c r="W173" i="10"/>
  <c r="V173" i="10"/>
  <c r="T173" i="10"/>
  <c r="U173" i="10" s="1"/>
  <c r="R173" i="10"/>
  <c r="Q173" i="10"/>
  <c r="P173" i="10"/>
  <c r="N173" i="10"/>
  <c r="AA172" i="10"/>
  <c r="AB172" i="10" s="1"/>
  <c r="Z172" i="10"/>
  <c r="Y172" i="10"/>
  <c r="X172" i="10"/>
  <c r="W172" i="10"/>
  <c r="V172" i="10"/>
  <c r="T172" i="10"/>
  <c r="U172" i="10"/>
  <c r="R172" i="10"/>
  <c r="Q172" i="10"/>
  <c r="P172" i="10"/>
  <c r="N172" i="10"/>
  <c r="AA171" i="10"/>
  <c r="AB171" i="10" s="1"/>
  <c r="Z171" i="10"/>
  <c r="Y171" i="10"/>
  <c r="X171" i="10"/>
  <c r="W171" i="10"/>
  <c r="V171" i="10"/>
  <c r="T171" i="10"/>
  <c r="U171" i="10" s="1"/>
  <c r="R171" i="10"/>
  <c r="Q171" i="10"/>
  <c r="P171" i="10"/>
  <c r="N171" i="10"/>
  <c r="AA170" i="10"/>
  <c r="AB170" i="10" s="1"/>
  <c r="Z170" i="10"/>
  <c r="Y170" i="10"/>
  <c r="X170" i="10"/>
  <c r="W170" i="10"/>
  <c r="V170" i="10"/>
  <c r="T170" i="10"/>
  <c r="U170" i="10"/>
  <c r="R170" i="10"/>
  <c r="Q170" i="10"/>
  <c r="P170" i="10"/>
  <c r="N170" i="10"/>
  <c r="AA169" i="10"/>
  <c r="AB169" i="10" s="1"/>
  <c r="Z169" i="10"/>
  <c r="Y169" i="10"/>
  <c r="X169" i="10"/>
  <c r="W169" i="10"/>
  <c r="V169" i="10"/>
  <c r="T169" i="10"/>
  <c r="U169" i="10" s="1"/>
  <c r="R169" i="10"/>
  <c r="Q169" i="10"/>
  <c r="P169" i="10"/>
  <c r="N169" i="10"/>
  <c r="AA168" i="10"/>
  <c r="AB168" i="10" s="1"/>
  <c r="Z168" i="10"/>
  <c r="Y168" i="10"/>
  <c r="X168" i="10"/>
  <c r="W168" i="10"/>
  <c r="V168" i="10"/>
  <c r="T168" i="10"/>
  <c r="U168" i="10" s="1"/>
  <c r="R168" i="10"/>
  <c r="Q168" i="10"/>
  <c r="P168" i="10"/>
  <c r="N168" i="10"/>
  <c r="Q167" i="10"/>
  <c r="AA166" i="10"/>
  <c r="AB166" i="10" s="1"/>
  <c r="Z166" i="10"/>
  <c r="Y166" i="10"/>
  <c r="X166" i="10"/>
  <c r="W166" i="10"/>
  <c r="V166" i="10"/>
  <c r="T166" i="10"/>
  <c r="U166" i="10" s="1"/>
  <c r="R166" i="10"/>
  <c r="Q166" i="10"/>
  <c r="P166" i="10"/>
  <c r="N166" i="10"/>
  <c r="AA165" i="10"/>
  <c r="AB165" i="10"/>
  <c r="Z165" i="10"/>
  <c r="Y165" i="10"/>
  <c r="X165" i="10"/>
  <c r="W165" i="10"/>
  <c r="V165" i="10"/>
  <c r="T165" i="10"/>
  <c r="U165" i="10" s="1"/>
  <c r="R165" i="10"/>
  <c r="Q165" i="10"/>
  <c r="P165" i="10"/>
  <c r="N165" i="10"/>
  <c r="AA164" i="10"/>
  <c r="AB164" i="10" s="1"/>
  <c r="Z164" i="10"/>
  <c r="Y164" i="10"/>
  <c r="X164" i="10"/>
  <c r="W164" i="10"/>
  <c r="V164" i="10"/>
  <c r="T164" i="10"/>
  <c r="U164" i="10" s="1"/>
  <c r="R164" i="10"/>
  <c r="Q164" i="10"/>
  <c r="P164" i="10"/>
  <c r="N164" i="10"/>
  <c r="AA163" i="10"/>
  <c r="AB163" i="10" s="1"/>
  <c r="Z163" i="10"/>
  <c r="Y163" i="10"/>
  <c r="X163" i="10"/>
  <c r="W163" i="10"/>
  <c r="V163" i="10"/>
  <c r="T163" i="10"/>
  <c r="U163" i="10" s="1"/>
  <c r="R163" i="10"/>
  <c r="Q163" i="10"/>
  <c r="P163" i="10"/>
  <c r="N163" i="10"/>
  <c r="AA162" i="10"/>
  <c r="AB162" i="10"/>
  <c r="Z162" i="10"/>
  <c r="Y162" i="10"/>
  <c r="X162" i="10"/>
  <c r="W162" i="10"/>
  <c r="V162" i="10"/>
  <c r="T162" i="10"/>
  <c r="U162" i="10" s="1"/>
  <c r="R162" i="10"/>
  <c r="Q162" i="10"/>
  <c r="P162" i="10"/>
  <c r="N162" i="10"/>
  <c r="AA161" i="10"/>
  <c r="AB161" i="10" s="1"/>
  <c r="Z161" i="10"/>
  <c r="Y161" i="10"/>
  <c r="X161" i="10"/>
  <c r="W161" i="10"/>
  <c r="V161" i="10"/>
  <c r="T161" i="10"/>
  <c r="U161" i="10" s="1"/>
  <c r="R161" i="10"/>
  <c r="Q161" i="10"/>
  <c r="P161" i="10"/>
  <c r="N161" i="10"/>
  <c r="AA160" i="10"/>
  <c r="AB160" i="10" s="1"/>
  <c r="Z160" i="10"/>
  <c r="Y160" i="10"/>
  <c r="X160" i="10"/>
  <c r="W160" i="10"/>
  <c r="V160" i="10"/>
  <c r="T160" i="10"/>
  <c r="U160" i="10" s="1"/>
  <c r="R160" i="10"/>
  <c r="Q160" i="10"/>
  <c r="P160" i="10"/>
  <c r="N160" i="10"/>
  <c r="AA159" i="10"/>
  <c r="AB159" i="10" s="1"/>
  <c r="Z159" i="10"/>
  <c r="Y159" i="10"/>
  <c r="X159" i="10"/>
  <c r="W159" i="10"/>
  <c r="V159" i="10"/>
  <c r="T159" i="10"/>
  <c r="U159" i="10" s="1"/>
  <c r="R159" i="10"/>
  <c r="Q159" i="10"/>
  <c r="P159" i="10"/>
  <c r="N159" i="10"/>
  <c r="Q158" i="10"/>
  <c r="AA157" i="10"/>
  <c r="AB157" i="10" s="1"/>
  <c r="Z157" i="10"/>
  <c r="Y157" i="10"/>
  <c r="X157" i="10"/>
  <c r="W157" i="10"/>
  <c r="V157" i="10"/>
  <c r="T157" i="10"/>
  <c r="U157" i="10" s="1"/>
  <c r="R157" i="10"/>
  <c r="Q157" i="10"/>
  <c r="P157" i="10"/>
  <c r="N157" i="10"/>
  <c r="AA156" i="10"/>
  <c r="AB156" i="10" s="1"/>
  <c r="Z156" i="10"/>
  <c r="Y156" i="10"/>
  <c r="X156" i="10"/>
  <c r="W156" i="10"/>
  <c r="V156" i="10"/>
  <c r="T156" i="10"/>
  <c r="U156" i="10"/>
  <c r="R156" i="10"/>
  <c r="Q156" i="10"/>
  <c r="P156" i="10"/>
  <c r="N156" i="10"/>
  <c r="AA155" i="10"/>
  <c r="AB155" i="10" s="1"/>
  <c r="Z155" i="10"/>
  <c r="Y155" i="10"/>
  <c r="X155" i="10"/>
  <c r="W155" i="10"/>
  <c r="V155" i="10"/>
  <c r="T155" i="10"/>
  <c r="U155" i="10" s="1"/>
  <c r="R155" i="10"/>
  <c r="Q155" i="10"/>
  <c r="P155" i="10"/>
  <c r="N155" i="10"/>
  <c r="AA154" i="10"/>
  <c r="AB154" i="10" s="1"/>
  <c r="Z154" i="10"/>
  <c r="Y154" i="10"/>
  <c r="X154" i="10"/>
  <c r="W154" i="10"/>
  <c r="V154" i="10"/>
  <c r="T154" i="10"/>
  <c r="U154" i="10"/>
  <c r="R154" i="10"/>
  <c r="Q154" i="10"/>
  <c r="P154" i="10"/>
  <c r="N154" i="10"/>
  <c r="AA153" i="10"/>
  <c r="AB153" i="10" s="1"/>
  <c r="Z153" i="10"/>
  <c r="Y153" i="10"/>
  <c r="X153" i="10"/>
  <c r="W153" i="10"/>
  <c r="V153" i="10"/>
  <c r="T153" i="10"/>
  <c r="U153" i="10"/>
  <c r="R153" i="10"/>
  <c r="Q153" i="10"/>
  <c r="P153" i="10"/>
  <c r="N153" i="10"/>
  <c r="AA152" i="10"/>
  <c r="AB152" i="10" s="1"/>
  <c r="Z152" i="10"/>
  <c r="Y152" i="10"/>
  <c r="X152" i="10"/>
  <c r="W152" i="10"/>
  <c r="V152" i="10"/>
  <c r="T152" i="10"/>
  <c r="U152" i="10"/>
  <c r="R152" i="10"/>
  <c r="Q152" i="10"/>
  <c r="P152" i="10"/>
  <c r="N152" i="10"/>
  <c r="Q151" i="10"/>
  <c r="AA150" i="10"/>
  <c r="AB150" i="10" s="1"/>
  <c r="Z150" i="10"/>
  <c r="Y150" i="10"/>
  <c r="X150" i="10"/>
  <c r="W150" i="10"/>
  <c r="V150" i="10"/>
  <c r="T150" i="10"/>
  <c r="U150" i="10" s="1"/>
  <c r="R150" i="10"/>
  <c r="Q150" i="10"/>
  <c r="P150" i="10"/>
  <c r="N150" i="10"/>
  <c r="AA149" i="10"/>
  <c r="AB149" i="10"/>
  <c r="Z149" i="10"/>
  <c r="Y149" i="10"/>
  <c r="X149" i="10"/>
  <c r="W149" i="10"/>
  <c r="V149" i="10"/>
  <c r="T149" i="10"/>
  <c r="U149" i="10" s="1"/>
  <c r="R149" i="10"/>
  <c r="Q149" i="10"/>
  <c r="P149" i="10"/>
  <c r="N149" i="10"/>
  <c r="Q148" i="10"/>
  <c r="Q147" i="10"/>
  <c r="AA146" i="10"/>
  <c r="AB146" i="10" s="1"/>
  <c r="Z146" i="10"/>
  <c r="Y146" i="10"/>
  <c r="X146" i="10"/>
  <c r="W146" i="10"/>
  <c r="V146" i="10"/>
  <c r="T146" i="10"/>
  <c r="U146" i="10" s="1"/>
  <c r="R146" i="10"/>
  <c r="Q146" i="10"/>
  <c r="P146" i="10"/>
  <c r="N146" i="10"/>
  <c r="Q145" i="10"/>
  <c r="AA144" i="10"/>
  <c r="AB144" i="10" s="1"/>
  <c r="Z144" i="10"/>
  <c r="Y144" i="10"/>
  <c r="X144" i="10"/>
  <c r="W144" i="10"/>
  <c r="V144" i="10"/>
  <c r="T144" i="10"/>
  <c r="U144" i="10"/>
  <c r="R144" i="10"/>
  <c r="Q144" i="10"/>
  <c r="P144" i="10"/>
  <c r="N144" i="10"/>
  <c r="AA143" i="10"/>
  <c r="AB143" i="10" s="1"/>
  <c r="Z143" i="10"/>
  <c r="Y143" i="10"/>
  <c r="X143" i="10"/>
  <c r="W143" i="10"/>
  <c r="V143" i="10"/>
  <c r="T143" i="10"/>
  <c r="U143" i="10" s="1"/>
  <c r="R143" i="10"/>
  <c r="Q143" i="10"/>
  <c r="P143" i="10"/>
  <c r="N143" i="10"/>
  <c r="Q142" i="10"/>
  <c r="AA141" i="10"/>
  <c r="AB141" i="10" s="1"/>
  <c r="Z141" i="10"/>
  <c r="Y141" i="10"/>
  <c r="X141" i="10"/>
  <c r="W141" i="10"/>
  <c r="V141" i="10"/>
  <c r="T141" i="10"/>
  <c r="U141" i="10"/>
  <c r="R141" i="10"/>
  <c r="Q141" i="10"/>
  <c r="P141" i="10"/>
  <c r="N141" i="10"/>
  <c r="AA140" i="10"/>
  <c r="AB140" i="10"/>
  <c r="Z140" i="10"/>
  <c r="Y140" i="10"/>
  <c r="X140" i="10"/>
  <c r="W140" i="10"/>
  <c r="V140" i="10"/>
  <c r="T140" i="10"/>
  <c r="U140" i="10" s="1"/>
  <c r="R140" i="10"/>
  <c r="Q140" i="10"/>
  <c r="P140" i="10"/>
  <c r="N140" i="10"/>
  <c r="Q139" i="10"/>
  <c r="Q138" i="10"/>
  <c r="Q137" i="10"/>
  <c r="Q136" i="10"/>
  <c r="Q135" i="10"/>
  <c r="AA134" i="10"/>
  <c r="AB134" i="10"/>
  <c r="Z134" i="10"/>
  <c r="Y134" i="10"/>
  <c r="X134" i="10"/>
  <c r="W134" i="10"/>
  <c r="V134" i="10"/>
  <c r="T134" i="10"/>
  <c r="U134" i="10" s="1"/>
  <c r="R134" i="10"/>
  <c r="Q134" i="10"/>
  <c r="P134" i="10"/>
  <c r="N134" i="10"/>
  <c r="AA133" i="10"/>
  <c r="AB133" i="10" s="1"/>
  <c r="Z133" i="10"/>
  <c r="Y133" i="10"/>
  <c r="X133" i="10"/>
  <c r="W133" i="10"/>
  <c r="V133" i="10"/>
  <c r="T133" i="10"/>
  <c r="U133" i="10" s="1"/>
  <c r="R133" i="10"/>
  <c r="Q133" i="10"/>
  <c r="P133" i="10"/>
  <c r="N133" i="10"/>
  <c r="AA132" i="10"/>
  <c r="AB132" i="10" s="1"/>
  <c r="Z132" i="10"/>
  <c r="Y132" i="10"/>
  <c r="X132" i="10"/>
  <c r="W132" i="10"/>
  <c r="V132" i="10"/>
  <c r="T132" i="10"/>
  <c r="U132" i="10"/>
  <c r="R132" i="10"/>
  <c r="Q132" i="10"/>
  <c r="P132" i="10"/>
  <c r="N132" i="10"/>
  <c r="AA131" i="10"/>
  <c r="AB131" i="10" s="1"/>
  <c r="Z131" i="10"/>
  <c r="Y131" i="10"/>
  <c r="X131" i="10"/>
  <c r="W131" i="10"/>
  <c r="V131" i="10"/>
  <c r="T131" i="10"/>
  <c r="U131" i="10" s="1"/>
  <c r="R131" i="10"/>
  <c r="Q131" i="10"/>
  <c r="P131" i="10"/>
  <c r="N131" i="10"/>
  <c r="AA130" i="10"/>
  <c r="AB130" i="10" s="1"/>
  <c r="Z130" i="10"/>
  <c r="Y130" i="10"/>
  <c r="X130" i="10"/>
  <c r="W130" i="10"/>
  <c r="V130" i="10"/>
  <c r="T130" i="10"/>
  <c r="U130" i="10"/>
  <c r="R130" i="10"/>
  <c r="Q130" i="10"/>
  <c r="P130" i="10"/>
  <c r="N130" i="10"/>
  <c r="AA129" i="10"/>
  <c r="AB129" i="10" s="1"/>
  <c r="Z129" i="10"/>
  <c r="Y129" i="10"/>
  <c r="X129" i="10"/>
  <c r="W129" i="10"/>
  <c r="V129" i="10"/>
  <c r="T129" i="10"/>
  <c r="U129" i="10"/>
  <c r="R129" i="10"/>
  <c r="Q129" i="10"/>
  <c r="P129" i="10"/>
  <c r="N129" i="10"/>
  <c r="AA128" i="10"/>
  <c r="AB128" i="10" s="1"/>
  <c r="Z128" i="10"/>
  <c r="Y128" i="10"/>
  <c r="X128" i="10"/>
  <c r="W128" i="10"/>
  <c r="V128" i="10"/>
  <c r="T128" i="10"/>
  <c r="U128" i="10"/>
  <c r="R128" i="10"/>
  <c r="Q128" i="10"/>
  <c r="P128" i="10"/>
  <c r="N128" i="10"/>
  <c r="AA127" i="10"/>
  <c r="AB127" i="10"/>
  <c r="Z127" i="10"/>
  <c r="Y127" i="10"/>
  <c r="X127" i="10"/>
  <c r="W127" i="10"/>
  <c r="V127" i="10"/>
  <c r="T127" i="10"/>
  <c r="U127" i="10" s="1"/>
  <c r="R127" i="10"/>
  <c r="Q127" i="10"/>
  <c r="P127" i="10"/>
  <c r="N127" i="10"/>
  <c r="AA126" i="10"/>
  <c r="AB126" i="10" s="1"/>
  <c r="Z126" i="10"/>
  <c r="Y126" i="10"/>
  <c r="X126" i="10"/>
  <c r="W126" i="10"/>
  <c r="V126" i="10"/>
  <c r="T126" i="10"/>
  <c r="U126" i="10" s="1"/>
  <c r="R126" i="10"/>
  <c r="Q126" i="10"/>
  <c r="P126" i="10"/>
  <c r="N126" i="10"/>
  <c r="AA125" i="10"/>
  <c r="AB125" i="10"/>
  <c r="Z125" i="10"/>
  <c r="Y125" i="10"/>
  <c r="X125" i="10"/>
  <c r="W125" i="10"/>
  <c r="V125" i="10"/>
  <c r="T125" i="10"/>
  <c r="U125" i="10" s="1"/>
  <c r="R125" i="10"/>
  <c r="Q125" i="10"/>
  <c r="P125" i="10"/>
  <c r="N125" i="10"/>
  <c r="Q124" i="10"/>
  <c r="AA123" i="10"/>
  <c r="AB123" i="10"/>
  <c r="Z123" i="10"/>
  <c r="Y123" i="10"/>
  <c r="X123" i="10"/>
  <c r="W123" i="10"/>
  <c r="V123" i="10"/>
  <c r="T123" i="10"/>
  <c r="U123" i="10" s="1"/>
  <c r="R123" i="10"/>
  <c r="Q123" i="10"/>
  <c r="P123" i="10"/>
  <c r="N123" i="10"/>
  <c r="AA122" i="10"/>
  <c r="AB122" i="10" s="1"/>
  <c r="Z122" i="10"/>
  <c r="Y122" i="10"/>
  <c r="X122" i="10"/>
  <c r="W122" i="10"/>
  <c r="V122" i="10"/>
  <c r="T122" i="10"/>
  <c r="U122" i="10" s="1"/>
  <c r="R122" i="10"/>
  <c r="Q122" i="10"/>
  <c r="P122" i="10"/>
  <c r="N122" i="10"/>
  <c r="AA121" i="10"/>
  <c r="AB121" i="10"/>
  <c r="Z121" i="10"/>
  <c r="Y121" i="10"/>
  <c r="X121" i="10"/>
  <c r="W121" i="10"/>
  <c r="V121" i="10"/>
  <c r="T121" i="10"/>
  <c r="U121" i="10" s="1"/>
  <c r="R121" i="10"/>
  <c r="Q121" i="10"/>
  <c r="P121" i="10"/>
  <c r="N121" i="10"/>
  <c r="AA120" i="10"/>
  <c r="AB120" i="10" s="1"/>
  <c r="Z120" i="10"/>
  <c r="Y120" i="10"/>
  <c r="X120" i="10"/>
  <c r="W120" i="10"/>
  <c r="V120" i="10"/>
  <c r="T120" i="10"/>
  <c r="U120" i="10" s="1"/>
  <c r="R120" i="10"/>
  <c r="Q120" i="10"/>
  <c r="P120" i="10"/>
  <c r="N120" i="10"/>
  <c r="AA119" i="10"/>
  <c r="AB119" i="10" s="1"/>
  <c r="Z119" i="10"/>
  <c r="Y119" i="10"/>
  <c r="X119" i="10"/>
  <c r="W119" i="10"/>
  <c r="V119" i="10"/>
  <c r="T119" i="10"/>
  <c r="U119" i="10" s="1"/>
  <c r="R119" i="10"/>
  <c r="Q119" i="10"/>
  <c r="P119" i="10"/>
  <c r="N119" i="10"/>
  <c r="AA118" i="10"/>
  <c r="AB118" i="10" s="1"/>
  <c r="Z118" i="10"/>
  <c r="Y118" i="10"/>
  <c r="X118" i="10"/>
  <c r="W118" i="10"/>
  <c r="V118" i="10"/>
  <c r="T118" i="10"/>
  <c r="U118" i="10" s="1"/>
  <c r="R118" i="10"/>
  <c r="Q118" i="10"/>
  <c r="P118" i="10"/>
  <c r="N118" i="10"/>
  <c r="AA117" i="10"/>
  <c r="AB117" i="10"/>
  <c r="Z117" i="10"/>
  <c r="Y117" i="10"/>
  <c r="X117" i="10"/>
  <c r="W117" i="10"/>
  <c r="V117" i="10"/>
  <c r="T117" i="10"/>
  <c r="U117" i="10" s="1"/>
  <c r="R117" i="10"/>
  <c r="Q117" i="10"/>
  <c r="P117" i="10"/>
  <c r="N117" i="10"/>
  <c r="AA116" i="10"/>
  <c r="AB116" i="10"/>
  <c r="Z116" i="10"/>
  <c r="Y116" i="10"/>
  <c r="X116" i="10"/>
  <c r="W116" i="10"/>
  <c r="V116" i="10"/>
  <c r="T116" i="10"/>
  <c r="U116" i="10" s="1"/>
  <c r="R116" i="10"/>
  <c r="Q116" i="10"/>
  <c r="P116" i="10"/>
  <c r="N116" i="10"/>
  <c r="AA115" i="10"/>
  <c r="AB115" i="10" s="1"/>
  <c r="Z115" i="10"/>
  <c r="Y115" i="10"/>
  <c r="X115" i="10"/>
  <c r="W115" i="10"/>
  <c r="V115" i="10"/>
  <c r="T115" i="10"/>
  <c r="U115" i="10" s="1"/>
  <c r="R115" i="10"/>
  <c r="Q115" i="10"/>
  <c r="P115" i="10"/>
  <c r="N115" i="10"/>
  <c r="AA114" i="10"/>
  <c r="AB114" i="10" s="1"/>
  <c r="Z114" i="10"/>
  <c r="Y114" i="10"/>
  <c r="X114" i="10"/>
  <c r="W114" i="10"/>
  <c r="V114" i="10"/>
  <c r="T114" i="10"/>
  <c r="U114" i="10" s="1"/>
  <c r="R114" i="10"/>
  <c r="Q114" i="10"/>
  <c r="P114" i="10"/>
  <c r="N114" i="10"/>
  <c r="AA113" i="10"/>
  <c r="AB113" i="10" s="1"/>
  <c r="Z113" i="10"/>
  <c r="Y113" i="10"/>
  <c r="X113" i="10"/>
  <c r="W113" i="10"/>
  <c r="V113" i="10"/>
  <c r="T113" i="10"/>
  <c r="U113" i="10" s="1"/>
  <c r="R113" i="10"/>
  <c r="Q113" i="10"/>
  <c r="P113" i="10"/>
  <c r="N113" i="10"/>
  <c r="AA112" i="10"/>
  <c r="AB112" i="10" s="1"/>
  <c r="Z112" i="10"/>
  <c r="Y112" i="10"/>
  <c r="X112" i="10"/>
  <c r="W112" i="10"/>
  <c r="V112" i="10"/>
  <c r="T112" i="10"/>
  <c r="U112" i="10" s="1"/>
  <c r="R112" i="10"/>
  <c r="Q112" i="10"/>
  <c r="P112" i="10"/>
  <c r="N112" i="10"/>
  <c r="AA111" i="10"/>
  <c r="AB111" i="10" s="1"/>
  <c r="Z111" i="10"/>
  <c r="Y111" i="10"/>
  <c r="X111" i="10"/>
  <c r="W111" i="10"/>
  <c r="V111" i="10"/>
  <c r="T111" i="10"/>
  <c r="U111" i="10"/>
  <c r="R111" i="10"/>
  <c r="Q111" i="10"/>
  <c r="P111" i="10"/>
  <c r="N111" i="10"/>
  <c r="AA110" i="10"/>
  <c r="AB110" i="10" s="1"/>
  <c r="Z110" i="10"/>
  <c r="Y110" i="10"/>
  <c r="X110" i="10"/>
  <c r="W110" i="10"/>
  <c r="V110" i="10"/>
  <c r="T110" i="10"/>
  <c r="U110" i="10" s="1"/>
  <c r="R110" i="10"/>
  <c r="Q110" i="10"/>
  <c r="P110" i="10"/>
  <c r="N110" i="10"/>
  <c r="AA109" i="10"/>
  <c r="AB109" i="10" s="1"/>
  <c r="Z109" i="10"/>
  <c r="Y109" i="10"/>
  <c r="X109" i="10"/>
  <c r="W109" i="10"/>
  <c r="V109" i="10"/>
  <c r="T109" i="10"/>
  <c r="U109" i="10" s="1"/>
  <c r="R109" i="10"/>
  <c r="Q109" i="10"/>
  <c r="P109" i="10"/>
  <c r="N109" i="10"/>
  <c r="AA108" i="10"/>
  <c r="AB108" i="10" s="1"/>
  <c r="Z108" i="10"/>
  <c r="Y108" i="10"/>
  <c r="X108" i="10"/>
  <c r="W108" i="10"/>
  <c r="V108" i="10"/>
  <c r="T108" i="10"/>
  <c r="U108" i="10" s="1"/>
  <c r="R108" i="10"/>
  <c r="Q108" i="10"/>
  <c r="P108" i="10"/>
  <c r="N108" i="10"/>
  <c r="AA107" i="10"/>
  <c r="AB107" i="10" s="1"/>
  <c r="Z107" i="10"/>
  <c r="Y107" i="10"/>
  <c r="X107" i="10"/>
  <c r="W107" i="10"/>
  <c r="V107" i="10"/>
  <c r="T107" i="10"/>
  <c r="U107" i="10" s="1"/>
  <c r="R107" i="10"/>
  <c r="Q107" i="10"/>
  <c r="P107" i="10"/>
  <c r="N107" i="10"/>
  <c r="Q106" i="10"/>
  <c r="AA105" i="10"/>
  <c r="AB105" i="10" s="1"/>
  <c r="Z105" i="10"/>
  <c r="Y105" i="10"/>
  <c r="X105" i="10"/>
  <c r="W105" i="10"/>
  <c r="V105" i="10"/>
  <c r="T105" i="10"/>
  <c r="U105" i="10"/>
  <c r="R105" i="10"/>
  <c r="Q105" i="10"/>
  <c r="P105" i="10"/>
  <c r="N105" i="10"/>
  <c r="AA104" i="10"/>
  <c r="AB104" i="10" s="1"/>
  <c r="Z104" i="10"/>
  <c r="Y104" i="10"/>
  <c r="X104" i="10"/>
  <c r="W104" i="10"/>
  <c r="V104" i="10"/>
  <c r="T104" i="10"/>
  <c r="U104" i="10"/>
  <c r="R104" i="10"/>
  <c r="Q104" i="10"/>
  <c r="P104" i="10"/>
  <c r="N104" i="10"/>
  <c r="AA103" i="10"/>
  <c r="AB103" i="10"/>
  <c r="Z103" i="10"/>
  <c r="Y103" i="10"/>
  <c r="X103" i="10"/>
  <c r="W103" i="10"/>
  <c r="V103" i="10"/>
  <c r="T103" i="10"/>
  <c r="U103" i="10" s="1"/>
  <c r="R103" i="10"/>
  <c r="Q103" i="10"/>
  <c r="P103" i="10"/>
  <c r="N103" i="10"/>
  <c r="AA102" i="10"/>
  <c r="AB102" i="10" s="1"/>
  <c r="Z102" i="10"/>
  <c r="Y102" i="10"/>
  <c r="X102" i="10"/>
  <c r="W102" i="10"/>
  <c r="V102" i="10"/>
  <c r="T102" i="10"/>
  <c r="U102" i="10" s="1"/>
  <c r="R102" i="10"/>
  <c r="Q102" i="10"/>
  <c r="P102" i="10"/>
  <c r="N102" i="10"/>
  <c r="AA101" i="10"/>
  <c r="AB101" i="10"/>
  <c r="Z101" i="10"/>
  <c r="Y101" i="10"/>
  <c r="X101" i="10"/>
  <c r="W101" i="10"/>
  <c r="V101" i="10"/>
  <c r="T101" i="10"/>
  <c r="U101" i="10" s="1"/>
  <c r="R101" i="10"/>
  <c r="Q101" i="10"/>
  <c r="P101" i="10"/>
  <c r="N101" i="10"/>
  <c r="AA100" i="10"/>
  <c r="AB100" i="10" s="1"/>
  <c r="Z100" i="10"/>
  <c r="Y100" i="10"/>
  <c r="X100" i="10"/>
  <c r="W100" i="10"/>
  <c r="V100" i="10"/>
  <c r="T100" i="10"/>
  <c r="U100" i="10"/>
  <c r="R100" i="10"/>
  <c r="Q100" i="10"/>
  <c r="P100" i="10"/>
  <c r="N100" i="10"/>
  <c r="AA99" i="10"/>
  <c r="AB99" i="10" s="1"/>
  <c r="Z99" i="10"/>
  <c r="Y99" i="10"/>
  <c r="X99" i="10"/>
  <c r="W99" i="10"/>
  <c r="V99" i="10"/>
  <c r="T99" i="10"/>
  <c r="U99" i="10" s="1"/>
  <c r="R99" i="10"/>
  <c r="Q99" i="10"/>
  <c r="P99" i="10"/>
  <c r="N99" i="10"/>
  <c r="AA98" i="10"/>
  <c r="AB98" i="10" s="1"/>
  <c r="Z98" i="10"/>
  <c r="Y98" i="10"/>
  <c r="X98" i="10"/>
  <c r="W98" i="10"/>
  <c r="V98" i="10"/>
  <c r="T98" i="10"/>
  <c r="U98" i="10"/>
  <c r="R98" i="10"/>
  <c r="Q98" i="10"/>
  <c r="P98" i="10"/>
  <c r="N98" i="10"/>
  <c r="AA97" i="10"/>
  <c r="AB97" i="10"/>
  <c r="Z97" i="10"/>
  <c r="Y97" i="10"/>
  <c r="X97" i="10"/>
  <c r="W97" i="10"/>
  <c r="V97" i="10"/>
  <c r="T97" i="10"/>
  <c r="U97" i="10" s="1"/>
  <c r="R97" i="10"/>
  <c r="Q97" i="10"/>
  <c r="P97" i="10"/>
  <c r="N97" i="10"/>
  <c r="AA96" i="10"/>
  <c r="AB96" i="10"/>
  <c r="Z96" i="10"/>
  <c r="Y96" i="10"/>
  <c r="X96" i="10"/>
  <c r="W96" i="10"/>
  <c r="V96" i="10"/>
  <c r="T96" i="10"/>
  <c r="U96" i="10" s="1"/>
  <c r="R96" i="10"/>
  <c r="Q96" i="10"/>
  <c r="P96" i="10"/>
  <c r="N96" i="10"/>
  <c r="AA95" i="10"/>
  <c r="AB95" i="10"/>
  <c r="Z95" i="10"/>
  <c r="Y95" i="10"/>
  <c r="X95" i="10"/>
  <c r="W95" i="10"/>
  <c r="V95" i="10"/>
  <c r="T95" i="10"/>
  <c r="U95" i="10" s="1"/>
  <c r="R95" i="10"/>
  <c r="Q95" i="10"/>
  <c r="P95" i="10"/>
  <c r="N95" i="10"/>
  <c r="AA94" i="10"/>
  <c r="AB94" i="10" s="1"/>
  <c r="Z94" i="10"/>
  <c r="Y94" i="10"/>
  <c r="X94" i="10"/>
  <c r="W94" i="10"/>
  <c r="V94" i="10"/>
  <c r="T94" i="10"/>
  <c r="U94" i="10" s="1"/>
  <c r="R94" i="10"/>
  <c r="Q94" i="10"/>
  <c r="P94" i="10"/>
  <c r="N94" i="10"/>
  <c r="AA93" i="10"/>
  <c r="AB93" i="10"/>
  <c r="Z93" i="10"/>
  <c r="Y93" i="10"/>
  <c r="X93" i="10"/>
  <c r="W93" i="10"/>
  <c r="V93" i="10"/>
  <c r="T93" i="10"/>
  <c r="U93" i="10" s="1"/>
  <c r="R93" i="10"/>
  <c r="Q93" i="10"/>
  <c r="P93" i="10"/>
  <c r="N93" i="10"/>
  <c r="AA92" i="10"/>
  <c r="AB92" i="10" s="1"/>
  <c r="Z92" i="10"/>
  <c r="Y92" i="10"/>
  <c r="X92" i="10"/>
  <c r="W92" i="10"/>
  <c r="V92" i="10"/>
  <c r="T92" i="10"/>
  <c r="U92" i="10" s="1"/>
  <c r="R92" i="10"/>
  <c r="Q92" i="10"/>
  <c r="P92" i="10"/>
  <c r="N92" i="10"/>
  <c r="AA91" i="10"/>
  <c r="AB91" i="10" s="1"/>
  <c r="Z91" i="10"/>
  <c r="Y91" i="10"/>
  <c r="X91" i="10"/>
  <c r="W91" i="10"/>
  <c r="V91" i="10"/>
  <c r="T91" i="10"/>
  <c r="U91" i="10"/>
  <c r="R91" i="10"/>
  <c r="Q91" i="10"/>
  <c r="P91" i="10"/>
  <c r="N91" i="10"/>
  <c r="AA90" i="10"/>
  <c r="AB90" i="10" s="1"/>
  <c r="Z90" i="10"/>
  <c r="Y90" i="10"/>
  <c r="X90" i="10"/>
  <c r="W90" i="10"/>
  <c r="V90" i="10"/>
  <c r="T90" i="10"/>
  <c r="U90" i="10" s="1"/>
  <c r="R90" i="10"/>
  <c r="Q90" i="10"/>
  <c r="P90" i="10"/>
  <c r="N90" i="10"/>
  <c r="AA89" i="10"/>
  <c r="AB89" i="10"/>
  <c r="Z89" i="10"/>
  <c r="Y89" i="10"/>
  <c r="X89" i="10"/>
  <c r="W89" i="10"/>
  <c r="V89" i="10"/>
  <c r="T89" i="10"/>
  <c r="U89" i="10" s="1"/>
  <c r="R89" i="10"/>
  <c r="Q89" i="10"/>
  <c r="P89" i="10"/>
  <c r="N89" i="10"/>
  <c r="AA88" i="10"/>
  <c r="AB88" i="10" s="1"/>
  <c r="Z88" i="10"/>
  <c r="Y88" i="10"/>
  <c r="X88" i="10"/>
  <c r="W88" i="10"/>
  <c r="V88" i="10"/>
  <c r="T88" i="10"/>
  <c r="U88" i="10" s="1"/>
  <c r="R88" i="10"/>
  <c r="Q88" i="10"/>
  <c r="P88" i="10"/>
  <c r="N88" i="10"/>
  <c r="AA87" i="10"/>
  <c r="AB87" i="10" s="1"/>
  <c r="Z87" i="10"/>
  <c r="Y87" i="10"/>
  <c r="X87" i="10"/>
  <c r="W87" i="10"/>
  <c r="V87" i="10"/>
  <c r="T87" i="10"/>
  <c r="U87" i="10" s="1"/>
  <c r="R87" i="10"/>
  <c r="Q87" i="10"/>
  <c r="P87" i="10"/>
  <c r="N87" i="10"/>
  <c r="AA86" i="10"/>
  <c r="AB86" i="10"/>
  <c r="Z86" i="10"/>
  <c r="Y86" i="10"/>
  <c r="X86" i="10"/>
  <c r="W86" i="10"/>
  <c r="V86" i="10"/>
  <c r="T86" i="10"/>
  <c r="U86" i="10" s="1"/>
  <c r="R86" i="10"/>
  <c r="Q86" i="10"/>
  <c r="P86" i="10"/>
  <c r="N86" i="10"/>
  <c r="AA85" i="10"/>
  <c r="AB85" i="10" s="1"/>
  <c r="Z85" i="10"/>
  <c r="Y85" i="10"/>
  <c r="X85" i="10"/>
  <c r="W85" i="10"/>
  <c r="V85" i="10"/>
  <c r="T85" i="10"/>
  <c r="U85" i="10" s="1"/>
  <c r="R85" i="10"/>
  <c r="Q85" i="10"/>
  <c r="P85" i="10"/>
  <c r="N85" i="10"/>
  <c r="AA84" i="10"/>
  <c r="AB84" i="10" s="1"/>
  <c r="Z84" i="10"/>
  <c r="Y84" i="10"/>
  <c r="X84" i="10"/>
  <c r="W84" i="10"/>
  <c r="V84" i="10"/>
  <c r="T84" i="10"/>
  <c r="U84" i="10" s="1"/>
  <c r="R84" i="10"/>
  <c r="Q84" i="10"/>
  <c r="P84" i="10"/>
  <c r="N84" i="10"/>
  <c r="AA83" i="10"/>
  <c r="AB83" i="10" s="1"/>
  <c r="Z83" i="10"/>
  <c r="Y83" i="10"/>
  <c r="X83" i="10"/>
  <c r="W83" i="10"/>
  <c r="V83" i="10"/>
  <c r="T83" i="10"/>
  <c r="U83" i="10"/>
  <c r="R83" i="10"/>
  <c r="Q83" i="10"/>
  <c r="P83" i="10"/>
  <c r="N83" i="10"/>
  <c r="AA82" i="10"/>
  <c r="AB82" i="10" s="1"/>
  <c r="Z82" i="10"/>
  <c r="Y82" i="10"/>
  <c r="X82" i="10"/>
  <c r="W82" i="10"/>
  <c r="V82" i="10"/>
  <c r="T82" i="10"/>
  <c r="U82" i="10" s="1"/>
  <c r="R82" i="10"/>
  <c r="Q82" i="10"/>
  <c r="P82" i="10"/>
  <c r="N82" i="10"/>
  <c r="AA81" i="10"/>
  <c r="AB81" i="10" s="1"/>
  <c r="Z81" i="10"/>
  <c r="Y81" i="10"/>
  <c r="X81" i="10"/>
  <c r="W81" i="10"/>
  <c r="V81" i="10"/>
  <c r="T81" i="10"/>
  <c r="U81" i="10" s="1"/>
  <c r="R81" i="10"/>
  <c r="Q81" i="10"/>
  <c r="P81" i="10"/>
  <c r="N81" i="10"/>
  <c r="AA80" i="10"/>
  <c r="AB80" i="10" s="1"/>
  <c r="Z80" i="10"/>
  <c r="Y80" i="10"/>
  <c r="X80" i="10"/>
  <c r="W80" i="10"/>
  <c r="V80" i="10"/>
  <c r="T80" i="10"/>
  <c r="U80" i="10"/>
  <c r="R80" i="10"/>
  <c r="Q80" i="10"/>
  <c r="P80" i="10"/>
  <c r="N80" i="10"/>
  <c r="AA79" i="10"/>
  <c r="AB79" i="10" s="1"/>
  <c r="Z79" i="10"/>
  <c r="Y79" i="10"/>
  <c r="X79" i="10"/>
  <c r="W79" i="10"/>
  <c r="V79" i="10"/>
  <c r="T79" i="10"/>
  <c r="U79" i="10" s="1"/>
  <c r="R79" i="10"/>
  <c r="Q79" i="10"/>
  <c r="P79" i="10"/>
  <c r="N79" i="10"/>
  <c r="Q78" i="10"/>
  <c r="Q77" i="10"/>
  <c r="AA76" i="10"/>
  <c r="AB76" i="10" s="1"/>
  <c r="Z76" i="10"/>
  <c r="Y76" i="10"/>
  <c r="X76" i="10"/>
  <c r="W76" i="10"/>
  <c r="V76" i="10"/>
  <c r="T76" i="10"/>
  <c r="U76" i="10"/>
  <c r="R76" i="10"/>
  <c r="Q76" i="10"/>
  <c r="P76" i="10"/>
  <c r="N76" i="10"/>
  <c r="AA75" i="10"/>
  <c r="AB75" i="10" s="1"/>
  <c r="Z75" i="10"/>
  <c r="Y75" i="10"/>
  <c r="X75" i="10"/>
  <c r="W75" i="10"/>
  <c r="V75" i="10"/>
  <c r="T75" i="10"/>
  <c r="U75" i="10" s="1"/>
  <c r="R75" i="10"/>
  <c r="Q75" i="10"/>
  <c r="P75" i="10"/>
  <c r="N75" i="10"/>
  <c r="Q74" i="10"/>
  <c r="Q73" i="10"/>
  <c r="Q72" i="10"/>
  <c r="AA71" i="10"/>
  <c r="AB71" i="10" s="1"/>
  <c r="Z71" i="10"/>
  <c r="Y71" i="10"/>
  <c r="X71" i="10"/>
  <c r="W71" i="10"/>
  <c r="V71" i="10"/>
  <c r="T71" i="10"/>
  <c r="U71" i="10"/>
  <c r="R71" i="10"/>
  <c r="Q71" i="10"/>
  <c r="P71" i="10"/>
  <c r="N71" i="10"/>
  <c r="Q70" i="10"/>
  <c r="Q69" i="10"/>
  <c r="Q68" i="10"/>
  <c r="Q67" i="10"/>
  <c r="Q66" i="10"/>
  <c r="Q65" i="10"/>
  <c r="AA64" i="10"/>
  <c r="AB64" i="10" s="1"/>
  <c r="Z64" i="10"/>
  <c r="Y64" i="10"/>
  <c r="X64" i="10"/>
  <c r="W64" i="10"/>
  <c r="V64" i="10"/>
  <c r="T64" i="10"/>
  <c r="U64" i="10" s="1"/>
  <c r="R64" i="10"/>
  <c r="Q64" i="10"/>
  <c r="P64" i="10"/>
  <c r="N64" i="10"/>
  <c r="AA63" i="10"/>
  <c r="AB63" i="10" s="1"/>
  <c r="Z63" i="10"/>
  <c r="Y63" i="10"/>
  <c r="X63" i="10"/>
  <c r="W63" i="10"/>
  <c r="V63" i="10"/>
  <c r="T63" i="10"/>
  <c r="U63" i="10" s="1"/>
  <c r="R63" i="10"/>
  <c r="Q63" i="10"/>
  <c r="P63" i="10"/>
  <c r="N63" i="10"/>
  <c r="AA62" i="10"/>
  <c r="AB62" i="10" s="1"/>
  <c r="Z62" i="10"/>
  <c r="Y62" i="10"/>
  <c r="X62" i="10"/>
  <c r="W62" i="10"/>
  <c r="V62" i="10"/>
  <c r="T62" i="10"/>
  <c r="U62" i="10" s="1"/>
  <c r="R62" i="10"/>
  <c r="Q62" i="10"/>
  <c r="P62" i="10"/>
  <c r="N62" i="10"/>
  <c r="AA61" i="10"/>
  <c r="AB61" i="10"/>
  <c r="Z61" i="10"/>
  <c r="Y61" i="10"/>
  <c r="X61" i="10"/>
  <c r="W61" i="10"/>
  <c r="V61" i="10"/>
  <c r="T61" i="10"/>
  <c r="U61" i="10" s="1"/>
  <c r="R61" i="10"/>
  <c r="Q61" i="10"/>
  <c r="P61" i="10"/>
  <c r="N61" i="10"/>
  <c r="AA60" i="10"/>
  <c r="AB60" i="10"/>
  <c r="Z60" i="10"/>
  <c r="Y60" i="10"/>
  <c r="X60" i="10"/>
  <c r="W60" i="10"/>
  <c r="V60" i="10"/>
  <c r="T60" i="10"/>
  <c r="U60" i="10" s="1"/>
  <c r="R60" i="10"/>
  <c r="Q60" i="10"/>
  <c r="P60" i="10"/>
  <c r="N60" i="10"/>
  <c r="AA59" i="10"/>
  <c r="AB59" i="10" s="1"/>
  <c r="Z59" i="10"/>
  <c r="Y59" i="10"/>
  <c r="X59" i="10"/>
  <c r="W59" i="10"/>
  <c r="V59" i="10"/>
  <c r="T59" i="10"/>
  <c r="U59" i="10" s="1"/>
  <c r="R59" i="10"/>
  <c r="Q59" i="10"/>
  <c r="P59" i="10"/>
  <c r="N59" i="10"/>
  <c r="AA58" i="10"/>
  <c r="AB58" i="10" s="1"/>
  <c r="Z58" i="10"/>
  <c r="Y58" i="10"/>
  <c r="X58" i="10"/>
  <c r="W58" i="10"/>
  <c r="V58" i="10"/>
  <c r="T58" i="10"/>
  <c r="U58" i="10" s="1"/>
  <c r="R58" i="10"/>
  <c r="Q58" i="10"/>
  <c r="P58" i="10"/>
  <c r="N58" i="10"/>
  <c r="AA57" i="10"/>
  <c r="AB57" i="10" s="1"/>
  <c r="Z57" i="10"/>
  <c r="Y57" i="10"/>
  <c r="X57" i="10"/>
  <c r="W57" i="10"/>
  <c r="V57" i="10"/>
  <c r="T57" i="10"/>
  <c r="U57" i="10" s="1"/>
  <c r="R57" i="10"/>
  <c r="Q57" i="10"/>
  <c r="P57" i="10"/>
  <c r="N57" i="10"/>
  <c r="AA56" i="10"/>
  <c r="AB56" i="10" s="1"/>
  <c r="Z56" i="10"/>
  <c r="Y56" i="10"/>
  <c r="X56" i="10"/>
  <c r="W56" i="10"/>
  <c r="V56" i="10"/>
  <c r="T56" i="10"/>
  <c r="U56" i="10" s="1"/>
  <c r="R56" i="10"/>
  <c r="Q56" i="10"/>
  <c r="P56" i="10"/>
  <c r="N56" i="10"/>
  <c r="AA55" i="10"/>
  <c r="AB55" i="10" s="1"/>
  <c r="Z55" i="10"/>
  <c r="Y55" i="10"/>
  <c r="X55" i="10"/>
  <c r="W55" i="10"/>
  <c r="V55" i="10"/>
  <c r="T55" i="10"/>
  <c r="U55" i="10"/>
  <c r="R55" i="10"/>
  <c r="Q55" i="10"/>
  <c r="P55" i="10"/>
  <c r="N55" i="10"/>
  <c r="AA54" i="10"/>
  <c r="AB54" i="10" s="1"/>
  <c r="Z54" i="10"/>
  <c r="Y54" i="10"/>
  <c r="X54" i="10"/>
  <c r="W54" i="10"/>
  <c r="V54" i="10"/>
  <c r="T54" i="10"/>
  <c r="U54" i="10" s="1"/>
  <c r="R54" i="10"/>
  <c r="Q54" i="10"/>
  <c r="P54" i="10"/>
  <c r="N54" i="10"/>
  <c r="AA53" i="10"/>
  <c r="AB53" i="10" s="1"/>
  <c r="Z53" i="10"/>
  <c r="Y53" i="10"/>
  <c r="X53" i="10"/>
  <c r="W53" i="10"/>
  <c r="V53" i="10"/>
  <c r="T53" i="10"/>
  <c r="U53" i="10" s="1"/>
  <c r="R53" i="10"/>
  <c r="Q53" i="10"/>
  <c r="P53" i="10"/>
  <c r="N53" i="10"/>
  <c r="AA52" i="10"/>
  <c r="AB52" i="10" s="1"/>
  <c r="Z52" i="10"/>
  <c r="Y52" i="10"/>
  <c r="X52" i="10"/>
  <c r="W52" i="10"/>
  <c r="V52" i="10"/>
  <c r="T52" i="10"/>
  <c r="U52" i="10" s="1"/>
  <c r="R52" i="10"/>
  <c r="Q52" i="10"/>
  <c r="P52" i="10"/>
  <c r="N52" i="10"/>
  <c r="AA51" i="10"/>
  <c r="AB51" i="10" s="1"/>
  <c r="Z51" i="10"/>
  <c r="Y51" i="10"/>
  <c r="X51" i="10"/>
  <c r="W51" i="10"/>
  <c r="V51" i="10"/>
  <c r="T51" i="10"/>
  <c r="U51" i="10" s="1"/>
  <c r="R51" i="10"/>
  <c r="Q51" i="10"/>
  <c r="P51" i="10"/>
  <c r="N51" i="10"/>
  <c r="AA50" i="10"/>
  <c r="AB50" i="10"/>
  <c r="Z50" i="10"/>
  <c r="Y50" i="10"/>
  <c r="X50" i="10"/>
  <c r="W50" i="10"/>
  <c r="V50" i="10"/>
  <c r="T50" i="10"/>
  <c r="U50" i="10" s="1"/>
  <c r="R50" i="10"/>
  <c r="Q50" i="10"/>
  <c r="P50" i="10"/>
  <c r="N50" i="10"/>
  <c r="AA49" i="10"/>
  <c r="AB49" i="10" s="1"/>
  <c r="Z49" i="10"/>
  <c r="Y49" i="10"/>
  <c r="X49" i="10"/>
  <c r="W49" i="10"/>
  <c r="V49" i="10"/>
  <c r="T49" i="10"/>
  <c r="U49" i="10" s="1"/>
  <c r="R49" i="10"/>
  <c r="Q49" i="10"/>
  <c r="P49" i="10"/>
  <c r="N49" i="10"/>
  <c r="AA48" i="10"/>
  <c r="AB48" i="10" s="1"/>
  <c r="Z48" i="10"/>
  <c r="Y48" i="10"/>
  <c r="X48" i="10"/>
  <c r="W48" i="10"/>
  <c r="V48" i="10"/>
  <c r="T48" i="10"/>
  <c r="U48" i="10" s="1"/>
  <c r="R48" i="10"/>
  <c r="Q48" i="10"/>
  <c r="P48" i="10"/>
  <c r="N48" i="10"/>
  <c r="AA47" i="10"/>
  <c r="AB47" i="10" s="1"/>
  <c r="Z47" i="10"/>
  <c r="Y47" i="10"/>
  <c r="X47" i="10"/>
  <c r="W47" i="10"/>
  <c r="V47" i="10"/>
  <c r="T47" i="10"/>
  <c r="U47" i="10" s="1"/>
  <c r="R47" i="10"/>
  <c r="Q47" i="10"/>
  <c r="P47" i="10"/>
  <c r="N47" i="10"/>
  <c r="AA46" i="10"/>
  <c r="AB46" i="10" s="1"/>
  <c r="Z46" i="10"/>
  <c r="Y46" i="10"/>
  <c r="X46" i="10"/>
  <c r="W46" i="10"/>
  <c r="V46" i="10"/>
  <c r="T46" i="10"/>
  <c r="U46" i="10" s="1"/>
  <c r="R46" i="10"/>
  <c r="Q46" i="10"/>
  <c r="P46" i="10"/>
  <c r="N46" i="10"/>
  <c r="AA45" i="10"/>
  <c r="AB45" i="10" s="1"/>
  <c r="Z45" i="10"/>
  <c r="Y45" i="10"/>
  <c r="X45" i="10"/>
  <c r="W45" i="10"/>
  <c r="V45" i="10"/>
  <c r="T45" i="10"/>
  <c r="U45" i="10"/>
  <c r="R45" i="10"/>
  <c r="Q45" i="10"/>
  <c r="P45" i="10"/>
  <c r="N45" i="10"/>
  <c r="Q44" i="10"/>
  <c r="Q43" i="10"/>
  <c r="AA42" i="10"/>
  <c r="AB42" i="10"/>
  <c r="Z42" i="10"/>
  <c r="Y42" i="10"/>
  <c r="X42" i="10"/>
  <c r="W42" i="10"/>
  <c r="V42" i="10"/>
  <c r="T42" i="10"/>
  <c r="U42" i="10" s="1"/>
  <c r="R42" i="10"/>
  <c r="Q42" i="10"/>
  <c r="P42" i="10"/>
  <c r="N42" i="10"/>
  <c r="AA41" i="10"/>
  <c r="AB41" i="10" s="1"/>
  <c r="Z41" i="10"/>
  <c r="Y41" i="10"/>
  <c r="X41" i="10"/>
  <c r="W41" i="10"/>
  <c r="V41" i="10"/>
  <c r="T41" i="10"/>
  <c r="U41" i="10" s="1"/>
  <c r="R41" i="10"/>
  <c r="Q41" i="10"/>
  <c r="P41" i="10"/>
  <c r="N41" i="10"/>
  <c r="AA40" i="10"/>
  <c r="AB40" i="10" s="1"/>
  <c r="Z40" i="10"/>
  <c r="Y40" i="10"/>
  <c r="X40" i="10"/>
  <c r="W40" i="10"/>
  <c r="V40" i="10"/>
  <c r="T40" i="10"/>
  <c r="U40" i="10" s="1"/>
  <c r="R40" i="10"/>
  <c r="Q40" i="10"/>
  <c r="P40" i="10"/>
  <c r="N40" i="10"/>
  <c r="AA39" i="10"/>
  <c r="AB39" i="10" s="1"/>
  <c r="Z39" i="10"/>
  <c r="Y39" i="10"/>
  <c r="X39" i="10"/>
  <c r="W39" i="10"/>
  <c r="V39" i="10"/>
  <c r="T39" i="10"/>
  <c r="U39" i="10"/>
  <c r="R39" i="10"/>
  <c r="Q39" i="10"/>
  <c r="P39" i="10"/>
  <c r="N39" i="10"/>
  <c r="AA38" i="10"/>
  <c r="AB38" i="10" s="1"/>
  <c r="Z38" i="10"/>
  <c r="Y38" i="10"/>
  <c r="X38" i="10"/>
  <c r="W38" i="10"/>
  <c r="V38" i="10"/>
  <c r="T38" i="10"/>
  <c r="U38" i="10" s="1"/>
  <c r="R38" i="10"/>
  <c r="Q38" i="10"/>
  <c r="P38" i="10"/>
  <c r="N38" i="10"/>
  <c r="Q37" i="10"/>
  <c r="AA36" i="10"/>
  <c r="AB36" i="10" s="1"/>
  <c r="Z36" i="10"/>
  <c r="Y36" i="10"/>
  <c r="X36" i="10"/>
  <c r="W36" i="10"/>
  <c r="V36" i="10"/>
  <c r="T36" i="10"/>
  <c r="U36" i="10" s="1"/>
  <c r="R36" i="10"/>
  <c r="Q36" i="10"/>
  <c r="P36" i="10"/>
  <c r="N36" i="10"/>
  <c r="AA35" i="10"/>
  <c r="AB35" i="10" s="1"/>
  <c r="Z35" i="10"/>
  <c r="Y35" i="10"/>
  <c r="X35" i="10"/>
  <c r="W35" i="10"/>
  <c r="V35" i="10"/>
  <c r="T35" i="10"/>
  <c r="U35" i="10" s="1"/>
  <c r="R35" i="10"/>
  <c r="Q35" i="10"/>
  <c r="P35" i="10"/>
  <c r="N35" i="10"/>
  <c r="AA34" i="10"/>
  <c r="AB34" i="10" s="1"/>
  <c r="Z34" i="10"/>
  <c r="Y34" i="10"/>
  <c r="X34" i="10"/>
  <c r="W34" i="10"/>
  <c r="V34" i="10"/>
  <c r="T34" i="10"/>
  <c r="U34" i="10" s="1"/>
  <c r="R34" i="10"/>
  <c r="Q34" i="10"/>
  <c r="P34" i="10"/>
  <c r="N34" i="10"/>
  <c r="AA33" i="10"/>
  <c r="AB33" i="10" s="1"/>
  <c r="Z33" i="10"/>
  <c r="Y33" i="10"/>
  <c r="X33" i="10"/>
  <c r="W33" i="10"/>
  <c r="V33" i="10"/>
  <c r="T33" i="10"/>
  <c r="U33" i="10"/>
  <c r="R33" i="10"/>
  <c r="Q33" i="10"/>
  <c r="P33" i="10"/>
  <c r="N33" i="10"/>
  <c r="Q32" i="10"/>
  <c r="Q31" i="10"/>
  <c r="Q30" i="10"/>
  <c r="AA29" i="10"/>
  <c r="AB29" i="10" s="1"/>
  <c r="Z29" i="10"/>
  <c r="Y29" i="10"/>
  <c r="X29" i="10"/>
  <c r="W29" i="10"/>
  <c r="V29" i="10"/>
  <c r="T29" i="10"/>
  <c r="U29" i="10"/>
  <c r="R29" i="10"/>
  <c r="Q29" i="10"/>
  <c r="P29" i="10"/>
  <c r="N29" i="10"/>
  <c r="Q28" i="10"/>
  <c r="Q27" i="10"/>
  <c r="AA26" i="10"/>
  <c r="AB26" i="10"/>
  <c r="Z26" i="10"/>
  <c r="Y26" i="10"/>
  <c r="X26" i="10"/>
  <c r="W26" i="10"/>
  <c r="V26" i="10"/>
  <c r="T26" i="10"/>
  <c r="U26" i="10" s="1"/>
  <c r="R26" i="10"/>
  <c r="Q26" i="10"/>
  <c r="P26" i="10"/>
  <c r="N26" i="10"/>
  <c r="AA25" i="10"/>
  <c r="AB25" i="10" s="1"/>
  <c r="Z25" i="10"/>
  <c r="Y25" i="10"/>
  <c r="X25" i="10"/>
  <c r="W25" i="10"/>
  <c r="V25" i="10"/>
  <c r="T25" i="10"/>
  <c r="U25" i="10" s="1"/>
  <c r="R25" i="10"/>
  <c r="Q25" i="10"/>
  <c r="P25" i="10"/>
  <c r="N25" i="10"/>
  <c r="Q24" i="10"/>
  <c r="AA23" i="10"/>
  <c r="AB23" i="10" s="1"/>
  <c r="Z23" i="10"/>
  <c r="Y23" i="10"/>
  <c r="X23" i="10"/>
  <c r="W23" i="10"/>
  <c r="V23" i="10"/>
  <c r="T23" i="10"/>
  <c r="U23" i="10" s="1"/>
  <c r="R23" i="10"/>
  <c r="Q23" i="10"/>
  <c r="P23" i="10"/>
  <c r="N23" i="10"/>
  <c r="Q22" i="10"/>
  <c r="Q21" i="10"/>
  <c r="Q20" i="10"/>
  <c r="Q19" i="10"/>
  <c r="Q18" i="10"/>
  <c r="AA17" i="10"/>
  <c r="AB17" i="10"/>
  <c r="Z17" i="10"/>
  <c r="Y17" i="10"/>
  <c r="X17" i="10"/>
  <c r="W17" i="10"/>
  <c r="V17" i="10"/>
  <c r="T17" i="10"/>
  <c r="U17" i="10" s="1"/>
  <c r="R17" i="10"/>
  <c r="Q17" i="10"/>
  <c r="P17" i="10"/>
  <c r="N17" i="10"/>
  <c r="AA16" i="10"/>
  <c r="AB16" i="10" s="1"/>
  <c r="Z16" i="10"/>
  <c r="Y16" i="10"/>
  <c r="X16" i="10"/>
  <c r="W16" i="10"/>
  <c r="V16" i="10"/>
  <c r="T16" i="10"/>
  <c r="U16" i="10" s="1"/>
  <c r="R16" i="10"/>
  <c r="Q16" i="10"/>
  <c r="P16" i="10"/>
  <c r="N16" i="10"/>
  <c r="Q15" i="10"/>
  <c r="AA14" i="10"/>
  <c r="AB14" i="10" s="1"/>
  <c r="Z14" i="10"/>
  <c r="Y14" i="10"/>
  <c r="X14" i="10"/>
  <c r="W14" i="10"/>
  <c r="V14" i="10"/>
  <c r="T14" i="10"/>
  <c r="U14" i="10" s="1"/>
  <c r="R14" i="10"/>
  <c r="Q14" i="10"/>
  <c r="P14" i="10"/>
  <c r="N14" i="10"/>
  <c r="Q13" i="10"/>
  <c r="Q12" i="10"/>
  <c r="AA11" i="10"/>
  <c r="AB11" i="10" s="1"/>
  <c r="Z11" i="10"/>
  <c r="Y11" i="10"/>
  <c r="X11" i="10"/>
  <c r="W11" i="10"/>
  <c r="V11" i="10"/>
  <c r="T11" i="10"/>
  <c r="U11" i="10" s="1"/>
  <c r="R11" i="10"/>
  <c r="Q11" i="10"/>
  <c r="P11" i="10"/>
  <c r="N11" i="10"/>
  <c r="AA10" i="10"/>
  <c r="AB10" i="10" s="1"/>
  <c r="Z10" i="10"/>
  <c r="Y10" i="10"/>
  <c r="X10" i="10"/>
  <c r="W10" i="10"/>
  <c r="V10" i="10"/>
  <c r="T10" i="10"/>
  <c r="U10" i="10" s="1"/>
  <c r="R10" i="10"/>
  <c r="Q10" i="10"/>
  <c r="P10" i="10"/>
  <c r="N10" i="10"/>
  <c r="AA9" i="10"/>
  <c r="AB9" i="10" s="1"/>
  <c r="Z9" i="10"/>
  <c r="Y9" i="10"/>
  <c r="X9" i="10"/>
  <c r="W9" i="10"/>
  <c r="V9" i="10"/>
  <c r="T9" i="10"/>
  <c r="U9" i="10"/>
  <c r="R9" i="10"/>
  <c r="Q9" i="10"/>
  <c r="P9" i="10"/>
  <c r="N9" i="10"/>
  <c r="Q8" i="10"/>
  <c r="AA7" i="10"/>
  <c r="AB7" i="10" s="1"/>
  <c r="Z7" i="10"/>
  <c r="Y7" i="10"/>
  <c r="X7" i="10"/>
  <c r="W7" i="10"/>
  <c r="V7" i="10"/>
  <c r="T7" i="10"/>
  <c r="U7" i="10"/>
  <c r="R7" i="10"/>
  <c r="Q7" i="10"/>
  <c r="P7" i="10"/>
  <c r="N7" i="10"/>
  <c r="AA6" i="10"/>
  <c r="AB6" i="10" s="1"/>
  <c r="Z6" i="10"/>
  <c r="Y6" i="10"/>
  <c r="X6" i="10"/>
  <c r="W6" i="10"/>
  <c r="V6" i="10"/>
  <c r="T6" i="10"/>
  <c r="U6" i="10" s="1"/>
  <c r="R6" i="10"/>
  <c r="Q6" i="10"/>
  <c r="P6" i="10"/>
  <c r="N6" i="10"/>
  <c r="AA5" i="10"/>
  <c r="AB5" i="10" s="1"/>
  <c r="Z5" i="10"/>
  <c r="Y5" i="10"/>
  <c r="X5" i="10"/>
  <c r="W5" i="10"/>
  <c r="V5" i="10"/>
  <c r="T5" i="10"/>
  <c r="U5" i="10" s="1"/>
  <c r="R5" i="10"/>
  <c r="Q5" i="10"/>
  <c r="P5" i="10"/>
  <c r="N5" i="10"/>
  <c r="Q4" i="10"/>
  <c r="AA5" i="9"/>
  <c r="AB5" i="9"/>
  <c r="AA6" i="9"/>
  <c r="AB6" i="9"/>
  <c r="AA7" i="9"/>
  <c r="AB7" i="9"/>
  <c r="AA8" i="9"/>
  <c r="AB8" i="9"/>
  <c r="AA9" i="9"/>
  <c r="AB9" i="9"/>
  <c r="AA10" i="9"/>
  <c r="AB10" i="9"/>
  <c r="AA11" i="9"/>
  <c r="AB11" i="9"/>
  <c r="AA12" i="9"/>
  <c r="AB12" i="9"/>
  <c r="AA13" i="9"/>
  <c r="AB13" i="9"/>
  <c r="AA14" i="9"/>
  <c r="AB14" i="9"/>
  <c r="AA15" i="9"/>
  <c r="AB15" i="9"/>
  <c r="AA16" i="9"/>
  <c r="AB16" i="9"/>
  <c r="AA17" i="9"/>
  <c r="AB17" i="9"/>
  <c r="AA18" i="9"/>
  <c r="AB18" i="9"/>
  <c r="AA19" i="9"/>
  <c r="AB19" i="9"/>
  <c r="AA20" i="9"/>
  <c r="AB20" i="9"/>
  <c r="AA21" i="9"/>
  <c r="AB21" i="9"/>
  <c r="AA22" i="9"/>
  <c r="AB22" i="9"/>
  <c r="AA23" i="9"/>
  <c r="AB23" i="9"/>
  <c r="AA24" i="9"/>
  <c r="AB24" i="9"/>
  <c r="AA25" i="9"/>
  <c r="AB25" i="9"/>
  <c r="AA26" i="9"/>
  <c r="AB26" i="9"/>
  <c r="AA27" i="9"/>
  <c r="AB27" i="9"/>
  <c r="AA28" i="9"/>
  <c r="AB28" i="9"/>
  <c r="AA29" i="9"/>
  <c r="AB29" i="9"/>
  <c r="AA30" i="9"/>
  <c r="AB30" i="9"/>
  <c r="AA31" i="9"/>
  <c r="AB31" i="9"/>
  <c r="AA32" i="9"/>
  <c r="AB32" i="9"/>
  <c r="AA33" i="9"/>
  <c r="AB33" i="9"/>
  <c r="AA34" i="9"/>
  <c r="AB34" i="9"/>
  <c r="AA35" i="9"/>
  <c r="AB35" i="9"/>
  <c r="AA36" i="9"/>
  <c r="AB36" i="9"/>
  <c r="AA37" i="9"/>
  <c r="AB37" i="9"/>
  <c r="AA38" i="9"/>
  <c r="AB38" i="9"/>
  <c r="AA39" i="9"/>
  <c r="AB39" i="9"/>
  <c r="AA40" i="9"/>
  <c r="AB40" i="9"/>
  <c r="AA41" i="9"/>
  <c r="AB41" i="9"/>
  <c r="AA42" i="9"/>
  <c r="AB42" i="9"/>
  <c r="AA43" i="9"/>
  <c r="AB43" i="9"/>
  <c r="AA44" i="9"/>
  <c r="AB44" i="9"/>
  <c r="AA45" i="9"/>
  <c r="AB45" i="9"/>
  <c r="AA46" i="9"/>
  <c r="AB46" i="9"/>
  <c r="AA47" i="9"/>
  <c r="AB47" i="9"/>
  <c r="AA48" i="9"/>
  <c r="AB48" i="9"/>
  <c r="AA49" i="9"/>
  <c r="AB49" i="9"/>
  <c r="AA50" i="9"/>
  <c r="AB50" i="9"/>
  <c r="AA51" i="9"/>
  <c r="AB51" i="9"/>
  <c r="AA52" i="9"/>
  <c r="AB52" i="9"/>
  <c r="AA53" i="9"/>
  <c r="AB53" i="9"/>
  <c r="AA54" i="9"/>
  <c r="AB54" i="9"/>
  <c r="AA55" i="9"/>
  <c r="AB55" i="9"/>
  <c r="AA56" i="9"/>
  <c r="AB56" i="9"/>
  <c r="AA57" i="9"/>
  <c r="AB57" i="9"/>
  <c r="AA58" i="9"/>
  <c r="AB58" i="9"/>
  <c r="AA59" i="9"/>
  <c r="AB59" i="9"/>
  <c r="AA60" i="9"/>
  <c r="AB60" i="9"/>
  <c r="AA61" i="9"/>
  <c r="AB61" i="9"/>
  <c r="AA62" i="9"/>
  <c r="AB62" i="9"/>
  <c r="AA63" i="9"/>
  <c r="AB63" i="9"/>
  <c r="AA64" i="9"/>
  <c r="AB64" i="9"/>
  <c r="AA66" i="9"/>
  <c r="AB66" i="9"/>
  <c r="AA67" i="9"/>
  <c r="AB67" i="9"/>
  <c r="AA68" i="9"/>
  <c r="AB68" i="9"/>
  <c r="AA69" i="9"/>
  <c r="AB69" i="9"/>
  <c r="AA70" i="9"/>
  <c r="AB70" i="9"/>
  <c r="AA71" i="9"/>
  <c r="AB71" i="9"/>
  <c r="AA73" i="9"/>
  <c r="AB73" i="9"/>
  <c r="AA75" i="9"/>
  <c r="AB75" i="9"/>
  <c r="AA76" i="9"/>
  <c r="AB76" i="9"/>
  <c r="AA77" i="9"/>
  <c r="AB77" i="9"/>
  <c r="AA78" i="9"/>
  <c r="AB78" i="9"/>
  <c r="AA79" i="9"/>
  <c r="AB79" i="9"/>
  <c r="AA80" i="9"/>
  <c r="AB80" i="9"/>
  <c r="AA81" i="9"/>
  <c r="AB81" i="9"/>
  <c r="AA83" i="9"/>
  <c r="AB83" i="9"/>
  <c r="AA84" i="9"/>
  <c r="AB84" i="9"/>
  <c r="AA85" i="9"/>
  <c r="AB85" i="9"/>
  <c r="AA86" i="9"/>
  <c r="AB86" i="9"/>
  <c r="AA87" i="9"/>
  <c r="AB87" i="9"/>
  <c r="AA88" i="9"/>
  <c r="AB88" i="9"/>
  <c r="AA89" i="9"/>
  <c r="AB89" i="9"/>
  <c r="AA90" i="9"/>
  <c r="AB90" i="9"/>
  <c r="AA91" i="9"/>
  <c r="AB91" i="9"/>
  <c r="AA92" i="9"/>
  <c r="AB92" i="9"/>
  <c r="AA93" i="9"/>
  <c r="AB93" i="9"/>
  <c r="AA94" i="9"/>
  <c r="AB94" i="9"/>
  <c r="AA95" i="9"/>
  <c r="AB95" i="9"/>
  <c r="AA96" i="9"/>
  <c r="AB96" i="9"/>
  <c r="AA97" i="9"/>
  <c r="AB97" i="9"/>
  <c r="AA98" i="9"/>
  <c r="AB98" i="9"/>
  <c r="AA99" i="9"/>
  <c r="AB99" i="9"/>
  <c r="AA100" i="9"/>
  <c r="AB100" i="9"/>
  <c r="AA101" i="9"/>
  <c r="AB101" i="9"/>
  <c r="AA102" i="9"/>
  <c r="AB102" i="9"/>
  <c r="AA103" i="9"/>
  <c r="AB103" i="9"/>
  <c r="AA104" i="9"/>
  <c r="AB104" i="9"/>
  <c r="AA105" i="9"/>
  <c r="AB105" i="9"/>
  <c r="AA106" i="9"/>
  <c r="AB106" i="9"/>
  <c r="AA107" i="9"/>
  <c r="AB107" i="9"/>
  <c r="AA108" i="9"/>
  <c r="AB108" i="9"/>
  <c r="AA109" i="9"/>
  <c r="AB109" i="9"/>
  <c r="AA110" i="9"/>
  <c r="AB110" i="9"/>
  <c r="AA111" i="9"/>
  <c r="AB111" i="9"/>
  <c r="AA112" i="9"/>
  <c r="AB112" i="9"/>
  <c r="AA113" i="9"/>
  <c r="AB113" i="9"/>
  <c r="AA114" i="9"/>
  <c r="AB114" i="9"/>
  <c r="AA115" i="9"/>
  <c r="AB115" i="9"/>
  <c r="AA116" i="9"/>
  <c r="AB116" i="9"/>
  <c r="AA117" i="9"/>
  <c r="AB117" i="9"/>
  <c r="AA118" i="9"/>
  <c r="AB118" i="9"/>
  <c r="AA119" i="9"/>
  <c r="AB119" i="9"/>
  <c r="AA120" i="9"/>
  <c r="AB120" i="9"/>
  <c r="AA121" i="9"/>
  <c r="AB121" i="9"/>
  <c r="AA122" i="9"/>
  <c r="AB122" i="9"/>
  <c r="AA123" i="9"/>
  <c r="AB123" i="9"/>
  <c r="AA124" i="9"/>
  <c r="AB124" i="9"/>
  <c r="AA125" i="9"/>
  <c r="AB125" i="9"/>
  <c r="AA126" i="9"/>
  <c r="AB126" i="9"/>
  <c r="AA127" i="9"/>
  <c r="AB127" i="9"/>
  <c r="AA128" i="9"/>
  <c r="AB128" i="9"/>
  <c r="AA129" i="9"/>
  <c r="AB129" i="9"/>
  <c r="AA130" i="9"/>
  <c r="AB130" i="9"/>
  <c r="AA131" i="9"/>
  <c r="AB131" i="9"/>
  <c r="AA132" i="9"/>
  <c r="AB132" i="9"/>
  <c r="AA133" i="9"/>
  <c r="AB133" i="9"/>
  <c r="AA134" i="9"/>
  <c r="AB134" i="9"/>
  <c r="AA135" i="9"/>
  <c r="AB135" i="9"/>
  <c r="AA136" i="9"/>
  <c r="AB136" i="9"/>
  <c r="AA137" i="9"/>
  <c r="AB137" i="9"/>
  <c r="AA138" i="9"/>
  <c r="AB138" i="9"/>
  <c r="AA139" i="9"/>
  <c r="AB139" i="9"/>
  <c r="AA140" i="9"/>
  <c r="AB140" i="9"/>
  <c r="AA141" i="9"/>
  <c r="AB141" i="9"/>
  <c r="AA142" i="9"/>
  <c r="AB142" i="9"/>
  <c r="AA143" i="9"/>
  <c r="AB143" i="9"/>
  <c r="AA144" i="9"/>
  <c r="AB144" i="9"/>
  <c r="AA145" i="9"/>
  <c r="AB145" i="9"/>
  <c r="AA146" i="9"/>
  <c r="AB146" i="9"/>
  <c r="AA147" i="9"/>
  <c r="AB147" i="9"/>
  <c r="AA149" i="9"/>
  <c r="AB149" i="9"/>
  <c r="AA150" i="9"/>
  <c r="AB150" i="9"/>
  <c r="AA151" i="9"/>
  <c r="AB151" i="9"/>
  <c r="AA152" i="9"/>
  <c r="AB152" i="9"/>
  <c r="AA153" i="9"/>
  <c r="AB153" i="9"/>
  <c r="AA154" i="9"/>
  <c r="AB154" i="9"/>
  <c r="AA155" i="9"/>
  <c r="AB155" i="9"/>
  <c r="AA156" i="9"/>
  <c r="AB156" i="9"/>
  <c r="AA157" i="9"/>
  <c r="AB157" i="9"/>
  <c r="AA158" i="9"/>
  <c r="AB158" i="9"/>
  <c r="AA159" i="9"/>
  <c r="AB159" i="9"/>
  <c r="AA160" i="9"/>
  <c r="AB160" i="9"/>
  <c r="AA161" i="9"/>
  <c r="AB161" i="9"/>
  <c r="AA162" i="9"/>
  <c r="AB162" i="9"/>
  <c r="AA163" i="9"/>
  <c r="AB163" i="9"/>
  <c r="AA164" i="9"/>
  <c r="AB164" i="9"/>
  <c r="AA165" i="9"/>
  <c r="AB165" i="9"/>
  <c r="AA166" i="9"/>
  <c r="AB166" i="9"/>
  <c r="AA169" i="9"/>
  <c r="AB169" i="9"/>
  <c r="AA170" i="9"/>
  <c r="AB170" i="9"/>
  <c r="AA171" i="9"/>
  <c r="AB171" i="9"/>
  <c r="AA172" i="9"/>
  <c r="AB172" i="9"/>
  <c r="AA173" i="9"/>
  <c r="AB173" i="9"/>
  <c r="AA174" i="9"/>
  <c r="AB174" i="9"/>
  <c r="AA175" i="9"/>
  <c r="AB175" i="9"/>
  <c r="AA176" i="9"/>
  <c r="AB176" i="9"/>
  <c r="AA177" i="9"/>
  <c r="AB177" i="9"/>
  <c r="AA178" i="9"/>
  <c r="AB178" i="9"/>
  <c r="AA179" i="9"/>
  <c r="AB179" i="9"/>
  <c r="AA181" i="9"/>
  <c r="AB181" i="9"/>
  <c r="AA182" i="9"/>
  <c r="AB182" i="9"/>
  <c r="AA183" i="9"/>
  <c r="AB183" i="9"/>
  <c r="AA184" i="9"/>
  <c r="AB184" i="9"/>
  <c r="AA185" i="9"/>
  <c r="AB185" i="9"/>
  <c r="AA186" i="9"/>
  <c r="AB186" i="9"/>
  <c r="AA187" i="9"/>
  <c r="AB187" i="9"/>
  <c r="AA188" i="9"/>
  <c r="AB188" i="9"/>
  <c r="AA190" i="9"/>
  <c r="AB190" i="9"/>
  <c r="AA191" i="9"/>
  <c r="AB191" i="9"/>
  <c r="AA192" i="9"/>
  <c r="AB192" i="9"/>
  <c r="AA193" i="9"/>
  <c r="AB193" i="9"/>
  <c r="AA194" i="9"/>
  <c r="AB194" i="9"/>
  <c r="AA195" i="9"/>
  <c r="AB195" i="9"/>
  <c r="AA196" i="9"/>
  <c r="AB196" i="9"/>
  <c r="AA197" i="9"/>
  <c r="AB197" i="9"/>
  <c r="AA198" i="9"/>
  <c r="AB198" i="9"/>
  <c r="AA199" i="9"/>
  <c r="AB199" i="9"/>
  <c r="AA200" i="9"/>
  <c r="AB200" i="9"/>
  <c r="AA201" i="9"/>
  <c r="AB201" i="9"/>
  <c r="AA202" i="9"/>
  <c r="AB202" i="9"/>
  <c r="AA203" i="9"/>
  <c r="AB203" i="9"/>
  <c r="AA204" i="9"/>
  <c r="AB204" i="9"/>
  <c r="AA205" i="9"/>
  <c r="AB205" i="9"/>
  <c r="AA206" i="9"/>
  <c r="AB206" i="9"/>
  <c r="AA207" i="9"/>
  <c r="AB207" i="9"/>
  <c r="AA208" i="9"/>
  <c r="AB208" i="9"/>
  <c r="AA209" i="9"/>
  <c r="AB209" i="9"/>
  <c r="AA210" i="9"/>
  <c r="AB210" i="9"/>
  <c r="AA211" i="9"/>
  <c r="AB211" i="9"/>
  <c r="AA213" i="9"/>
  <c r="AB213" i="9"/>
  <c r="AA214" i="9"/>
  <c r="AB214" i="9"/>
  <c r="AA215" i="9"/>
  <c r="AB215" i="9"/>
  <c r="AA216" i="9"/>
  <c r="AB216" i="9"/>
  <c r="AA217" i="9"/>
  <c r="AB217" i="9"/>
  <c r="AA218" i="9"/>
  <c r="AB218" i="9"/>
  <c r="AA219" i="9"/>
  <c r="AB219" i="9"/>
  <c r="AA220" i="9"/>
  <c r="AB220" i="9"/>
  <c r="AA221" i="9"/>
  <c r="AB221" i="9"/>
  <c r="AA222" i="9"/>
  <c r="AB222" i="9"/>
  <c r="AA223" i="9"/>
  <c r="AB223" i="9"/>
  <c r="AA224" i="9"/>
  <c r="AB224" i="9"/>
  <c r="AA225" i="9"/>
  <c r="AB225" i="9"/>
  <c r="AA226" i="9"/>
  <c r="AB226" i="9"/>
  <c r="AA227" i="9"/>
  <c r="AB227" i="9"/>
  <c r="AA228" i="9"/>
  <c r="AB228" i="9"/>
  <c r="AA229" i="9"/>
  <c r="AB229" i="9"/>
  <c r="AA231" i="9"/>
  <c r="AB231" i="9"/>
  <c r="AA232" i="9"/>
  <c r="AB232" i="9"/>
  <c r="AA235" i="9"/>
  <c r="AB235" i="9"/>
  <c r="AA236" i="9"/>
  <c r="AB236" i="9"/>
  <c r="AA238" i="9"/>
  <c r="AB238" i="9"/>
  <c r="AA240" i="9"/>
  <c r="AB240" i="9"/>
  <c r="AA241" i="9"/>
  <c r="AB241" i="9"/>
  <c r="AA242" i="9"/>
  <c r="AB242" i="9"/>
  <c r="AA244" i="9"/>
  <c r="AB244" i="9"/>
  <c r="AA245" i="9"/>
  <c r="AB245" i="9"/>
  <c r="AA248" i="9"/>
  <c r="AB248" i="9"/>
  <c r="AA249" i="9"/>
  <c r="AB249" i="9"/>
  <c r="AA250" i="9"/>
  <c r="AB250" i="9"/>
  <c r="AA251" i="9"/>
  <c r="AB251" i="9"/>
  <c r="AA252" i="9"/>
  <c r="AB252" i="9"/>
  <c r="AA253" i="9"/>
  <c r="AB253" i="9"/>
  <c r="AA254" i="9"/>
  <c r="AB254" i="9"/>
  <c r="AA255" i="9"/>
  <c r="AB255" i="9"/>
  <c r="AA256" i="9"/>
  <c r="AB256" i="9"/>
  <c r="AA258" i="9"/>
  <c r="AB258" i="9"/>
  <c r="AA259" i="9"/>
  <c r="AB259" i="9"/>
  <c r="AA261" i="9"/>
  <c r="AB261" i="9"/>
  <c r="AA263" i="9"/>
  <c r="AB263" i="9"/>
  <c r="AA264" i="9"/>
  <c r="AB264" i="9"/>
  <c r="AA265" i="9"/>
  <c r="AB265" i="9"/>
  <c r="AA266" i="9"/>
  <c r="AB266" i="9"/>
  <c r="AA267" i="9"/>
  <c r="AB267" i="9"/>
  <c r="AA268" i="9"/>
  <c r="AB268" i="9"/>
  <c r="AA269" i="9"/>
  <c r="AB269" i="9"/>
  <c r="AA270" i="9"/>
  <c r="AB270" i="9"/>
  <c r="AA271" i="9"/>
  <c r="AB271" i="9"/>
  <c r="AA272" i="9"/>
  <c r="AB272" i="9"/>
  <c r="AA274" i="9"/>
  <c r="AB274" i="9"/>
  <c r="AA275" i="9"/>
  <c r="AB275" i="9"/>
  <c r="AA276" i="9"/>
  <c r="AB276" i="9"/>
  <c r="AA277" i="9"/>
  <c r="AB277" i="9"/>
  <c r="AA278" i="9"/>
  <c r="AB278" i="9"/>
  <c r="AA282" i="9"/>
  <c r="AB282" i="9"/>
  <c r="AA283" i="9"/>
  <c r="AB283" i="9"/>
  <c r="AA284" i="9"/>
  <c r="AB284" i="9"/>
  <c r="AA285" i="9"/>
  <c r="AB285" i="9"/>
  <c r="AA286" i="9"/>
  <c r="AB286" i="9"/>
  <c r="AA287" i="9"/>
  <c r="AB287" i="9"/>
  <c r="AA288" i="9"/>
  <c r="AB288" i="9"/>
  <c r="AA289" i="9"/>
  <c r="AB289" i="9"/>
  <c r="AA290" i="9"/>
  <c r="AB290" i="9"/>
  <c r="AA291" i="9"/>
  <c r="AB291" i="9"/>
  <c r="AA292" i="9"/>
  <c r="AB292" i="9"/>
  <c r="AA293" i="9"/>
  <c r="AB293" i="9"/>
  <c r="AA294" i="9"/>
  <c r="AB294" i="9"/>
  <c r="AA295" i="9"/>
  <c r="AB295" i="9"/>
  <c r="AA296" i="9"/>
  <c r="AB296" i="9"/>
  <c r="AA297" i="9"/>
  <c r="AB297" i="9"/>
  <c r="AA298" i="9"/>
  <c r="AB298" i="9"/>
  <c r="AA300" i="9"/>
  <c r="AB300" i="9"/>
  <c r="AA301" i="9"/>
  <c r="AB301" i="9"/>
  <c r="AA302" i="9"/>
  <c r="AB302" i="9"/>
  <c r="AA304" i="9"/>
  <c r="AB304" i="9"/>
  <c r="AA306" i="9"/>
  <c r="AB306" i="9"/>
  <c r="AA307" i="9"/>
  <c r="AB307" i="9"/>
  <c r="AA308" i="9"/>
  <c r="AB308" i="9"/>
  <c r="AA310" i="9"/>
  <c r="AB310" i="9"/>
  <c r="AA311" i="9"/>
  <c r="AB311" i="9"/>
  <c r="AA312" i="9"/>
  <c r="AB312" i="9"/>
  <c r="AA313" i="9"/>
  <c r="AB313" i="9"/>
  <c r="AA314" i="9"/>
  <c r="AB314" i="9"/>
  <c r="AA315" i="9"/>
  <c r="AB315" i="9"/>
  <c r="AA316" i="9"/>
  <c r="AB316" i="9"/>
  <c r="AA317" i="9"/>
  <c r="AB317" i="9"/>
  <c r="AA318" i="9"/>
  <c r="AB318" i="9"/>
  <c r="AA319" i="9"/>
  <c r="AB319" i="9"/>
  <c r="AA320" i="9"/>
  <c r="AB320" i="9"/>
  <c r="AA321" i="9"/>
  <c r="AB321" i="9"/>
  <c r="AA322" i="9"/>
  <c r="AB322" i="9"/>
  <c r="AA323" i="9"/>
  <c r="AB323" i="9"/>
  <c r="AA324" i="9"/>
  <c r="AB324" i="9"/>
  <c r="AA325" i="9"/>
  <c r="AB325" i="9"/>
  <c r="AA326" i="9"/>
  <c r="AB326" i="9"/>
  <c r="AA327" i="9"/>
  <c r="AB327" i="9"/>
  <c r="AA329" i="9"/>
  <c r="AB329" i="9"/>
  <c r="AA330" i="9"/>
  <c r="AB330" i="9"/>
  <c r="AA331" i="9"/>
  <c r="AB331" i="9"/>
  <c r="AA332" i="9"/>
  <c r="AB332" i="9"/>
  <c r="AA333" i="9"/>
  <c r="AB333" i="9"/>
  <c r="AA334" i="9"/>
  <c r="AB334" i="9"/>
  <c r="AA335" i="9"/>
  <c r="AB335" i="9"/>
  <c r="AA336" i="9"/>
  <c r="AB336" i="9"/>
  <c r="AA337" i="9"/>
  <c r="AB337" i="9"/>
  <c r="AA339" i="9"/>
  <c r="AB339" i="9"/>
  <c r="AA340" i="9"/>
  <c r="AB340" i="9"/>
  <c r="AA341" i="9"/>
  <c r="AB341" i="9"/>
  <c r="AA342" i="9"/>
  <c r="AB342" i="9"/>
  <c r="AA343" i="9"/>
  <c r="AB343" i="9"/>
  <c r="AA344" i="9"/>
  <c r="AB344" i="9"/>
  <c r="AA345" i="9"/>
  <c r="AB345" i="9"/>
  <c r="AA346" i="9"/>
  <c r="AB346" i="9"/>
  <c r="AA347" i="9"/>
  <c r="AB347" i="9"/>
  <c r="AA348" i="9"/>
  <c r="AB348" i="9"/>
  <c r="AA349" i="9"/>
  <c r="AB349" i="9"/>
  <c r="AA350" i="9"/>
  <c r="AB350" i="9"/>
  <c r="AA351" i="9"/>
  <c r="AB351" i="9"/>
  <c r="AA352" i="9"/>
  <c r="AB352" i="9"/>
  <c r="AA353" i="9"/>
  <c r="AB353" i="9"/>
  <c r="AA354" i="9"/>
  <c r="AB354" i="9"/>
  <c r="AA355" i="9"/>
  <c r="AB355" i="9"/>
  <c r="AA356" i="9"/>
  <c r="AB356" i="9"/>
  <c r="AA357" i="9"/>
  <c r="AB357" i="9"/>
  <c r="AA358" i="9"/>
  <c r="AB358" i="9"/>
  <c r="AA359" i="9"/>
  <c r="AB359" i="9"/>
  <c r="AA360" i="9"/>
  <c r="AB360" i="9"/>
  <c r="AA361" i="9"/>
  <c r="AB361" i="9"/>
  <c r="AA363" i="9"/>
  <c r="AB363" i="9"/>
  <c r="AA364" i="9"/>
  <c r="AB364" i="9"/>
  <c r="AA365" i="9"/>
  <c r="AB365" i="9"/>
  <c r="AA366" i="9"/>
  <c r="AB366" i="9"/>
  <c r="AA367" i="9"/>
  <c r="AB367" i="9"/>
  <c r="AA369" i="9"/>
  <c r="AB369" i="9"/>
  <c r="AA370" i="9"/>
  <c r="AB370" i="9"/>
  <c r="AA371" i="9"/>
  <c r="AB371" i="9"/>
  <c r="AA372" i="9"/>
  <c r="AB372" i="9"/>
  <c r="AA374" i="9"/>
  <c r="AB374" i="9"/>
  <c r="AA375" i="9"/>
  <c r="AB375" i="9"/>
  <c r="AA376" i="9"/>
  <c r="AB376" i="9"/>
  <c r="AA377" i="9"/>
  <c r="AB377" i="9"/>
  <c r="AA378" i="9"/>
  <c r="AB378" i="9"/>
  <c r="AA379" i="9"/>
  <c r="AB379" i="9"/>
  <c r="AA380" i="9"/>
  <c r="AB380" i="9"/>
  <c r="AA381" i="9"/>
  <c r="AB381" i="9"/>
  <c r="AA382" i="9"/>
  <c r="AB382" i="9"/>
  <c r="AA383" i="9"/>
  <c r="AB383" i="9"/>
  <c r="AA384" i="9"/>
  <c r="AB384" i="9"/>
  <c r="AA385" i="9"/>
  <c r="AB385" i="9"/>
  <c r="AA386" i="9"/>
  <c r="AB386" i="9"/>
  <c r="AA387" i="9"/>
  <c r="AB387" i="9"/>
  <c r="AA388" i="9"/>
  <c r="AB388" i="9"/>
  <c r="AA389" i="9"/>
  <c r="AB389" i="9"/>
  <c r="AA390" i="9"/>
  <c r="AB390" i="9"/>
  <c r="AA391" i="9"/>
  <c r="AB391" i="9"/>
  <c r="AA392" i="9"/>
  <c r="AB392" i="9"/>
  <c r="AA393" i="9"/>
  <c r="AB393" i="9"/>
  <c r="AA394" i="9"/>
  <c r="AB394" i="9"/>
  <c r="AA395" i="9"/>
  <c r="AB395" i="9"/>
  <c r="AA396" i="9"/>
  <c r="AB396" i="9"/>
  <c r="AA397" i="9"/>
  <c r="AB397" i="9"/>
  <c r="AA399" i="9"/>
  <c r="AB399" i="9"/>
  <c r="AA400" i="9"/>
  <c r="AB400" i="9"/>
  <c r="AA401" i="9"/>
  <c r="AB401" i="9"/>
  <c r="AA402" i="9"/>
  <c r="AB402" i="9"/>
  <c r="AA403" i="9"/>
  <c r="AB403" i="9"/>
  <c r="AA404" i="9"/>
  <c r="AB404" i="9"/>
  <c r="AA405" i="9"/>
  <c r="AB405" i="9"/>
  <c r="AA406" i="9"/>
  <c r="AB406" i="9"/>
  <c r="AA407" i="9"/>
  <c r="AB407" i="9"/>
  <c r="AA409" i="9"/>
  <c r="AB409" i="9"/>
  <c r="AA410" i="9"/>
  <c r="AB410" i="9"/>
  <c r="AA412" i="9"/>
  <c r="AB412" i="9"/>
  <c r="AA413" i="9"/>
  <c r="AB413" i="9"/>
  <c r="AA414" i="9"/>
  <c r="AB414" i="9"/>
  <c r="AA415" i="9"/>
  <c r="AB415" i="9"/>
  <c r="AA417" i="9"/>
  <c r="AB417" i="9"/>
  <c r="AA419" i="9"/>
  <c r="AB419" i="9"/>
  <c r="AA420" i="9"/>
  <c r="AB420" i="9"/>
  <c r="AA421" i="9"/>
  <c r="AB421" i="9"/>
  <c r="AA422" i="9"/>
  <c r="AB422" i="9"/>
  <c r="AA423" i="9"/>
  <c r="AB423" i="9"/>
  <c r="AA425" i="9"/>
  <c r="AB425" i="9"/>
  <c r="AA427" i="9"/>
  <c r="AB427" i="9"/>
  <c r="AA428" i="9"/>
  <c r="AB428" i="9"/>
  <c r="AA429" i="9"/>
  <c r="AB429" i="9"/>
  <c r="AA430" i="9"/>
  <c r="AB430" i="9"/>
  <c r="AA431" i="9"/>
  <c r="AB431" i="9"/>
  <c r="AA432" i="9"/>
  <c r="AB432" i="9"/>
  <c r="AA433" i="9"/>
  <c r="AB433" i="9"/>
  <c r="AA434" i="9"/>
  <c r="AB434" i="9"/>
  <c r="AA436" i="9"/>
  <c r="AB436" i="9"/>
  <c r="AA437" i="9"/>
  <c r="AB437" i="9"/>
  <c r="AA438" i="9"/>
  <c r="AB438" i="9"/>
  <c r="AA439" i="9"/>
  <c r="AB439" i="9"/>
  <c r="AA440" i="9"/>
  <c r="AB440" i="9"/>
  <c r="AA442" i="9"/>
  <c r="AB442" i="9"/>
  <c r="AA443" i="9"/>
  <c r="AB443" i="9"/>
  <c r="AA444" i="9"/>
  <c r="AB444" i="9"/>
  <c r="AA445" i="9"/>
  <c r="AB445" i="9"/>
  <c r="AA446" i="9"/>
  <c r="AB446" i="9"/>
  <c r="AA447" i="9"/>
  <c r="AB447" i="9"/>
  <c r="AA448" i="9"/>
  <c r="AB448" i="9"/>
  <c r="AA449" i="9"/>
  <c r="AB449" i="9"/>
  <c r="AA450" i="9"/>
  <c r="AB450" i="9"/>
  <c r="AA451" i="9"/>
  <c r="AB451" i="9"/>
  <c r="AA452" i="9"/>
  <c r="AB452" i="9"/>
  <c r="AA453" i="9"/>
  <c r="AB453" i="9"/>
  <c r="AA454" i="9"/>
  <c r="AB454" i="9"/>
  <c r="AA455" i="9"/>
  <c r="AB455" i="9"/>
  <c r="AA456" i="9"/>
  <c r="AB456" i="9"/>
  <c r="AA457" i="9"/>
  <c r="AB457" i="9"/>
  <c r="AA458" i="9"/>
  <c r="AB458" i="9"/>
  <c r="AA459" i="9"/>
  <c r="AB459" i="9"/>
  <c r="AA460" i="9"/>
  <c r="AB460" i="9"/>
  <c r="AA461" i="9"/>
  <c r="AB461" i="9"/>
  <c r="AA462" i="9"/>
  <c r="AB462" i="9"/>
  <c r="AA463" i="9"/>
  <c r="AB463" i="9"/>
  <c r="AA464" i="9"/>
  <c r="AB464" i="9"/>
  <c r="AA465" i="9"/>
  <c r="AB465" i="9"/>
  <c r="AA466" i="9"/>
  <c r="AB466" i="9"/>
  <c r="AA467" i="9"/>
  <c r="AB467" i="9"/>
  <c r="AA468" i="9"/>
  <c r="AB468" i="9"/>
  <c r="AA469" i="9"/>
  <c r="AB469" i="9"/>
  <c r="AA470" i="9"/>
  <c r="AB470" i="9"/>
  <c r="AA472" i="9"/>
  <c r="AB472" i="9"/>
  <c r="AA473" i="9"/>
  <c r="AB473" i="9"/>
  <c r="AA474" i="9"/>
  <c r="AB474" i="9"/>
  <c r="AA475" i="9"/>
  <c r="AB475" i="9"/>
  <c r="AA476" i="9"/>
  <c r="AB476" i="9"/>
  <c r="AA477" i="9"/>
  <c r="AB477" i="9"/>
  <c r="AA478" i="9"/>
  <c r="AB478" i="9"/>
  <c r="AA479" i="9"/>
  <c r="AB479" i="9"/>
  <c r="AA480" i="9"/>
  <c r="AB480" i="9"/>
  <c r="AA481" i="9"/>
  <c r="AB481" i="9"/>
  <c r="AA482" i="9"/>
  <c r="AB482" i="9"/>
  <c r="AA483" i="9"/>
  <c r="AB483" i="9"/>
  <c r="AA484" i="9"/>
  <c r="AB484" i="9"/>
  <c r="AA485" i="9"/>
  <c r="AB485" i="9"/>
  <c r="AA486" i="9"/>
  <c r="AB486" i="9"/>
  <c r="AA487" i="9"/>
  <c r="AB487" i="9"/>
  <c r="AA488" i="9"/>
  <c r="AB488" i="9"/>
  <c r="AA489" i="9"/>
  <c r="AB489" i="9"/>
  <c r="AA490" i="9"/>
  <c r="AB490" i="9"/>
  <c r="AA491" i="9"/>
  <c r="AB491" i="9"/>
  <c r="AA492" i="9"/>
  <c r="AB492" i="9"/>
  <c r="AA493" i="9"/>
  <c r="AB493" i="9"/>
  <c r="AA494" i="9"/>
  <c r="AB494" i="9"/>
  <c r="AA495" i="9"/>
  <c r="AB495" i="9"/>
  <c r="AA496" i="9"/>
  <c r="AB496" i="9"/>
  <c r="AA497" i="9"/>
  <c r="AB497" i="9"/>
  <c r="AA498" i="9"/>
  <c r="AB498" i="9"/>
  <c r="AA499" i="9"/>
  <c r="AB499" i="9"/>
  <c r="AA500" i="9"/>
  <c r="AB500" i="9"/>
  <c r="AA501" i="9"/>
  <c r="AB501" i="9"/>
  <c r="AA502" i="9"/>
  <c r="AB502" i="9"/>
  <c r="AA503" i="9"/>
  <c r="AB503" i="9"/>
  <c r="AA4" i="9"/>
  <c r="AB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6" i="9"/>
  <c r="Z67" i="9"/>
  <c r="Z68" i="9"/>
  <c r="Z69" i="9"/>
  <c r="Z70" i="9"/>
  <c r="Z71" i="9"/>
  <c r="Z73" i="9"/>
  <c r="Z75" i="9"/>
  <c r="Z76" i="9"/>
  <c r="Z77" i="9"/>
  <c r="Z78" i="9"/>
  <c r="Z79" i="9"/>
  <c r="Z80" i="9"/>
  <c r="Z81"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9" i="9"/>
  <c r="Z150" i="9"/>
  <c r="Z151" i="9"/>
  <c r="Z152" i="9"/>
  <c r="Z153" i="9"/>
  <c r="Z154" i="9"/>
  <c r="Z155" i="9"/>
  <c r="Z156" i="9"/>
  <c r="Z157" i="9"/>
  <c r="Z158" i="9"/>
  <c r="Z159" i="9"/>
  <c r="Z160" i="9"/>
  <c r="Z161" i="9"/>
  <c r="Z162" i="9"/>
  <c r="Z163" i="9"/>
  <c r="Z164" i="9"/>
  <c r="Z165" i="9"/>
  <c r="Z166" i="9"/>
  <c r="Z169" i="9"/>
  <c r="Z170" i="9"/>
  <c r="Z171" i="9"/>
  <c r="Z172" i="9"/>
  <c r="Z173" i="9"/>
  <c r="Z174" i="9"/>
  <c r="Z175" i="9"/>
  <c r="Z176" i="9"/>
  <c r="Z177" i="9"/>
  <c r="Z178" i="9"/>
  <c r="Z179" i="9"/>
  <c r="Z181" i="9"/>
  <c r="Z182" i="9"/>
  <c r="Z183" i="9"/>
  <c r="Z184" i="9"/>
  <c r="Z185" i="9"/>
  <c r="Z186" i="9"/>
  <c r="Z187" i="9"/>
  <c r="Z188" i="9"/>
  <c r="Z190" i="9"/>
  <c r="Z191" i="9"/>
  <c r="Z192" i="9"/>
  <c r="Z193" i="9"/>
  <c r="Z194" i="9"/>
  <c r="Z195" i="9"/>
  <c r="Z196" i="9"/>
  <c r="Z197" i="9"/>
  <c r="Z198" i="9"/>
  <c r="Z199" i="9"/>
  <c r="Z200" i="9"/>
  <c r="Z201" i="9"/>
  <c r="Z202" i="9"/>
  <c r="Z203" i="9"/>
  <c r="Z204" i="9"/>
  <c r="Z205" i="9"/>
  <c r="Z206" i="9"/>
  <c r="Z207" i="9"/>
  <c r="Z208" i="9"/>
  <c r="Z209" i="9"/>
  <c r="Z210" i="9"/>
  <c r="Z211" i="9"/>
  <c r="Z213" i="9"/>
  <c r="Z214" i="9"/>
  <c r="Z215" i="9"/>
  <c r="Z216" i="9"/>
  <c r="Z217" i="9"/>
  <c r="Z218" i="9"/>
  <c r="Z219" i="9"/>
  <c r="Z220" i="9"/>
  <c r="Z221" i="9"/>
  <c r="Z222" i="9"/>
  <c r="Z223" i="9"/>
  <c r="Z224" i="9"/>
  <c r="Z225" i="9"/>
  <c r="Z226" i="9"/>
  <c r="Z227" i="9"/>
  <c r="Z228" i="9"/>
  <c r="Z229" i="9"/>
  <c r="Z231" i="9"/>
  <c r="Z232" i="9"/>
  <c r="Z235" i="9"/>
  <c r="Z236" i="9"/>
  <c r="Z238" i="9"/>
  <c r="Z240" i="9"/>
  <c r="Z241" i="9"/>
  <c r="Z242" i="9"/>
  <c r="Z244" i="9"/>
  <c r="Z245" i="9"/>
  <c r="Z248" i="9"/>
  <c r="Z249" i="9"/>
  <c r="Z250" i="9"/>
  <c r="Z251" i="9"/>
  <c r="Z252" i="9"/>
  <c r="Z253" i="9"/>
  <c r="Z254" i="9"/>
  <c r="Z255" i="9"/>
  <c r="Z256" i="9"/>
  <c r="Z258" i="9"/>
  <c r="Z259" i="9"/>
  <c r="Z261" i="9"/>
  <c r="Z263" i="9"/>
  <c r="Z264" i="9"/>
  <c r="Z265" i="9"/>
  <c r="Z266" i="9"/>
  <c r="Z267" i="9"/>
  <c r="Z268" i="9"/>
  <c r="Z269" i="9"/>
  <c r="Z270" i="9"/>
  <c r="Z271" i="9"/>
  <c r="Z272" i="9"/>
  <c r="Z274" i="9"/>
  <c r="Z275" i="9"/>
  <c r="Z276" i="9"/>
  <c r="Z277" i="9"/>
  <c r="Z278" i="9"/>
  <c r="Z282" i="9"/>
  <c r="Z283" i="9"/>
  <c r="Z284" i="9"/>
  <c r="Z285" i="9"/>
  <c r="Z286" i="9"/>
  <c r="Z287" i="9"/>
  <c r="Z288" i="9"/>
  <c r="Z289" i="9"/>
  <c r="Z290" i="9"/>
  <c r="Z291" i="9"/>
  <c r="Z292" i="9"/>
  <c r="Z293" i="9"/>
  <c r="Z294" i="9"/>
  <c r="Z295" i="9"/>
  <c r="Z296" i="9"/>
  <c r="Z297" i="9"/>
  <c r="Z298" i="9"/>
  <c r="Z300" i="9"/>
  <c r="Z301" i="9"/>
  <c r="Z302" i="9"/>
  <c r="Z304" i="9"/>
  <c r="Z306" i="9"/>
  <c r="Z307" i="9"/>
  <c r="Z308" i="9"/>
  <c r="Z310" i="9"/>
  <c r="Z311" i="9"/>
  <c r="Z312" i="9"/>
  <c r="Z313" i="9"/>
  <c r="Z314" i="9"/>
  <c r="Z315" i="9"/>
  <c r="Z316" i="9"/>
  <c r="Z317" i="9"/>
  <c r="Z318" i="9"/>
  <c r="Z319" i="9"/>
  <c r="Z320" i="9"/>
  <c r="Z321" i="9"/>
  <c r="Z322" i="9"/>
  <c r="Z323" i="9"/>
  <c r="Z324" i="9"/>
  <c r="Z325" i="9"/>
  <c r="Z326" i="9"/>
  <c r="Z327" i="9"/>
  <c r="Z329" i="9"/>
  <c r="Z330" i="9"/>
  <c r="Z331" i="9"/>
  <c r="Z332" i="9"/>
  <c r="Z333" i="9"/>
  <c r="Z334" i="9"/>
  <c r="Z335" i="9"/>
  <c r="Z336" i="9"/>
  <c r="Z337" i="9"/>
  <c r="Z339" i="9"/>
  <c r="Z340" i="9"/>
  <c r="Z341" i="9"/>
  <c r="Z342" i="9"/>
  <c r="Z343" i="9"/>
  <c r="Z344" i="9"/>
  <c r="Z345" i="9"/>
  <c r="Z346" i="9"/>
  <c r="Z347" i="9"/>
  <c r="Z348" i="9"/>
  <c r="Z349" i="9"/>
  <c r="Z350" i="9"/>
  <c r="Z351" i="9"/>
  <c r="Z352" i="9"/>
  <c r="Z353" i="9"/>
  <c r="Z354" i="9"/>
  <c r="Z355" i="9"/>
  <c r="Z356" i="9"/>
  <c r="Z357" i="9"/>
  <c r="Z358" i="9"/>
  <c r="Z359" i="9"/>
  <c r="Z360" i="9"/>
  <c r="Z361" i="9"/>
  <c r="Z363" i="9"/>
  <c r="Z364" i="9"/>
  <c r="Z365" i="9"/>
  <c r="Z366" i="9"/>
  <c r="Z367" i="9"/>
  <c r="Z369" i="9"/>
  <c r="Z370" i="9"/>
  <c r="Z371" i="9"/>
  <c r="Z372" i="9"/>
  <c r="Z374" i="9"/>
  <c r="Z375" i="9"/>
  <c r="Z376" i="9"/>
  <c r="Z377" i="9"/>
  <c r="Z378" i="9"/>
  <c r="Z379" i="9"/>
  <c r="Z380" i="9"/>
  <c r="Z381" i="9"/>
  <c r="Z382" i="9"/>
  <c r="Z383" i="9"/>
  <c r="Z384" i="9"/>
  <c r="Z385" i="9"/>
  <c r="Z386" i="9"/>
  <c r="Z387" i="9"/>
  <c r="Z388" i="9"/>
  <c r="Z389" i="9"/>
  <c r="Z390" i="9"/>
  <c r="Z391" i="9"/>
  <c r="Z392" i="9"/>
  <c r="Z393" i="9"/>
  <c r="Z394" i="9"/>
  <c r="Z395" i="9"/>
  <c r="Z396" i="9"/>
  <c r="Z397" i="9"/>
  <c r="Z399" i="9"/>
  <c r="Z400" i="9"/>
  <c r="Z401" i="9"/>
  <c r="Z402" i="9"/>
  <c r="Z403" i="9"/>
  <c r="Z404" i="9"/>
  <c r="Z405" i="9"/>
  <c r="Z406" i="9"/>
  <c r="Z407" i="9"/>
  <c r="Z409" i="9"/>
  <c r="Z410" i="9"/>
  <c r="Z412" i="9"/>
  <c r="Z413" i="9"/>
  <c r="Z414" i="9"/>
  <c r="Z415" i="9"/>
  <c r="Z417" i="9"/>
  <c r="Z419" i="9"/>
  <c r="Z420" i="9"/>
  <c r="Z421" i="9"/>
  <c r="Z422" i="9"/>
  <c r="Z423" i="9"/>
  <c r="Z425" i="9"/>
  <c r="Z427" i="9"/>
  <c r="Z428" i="9"/>
  <c r="Z429" i="9"/>
  <c r="Z430" i="9"/>
  <c r="Z431" i="9"/>
  <c r="Z432" i="9"/>
  <c r="Z433" i="9"/>
  <c r="Z434" i="9"/>
  <c r="Z436" i="9"/>
  <c r="Z437" i="9"/>
  <c r="Z438" i="9"/>
  <c r="Z439" i="9"/>
  <c r="Z440"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3" i="9"/>
  <c r="Y75" i="9"/>
  <c r="Y76" i="9"/>
  <c r="Y77" i="9"/>
  <c r="Y78" i="9"/>
  <c r="Y79" i="9"/>
  <c r="Y80" i="9"/>
  <c r="Y81"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9" i="9"/>
  <c r="Y150" i="9"/>
  <c r="Y151" i="9"/>
  <c r="Y152" i="9"/>
  <c r="Y153" i="9"/>
  <c r="Y154" i="9"/>
  <c r="Y155" i="9"/>
  <c r="Y156" i="9"/>
  <c r="Y157" i="9"/>
  <c r="Y158" i="9"/>
  <c r="Y159" i="9"/>
  <c r="Y160" i="9"/>
  <c r="Y161" i="9"/>
  <c r="Y162" i="9"/>
  <c r="Y163" i="9"/>
  <c r="Y164" i="9"/>
  <c r="Y165" i="9"/>
  <c r="Y166" i="9"/>
  <c r="Y169" i="9"/>
  <c r="Y170" i="9"/>
  <c r="Y171" i="9"/>
  <c r="Y172" i="9"/>
  <c r="Y173" i="9"/>
  <c r="Y174" i="9"/>
  <c r="Y175" i="9"/>
  <c r="Y176" i="9"/>
  <c r="Y177" i="9"/>
  <c r="Y178" i="9"/>
  <c r="Y179" i="9"/>
  <c r="Y181" i="9"/>
  <c r="Y182" i="9"/>
  <c r="Y183" i="9"/>
  <c r="Y184" i="9"/>
  <c r="Y185" i="9"/>
  <c r="Y186" i="9"/>
  <c r="Y187" i="9"/>
  <c r="Y188" i="9"/>
  <c r="Y190" i="9"/>
  <c r="Y191" i="9"/>
  <c r="Y192" i="9"/>
  <c r="Y193" i="9"/>
  <c r="Y194" i="9"/>
  <c r="Y195" i="9"/>
  <c r="Y196" i="9"/>
  <c r="Y197" i="9"/>
  <c r="Y198" i="9"/>
  <c r="Y199" i="9"/>
  <c r="Y200" i="9"/>
  <c r="Y201" i="9"/>
  <c r="Y202" i="9"/>
  <c r="Y203" i="9"/>
  <c r="Y204" i="9"/>
  <c r="Y205" i="9"/>
  <c r="Y206" i="9"/>
  <c r="Y207" i="9"/>
  <c r="Y208" i="9"/>
  <c r="Y209" i="9"/>
  <c r="Y210" i="9"/>
  <c r="Y211" i="9"/>
  <c r="Y213" i="9"/>
  <c r="Y214" i="9"/>
  <c r="Y215" i="9"/>
  <c r="Y216" i="9"/>
  <c r="Y217" i="9"/>
  <c r="Y218" i="9"/>
  <c r="Y219" i="9"/>
  <c r="Y220" i="9"/>
  <c r="Y221" i="9"/>
  <c r="Y222" i="9"/>
  <c r="Y223" i="9"/>
  <c r="Y224" i="9"/>
  <c r="Y225" i="9"/>
  <c r="Y226" i="9"/>
  <c r="Y227" i="9"/>
  <c r="Y228" i="9"/>
  <c r="Y229" i="9"/>
  <c r="Y231" i="9"/>
  <c r="Y232" i="9"/>
  <c r="Y235" i="9"/>
  <c r="Y236" i="9"/>
  <c r="Y238" i="9"/>
  <c r="Y240" i="9"/>
  <c r="Y241" i="9"/>
  <c r="Y242" i="9"/>
  <c r="Y244" i="9"/>
  <c r="Y245" i="9"/>
  <c r="Y247" i="9"/>
  <c r="Y248" i="9"/>
  <c r="Y249" i="9"/>
  <c r="Y250" i="9"/>
  <c r="Y251" i="9"/>
  <c r="Y252" i="9"/>
  <c r="Y253" i="9"/>
  <c r="Y254" i="9"/>
  <c r="Y255" i="9"/>
  <c r="Y256" i="9"/>
  <c r="Y258" i="9"/>
  <c r="Y259" i="9"/>
  <c r="Y261" i="9"/>
  <c r="Y263" i="9"/>
  <c r="Y264" i="9"/>
  <c r="Y265" i="9"/>
  <c r="Y266" i="9"/>
  <c r="Y267" i="9"/>
  <c r="Y268" i="9"/>
  <c r="Y269" i="9"/>
  <c r="Y270" i="9"/>
  <c r="Y271" i="9"/>
  <c r="Y272" i="9"/>
  <c r="Y274" i="9"/>
  <c r="Y275" i="9"/>
  <c r="Y276" i="9"/>
  <c r="Y277" i="9"/>
  <c r="Y278" i="9"/>
  <c r="Y282" i="9"/>
  <c r="Y283" i="9"/>
  <c r="Y284" i="9"/>
  <c r="Y285" i="9"/>
  <c r="Y286" i="9"/>
  <c r="Y287" i="9"/>
  <c r="Y288" i="9"/>
  <c r="Y289" i="9"/>
  <c r="Y290" i="9"/>
  <c r="Y291" i="9"/>
  <c r="Y292" i="9"/>
  <c r="Y293" i="9"/>
  <c r="Y294" i="9"/>
  <c r="Y295" i="9"/>
  <c r="Y296" i="9"/>
  <c r="Y297" i="9"/>
  <c r="Y298" i="9"/>
  <c r="Y300" i="9"/>
  <c r="Y301" i="9"/>
  <c r="Y302" i="9"/>
  <c r="Y304" i="9"/>
  <c r="Y306" i="9"/>
  <c r="Y307" i="9"/>
  <c r="Y308" i="9"/>
  <c r="Y310" i="9"/>
  <c r="Y311" i="9"/>
  <c r="Y312" i="9"/>
  <c r="Y313" i="9"/>
  <c r="Y314" i="9"/>
  <c r="Y315" i="9"/>
  <c r="Y316" i="9"/>
  <c r="Y317" i="9"/>
  <c r="Y318" i="9"/>
  <c r="Y319" i="9"/>
  <c r="Y320" i="9"/>
  <c r="Y321" i="9"/>
  <c r="Y322" i="9"/>
  <c r="Y323" i="9"/>
  <c r="Y324" i="9"/>
  <c r="Y325" i="9"/>
  <c r="Y326" i="9"/>
  <c r="Y327" i="9"/>
  <c r="Y329" i="9"/>
  <c r="Y330" i="9"/>
  <c r="Y331" i="9"/>
  <c r="Y332" i="9"/>
  <c r="Y333" i="9"/>
  <c r="Y334" i="9"/>
  <c r="Y335" i="9"/>
  <c r="Y336" i="9"/>
  <c r="Y337" i="9"/>
  <c r="Y339" i="9"/>
  <c r="Y340" i="9"/>
  <c r="Y341" i="9"/>
  <c r="Y342" i="9"/>
  <c r="Y343" i="9"/>
  <c r="Y344" i="9"/>
  <c r="Y345" i="9"/>
  <c r="Y346" i="9"/>
  <c r="Y347" i="9"/>
  <c r="Y348" i="9"/>
  <c r="Y349" i="9"/>
  <c r="Y350" i="9"/>
  <c r="Y351" i="9"/>
  <c r="Y352" i="9"/>
  <c r="Y353" i="9"/>
  <c r="Y354" i="9"/>
  <c r="Y355" i="9"/>
  <c r="Y356" i="9"/>
  <c r="Y357" i="9"/>
  <c r="Y358" i="9"/>
  <c r="Y359" i="9"/>
  <c r="Y360" i="9"/>
  <c r="Y361" i="9"/>
  <c r="Y363" i="9"/>
  <c r="Y364" i="9"/>
  <c r="Y365" i="9"/>
  <c r="Y366" i="9"/>
  <c r="Y367" i="9"/>
  <c r="Y369" i="9"/>
  <c r="Y370" i="9"/>
  <c r="Y371" i="9"/>
  <c r="Y372" i="9"/>
  <c r="Y374" i="9"/>
  <c r="Y375" i="9"/>
  <c r="Y376" i="9"/>
  <c r="Y377" i="9"/>
  <c r="Y378" i="9"/>
  <c r="Y379" i="9"/>
  <c r="Y380" i="9"/>
  <c r="Y381" i="9"/>
  <c r="Y382" i="9"/>
  <c r="Y383" i="9"/>
  <c r="Y384" i="9"/>
  <c r="Y385" i="9"/>
  <c r="Y386" i="9"/>
  <c r="Y387" i="9"/>
  <c r="Y388" i="9"/>
  <c r="Y389" i="9"/>
  <c r="Y390" i="9"/>
  <c r="Y391" i="9"/>
  <c r="Y392" i="9"/>
  <c r="Y393" i="9"/>
  <c r="Y394" i="9"/>
  <c r="Y395" i="9"/>
  <c r="Y396" i="9"/>
  <c r="Y397" i="9"/>
  <c r="Y399" i="9"/>
  <c r="Y400" i="9"/>
  <c r="Y401" i="9"/>
  <c r="Y402" i="9"/>
  <c r="Y403" i="9"/>
  <c r="Y404" i="9"/>
  <c r="Y405" i="9"/>
  <c r="Y406" i="9"/>
  <c r="Y407" i="9"/>
  <c r="Y409" i="9"/>
  <c r="Y410" i="9"/>
  <c r="Y412" i="9"/>
  <c r="Y413" i="9"/>
  <c r="Y414" i="9"/>
  <c r="Y415" i="9"/>
  <c r="Y417" i="9"/>
  <c r="Y419" i="9"/>
  <c r="Y420" i="9"/>
  <c r="Y421" i="9"/>
  <c r="Y422" i="9"/>
  <c r="Y423" i="9"/>
  <c r="Y425" i="9"/>
  <c r="Y427" i="9"/>
  <c r="Y428" i="9"/>
  <c r="Y429" i="9"/>
  <c r="Y430" i="9"/>
  <c r="Y431" i="9"/>
  <c r="Y432" i="9"/>
  <c r="Y433" i="9"/>
  <c r="Y434" i="9"/>
  <c r="Y436" i="9"/>
  <c r="Y437" i="9"/>
  <c r="Y438" i="9"/>
  <c r="Y439" i="9"/>
  <c r="Y440"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4" i="9"/>
  <c r="X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6" i="9"/>
  <c r="X67" i="9"/>
  <c r="X68" i="9"/>
  <c r="X69" i="9"/>
  <c r="X70" i="9"/>
  <c r="X71" i="9"/>
  <c r="X73" i="9"/>
  <c r="X75" i="9"/>
  <c r="X76" i="9"/>
  <c r="X77" i="9"/>
  <c r="X78" i="9"/>
  <c r="X79" i="9"/>
  <c r="X80" i="9"/>
  <c r="X81" i="9"/>
  <c r="X83" i="9"/>
  <c r="X84" i="9"/>
  <c r="X85" i="9"/>
  <c r="X86" i="9"/>
  <c r="X87" i="9"/>
  <c r="X88" i="9"/>
  <c r="X89" i="9"/>
  <c r="X90" i="9"/>
  <c r="X91" i="9"/>
  <c r="X92" i="9"/>
  <c r="X93" i="9"/>
  <c r="X94" i="9"/>
  <c r="X95" i="9"/>
  <c r="X96" i="9"/>
  <c r="X97" i="9"/>
  <c r="X98" i="9"/>
  <c r="X99" i="9"/>
  <c r="X100" i="9"/>
  <c r="X101" i="9"/>
  <c r="X102" i="9"/>
  <c r="X103" i="9"/>
  <c r="X104" i="9"/>
  <c r="X105" i="9"/>
  <c r="X106" i="9"/>
  <c r="X107" i="9"/>
  <c r="X108" i="9"/>
  <c r="X109" i="9"/>
  <c r="X110" i="9"/>
  <c r="X111" i="9"/>
  <c r="X112" i="9"/>
  <c r="X113" i="9"/>
  <c r="X114" i="9"/>
  <c r="X115" i="9"/>
  <c r="X116" i="9"/>
  <c r="X117" i="9"/>
  <c r="X118" i="9"/>
  <c r="X119" i="9"/>
  <c r="X120" i="9"/>
  <c r="X121" i="9"/>
  <c r="X122" i="9"/>
  <c r="X123" i="9"/>
  <c r="X124" i="9"/>
  <c r="X125" i="9"/>
  <c r="X126" i="9"/>
  <c r="X127" i="9"/>
  <c r="X128" i="9"/>
  <c r="X129" i="9"/>
  <c r="X130" i="9"/>
  <c r="X131" i="9"/>
  <c r="X132" i="9"/>
  <c r="X133" i="9"/>
  <c r="X134" i="9"/>
  <c r="X135" i="9"/>
  <c r="X136" i="9"/>
  <c r="X137" i="9"/>
  <c r="X138" i="9"/>
  <c r="X139" i="9"/>
  <c r="X140" i="9"/>
  <c r="X141" i="9"/>
  <c r="X142" i="9"/>
  <c r="X143" i="9"/>
  <c r="X144" i="9"/>
  <c r="X145" i="9"/>
  <c r="X146" i="9"/>
  <c r="X147" i="9"/>
  <c r="X149" i="9"/>
  <c r="X150" i="9"/>
  <c r="X151" i="9"/>
  <c r="X152" i="9"/>
  <c r="X153" i="9"/>
  <c r="X154" i="9"/>
  <c r="X155" i="9"/>
  <c r="X156" i="9"/>
  <c r="X157" i="9"/>
  <c r="X158" i="9"/>
  <c r="X159" i="9"/>
  <c r="X160" i="9"/>
  <c r="X161" i="9"/>
  <c r="X162" i="9"/>
  <c r="X163" i="9"/>
  <c r="X164" i="9"/>
  <c r="X165" i="9"/>
  <c r="X166" i="9"/>
  <c r="X169" i="9"/>
  <c r="X170" i="9"/>
  <c r="X171" i="9"/>
  <c r="X172" i="9"/>
  <c r="X173" i="9"/>
  <c r="X174" i="9"/>
  <c r="X175" i="9"/>
  <c r="X176" i="9"/>
  <c r="X177" i="9"/>
  <c r="X178" i="9"/>
  <c r="X179" i="9"/>
  <c r="X181" i="9"/>
  <c r="X182" i="9"/>
  <c r="X183" i="9"/>
  <c r="X184" i="9"/>
  <c r="X185" i="9"/>
  <c r="X186" i="9"/>
  <c r="X187" i="9"/>
  <c r="X188" i="9"/>
  <c r="X190" i="9"/>
  <c r="X191" i="9"/>
  <c r="X192" i="9"/>
  <c r="X193" i="9"/>
  <c r="X194" i="9"/>
  <c r="X195" i="9"/>
  <c r="X196" i="9"/>
  <c r="X197" i="9"/>
  <c r="X198" i="9"/>
  <c r="X199" i="9"/>
  <c r="X200" i="9"/>
  <c r="X201" i="9"/>
  <c r="X202" i="9"/>
  <c r="X203" i="9"/>
  <c r="X204" i="9"/>
  <c r="X205" i="9"/>
  <c r="X206" i="9"/>
  <c r="X207" i="9"/>
  <c r="X208" i="9"/>
  <c r="X209" i="9"/>
  <c r="X210" i="9"/>
  <c r="X211" i="9"/>
  <c r="X213" i="9"/>
  <c r="X214" i="9"/>
  <c r="X215" i="9"/>
  <c r="X216" i="9"/>
  <c r="X217" i="9"/>
  <c r="X218" i="9"/>
  <c r="X219" i="9"/>
  <c r="X220" i="9"/>
  <c r="X221" i="9"/>
  <c r="X222" i="9"/>
  <c r="X223" i="9"/>
  <c r="X224" i="9"/>
  <c r="X225" i="9"/>
  <c r="X226" i="9"/>
  <c r="X227" i="9"/>
  <c r="X228" i="9"/>
  <c r="X229" i="9"/>
  <c r="X231" i="9"/>
  <c r="X232" i="9"/>
  <c r="X235" i="9"/>
  <c r="X236" i="9"/>
  <c r="X238" i="9"/>
  <c r="X240" i="9"/>
  <c r="X241" i="9"/>
  <c r="X242" i="9"/>
  <c r="X244" i="9"/>
  <c r="X245" i="9"/>
  <c r="X248" i="9"/>
  <c r="X249" i="9"/>
  <c r="X250" i="9"/>
  <c r="X251" i="9"/>
  <c r="X252" i="9"/>
  <c r="X253" i="9"/>
  <c r="X254" i="9"/>
  <c r="X255" i="9"/>
  <c r="X256" i="9"/>
  <c r="X258" i="9"/>
  <c r="X259" i="9"/>
  <c r="X261" i="9"/>
  <c r="X263" i="9"/>
  <c r="X264" i="9"/>
  <c r="X265" i="9"/>
  <c r="X266" i="9"/>
  <c r="X267" i="9"/>
  <c r="X268" i="9"/>
  <c r="X269" i="9"/>
  <c r="X270" i="9"/>
  <c r="X271" i="9"/>
  <c r="X272" i="9"/>
  <c r="X274" i="9"/>
  <c r="X275" i="9"/>
  <c r="X276" i="9"/>
  <c r="X277" i="9"/>
  <c r="X278" i="9"/>
  <c r="X282" i="9"/>
  <c r="X283" i="9"/>
  <c r="X284" i="9"/>
  <c r="X285" i="9"/>
  <c r="X286" i="9"/>
  <c r="X287" i="9"/>
  <c r="X288" i="9"/>
  <c r="X289" i="9"/>
  <c r="X290" i="9"/>
  <c r="X291" i="9"/>
  <c r="X292" i="9"/>
  <c r="X293" i="9"/>
  <c r="X294" i="9"/>
  <c r="X295" i="9"/>
  <c r="X296" i="9"/>
  <c r="X297" i="9"/>
  <c r="X298" i="9"/>
  <c r="X300" i="9"/>
  <c r="X301" i="9"/>
  <c r="X302" i="9"/>
  <c r="X304" i="9"/>
  <c r="X306" i="9"/>
  <c r="X307" i="9"/>
  <c r="X308" i="9"/>
  <c r="X310" i="9"/>
  <c r="X311" i="9"/>
  <c r="X312" i="9"/>
  <c r="X313" i="9"/>
  <c r="X314" i="9"/>
  <c r="X315" i="9"/>
  <c r="X316" i="9"/>
  <c r="X317" i="9"/>
  <c r="X318" i="9"/>
  <c r="X319" i="9"/>
  <c r="X320" i="9"/>
  <c r="X321" i="9"/>
  <c r="X322" i="9"/>
  <c r="X323" i="9"/>
  <c r="X324" i="9"/>
  <c r="X325" i="9"/>
  <c r="X326" i="9"/>
  <c r="X327" i="9"/>
  <c r="X329" i="9"/>
  <c r="X330" i="9"/>
  <c r="X331" i="9"/>
  <c r="X332" i="9"/>
  <c r="X333" i="9"/>
  <c r="X334" i="9"/>
  <c r="X335" i="9"/>
  <c r="X336" i="9"/>
  <c r="X337" i="9"/>
  <c r="X339" i="9"/>
  <c r="X340" i="9"/>
  <c r="X341" i="9"/>
  <c r="X342" i="9"/>
  <c r="X343" i="9"/>
  <c r="X344" i="9"/>
  <c r="X345" i="9"/>
  <c r="X346" i="9"/>
  <c r="X347" i="9"/>
  <c r="X348" i="9"/>
  <c r="X349" i="9"/>
  <c r="X350" i="9"/>
  <c r="X351" i="9"/>
  <c r="X352" i="9"/>
  <c r="X353" i="9"/>
  <c r="X354" i="9"/>
  <c r="X355" i="9"/>
  <c r="X356" i="9"/>
  <c r="X357" i="9"/>
  <c r="X358" i="9"/>
  <c r="X359" i="9"/>
  <c r="X360" i="9"/>
  <c r="X361" i="9"/>
  <c r="X363" i="9"/>
  <c r="X364" i="9"/>
  <c r="X365" i="9"/>
  <c r="X366" i="9"/>
  <c r="X367" i="9"/>
  <c r="X369" i="9"/>
  <c r="X370" i="9"/>
  <c r="X371" i="9"/>
  <c r="X372" i="9"/>
  <c r="X374" i="9"/>
  <c r="X375" i="9"/>
  <c r="X376" i="9"/>
  <c r="X377" i="9"/>
  <c r="X378" i="9"/>
  <c r="X379" i="9"/>
  <c r="X380" i="9"/>
  <c r="X381" i="9"/>
  <c r="X382" i="9"/>
  <c r="X383" i="9"/>
  <c r="X384" i="9"/>
  <c r="X385" i="9"/>
  <c r="X386" i="9"/>
  <c r="X387" i="9"/>
  <c r="X388" i="9"/>
  <c r="X389" i="9"/>
  <c r="X390" i="9"/>
  <c r="X391" i="9"/>
  <c r="X392" i="9"/>
  <c r="X393" i="9"/>
  <c r="X394" i="9"/>
  <c r="X395" i="9"/>
  <c r="X396" i="9"/>
  <c r="X397" i="9"/>
  <c r="X399" i="9"/>
  <c r="X400" i="9"/>
  <c r="X401" i="9"/>
  <c r="X402" i="9"/>
  <c r="X403" i="9"/>
  <c r="X404" i="9"/>
  <c r="X405" i="9"/>
  <c r="X406" i="9"/>
  <c r="X407" i="9"/>
  <c r="X409" i="9"/>
  <c r="X410" i="9"/>
  <c r="X412" i="9"/>
  <c r="X413" i="9"/>
  <c r="X414" i="9"/>
  <c r="X415" i="9"/>
  <c r="X417" i="9"/>
  <c r="X419" i="9"/>
  <c r="X420" i="9"/>
  <c r="X421" i="9"/>
  <c r="X422" i="9"/>
  <c r="X423" i="9"/>
  <c r="X425" i="9"/>
  <c r="X427" i="9"/>
  <c r="X428" i="9"/>
  <c r="X429" i="9"/>
  <c r="X430" i="9"/>
  <c r="X431" i="9"/>
  <c r="X432" i="9"/>
  <c r="X433" i="9"/>
  <c r="X434" i="9"/>
  <c r="X436" i="9"/>
  <c r="X437" i="9"/>
  <c r="X438" i="9"/>
  <c r="X439" i="9"/>
  <c r="X440"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X502" i="9"/>
  <c r="X503" i="9"/>
  <c r="X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6" i="9"/>
  <c r="W67" i="9"/>
  <c r="W68" i="9"/>
  <c r="W69" i="9"/>
  <c r="W70" i="9"/>
  <c r="W71" i="9"/>
  <c r="W73" i="9"/>
  <c r="W75" i="9"/>
  <c r="W76" i="9"/>
  <c r="W77" i="9"/>
  <c r="W78" i="9"/>
  <c r="W79" i="9"/>
  <c r="W80" i="9"/>
  <c r="W81"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9" i="9"/>
  <c r="W150" i="9"/>
  <c r="W151" i="9"/>
  <c r="W152" i="9"/>
  <c r="W153" i="9"/>
  <c r="W154" i="9"/>
  <c r="W155" i="9"/>
  <c r="W156" i="9"/>
  <c r="W157" i="9"/>
  <c r="W158" i="9"/>
  <c r="W159" i="9"/>
  <c r="W160" i="9"/>
  <c r="W161" i="9"/>
  <c r="W162" i="9"/>
  <c r="W163" i="9"/>
  <c r="W164" i="9"/>
  <c r="W165" i="9"/>
  <c r="W166" i="9"/>
  <c r="W169" i="9"/>
  <c r="W170" i="9"/>
  <c r="W171" i="9"/>
  <c r="W172" i="9"/>
  <c r="W173" i="9"/>
  <c r="W174" i="9"/>
  <c r="W175" i="9"/>
  <c r="W176" i="9"/>
  <c r="W177" i="9"/>
  <c r="W178" i="9"/>
  <c r="W179" i="9"/>
  <c r="W181" i="9"/>
  <c r="W182" i="9"/>
  <c r="W183" i="9"/>
  <c r="W184" i="9"/>
  <c r="W185" i="9"/>
  <c r="W186" i="9"/>
  <c r="W187" i="9"/>
  <c r="W188" i="9"/>
  <c r="W190" i="9"/>
  <c r="W191" i="9"/>
  <c r="W192" i="9"/>
  <c r="W193" i="9"/>
  <c r="W194" i="9"/>
  <c r="W195" i="9"/>
  <c r="W196" i="9"/>
  <c r="W197" i="9"/>
  <c r="W198" i="9"/>
  <c r="W199" i="9"/>
  <c r="W200" i="9"/>
  <c r="W201" i="9"/>
  <c r="W202" i="9"/>
  <c r="W203" i="9"/>
  <c r="W204" i="9"/>
  <c r="W205" i="9"/>
  <c r="W206" i="9"/>
  <c r="W207" i="9"/>
  <c r="W208" i="9"/>
  <c r="W209" i="9"/>
  <c r="W210" i="9"/>
  <c r="W211" i="9"/>
  <c r="W213" i="9"/>
  <c r="W214" i="9"/>
  <c r="W215" i="9"/>
  <c r="W216" i="9"/>
  <c r="W217" i="9"/>
  <c r="W218" i="9"/>
  <c r="W219" i="9"/>
  <c r="W220" i="9"/>
  <c r="W221" i="9"/>
  <c r="W222" i="9"/>
  <c r="W223" i="9"/>
  <c r="W224" i="9"/>
  <c r="W225" i="9"/>
  <c r="W226" i="9"/>
  <c r="W227" i="9"/>
  <c r="W228" i="9"/>
  <c r="W229" i="9"/>
  <c r="W231" i="9"/>
  <c r="W232" i="9"/>
  <c r="W235" i="9"/>
  <c r="W236" i="9"/>
  <c r="W238" i="9"/>
  <c r="W240" i="9"/>
  <c r="W241" i="9"/>
  <c r="W242" i="9"/>
  <c r="W244" i="9"/>
  <c r="W245" i="9"/>
  <c r="W248" i="9"/>
  <c r="W249" i="9"/>
  <c r="W250" i="9"/>
  <c r="W251" i="9"/>
  <c r="W252" i="9"/>
  <c r="W253" i="9"/>
  <c r="W254" i="9"/>
  <c r="W255" i="9"/>
  <c r="W256" i="9"/>
  <c r="W258" i="9"/>
  <c r="W259" i="9"/>
  <c r="W261" i="9"/>
  <c r="W263" i="9"/>
  <c r="W264" i="9"/>
  <c r="W265" i="9"/>
  <c r="W266" i="9"/>
  <c r="W267" i="9"/>
  <c r="W268" i="9"/>
  <c r="W269" i="9"/>
  <c r="W270" i="9"/>
  <c r="W271" i="9"/>
  <c r="W272" i="9"/>
  <c r="W274" i="9"/>
  <c r="W275" i="9"/>
  <c r="W276" i="9"/>
  <c r="W277" i="9"/>
  <c r="W278" i="9"/>
  <c r="W282" i="9"/>
  <c r="W283" i="9"/>
  <c r="W284" i="9"/>
  <c r="W285" i="9"/>
  <c r="W286" i="9"/>
  <c r="W287" i="9"/>
  <c r="W288" i="9"/>
  <c r="W289" i="9"/>
  <c r="W290" i="9"/>
  <c r="W291" i="9"/>
  <c r="W292" i="9"/>
  <c r="W293" i="9"/>
  <c r="W294" i="9"/>
  <c r="W295" i="9"/>
  <c r="W296" i="9"/>
  <c r="W297" i="9"/>
  <c r="W298" i="9"/>
  <c r="W300" i="9"/>
  <c r="W301" i="9"/>
  <c r="W302" i="9"/>
  <c r="W304" i="9"/>
  <c r="W306" i="9"/>
  <c r="W307" i="9"/>
  <c r="W308" i="9"/>
  <c r="W310" i="9"/>
  <c r="W311" i="9"/>
  <c r="W312" i="9"/>
  <c r="W313" i="9"/>
  <c r="W314" i="9"/>
  <c r="W315" i="9"/>
  <c r="W316" i="9"/>
  <c r="W317" i="9"/>
  <c r="W318" i="9"/>
  <c r="W319" i="9"/>
  <c r="W320" i="9"/>
  <c r="W321" i="9"/>
  <c r="W322" i="9"/>
  <c r="W323" i="9"/>
  <c r="W324" i="9"/>
  <c r="W325" i="9"/>
  <c r="W326" i="9"/>
  <c r="W327" i="9"/>
  <c r="W329" i="9"/>
  <c r="W330" i="9"/>
  <c r="W331" i="9"/>
  <c r="W332" i="9"/>
  <c r="W333" i="9"/>
  <c r="W334" i="9"/>
  <c r="W335" i="9"/>
  <c r="W336" i="9"/>
  <c r="W337" i="9"/>
  <c r="W339" i="9"/>
  <c r="W340" i="9"/>
  <c r="W341" i="9"/>
  <c r="W342" i="9"/>
  <c r="W343" i="9"/>
  <c r="W344" i="9"/>
  <c r="W345" i="9"/>
  <c r="W346" i="9"/>
  <c r="W347" i="9"/>
  <c r="W348" i="9"/>
  <c r="W349" i="9"/>
  <c r="W350" i="9"/>
  <c r="W351" i="9"/>
  <c r="W352" i="9"/>
  <c r="W353" i="9"/>
  <c r="W354" i="9"/>
  <c r="W355" i="9"/>
  <c r="W356" i="9"/>
  <c r="W357" i="9"/>
  <c r="W358" i="9"/>
  <c r="W359" i="9"/>
  <c r="W360" i="9"/>
  <c r="W361" i="9"/>
  <c r="W363" i="9"/>
  <c r="W364" i="9"/>
  <c r="W365" i="9"/>
  <c r="W366" i="9"/>
  <c r="W367" i="9"/>
  <c r="W369" i="9"/>
  <c r="W370" i="9"/>
  <c r="W371" i="9"/>
  <c r="W372" i="9"/>
  <c r="W374" i="9"/>
  <c r="W375" i="9"/>
  <c r="W376" i="9"/>
  <c r="W377" i="9"/>
  <c r="W378" i="9"/>
  <c r="W379" i="9"/>
  <c r="W380" i="9"/>
  <c r="W381" i="9"/>
  <c r="W382" i="9"/>
  <c r="W383" i="9"/>
  <c r="W384" i="9"/>
  <c r="W385" i="9"/>
  <c r="W386" i="9"/>
  <c r="W387" i="9"/>
  <c r="W388" i="9"/>
  <c r="W389" i="9"/>
  <c r="W390" i="9"/>
  <c r="W391" i="9"/>
  <c r="W392" i="9"/>
  <c r="W393" i="9"/>
  <c r="W394" i="9"/>
  <c r="W395" i="9"/>
  <c r="W396" i="9"/>
  <c r="W397" i="9"/>
  <c r="W399" i="9"/>
  <c r="W400" i="9"/>
  <c r="W401" i="9"/>
  <c r="W402" i="9"/>
  <c r="W403" i="9"/>
  <c r="W404" i="9"/>
  <c r="W405" i="9"/>
  <c r="W406" i="9"/>
  <c r="W407" i="9"/>
  <c r="W409" i="9"/>
  <c r="W410" i="9"/>
  <c r="W412" i="9"/>
  <c r="W413" i="9"/>
  <c r="W414" i="9"/>
  <c r="W415" i="9"/>
  <c r="W417" i="9"/>
  <c r="W419" i="9"/>
  <c r="W420" i="9"/>
  <c r="W421" i="9"/>
  <c r="W422" i="9"/>
  <c r="W423" i="9"/>
  <c r="W425" i="9"/>
  <c r="W427" i="9"/>
  <c r="W428" i="9"/>
  <c r="W429" i="9"/>
  <c r="W430" i="9"/>
  <c r="W431" i="9"/>
  <c r="W432" i="9"/>
  <c r="W433" i="9"/>
  <c r="W434" i="9"/>
  <c r="W436" i="9"/>
  <c r="W437" i="9"/>
  <c r="W438" i="9"/>
  <c r="W439" i="9"/>
  <c r="W440"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W65" i="9"/>
  <c r="X65" i="9"/>
  <c r="V66" i="9"/>
  <c r="V67" i="9"/>
  <c r="V68" i="9"/>
  <c r="V69" i="9"/>
  <c r="V70" i="9"/>
  <c r="V71" i="9"/>
  <c r="V73" i="9"/>
  <c r="V75" i="9"/>
  <c r="V76" i="9"/>
  <c r="V77" i="9"/>
  <c r="V78" i="9"/>
  <c r="V79" i="9"/>
  <c r="V80" i="9"/>
  <c r="V81"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9" i="9"/>
  <c r="V150" i="9"/>
  <c r="V151" i="9"/>
  <c r="V152" i="9"/>
  <c r="V153" i="9"/>
  <c r="V154" i="9"/>
  <c r="V155" i="9"/>
  <c r="V156" i="9"/>
  <c r="V157" i="9"/>
  <c r="V158" i="9"/>
  <c r="V159" i="9"/>
  <c r="V160" i="9"/>
  <c r="V161" i="9"/>
  <c r="V162" i="9"/>
  <c r="V163" i="9"/>
  <c r="V164" i="9"/>
  <c r="V165" i="9"/>
  <c r="V166" i="9"/>
  <c r="V169" i="9"/>
  <c r="V170" i="9"/>
  <c r="V171" i="9"/>
  <c r="V172" i="9"/>
  <c r="V173" i="9"/>
  <c r="V174" i="9"/>
  <c r="V175" i="9"/>
  <c r="V176" i="9"/>
  <c r="V177" i="9"/>
  <c r="V178" i="9"/>
  <c r="V179" i="9"/>
  <c r="V181" i="9"/>
  <c r="V182" i="9"/>
  <c r="V183" i="9"/>
  <c r="V184" i="9"/>
  <c r="V185" i="9"/>
  <c r="V186" i="9"/>
  <c r="V187" i="9"/>
  <c r="V188" i="9"/>
  <c r="V190" i="9"/>
  <c r="V191" i="9"/>
  <c r="V192" i="9"/>
  <c r="V193" i="9"/>
  <c r="V194" i="9"/>
  <c r="V195" i="9"/>
  <c r="V196" i="9"/>
  <c r="V197" i="9"/>
  <c r="V198" i="9"/>
  <c r="V199" i="9"/>
  <c r="V200" i="9"/>
  <c r="V201" i="9"/>
  <c r="V202" i="9"/>
  <c r="V203" i="9"/>
  <c r="V204" i="9"/>
  <c r="V205" i="9"/>
  <c r="V206" i="9"/>
  <c r="V207" i="9"/>
  <c r="V208" i="9"/>
  <c r="V209" i="9"/>
  <c r="V210" i="9"/>
  <c r="V211" i="9"/>
  <c r="V213" i="9"/>
  <c r="V214" i="9"/>
  <c r="V215" i="9"/>
  <c r="V216" i="9"/>
  <c r="V217" i="9"/>
  <c r="V218" i="9"/>
  <c r="V219" i="9"/>
  <c r="V220" i="9"/>
  <c r="V221" i="9"/>
  <c r="V222" i="9"/>
  <c r="V223" i="9"/>
  <c r="V224" i="9"/>
  <c r="V225" i="9"/>
  <c r="V226" i="9"/>
  <c r="V227" i="9"/>
  <c r="V228" i="9"/>
  <c r="V229" i="9"/>
  <c r="V231" i="9"/>
  <c r="V232" i="9"/>
  <c r="V235" i="9"/>
  <c r="V236" i="9"/>
  <c r="V238" i="9"/>
  <c r="V240" i="9"/>
  <c r="V241" i="9"/>
  <c r="V242" i="9"/>
  <c r="V244" i="9"/>
  <c r="V245" i="9"/>
  <c r="V248" i="9"/>
  <c r="V249" i="9"/>
  <c r="V250" i="9"/>
  <c r="V251" i="9"/>
  <c r="V252" i="9"/>
  <c r="V253" i="9"/>
  <c r="V254" i="9"/>
  <c r="V255" i="9"/>
  <c r="V256" i="9"/>
  <c r="V258" i="9"/>
  <c r="V259" i="9"/>
  <c r="V261" i="9"/>
  <c r="V263" i="9"/>
  <c r="V264" i="9"/>
  <c r="V265" i="9"/>
  <c r="V266" i="9"/>
  <c r="V267" i="9"/>
  <c r="V268" i="9"/>
  <c r="V269" i="9"/>
  <c r="V270" i="9"/>
  <c r="V271" i="9"/>
  <c r="V272" i="9"/>
  <c r="V274" i="9"/>
  <c r="V275" i="9"/>
  <c r="V276" i="9"/>
  <c r="V277" i="9"/>
  <c r="V278" i="9"/>
  <c r="V282" i="9"/>
  <c r="V283" i="9"/>
  <c r="V284" i="9"/>
  <c r="V285" i="9"/>
  <c r="V286" i="9"/>
  <c r="V287" i="9"/>
  <c r="V288" i="9"/>
  <c r="V289" i="9"/>
  <c r="V290" i="9"/>
  <c r="V291" i="9"/>
  <c r="V292" i="9"/>
  <c r="V293" i="9"/>
  <c r="V294" i="9"/>
  <c r="V295" i="9"/>
  <c r="V296" i="9"/>
  <c r="V297" i="9"/>
  <c r="V298" i="9"/>
  <c r="V300" i="9"/>
  <c r="V301" i="9"/>
  <c r="V302" i="9"/>
  <c r="V304" i="9"/>
  <c r="V306" i="9"/>
  <c r="V307" i="9"/>
  <c r="V308" i="9"/>
  <c r="V310" i="9"/>
  <c r="V311" i="9"/>
  <c r="V312" i="9"/>
  <c r="V313" i="9"/>
  <c r="V314" i="9"/>
  <c r="V315" i="9"/>
  <c r="V316" i="9"/>
  <c r="V317" i="9"/>
  <c r="V318" i="9"/>
  <c r="V319" i="9"/>
  <c r="V320" i="9"/>
  <c r="V321" i="9"/>
  <c r="V322" i="9"/>
  <c r="V323" i="9"/>
  <c r="V324" i="9"/>
  <c r="V325" i="9"/>
  <c r="V326" i="9"/>
  <c r="V327" i="9"/>
  <c r="V329" i="9"/>
  <c r="V330" i="9"/>
  <c r="V331" i="9"/>
  <c r="V332" i="9"/>
  <c r="V333" i="9"/>
  <c r="V334" i="9"/>
  <c r="V335" i="9"/>
  <c r="V336" i="9"/>
  <c r="V337" i="9"/>
  <c r="V339" i="9"/>
  <c r="V340" i="9"/>
  <c r="V341" i="9"/>
  <c r="V342" i="9"/>
  <c r="V343" i="9"/>
  <c r="V344" i="9"/>
  <c r="V345" i="9"/>
  <c r="V346" i="9"/>
  <c r="V347" i="9"/>
  <c r="V348" i="9"/>
  <c r="V349" i="9"/>
  <c r="V350" i="9"/>
  <c r="V351" i="9"/>
  <c r="V352" i="9"/>
  <c r="V353" i="9"/>
  <c r="V354" i="9"/>
  <c r="V355" i="9"/>
  <c r="V356" i="9"/>
  <c r="V357" i="9"/>
  <c r="V358" i="9"/>
  <c r="V359" i="9"/>
  <c r="V360" i="9"/>
  <c r="V361" i="9"/>
  <c r="V363" i="9"/>
  <c r="V364" i="9"/>
  <c r="V365" i="9"/>
  <c r="V366" i="9"/>
  <c r="V367" i="9"/>
  <c r="V369" i="9"/>
  <c r="V370" i="9"/>
  <c r="V371" i="9"/>
  <c r="V372" i="9"/>
  <c r="V374" i="9"/>
  <c r="V375" i="9"/>
  <c r="V376" i="9"/>
  <c r="V377" i="9"/>
  <c r="V378" i="9"/>
  <c r="V379" i="9"/>
  <c r="V380" i="9"/>
  <c r="V381" i="9"/>
  <c r="V382" i="9"/>
  <c r="V383" i="9"/>
  <c r="V384" i="9"/>
  <c r="V385" i="9"/>
  <c r="V386" i="9"/>
  <c r="V387" i="9"/>
  <c r="V388" i="9"/>
  <c r="V389" i="9"/>
  <c r="V390" i="9"/>
  <c r="V391" i="9"/>
  <c r="V392" i="9"/>
  <c r="V393" i="9"/>
  <c r="V394" i="9"/>
  <c r="V395" i="9"/>
  <c r="V396" i="9"/>
  <c r="V397" i="9"/>
  <c r="V399" i="9"/>
  <c r="V400" i="9"/>
  <c r="V401" i="9"/>
  <c r="V402" i="9"/>
  <c r="V403" i="9"/>
  <c r="V404" i="9"/>
  <c r="V405" i="9"/>
  <c r="V406" i="9"/>
  <c r="V407" i="9"/>
  <c r="V409" i="9"/>
  <c r="V410" i="9"/>
  <c r="V412" i="9"/>
  <c r="V413" i="9"/>
  <c r="V414" i="9"/>
  <c r="V415" i="9"/>
  <c r="V417" i="9"/>
  <c r="V419" i="9"/>
  <c r="V420" i="9"/>
  <c r="V421" i="9"/>
  <c r="V422" i="9"/>
  <c r="V423" i="9"/>
  <c r="V425" i="9"/>
  <c r="V427" i="9"/>
  <c r="V428" i="9"/>
  <c r="V429" i="9"/>
  <c r="V430" i="9"/>
  <c r="V431" i="9"/>
  <c r="V432" i="9"/>
  <c r="V433" i="9"/>
  <c r="V434" i="9"/>
  <c r="V436" i="9"/>
  <c r="V437" i="9"/>
  <c r="V438" i="9"/>
  <c r="V439" i="9"/>
  <c r="V440"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2" i="9"/>
  <c r="V473" i="9"/>
  <c r="V474" i="9"/>
  <c r="V475" i="9"/>
  <c r="V476" i="9"/>
  <c r="V477" i="9"/>
  <c r="V478" i="9"/>
  <c r="V479" i="9"/>
  <c r="V480" i="9"/>
  <c r="V481" i="9"/>
  <c r="V482" i="9"/>
  <c r="V483" i="9"/>
  <c r="V484" i="9"/>
  <c r="V485" i="9"/>
  <c r="V486" i="9"/>
  <c r="V487" i="9"/>
  <c r="V488" i="9"/>
  <c r="V489" i="9"/>
  <c r="V490" i="9"/>
  <c r="V491" i="9"/>
  <c r="V492" i="9"/>
  <c r="V493" i="9"/>
  <c r="V494" i="9"/>
  <c r="V495" i="9"/>
  <c r="V496" i="9"/>
  <c r="V497" i="9"/>
  <c r="V498" i="9"/>
  <c r="V499" i="9"/>
  <c r="V500" i="9"/>
  <c r="V501" i="9"/>
  <c r="V502" i="9"/>
  <c r="V503" i="9"/>
  <c r="V4" i="9"/>
  <c r="T5" i="9"/>
  <c r="U5" i="9"/>
  <c r="T6" i="9"/>
  <c r="U6" i="9"/>
  <c r="T7" i="9"/>
  <c r="U7" i="9"/>
  <c r="T8" i="9"/>
  <c r="U8" i="9"/>
  <c r="T9" i="9"/>
  <c r="U9" i="9"/>
  <c r="T10" i="9"/>
  <c r="U10" i="9"/>
  <c r="T11" i="9"/>
  <c r="U11" i="9"/>
  <c r="T12" i="9"/>
  <c r="U12" i="9"/>
  <c r="T13" i="9"/>
  <c r="U13" i="9"/>
  <c r="T14" i="9"/>
  <c r="U14" i="9"/>
  <c r="T15" i="9"/>
  <c r="U15" i="9"/>
  <c r="T16" i="9"/>
  <c r="U16" i="9"/>
  <c r="T17" i="9"/>
  <c r="U17" i="9"/>
  <c r="T18" i="9"/>
  <c r="U18" i="9"/>
  <c r="T19" i="9"/>
  <c r="U19" i="9"/>
  <c r="T20" i="9"/>
  <c r="U20" i="9"/>
  <c r="T21" i="9"/>
  <c r="U21" i="9"/>
  <c r="T22" i="9"/>
  <c r="U22" i="9"/>
  <c r="T23" i="9"/>
  <c r="U23" i="9"/>
  <c r="T24" i="9"/>
  <c r="U24" i="9"/>
  <c r="T25" i="9"/>
  <c r="U25" i="9"/>
  <c r="T26" i="9"/>
  <c r="U26" i="9"/>
  <c r="T27" i="9"/>
  <c r="U27" i="9"/>
  <c r="T28" i="9"/>
  <c r="U28" i="9"/>
  <c r="T29" i="9"/>
  <c r="U29" i="9"/>
  <c r="T30" i="9"/>
  <c r="U30" i="9"/>
  <c r="T31" i="9"/>
  <c r="U31" i="9"/>
  <c r="T32" i="9"/>
  <c r="U32" i="9"/>
  <c r="T33" i="9"/>
  <c r="U33" i="9"/>
  <c r="T34" i="9"/>
  <c r="U34" i="9"/>
  <c r="T35" i="9"/>
  <c r="U35" i="9"/>
  <c r="T36" i="9"/>
  <c r="U36" i="9"/>
  <c r="T37" i="9"/>
  <c r="U37" i="9"/>
  <c r="T38" i="9"/>
  <c r="U38" i="9"/>
  <c r="T39" i="9"/>
  <c r="U39" i="9"/>
  <c r="T40" i="9"/>
  <c r="U40" i="9"/>
  <c r="T41" i="9"/>
  <c r="U41" i="9"/>
  <c r="T42" i="9"/>
  <c r="U42" i="9"/>
  <c r="T43" i="9"/>
  <c r="U43" i="9"/>
  <c r="T44" i="9"/>
  <c r="U44" i="9"/>
  <c r="T45" i="9"/>
  <c r="U45" i="9"/>
  <c r="T46" i="9"/>
  <c r="U46" i="9"/>
  <c r="T47" i="9"/>
  <c r="U47" i="9"/>
  <c r="T48" i="9"/>
  <c r="U48" i="9"/>
  <c r="T49" i="9"/>
  <c r="U49" i="9"/>
  <c r="T50" i="9"/>
  <c r="U50" i="9"/>
  <c r="T51" i="9"/>
  <c r="U51" i="9"/>
  <c r="T52" i="9"/>
  <c r="U52" i="9"/>
  <c r="T53" i="9"/>
  <c r="U53" i="9"/>
  <c r="T54" i="9"/>
  <c r="U54" i="9"/>
  <c r="T55" i="9"/>
  <c r="U55" i="9"/>
  <c r="T56" i="9"/>
  <c r="U56" i="9"/>
  <c r="T57" i="9"/>
  <c r="U57" i="9"/>
  <c r="T58" i="9"/>
  <c r="U58" i="9"/>
  <c r="T59" i="9"/>
  <c r="U59" i="9"/>
  <c r="T60" i="9"/>
  <c r="U60" i="9"/>
  <c r="T61" i="9"/>
  <c r="U61" i="9"/>
  <c r="T62" i="9"/>
  <c r="U62" i="9"/>
  <c r="T63" i="9"/>
  <c r="U63" i="9"/>
  <c r="T64" i="9"/>
  <c r="U64" i="9"/>
  <c r="T66" i="9"/>
  <c r="U66" i="9"/>
  <c r="T67" i="9"/>
  <c r="U67" i="9"/>
  <c r="T68" i="9"/>
  <c r="U68" i="9"/>
  <c r="T69" i="9"/>
  <c r="U69" i="9"/>
  <c r="T70" i="9"/>
  <c r="U70" i="9"/>
  <c r="T71" i="9"/>
  <c r="U71" i="9"/>
  <c r="T73" i="9"/>
  <c r="U73" i="9"/>
  <c r="T75" i="9"/>
  <c r="U75" i="9"/>
  <c r="T76" i="9"/>
  <c r="U76" i="9"/>
  <c r="T77" i="9"/>
  <c r="U77" i="9"/>
  <c r="T78" i="9"/>
  <c r="U78" i="9"/>
  <c r="T79" i="9"/>
  <c r="U79" i="9"/>
  <c r="T80" i="9"/>
  <c r="U80" i="9"/>
  <c r="T81" i="9"/>
  <c r="U81" i="9"/>
  <c r="T83" i="9"/>
  <c r="U83" i="9"/>
  <c r="T84" i="9"/>
  <c r="U84" i="9"/>
  <c r="T85" i="9"/>
  <c r="U85" i="9"/>
  <c r="T86" i="9"/>
  <c r="U86" i="9"/>
  <c r="T87" i="9"/>
  <c r="U87" i="9"/>
  <c r="T88" i="9"/>
  <c r="U88" i="9"/>
  <c r="T89" i="9"/>
  <c r="U89" i="9"/>
  <c r="T90" i="9"/>
  <c r="U90" i="9"/>
  <c r="T91" i="9"/>
  <c r="U91" i="9"/>
  <c r="T92" i="9"/>
  <c r="U92" i="9"/>
  <c r="T93" i="9"/>
  <c r="U93" i="9"/>
  <c r="T94" i="9"/>
  <c r="U94" i="9"/>
  <c r="T95" i="9"/>
  <c r="U95" i="9"/>
  <c r="T96" i="9"/>
  <c r="U96" i="9"/>
  <c r="T97" i="9"/>
  <c r="U97" i="9"/>
  <c r="T98" i="9"/>
  <c r="U98" i="9"/>
  <c r="T99" i="9"/>
  <c r="U99" i="9"/>
  <c r="T100" i="9"/>
  <c r="U100" i="9"/>
  <c r="T101" i="9"/>
  <c r="U101" i="9"/>
  <c r="T102" i="9"/>
  <c r="U102" i="9"/>
  <c r="T103" i="9"/>
  <c r="U103" i="9"/>
  <c r="T104" i="9"/>
  <c r="U104" i="9"/>
  <c r="T105" i="9"/>
  <c r="U105" i="9"/>
  <c r="T106" i="9"/>
  <c r="U106" i="9"/>
  <c r="T107" i="9"/>
  <c r="U107" i="9"/>
  <c r="T108" i="9"/>
  <c r="U108" i="9"/>
  <c r="T109" i="9"/>
  <c r="U109" i="9"/>
  <c r="T110" i="9"/>
  <c r="U110" i="9"/>
  <c r="T111" i="9"/>
  <c r="U111" i="9"/>
  <c r="T112" i="9"/>
  <c r="U112" i="9"/>
  <c r="T113" i="9"/>
  <c r="U113" i="9"/>
  <c r="T114" i="9"/>
  <c r="U114" i="9"/>
  <c r="T115" i="9"/>
  <c r="U115" i="9"/>
  <c r="T116" i="9"/>
  <c r="U116" i="9"/>
  <c r="T117" i="9"/>
  <c r="U117" i="9"/>
  <c r="T118" i="9"/>
  <c r="U118" i="9"/>
  <c r="T119" i="9"/>
  <c r="U119" i="9"/>
  <c r="T120" i="9"/>
  <c r="U120" i="9"/>
  <c r="T121" i="9"/>
  <c r="U121" i="9"/>
  <c r="T122" i="9"/>
  <c r="U122" i="9"/>
  <c r="T123" i="9"/>
  <c r="U123" i="9"/>
  <c r="T124" i="9"/>
  <c r="U124" i="9"/>
  <c r="T125" i="9"/>
  <c r="U125" i="9"/>
  <c r="T126" i="9"/>
  <c r="U126" i="9"/>
  <c r="T127" i="9"/>
  <c r="U127" i="9"/>
  <c r="T128" i="9"/>
  <c r="U128" i="9"/>
  <c r="T129" i="9"/>
  <c r="U129" i="9"/>
  <c r="T130" i="9"/>
  <c r="U130" i="9"/>
  <c r="T131" i="9"/>
  <c r="U131" i="9"/>
  <c r="T132" i="9"/>
  <c r="U132" i="9"/>
  <c r="T133" i="9"/>
  <c r="U133" i="9"/>
  <c r="T134" i="9"/>
  <c r="U134" i="9"/>
  <c r="T135" i="9"/>
  <c r="U135" i="9"/>
  <c r="T136" i="9"/>
  <c r="U136" i="9"/>
  <c r="T137" i="9"/>
  <c r="U137" i="9"/>
  <c r="T138" i="9"/>
  <c r="U138" i="9"/>
  <c r="T139" i="9"/>
  <c r="U139" i="9"/>
  <c r="T140" i="9"/>
  <c r="U140" i="9"/>
  <c r="T141" i="9"/>
  <c r="U141" i="9"/>
  <c r="T142" i="9"/>
  <c r="U142" i="9"/>
  <c r="T143" i="9"/>
  <c r="U143" i="9"/>
  <c r="T144" i="9"/>
  <c r="U144" i="9"/>
  <c r="T145" i="9"/>
  <c r="U145" i="9"/>
  <c r="T146" i="9"/>
  <c r="U146" i="9"/>
  <c r="T147" i="9"/>
  <c r="U147" i="9"/>
  <c r="T149" i="9"/>
  <c r="U149" i="9"/>
  <c r="T150" i="9"/>
  <c r="U150" i="9"/>
  <c r="T151" i="9"/>
  <c r="U151" i="9"/>
  <c r="T152" i="9"/>
  <c r="U152" i="9"/>
  <c r="T153" i="9"/>
  <c r="U153" i="9"/>
  <c r="T154" i="9"/>
  <c r="U154" i="9"/>
  <c r="T155" i="9"/>
  <c r="U155" i="9"/>
  <c r="T156" i="9"/>
  <c r="U156" i="9"/>
  <c r="T157" i="9"/>
  <c r="U157" i="9"/>
  <c r="T158" i="9"/>
  <c r="U158" i="9"/>
  <c r="T159" i="9"/>
  <c r="U159" i="9"/>
  <c r="T160" i="9"/>
  <c r="U160" i="9"/>
  <c r="T161" i="9"/>
  <c r="U161" i="9"/>
  <c r="T162" i="9"/>
  <c r="U162" i="9"/>
  <c r="T163" i="9"/>
  <c r="U163" i="9"/>
  <c r="T164" i="9"/>
  <c r="U164" i="9"/>
  <c r="T165" i="9"/>
  <c r="U165" i="9"/>
  <c r="T166" i="9"/>
  <c r="U166" i="9"/>
  <c r="T169" i="9"/>
  <c r="U169" i="9"/>
  <c r="T170" i="9"/>
  <c r="U170" i="9"/>
  <c r="T171" i="9"/>
  <c r="U171" i="9"/>
  <c r="T172" i="9"/>
  <c r="U172" i="9"/>
  <c r="T173" i="9"/>
  <c r="U173" i="9"/>
  <c r="T174" i="9"/>
  <c r="U174" i="9"/>
  <c r="T175" i="9"/>
  <c r="U175" i="9"/>
  <c r="T176" i="9"/>
  <c r="U176" i="9"/>
  <c r="T177" i="9"/>
  <c r="U177" i="9"/>
  <c r="T178" i="9"/>
  <c r="U178" i="9"/>
  <c r="T179" i="9"/>
  <c r="U179" i="9"/>
  <c r="T181" i="9"/>
  <c r="U181" i="9"/>
  <c r="T182" i="9"/>
  <c r="U182" i="9"/>
  <c r="T183" i="9"/>
  <c r="U183" i="9"/>
  <c r="T184" i="9"/>
  <c r="U184" i="9"/>
  <c r="T185" i="9"/>
  <c r="U185" i="9"/>
  <c r="T186" i="9"/>
  <c r="U186" i="9"/>
  <c r="T187" i="9"/>
  <c r="U187" i="9"/>
  <c r="T188" i="9"/>
  <c r="U188" i="9"/>
  <c r="T190" i="9"/>
  <c r="U190" i="9"/>
  <c r="T191" i="9"/>
  <c r="U191" i="9"/>
  <c r="T192" i="9"/>
  <c r="U192" i="9"/>
  <c r="T193" i="9"/>
  <c r="U193" i="9"/>
  <c r="T194" i="9"/>
  <c r="U194" i="9"/>
  <c r="T195" i="9"/>
  <c r="U195" i="9"/>
  <c r="T196" i="9"/>
  <c r="U196" i="9"/>
  <c r="T197" i="9"/>
  <c r="U197" i="9"/>
  <c r="T198" i="9"/>
  <c r="U198" i="9"/>
  <c r="T199" i="9"/>
  <c r="U199" i="9"/>
  <c r="T200" i="9"/>
  <c r="U200" i="9"/>
  <c r="T201" i="9"/>
  <c r="U201" i="9"/>
  <c r="T202" i="9"/>
  <c r="U202" i="9"/>
  <c r="T203" i="9"/>
  <c r="U203" i="9"/>
  <c r="T204" i="9"/>
  <c r="U204" i="9"/>
  <c r="T205" i="9"/>
  <c r="U205" i="9"/>
  <c r="T206" i="9"/>
  <c r="U206" i="9"/>
  <c r="T207" i="9"/>
  <c r="U207" i="9"/>
  <c r="T208" i="9"/>
  <c r="U208" i="9"/>
  <c r="T209" i="9"/>
  <c r="U209" i="9"/>
  <c r="T210" i="9"/>
  <c r="U210" i="9"/>
  <c r="T211" i="9"/>
  <c r="U211" i="9"/>
  <c r="T213" i="9"/>
  <c r="U213" i="9"/>
  <c r="T214" i="9"/>
  <c r="U214" i="9"/>
  <c r="T215" i="9"/>
  <c r="U215" i="9"/>
  <c r="T216" i="9"/>
  <c r="U216" i="9"/>
  <c r="T217" i="9"/>
  <c r="U217" i="9"/>
  <c r="T218" i="9"/>
  <c r="U218" i="9"/>
  <c r="T219" i="9"/>
  <c r="U219" i="9"/>
  <c r="T220" i="9"/>
  <c r="U220" i="9"/>
  <c r="T221" i="9"/>
  <c r="U221" i="9"/>
  <c r="T222" i="9"/>
  <c r="U222" i="9"/>
  <c r="T223" i="9"/>
  <c r="U223" i="9"/>
  <c r="T224" i="9"/>
  <c r="U224" i="9"/>
  <c r="T225" i="9"/>
  <c r="U225" i="9"/>
  <c r="T226" i="9"/>
  <c r="U226" i="9"/>
  <c r="T227" i="9"/>
  <c r="U227" i="9"/>
  <c r="T228" i="9"/>
  <c r="U228" i="9"/>
  <c r="T229" i="9"/>
  <c r="U229" i="9"/>
  <c r="T231" i="9"/>
  <c r="U231" i="9"/>
  <c r="T232" i="9"/>
  <c r="U232" i="9"/>
  <c r="T235" i="9"/>
  <c r="U235" i="9"/>
  <c r="T236" i="9"/>
  <c r="U236" i="9"/>
  <c r="T238" i="9"/>
  <c r="U238" i="9"/>
  <c r="T240" i="9"/>
  <c r="U240" i="9"/>
  <c r="T241" i="9"/>
  <c r="U241" i="9"/>
  <c r="T242" i="9"/>
  <c r="U242" i="9"/>
  <c r="T244" i="9"/>
  <c r="U244" i="9"/>
  <c r="T245" i="9"/>
  <c r="U245" i="9"/>
  <c r="T248" i="9"/>
  <c r="U248" i="9"/>
  <c r="T249" i="9"/>
  <c r="U249" i="9"/>
  <c r="T250" i="9"/>
  <c r="U250" i="9"/>
  <c r="T251" i="9"/>
  <c r="U251" i="9"/>
  <c r="T252" i="9"/>
  <c r="U252" i="9"/>
  <c r="T253" i="9"/>
  <c r="U253" i="9"/>
  <c r="T254" i="9"/>
  <c r="U254" i="9"/>
  <c r="T255" i="9"/>
  <c r="U255" i="9"/>
  <c r="T256" i="9"/>
  <c r="U256" i="9"/>
  <c r="T258" i="9"/>
  <c r="U258" i="9"/>
  <c r="T259" i="9"/>
  <c r="U259" i="9"/>
  <c r="T261" i="9"/>
  <c r="U261" i="9"/>
  <c r="T263" i="9"/>
  <c r="U263" i="9"/>
  <c r="T264" i="9"/>
  <c r="U264" i="9"/>
  <c r="T265" i="9"/>
  <c r="U265" i="9"/>
  <c r="T266" i="9"/>
  <c r="U266" i="9"/>
  <c r="T267" i="9"/>
  <c r="U267" i="9"/>
  <c r="T268" i="9"/>
  <c r="U268" i="9"/>
  <c r="T269" i="9"/>
  <c r="U269" i="9"/>
  <c r="T270" i="9"/>
  <c r="U270" i="9"/>
  <c r="T271" i="9"/>
  <c r="U271" i="9"/>
  <c r="T272" i="9"/>
  <c r="U272" i="9"/>
  <c r="T274" i="9"/>
  <c r="U274" i="9"/>
  <c r="T275" i="9"/>
  <c r="U275" i="9"/>
  <c r="T276" i="9"/>
  <c r="U276" i="9"/>
  <c r="T277" i="9"/>
  <c r="U277" i="9"/>
  <c r="T278" i="9"/>
  <c r="U278" i="9"/>
  <c r="T282" i="9"/>
  <c r="U282" i="9"/>
  <c r="T283" i="9"/>
  <c r="U283" i="9"/>
  <c r="T284" i="9"/>
  <c r="U284" i="9"/>
  <c r="T285" i="9"/>
  <c r="U285" i="9"/>
  <c r="T286" i="9"/>
  <c r="U286" i="9"/>
  <c r="T287" i="9"/>
  <c r="U287" i="9"/>
  <c r="T288" i="9"/>
  <c r="U288" i="9"/>
  <c r="T289" i="9"/>
  <c r="U289" i="9"/>
  <c r="T290" i="9"/>
  <c r="U290" i="9"/>
  <c r="T291" i="9"/>
  <c r="U291" i="9"/>
  <c r="T292" i="9"/>
  <c r="U292" i="9"/>
  <c r="T293" i="9"/>
  <c r="U293" i="9"/>
  <c r="T294" i="9"/>
  <c r="U294" i="9"/>
  <c r="T295" i="9"/>
  <c r="U295" i="9"/>
  <c r="T296" i="9"/>
  <c r="U296" i="9"/>
  <c r="T297" i="9"/>
  <c r="U297" i="9"/>
  <c r="T298" i="9"/>
  <c r="U298" i="9"/>
  <c r="T300" i="9"/>
  <c r="U300" i="9"/>
  <c r="T301" i="9"/>
  <c r="U301" i="9"/>
  <c r="T302" i="9"/>
  <c r="U302" i="9"/>
  <c r="T304" i="9"/>
  <c r="U304" i="9"/>
  <c r="T306" i="9"/>
  <c r="U306" i="9"/>
  <c r="T307" i="9"/>
  <c r="U307" i="9"/>
  <c r="T308" i="9"/>
  <c r="U308" i="9"/>
  <c r="T310" i="9"/>
  <c r="U310" i="9"/>
  <c r="T311" i="9"/>
  <c r="U311" i="9"/>
  <c r="T312" i="9"/>
  <c r="U312" i="9"/>
  <c r="T313" i="9"/>
  <c r="U313" i="9"/>
  <c r="T314" i="9"/>
  <c r="U314" i="9"/>
  <c r="T315" i="9"/>
  <c r="U315" i="9"/>
  <c r="T316" i="9"/>
  <c r="U316" i="9"/>
  <c r="T317" i="9"/>
  <c r="U317" i="9"/>
  <c r="T318" i="9"/>
  <c r="U318" i="9"/>
  <c r="T319" i="9"/>
  <c r="U319" i="9"/>
  <c r="T320" i="9"/>
  <c r="U320" i="9"/>
  <c r="T321" i="9"/>
  <c r="U321" i="9"/>
  <c r="T322" i="9"/>
  <c r="U322" i="9"/>
  <c r="T323" i="9"/>
  <c r="U323" i="9"/>
  <c r="T324" i="9"/>
  <c r="U324" i="9"/>
  <c r="T325" i="9"/>
  <c r="U325" i="9"/>
  <c r="T326" i="9"/>
  <c r="U326" i="9"/>
  <c r="T327" i="9"/>
  <c r="U327" i="9"/>
  <c r="T329" i="9"/>
  <c r="U329" i="9"/>
  <c r="T330" i="9"/>
  <c r="U330" i="9"/>
  <c r="T331" i="9"/>
  <c r="U331" i="9"/>
  <c r="T332" i="9"/>
  <c r="U332" i="9"/>
  <c r="T333" i="9"/>
  <c r="U333" i="9"/>
  <c r="T334" i="9"/>
  <c r="U334" i="9"/>
  <c r="T335" i="9"/>
  <c r="U335" i="9"/>
  <c r="T336" i="9"/>
  <c r="U336" i="9"/>
  <c r="T337" i="9"/>
  <c r="U337" i="9"/>
  <c r="T339" i="9"/>
  <c r="U339" i="9"/>
  <c r="T340" i="9"/>
  <c r="U340" i="9"/>
  <c r="T341" i="9"/>
  <c r="U341" i="9"/>
  <c r="T342" i="9"/>
  <c r="U342" i="9"/>
  <c r="T343" i="9"/>
  <c r="U343" i="9"/>
  <c r="T344" i="9"/>
  <c r="U344" i="9"/>
  <c r="T345" i="9"/>
  <c r="U345" i="9"/>
  <c r="T346" i="9"/>
  <c r="U346" i="9"/>
  <c r="T347" i="9"/>
  <c r="U347" i="9"/>
  <c r="T348" i="9"/>
  <c r="U348" i="9"/>
  <c r="T349" i="9"/>
  <c r="U349" i="9"/>
  <c r="T350" i="9"/>
  <c r="U350" i="9"/>
  <c r="T351" i="9"/>
  <c r="U351" i="9"/>
  <c r="T352" i="9"/>
  <c r="U352" i="9"/>
  <c r="T353" i="9"/>
  <c r="U353" i="9"/>
  <c r="T354" i="9"/>
  <c r="U354" i="9"/>
  <c r="T355" i="9"/>
  <c r="U355" i="9"/>
  <c r="T356" i="9"/>
  <c r="U356" i="9"/>
  <c r="T357" i="9"/>
  <c r="U357" i="9"/>
  <c r="T358" i="9"/>
  <c r="U358" i="9"/>
  <c r="T359" i="9"/>
  <c r="U359" i="9"/>
  <c r="T360" i="9"/>
  <c r="U360" i="9"/>
  <c r="T361" i="9"/>
  <c r="U361" i="9"/>
  <c r="T363" i="9"/>
  <c r="U363" i="9"/>
  <c r="T364" i="9"/>
  <c r="U364" i="9"/>
  <c r="T365" i="9"/>
  <c r="U365" i="9"/>
  <c r="T366" i="9"/>
  <c r="U366" i="9"/>
  <c r="T367" i="9"/>
  <c r="U367" i="9"/>
  <c r="T369" i="9"/>
  <c r="U369" i="9"/>
  <c r="T370" i="9"/>
  <c r="U370" i="9"/>
  <c r="T371" i="9"/>
  <c r="U371" i="9"/>
  <c r="T372" i="9"/>
  <c r="U372" i="9"/>
  <c r="T374" i="9"/>
  <c r="U374" i="9"/>
  <c r="T375" i="9"/>
  <c r="U375" i="9"/>
  <c r="T376" i="9"/>
  <c r="U376" i="9"/>
  <c r="T377" i="9"/>
  <c r="U377" i="9"/>
  <c r="T378" i="9"/>
  <c r="U378" i="9"/>
  <c r="T379" i="9"/>
  <c r="U379" i="9"/>
  <c r="T380" i="9"/>
  <c r="U380" i="9"/>
  <c r="T381" i="9"/>
  <c r="U381" i="9"/>
  <c r="T382" i="9"/>
  <c r="U382" i="9"/>
  <c r="T383" i="9"/>
  <c r="U383" i="9"/>
  <c r="T384" i="9"/>
  <c r="U384" i="9"/>
  <c r="T385" i="9"/>
  <c r="U385" i="9"/>
  <c r="T386" i="9"/>
  <c r="U386" i="9"/>
  <c r="T387" i="9"/>
  <c r="U387" i="9"/>
  <c r="T388" i="9"/>
  <c r="U388" i="9"/>
  <c r="T389" i="9"/>
  <c r="U389" i="9"/>
  <c r="T390" i="9"/>
  <c r="U390" i="9"/>
  <c r="T391" i="9"/>
  <c r="U391" i="9"/>
  <c r="T392" i="9"/>
  <c r="U392" i="9"/>
  <c r="T393" i="9"/>
  <c r="U393" i="9"/>
  <c r="T394" i="9"/>
  <c r="U394" i="9"/>
  <c r="T395" i="9"/>
  <c r="U395" i="9"/>
  <c r="T396" i="9"/>
  <c r="U396" i="9"/>
  <c r="T397" i="9"/>
  <c r="U397" i="9"/>
  <c r="T399" i="9"/>
  <c r="U399" i="9"/>
  <c r="T400" i="9"/>
  <c r="U400" i="9"/>
  <c r="T401" i="9"/>
  <c r="U401" i="9"/>
  <c r="T402" i="9"/>
  <c r="U402" i="9"/>
  <c r="T403" i="9"/>
  <c r="U403" i="9"/>
  <c r="T404" i="9"/>
  <c r="U404" i="9"/>
  <c r="T405" i="9"/>
  <c r="U405" i="9"/>
  <c r="T406" i="9"/>
  <c r="U406" i="9"/>
  <c r="T407" i="9"/>
  <c r="U407" i="9"/>
  <c r="T409" i="9"/>
  <c r="U409" i="9"/>
  <c r="T410" i="9"/>
  <c r="U410" i="9"/>
  <c r="T412" i="9"/>
  <c r="U412" i="9"/>
  <c r="T413" i="9"/>
  <c r="U413" i="9"/>
  <c r="T414" i="9"/>
  <c r="U414" i="9"/>
  <c r="T415" i="9"/>
  <c r="U415" i="9"/>
  <c r="T417" i="9"/>
  <c r="U417" i="9"/>
  <c r="T419" i="9"/>
  <c r="U419" i="9"/>
  <c r="T420" i="9"/>
  <c r="U420" i="9"/>
  <c r="T421" i="9"/>
  <c r="U421" i="9"/>
  <c r="T422" i="9"/>
  <c r="U422" i="9"/>
  <c r="T423" i="9"/>
  <c r="U423" i="9"/>
  <c r="T425" i="9"/>
  <c r="U425" i="9"/>
  <c r="T427" i="9"/>
  <c r="U427" i="9"/>
  <c r="T428" i="9"/>
  <c r="U428" i="9"/>
  <c r="T429" i="9"/>
  <c r="U429" i="9"/>
  <c r="T430" i="9"/>
  <c r="U430" i="9"/>
  <c r="T431" i="9"/>
  <c r="U431" i="9"/>
  <c r="T432" i="9"/>
  <c r="U432" i="9"/>
  <c r="T433" i="9"/>
  <c r="U433" i="9"/>
  <c r="T434" i="9"/>
  <c r="U434" i="9"/>
  <c r="T436" i="9"/>
  <c r="U436" i="9"/>
  <c r="T437" i="9"/>
  <c r="U437" i="9"/>
  <c r="T438" i="9"/>
  <c r="U438" i="9"/>
  <c r="T439" i="9"/>
  <c r="U439" i="9"/>
  <c r="T440" i="9"/>
  <c r="U440" i="9"/>
  <c r="T442" i="9"/>
  <c r="U442" i="9"/>
  <c r="T443" i="9"/>
  <c r="U443" i="9"/>
  <c r="T444" i="9"/>
  <c r="U444" i="9"/>
  <c r="T445" i="9"/>
  <c r="U445" i="9"/>
  <c r="T446" i="9"/>
  <c r="U446" i="9"/>
  <c r="T447" i="9"/>
  <c r="U447" i="9"/>
  <c r="T448" i="9"/>
  <c r="U448" i="9"/>
  <c r="T449" i="9"/>
  <c r="U449" i="9"/>
  <c r="T450" i="9"/>
  <c r="U450" i="9"/>
  <c r="T451" i="9"/>
  <c r="U451" i="9"/>
  <c r="T452" i="9"/>
  <c r="U452" i="9"/>
  <c r="T453" i="9"/>
  <c r="U453" i="9"/>
  <c r="T454" i="9"/>
  <c r="U454" i="9"/>
  <c r="T455" i="9"/>
  <c r="U455" i="9"/>
  <c r="T456" i="9"/>
  <c r="U456" i="9"/>
  <c r="T457" i="9"/>
  <c r="U457" i="9"/>
  <c r="T458" i="9"/>
  <c r="U458" i="9"/>
  <c r="T459" i="9"/>
  <c r="U459" i="9"/>
  <c r="T460" i="9"/>
  <c r="U460" i="9"/>
  <c r="T461" i="9"/>
  <c r="U461" i="9"/>
  <c r="T462" i="9"/>
  <c r="U462" i="9"/>
  <c r="T463" i="9"/>
  <c r="U463" i="9"/>
  <c r="T464" i="9"/>
  <c r="U464" i="9"/>
  <c r="T465" i="9"/>
  <c r="U465" i="9"/>
  <c r="T466" i="9"/>
  <c r="U466" i="9"/>
  <c r="T467" i="9"/>
  <c r="U467" i="9"/>
  <c r="T468" i="9"/>
  <c r="U468" i="9"/>
  <c r="T469" i="9"/>
  <c r="U469" i="9"/>
  <c r="T470" i="9"/>
  <c r="U470" i="9"/>
  <c r="T472" i="9"/>
  <c r="U472" i="9"/>
  <c r="T473" i="9"/>
  <c r="U473" i="9"/>
  <c r="T474" i="9"/>
  <c r="U474" i="9"/>
  <c r="T475" i="9"/>
  <c r="U475" i="9"/>
  <c r="T476" i="9"/>
  <c r="U476" i="9"/>
  <c r="T477" i="9"/>
  <c r="U477" i="9"/>
  <c r="T478" i="9"/>
  <c r="U478" i="9"/>
  <c r="T479" i="9"/>
  <c r="U479" i="9"/>
  <c r="T480" i="9"/>
  <c r="U480" i="9"/>
  <c r="T481" i="9"/>
  <c r="U481" i="9"/>
  <c r="T482" i="9"/>
  <c r="U482" i="9"/>
  <c r="T483" i="9"/>
  <c r="U483" i="9"/>
  <c r="T484" i="9"/>
  <c r="U484" i="9"/>
  <c r="T485" i="9"/>
  <c r="U485" i="9"/>
  <c r="T486" i="9"/>
  <c r="U486" i="9"/>
  <c r="T487" i="9"/>
  <c r="U487" i="9"/>
  <c r="T488" i="9"/>
  <c r="U488" i="9"/>
  <c r="T489" i="9"/>
  <c r="U489" i="9"/>
  <c r="T490" i="9"/>
  <c r="U490" i="9"/>
  <c r="T491" i="9"/>
  <c r="U491" i="9"/>
  <c r="T492" i="9"/>
  <c r="U492" i="9"/>
  <c r="T493" i="9"/>
  <c r="U493" i="9"/>
  <c r="T494" i="9"/>
  <c r="U494" i="9"/>
  <c r="T495" i="9"/>
  <c r="U495" i="9"/>
  <c r="T496" i="9"/>
  <c r="U496" i="9"/>
  <c r="T497" i="9"/>
  <c r="U497" i="9"/>
  <c r="T498" i="9"/>
  <c r="U498" i="9"/>
  <c r="T499" i="9"/>
  <c r="U499" i="9"/>
  <c r="T500" i="9"/>
  <c r="U500" i="9"/>
  <c r="T501" i="9"/>
  <c r="U501" i="9"/>
  <c r="T502" i="9"/>
  <c r="U502" i="9"/>
  <c r="T503" i="9"/>
  <c r="U503" i="9"/>
  <c r="T4" i="9"/>
  <c r="U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3" i="9"/>
  <c r="R75" i="9"/>
  <c r="R76" i="9"/>
  <c r="R77" i="9"/>
  <c r="R78" i="9"/>
  <c r="R79" i="9"/>
  <c r="R80" i="9"/>
  <c r="R81"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9" i="9"/>
  <c r="R150" i="9"/>
  <c r="R151" i="9"/>
  <c r="R152" i="9"/>
  <c r="R153" i="9"/>
  <c r="R154" i="9"/>
  <c r="R155" i="9"/>
  <c r="R156" i="9"/>
  <c r="R157" i="9"/>
  <c r="R158" i="9"/>
  <c r="R159" i="9"/>
  <c r="R160" i="9"/>
  <c r="R161" i="9"/>
  <c r="R162" i="9"/>
  <c r="R163" i="9"/>
  <c r="R164" i="9"/>
  <c r="R165" i="9"/>
  <c r="R166" i="9"/>
  <c r="R169" i="9"/>
  <c r="R170" i="9"/>
  <c r="R171" i="9"/>
  <c r="R172" i="9"/>
  <c r="R173" i="9"/>
  <c r="R174" i="9"/>
  <c r="R175" i="9"/>
  <c r="R176" i="9"/>
  <c r="R177" i="9"/>
  <c r="R178" i="9"/>
  <c r="R179" i="9"/>
  <c r="R181" i="9"/>
  <c r="R182" i="9"/>
  <c r="R183" i="9"/>
  <c r="R184" i="9"/>
  <c r="R185" i="9"/>
  <c r="R186" i="9"/>
  <c r="R187" i="9"/>
  <c r="R188" i="9"/>
  <c r="R190" i="9"/>
  <c r="R191" i="9"/>
  <c r="R192" i="9"/>
  <c r="R193" i="9"/>
  <c r="R194" i="9"/>
  <c r="R195" i="9"/>
  <c r="R196" i="9"/>
  <c r="R197" i="9"/>
  <c r="R198" i="9"/>
  <c r="R199" i="9"/>
  <c r="R200" i="9"/>
  <c r="R201" i="9"/>
  <c r="R202" i="9"/>
  <c r="R203" i="9"/>
  <c r="R204" i="9"/>
  <c r="R205" i="9"/>
  <c r="R206" i="9"/>
  <c r="R207" i="9"/>
  <c r="R208" i="9"/>
  <c r="R209" i="9"/>
  <c r="R210" i="9"/>
  <c r="R211" i="9"/>
  <c r="R213" i="9"/>
  <c r="R214" i="9"/>
  <c r="R215" i="9"/>
  <c r="R216" i="9"/>
  <c r="R217" i="9"/>
  <c r="R218" i="9"/>
  <c r="R219" i="9"/>
  <c r="R220" i="9"/>
  <c r="R221" i="9"/>
  <c r="R222" i="9"/>
  <c r="R223" i="9"/>
  <c r="R224" i="9"/>
  <c r="R225" i="9"/>
  <c r="R226" i="9"/>
  <c r="R227" i="9"/>
  <c r="R228" i="9"/>
  <c r="R229" i="9"/>
  <c r="R231" i="9"/>
  <c r="R232" i="9"/>
  <c r="R235" i="9"/>
  <c r="R236" i="9"/>
  <c r="R238" i="9"/>
  <c r="R240" i="9"/>
  <c r="R241" i="9"/>
  <c r="R242" i="9"/>
  <c r="R244" i="9"/>
  <c r="R245" i="9"/>
  <c r="R248" i="9"/>
  <c r="R249" i="9"/>
  <c r="R250" i="9"/>
  <c r="R251" i="9"/>
  <c r="R252" i="9"/>
  <c r="R253" i="9"/>
  <c r="R254" i="9"/>
  <c r="R255" i="9"/>
  <c r="R256" i="9"/>
  <c r="R258" i="9"/>
  <c r="R259" i="9"/>
  <c r="R261" i="9"/>
  <c r="R263" i="9"/>
  <c r="R264" i="9"/>
  <c r="R265" i="9"/>
  <c r="R266" i="9"/>
  <c r="R267" i="9"/>
  <c r="R268" i="9"/>
  <c r="R269" i="9"/>
  <c r="R270" i="9"/>
  <c r="R271" i="9"/>
  <c r="R272" i="9"/>
  <c r="R274" i="9"/>
  <c r="R275" i="9"/>
  <c r="R276" i="9"/>
  <c r="R277" i="9"/>
  <c r="R278" i="9"/>
  <c r="R282" i="9"/>
  <c r="R283" i="9"/>
  <c r="R284" i="9"/>
  <c r="R285" i="9"/>
  <c r="R286" i="9"/>
  <c r="R287" i="9"/>
  <c r="R288" i="9"/>
  <c r="R289" i="9"/>
  <c r="R290" i="9"/>
  <c r="R291" i="9"/>
  <c r="R292" i="9"/>
  <c r="R293" i="9"/>
  <c r="R294" i="9"/>
  <c r="R295" i="9"/>
  <c r="R296" i="9"/>
  <c r="R297" i="9"/>
  <c r="R298" i="9"/>
  <c r="R300" i="9"/>
  <c r="R301" i="9"/>
  <c r="R302" i="9"/>
  <c r="R304" i="9"/>
  <c r="R306" i="9"/>
  <c r="R307" i="9"/>
  <c r="R308" i="9"/>
  <c r="R310" i="9"/>
  <c r="R311" i="9"/>
  <c r="R312" i="9"/>
  <c r="R313" i="9"/>
  <c r="R314" i="9"/>
  <c r="R315" i="9"/>
  <c r="R316" i="9"/>
  <c r="R317" i="9"/>
  <c r="R318" i="9"/>
  <c r="R319" i="9"/>
  <c r="R320" i="9"/>
  <c r="R321" i="9"/>
  <c r="R322" i="9"/>
  <c r="R323" i="9"/>
  <c r="R324" i="9"/>
  <c r="R325" i="9"/>
  <c r="R326" i="9"/>
  <c r="R327" i="9"/>
  <c r="R329" i="9"/>
  <c r="R330" i="9"/>
  <c r="R331" i="9"/>
  <c r="R332" i="9"/>
  <c r="R333" i="9"/>
  <c r="R334" i="9"/>
  <c r="R335" i="9"/>
  <c r="R336" i="9"/>
  <c r="R337" i="9"/>
  <c r="R339" i="9"/>
  <c r="R340" i="9"/>
  <c r="R341" i="9"/>
  <c r="R342" i="9"/>
  <c r="R343" i="9"/>
  <c r="R344" i="9"/>
  <c r="R345" i="9"/>
  <c r="R346" i="9"/>
  <c r="R347" i="9"/>
  <c r="R348" i="9"/>
  <c r="R349" i="9"/>
  <c r="R350" i="9"/>
  <c r="R351" i="9"/>
  <c r="R352" i="9"/>
  <c r="R353" i="9"/>
  <c r="R354" i="9"/>
  <c r="R355" i="9"/>
  <c r="R356" i="9"/>
  <c r="R357" i="9"/>
  <c r="R358" i="9"/>
  <c r="R359" i="9"/>
  <c r="R360" i="9"/>
  <c r="R361" i="9"/>
  <c r="R363" i="9"/>
  <c r="R364" i="9"/>
  <c r="R365" i="9"/>
  <c r="R366" i="9"/>
  <c r="R367" i="9"/>
  <c r="R369" i="9"/>
  <c r="R370" i="9"/>
  <c r="R371" i="9"/>
  <c r="R372" i="9"/>
  <c r="R374" i="9"/>
  <c r="R375" i="9"/>
  <c r="R376" i="9"/>
  <c r="R377" i="9"/>
  <c r="R378" i="9"/>
  <c r="R379" i="9"/>
  <c r="R380" i="9"/>
  <c r="R381" i="9"/>
  <c r="R382" i="9"/>
  <c r="R383" i="9"/>
  <c r="R384" i="9"/>
  <c r="R385" i="9"/>
  <c r="R386" i="9"/>
  <c r="R387" i="9"/>
  <c r="R388" i="9"/>
  <c r="R389" i="9"/>
  <c r="R390" i="9"/>
  <c r="R391" i="9"/>
  <c r="R392" i="9"/>
  <c r="R393" i="9"/>
  <c r="R394" i="9"/>
  <c r="R395" i="9"/>
  <c r="R396" i="9"/>
  <c r="R397" i="9"/>
  <c r="R399" i="9"/>
  <c r="R400" i="9"/>
  <c r="R401" i="9"/>
  <c r="R402" i="9"/>
  <c r="R403" i="9"/>
  <c r="R404" i="9"/>
  <c r="R405" i="9"/>
  <c r="R406" i="9"/>
  <c r="R407" i="9"/>
  <c r="R409" i="9"/>
  <c r="R410" i="9"/>
  <c r="R412" i="9"/>
  <c r="R413" i="9"/>
  <c r="R414" i="9"/>
  <c r="R415" i="9"/>
  <c r="R417" i="9"/>
  <c r="R419" i="9"/>
  <c r="R420" i="9"/>
  <c r="R421" i="9"/>
  <c r="R422" i="9"/>
  <c r="R423" i="9"/>
  <c r="R425" i="9"/>
  <c r="R427" i="9"/>
  <c r="R428" i="9"/>
  <c r="R429" i="9"/>
  <c r="R430" i="9"/>
  <c r="R431" i="9"/>
  <c r="R432" i="9"/>
  <c r="R433" i="9"/>
  <c r="R434" i="9"/>
  <c r="R436" i="9"/>
  <c r="R437" i="9"/>
  <c r="R438" i="9"/>
  <c r="R439" i="9"/>
  <c r="R440"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3" i="9"/>
  <c r="P75" i="9"/>
  <c r="P76" i="9"/>
  <c r="P77" i="9"/>
  <c r="P78" i="9"/>
  <c r="P79" i="9"/>
  <c r="P80" i="9"/>
  <c r="P81" i="9"/>
  <c r="P83" i="9"/>
  <c r="P84" i="9"/>
  <c r="P85" i="9"/>
  <c r="P86" i="9"/>
  <c r="P87" i="9"/>
  <c r="P88" i="9"/>
  <c r="P89" i="9"/>
  <c r="P90" i="9"/>
  <c r="P91" i="9"/>
  <c r="P92" i="9"/>
  <c r="P93" i="9"/>
  <c r="P94" i="9"/>
  <c r="P95" i="9"/>
  <c r="P96" i="9"/>
  <c r="P97" i="9"/>
  <c r="P98" i="9"/>
  <c r="P99" i="9"/>
  <c r="P100" i="9"/>
  <c r="P101" i="9"/>
  <c r="P102" i="9"/>
  <c r="P103" i="9"/>
  <c r="P104" i="9"/>
  <c r="P105" i="9"/>
  <c r="P106" i="9"/>
  <c r="P107" i="9"/>
  <c r="P108" i="9"/>
  <c r="P109" i="9"/>
  <c r="P110" i="9"/>
  <c r="P111" i="9"/>
  <c r="P112" i="9"/>
  <c r="P113" i="9"/>
  <c r="P114" i="9"/>
  <c r="P115" i="9"/>
  <c r="P116" i="9"/>
  <c r="P117" i="9"/>
  <c r="P118" i="9"/>
  <c r="P119" i="9"/>
  <c r="P120" i="9"/>
  <c r="P121" i="9"/>
  <c r="P122" i="9"/>
  <c r="P123" i="9"/>
  <c r="P124" i="9"/>
  <c r="P125" i="9"/>
  <c r="P126" i="9"/>
  <c r="P127" i="9"/>
  <c r="P128" i="9"/>
  <c r="P129" i="9"/>
  <c r="P130" i="9"/>
  <c r="P131" i="9"/>
  <c r="P132" i="9"/>
  <c r="P133" i="9"/>
  <c r="P134" i="9"/>
  <c r="P135" i="9"/>
  <c r="P136" i="9"/>
  <c r="P137" i="9"/>
  <c r="P138" i="9"/>
  <c r="P139" i="9"/>
  <c r="P140" i="9"/>
  <c r="P141" i="9"/>
  <c r="P142" i="9"/>
  <c r="P143" i="9"/>
  <c r="P144" i="9"/>
  <c r="P145" i="9"/>
  <c r="P146" i="9"/>
  <c r="P147" i="9"/>
  <c r="P149" i="9"/>
  <c r="P150" i="9"/>
  <c r="P151" i="9"/>
  <c r="P152" i="9"/>
  <c r="P153" i="9"/>
  <c r="P154" i="9"/>
  <c r="P155" i="9"/>
  <c r="P156" i="9"/>
  <c r="P157" i="9"/>
  <c r="P158" i="9"/>
  <c r="P159" i="9"/>
  <c r="P160" i="9"/>
  <c r="P161" i="9"/>
  <c r="P162" i="9"/>
  <c r="P163" i="9"/>
  <c r="P164" i="9"/>
  <c r="P165" i="9"/>
  <c r="P166" i="9"/>
  <c r="P169" i="9"/>
  <c r="P170" i="9"/>
  <c r="P171" i="9"/>
  <c r="P172" i="9"/>
  <c r="P173" i="9"/>
  <c r="P174" i="9"/>
  <c r="P175" i="9"/>
  <c r="P176" i="9"/>
  <c r="P177" i="9"/>
  <c r="P178" i="9"/>
  <c r="P179" i="9"/>
  <c r="P181" i="9"/>
  <c r="P182" i="9"/>
  <c r="P183" i="9"/>
  <c r="P184" i="9"/>
  <c r="P185" i="9"/>
  <c r="P186" i="9"/>
  <c r="P187" i="9"/>
  <c r="P188" i="9"/>
  <c r="P190" i="9"/>
  <c r="P191" i="9"/>
  <c r="P192" i="9"/>
  <c r="P193" i="9"/>
  <c r="P194" i="9"/>
  <c r="P195" i="9"/>
  <c r="P196" i="9"/>
  <c r="P197" i="9"/>
  <c r="P198" i="9"/>
  <c r="P199" i="9"/>
  <c r="P200" i="9"/>
  <c r="P201" i="9"/>
  <c r="P202" i="9"/>
  <c r="P203" i="9"/>
  <c r="P204" i="9"/>
  <c r="P205" i="9"/>
  <c r="P206" i="9"/>
  <c r="P207" i="9"/>
  <c r="P208" i="9"/>
  <c r="P209" i="9"/>
  <c r="P210" i="9"/>
  <c r="P211" i="9"/>
  <c r="P213" i="9"/>
  <c r="P214" i="9"/>
  <c r="P215" i="9"/>
  <c r="P216" i="9"/>
  <c r="P217" i="9"/>
  <c r="P218" i="9"/>
  <c r="P219" i="9"/>
  <c r="P220" i="9"/>
  <c r="P221" i="9"/>
  <c r="P222" i="9"/>
  <c r="P223" i="9"/>
  <c r="P224" i="9"/>
  <c r="P225" i="9"/>
  <c r="P226" i="9"/>
  <c r="P227" i="9"/>
  <c r="P228" i="9"/>
  <c r="P229" i="9"/>
  <c r="P231" i="9"/>
  <c r="P232" i="9"/>
  <c r="P235" i="9"/>
  <c r="P236" i="9"/>
  <c r="P238" i="9"/>
  <c r="P240" i="9"/>
  <c r="P241" i="9"/>
  <c r="P242" i="9"/>
  <c r="P244" i="9"/>
  <c r="P245" i="9"/>
  <c r="P248" i="9"/>
  <c r="P249" i="9"/>
  <c r="P250" i="9"/>
  <c r="P251" i="9"/>
  <c r="P252" i="9"/>
  <c r="P253" i="9"/>
  <c r="P254" i="9"/>
  <c r="P255" i="9"/>
  <c r="P256" i="9"/>
  <c r="P258" i="9"/>
  <c r="P259" i="9"/>
  <c r="P261" i="9"/>
  <c r="P263" i="9"/>
  <c r="P264" i="9"/>
  <c r="P265" i="9"/>
  <c r="P266" i="9"/>
  <c r="P267" i="9"/>
  <c r="P268" i="9"/>
  <c r="P269" i="9"/>
  <c r="P270" i="9"/>
  <c r="P271" i="9"/>
  <c r="P272" i="9"/>
  <c r="P274" i="9"/>
  <c r="P275" i="9"/>
  <c r="P276" i="9"/>
  <c r="P277" i="9"/>
  <c r="P278" i="9"/>
  <c r="P282" i="9"/>
  <c r="P283" i="9"/>
  <c r="P284" i="9"/>
  <c r="P285" i="9"/>
  <c r="P286" i="9"/>
  <c r="P287" i="9"/>
  <c r="P288" i="9"/>
  <c r="P289" i="9"/>
  <c r="P290" i="9"/>
  <c r="P291" i="9"/>
  <c r="P292" i="9"/>
  <c r="P293" i="9"/>
  <c r="P294" i="9"/>
  <c r="P295" i="9"/>
  <c r="P296" i="9"/>
  <c r="P297" i="9"/>
  <c r="P298" i="9"/>
  <c r="P300" i="9"/>
  <c r="P301" i="9"/>
  <c r="P302" i="9"/>
  <c r="P304" i="9"/>
  <c r="P306" i="9"/>
  <c r="P307" i="9"/>
  <c r="P308" i="9"/>
  <c r="P310" i="9"/>
  <c r="P311" i="9"/>
  <c r="P312" i="9"/>
  <c r="P313" i="9"/>
  <c r="P314" i="9"/>
  <c r="P315" i="9"/>
  <c r="P316" i="9"/>
  <c r="P317" i="9"/>
  <c r="P318" i="9"/>
  <c r="P319" i="9"/>
  <c r="P320" i="9"/>
  <c r="P321" i="9"/>
  <c r="P322" i="9"/>
  <c r="P323" i="9"/>
  <c r="P324" i="9"/>
  <c r="P325" i="9"/>
  <c r="P326" i="9"/>
  <c r="P327" i="9"/>
  <c r="P329" i="9"/>
  <c r="P330" i="9"/>
  <c r="P331" i="9"/>
  <c r="P332" i="9"/>
  <c r="P333" i="9"/>
  <c r="P334" i="9"/>
  <c r="P335" i="9"/>
  <c r="P336" i="9"/>
  <c r="P337" i="9"/>
  <c r="P339" i="9"/>
  <c r="P340" i="9"/>
  <c r="P341" i="9"/>
  <c r="P342" i="9"/>
  <c r="P343" i="9"/>
  <c r="P344" i="9"/>
  <c r="P345" i="9"/>
  <c r="P346" i="9"/>
  <c r="P347" i="9"/>
  <c r="P348" i="9"/>
  <c r="P349" i="9"/>
  <c r="P350" i="9"/>
  <c r="P351" i="9"/>
  <c r="P352" i="9"/>
  <c r="P353" i="9"/>
  <c r="P354" i="9"/>
  <c r="P355" i="9"/>
  <c r="P356" i="9"/>
  <c r="P357" i="9"/>
  <c r="P358" i="9"/>
  <c r="P359" i="9"/>
  <c r="P360" i="9"/>
  <c r="P361" i="9"/>
  <c r="P363" i="9"/>
  <c r="P364" i="9"/>
  <c r="P365" i="9"/>
  <c r="P366" i="9"/>
  <c r="P367" i="9"/>
  <c r="P369" i="9"/>
  <c r="P370" i="9"/>
  <c r="P371" i="9"/>
  <c r="P372" i="9"/>
  <c r="P374" i="9"/>
  <c r="P375" i="9"/>
  <c r="P376" i="9"/>
  <c r="P377" i="9"/>
  <c r="P378" i="9"/>
  <c r="P379" i="9"/>
  <c r="P380" i="9"/>
  <c r="P381" i="9"/>
  <c r="P382" i="9"/>
  <c r="P383" i="9"/>
  <c r="P384" i="9"/>
  <c r="P385" i="9"/>
  <c r="P386" i="9"/>
  <c r="P387" i="9"/>
  <c r="P388" i="9"/>
  <c r="P389" i="9"/>
  <c r="P390" i="9"/>
  <c r="P391" i="9"/>
  <c r="P392" i="9"/>
  <c r="P393" i="9"/>
  <c r="P394" i="9"/>
  <c r="P395" i="9"/>
  <c r="P396" i="9"/>
  <c r="P397" i="9"/>
  <c r="P399" i="9"/>
  <c r="P400" i="9"/>
  <c r="P401" i="9"/>
  <c r="P402" i="9"/>
  <c r="P403" i="9"/>
  <c r="P404" i="9"/>
  <c r="P405" i="9"/>
  <c r="P406" i="9"/>
  <c r="P407" i="9"/>
  <c r="P409" i="9"/>
  <c r="P410" i="9"/>
  <c r="P412" i="9"/>
  <c r="P413" i="9"/>
  <c r="P414" i="9"/>
  <c r="P415" i="9"/>
  <c r="P417" i="9"/>
  <c r="P419" i="9"/>
  <c r="P420" i="9"/>
  <c r="P421" i="9"/>
  <c r="P422" i="9"/>
  <c r="P423" i="9"/>
  <c r="P425" i="9"/>
  <c r="P427" i="9"/>
  <c r="P428" i="9"/>
  <c r="P429" i="9"/>
  <c r="P430" i="9"/>
  <c r="P431" i="9"/>
  <c r="P432" i="9"/>
  <c r="P433" i="9"/>
  <c r="P434" i="9"/>
  <c r="P436" i="9"/>
  <c r="P437" i="9"/>
  <c r="P438" i="9"/>
  <c r="P439" i="9"/>
  <c r="P440" i="9"/>
  <c r="P442" i="9"/>
  <c r="P443" i="9"/>
  <c r="P444" i="9"/>
  <c r="P445" i="9"/>
  <c r="P446" i="9"/>
  <c r="P447" i="9"/>
  <c r="P448" i="9"/>
  <c r="P449" i="9"/>
  <c r="P450" i="9"/>
  <c r="P451" i="9"/>
  <c r="P452" i="9"/>
  <c r="P453" i="9"/>
  <c r="P454" i="9"/>
  <c r="P455" i="9"/>
  <c r="P456" i="9"/>
  <c r="P457" i="9"/>
  <c r="P458" i="9"/>
  <c r="P459" i="9"/>
  <c r="P460" i="9"/>
  <c r="P461" i="9"/>
  <c r="P462" i="9"/>
  <c r="P463" i="9"/>
  <c r="P464" i="9"/>
  <c r="P465" i="9"/>
  <c r="P466" i="9"/>
  <c r="P467" i="9"/>
  <c r="P468" i="9"/>
  <c r="P469" i="9"/>
  <c r="P470" i="9"/>
  <c r="P472" i="9"/>
  <c r="P473" i="9"/>
  <c r="P474" i="9"/>
  <c r="P475" i="9"/>
  <c r="P476" i="9"/>
  <c r="P477" i="9"/>
  <c r="P478" i="9"/>
  <c r="P479" i="9"/>
  <c r="P480" i="9"/>
  <c r="P481" i="9"/>
  <c r="P482" i="9"/>
  <c r="P483" i="9"/>
  <c r="P484" i="9"/>
  <c r="P485" i="9"/>
  <c r="P486" i="9"/>
  <c r="P487" i="9"/>
  <c r="P488" i="9"/>
  <c r="P489" i="9"/>
  <c r="P490" i="9"/>
  <c r="P491" i="9"/>
  <c r="P492" i="9"/>
  <c r="P493" i="9"/>
  <c r="P494" i="9"/>
  <c r="P495" i="9"/>
  <c r="P496" i="9"/>
  <c r="P497" i="9"/>
  <c r="P498" i="9"/>
  <c r="P499" i="9"/>
  <c r="P500" i="9"/>
  <c r="P501" i="9"/>
  <c r="P502" i="9"/>
  <c r="P503" i="9"/>
  <c r="P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T65" i="9"/>
  <c r="U65" i="9"/>
  <c r="N66" i="9"/>
  <c r="N67" i="9"/>
  <c r="N68" i="9"/>
  <c r="N69" i="9"/>
  <c r="N70" i="9"/>
  <c r="N71" i="9"/>
  <c r="N73" i="9"/>
  <c r="N75" i="9"/>
  <c r="N76" i="9"/>
  <c r="N77" i="9"/>
  <c r="N78" i="9"/>
  <c r="N79" i="9"/>
  <c r="N80" i="9"/>
  <c r="N81"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9" i="9"/>
  <c r="N150" i="9"/>
  <c r="N151" i="9"/>
  <c r="N152" i="9"/>
  <c r="N153" i="9"/>
  <c r="N154" i="9"/>
  <c r="N155" i="9"/>
  <c r="N156" i="9"/>
  <c r="N157" i="9"/>
  <c r="N158" i="9"/>
  <c r="N159" i="9"/>
  <c r="N160" i="9"/>
  <c r="N161" i="9"/>
  <c r="N162" i="9"/>
  <c r="N163" i="9"/>
  <c r="N164" i="9"/>
  <c r="N165" i="9"/>
  <c r="N166" i="9"/>
  <c r="N169" i="9"/>
  <c r="N170" i="9"/>
  <c r="N171" i="9"/>
  <c r="N172" i="9"/>
  <c r="N173" i="9"/>
  <c r="N174" i="9"/>
  <c r="N175" i="9"/>
  <c r="N176" i="9"/>
  <c r="N177" i="9"/>
  <c r="N178" i="9"/>
  <c r="N179" i="9"/>
  <c r="N181" i="9"/>
  <c r="N182" i="9"/>
  <c r="N183" i="9"/>
  <c r="N184" i="9"/>
  <c r="N185" i="9"/>
  <c r="N186" i="9"/>
  <c r="N187" i="9"/>
  <c r="N188" i="9"/>
  <c r="N190" i="9"/>
  <c r="N191" i="9"/>
  <c r="N192" i="9"/>
  <c r="N193" i="9"/>
  <c r="N194" i="9"/>
  <c r="N195" i="9"/>
  <c r="N196" i="9"/>
  <c r="N197" i="9"/>
  <c r="N198" i="9"/>
  <c r="N199" i="9"/>
  <c r="N200" i="9"/>
  <c r="N201" i="9"/>
  <c r="N202" i="9"/>
  <c r="N203" i="9"/>
  <c r="N204" i="9"/>
  <c r="N205" i="9"/>
  <c r="N206" i="9"/>
  <c r="N207" i="9"/>
  <c r="N208" i="9"/>
  <c r="N209" i="9"/>
  <c r="N210" i="9"/>
  <c r="N211" i="9"/>
  <c r="N213" i="9"/>
  <c r="N214" i="9"/>
  <c r="N215" i="9"/>
  <c r="N216" i="9"/>
  <c r="N217" i="9"/>
  <c r="N218" i="9"/>
  <c r="N219" i="9"/>
  <c r="N220" i="9"/>
  <c r="N221" i="9"/>
  <c r="N222" i="9"/>
  <c r="N223" i="9"/>
  <c r="N224" i="9"/>
  <c r="N225" i="9"/>
  <c r="N226" i="9"/>
  <c r="N227" i="9"/>
  <c r="N228" i="9"/>
  <c r="N229" i="9"/>
  <c r="N231" i="9"/>
  <c r="N232" i="9"/>
  <c r="N235" i="9"/>
  <c r="N236" i="9"/>
  <c r="N238" i="9"/>
  <c r="N240" i="9"/>
  <c r="N241" i="9"/>
  <c r="N242" i="9"/>
  <c r="N244" i="9"/>
  <c r="N245" i="9"/>
  <c r="N248" i="9"/>
  <c r="N249" i="9"/>
  <c r="N250" i="9"/>
  <c r="N251" i="9"/>
  <c r="N252" i="9"/>
  <c r="N253" i="9"/>
  <c r="N254" i="9"/>
  <c r="N255" i="9"/>
  <c r="N256" i="9"/>
  <c r="N258" i="9"/>
  <c r="N259" i="9"/>
  <c r="N261" i="9"/>
  <c r="N263" i="9"/>
  <c r="N264" i="9"/>
  <c r="N265" i="9"/>
  <c r="N266" i="9"/>
  <c r="N267" i="9"/>
  <c r="N268" i="9"/>
  <c r="N269" i="9"/>
  <c r="N270" i="9"/>
  <c r="N271" i="9"/>
  <c r="N272" i="9"/>
  <c r="N274" i="9"/>
  <c r="N275" i="9"/>
  <c r="N276" i="9"/>
  <c r="N277" i="9"/>
  <c r="N278" i="9"/>
  <c r="N282" i="9"/>
  <c r="N283" i="9"/>
  <c r="N284" i="9"/>
  <c r="N285" i="9"/>
  <c r="N286" i="9"/>
  <c r="N287" i="9"/>
  <c r="N288" i="9"/>
  <c r="N289" i="9"/>
  <c r="N290" i="9"/>
  <c r="N291" i="9"/>
  <c r="N292" i="9"/>
  <c r="N293" i="9"/>
  <c r="N294" i="9"/>
  <c r="N295" i="9"/>
  <c r="N296" i="9"/>
  <c r="N297" i="9"/>
  <c r="N298" i="9"/>
  <c r="N300" i="9"/>
  <c r="N301" i="9"/>
  <c r="N302" i="9"/>
  <c r="N304" i="9"/>
  <c r="N306" i="9"/>
  <c r="N307" i="9"/>
  <c r="N308" i="9"/>
  <c r="N310" i="9"/>
  <c r="N311" i="9"/>
  <c r="N312" i="9"/>
  <c r="N313" i="9"/>
  <c r="N314" i="9"/>
  <c r="N315" i="9"/>
  <c r="N316" i="9"/>
  <c r="N317" i="9"/>
  <c r="N318" i="9"/>
  <c r="N319" i="9"/>
  <c r="N320" i="9"/>
  <c r="N321" i="9"/>
  <c r="N322" i="9"/>
  <c r="N323" i="9"/>
  <c r="N324" i="9"/>
  <c r="N325" i="9"/>
  <c r="N326" i="9"/>
  <c r="N327" i="9"/>
  <c r="N329" i="9"/>
  <c r="N330" i="9"/>
  <c r="N331" i="9"/>
  <c r="N332" i="9"/>
  <c r="N333" i="9"/>
  <c r="N334" i="9"/>
  <c r="N335" i="9"/>
  <c r="N336" i="9"/>
  <c r="N337" i="9"/>
  <c r="N339" i="9"/>
  <c r="N340" i="9"/>
  <c r="N341" i="9"/>
  <c r="N342" i="9"/>
  <c r="N343" i="9"/>
  <c r="N344" i="9"/>
  <c r="N345" i="9"/>
  <c r="N346" i="9"/>
  <c r="N347" i="9"/>
  <c r="N348" i="9"/>
  <c r="N349" i="9"/>
  <c r="N350" i="9"/>
  <c r="N351" i="9"/>
  <c r="N352" i="9"/>
  <c r="N353" i="9"/>
  <c r="N354" i="9"/>
  <c r="N355" i="9"/>
  <c r="N356" i="9"/>
  <c r="N357" i="9"/>
  <c r="N358" i="9"/>
  <c r="N359" i="9"/>
  <c r="N360" i="9"/>
  <c r="N361" i="9"/>
  <c r="N363" i="9"/>
  <c r="N364" i="9"/>
  <c r="N365" i="9"/>
  <c r="N366" i="9"/>
  <c r="N367" i="9"/>
  <c r="N369" i="9"/>
  <c r="N370" i="9"/>
  <c r="N371" i="9"/>
  <c r="N372" i="9"/>
  <c r="N374" i="9"/>
  <c r="N375" i="9"/>
  <c r="N376" i="9"/>
  <c r="N377" i="9"/>
  <c r="N378" i="9"/>
  <c r="N379" i="9"/>
  <c r="N380" i="9"/>
  <c r="N381" i="9"/>
  <c r="N382" i="9"/>
  <c r="N383" i="9"/>
  <c r="N384" i="9"/>
  <c r="N385" i="9"/>
  <c r="N386" i="9"/>
  <c r="N387" i="9"/>
  <c r="N388" i="9"/>
  <c r="N389" i="9"/>
  <c r="N390" i="9"/>
  <c r="N391" i="9"/>
  <c r="N392" i="9"/>
  <c r="N393" i="9"/>
  <c r="N394" i="9"/>
  <c r="N395" i="9"/>
  <c r="N396" i="9"/>
  <c r="N397" i="9"/>
  <c r="N399" i="9"/>
  <c r="N400" i="9"/>
  <c r="N401" i="9"/>
  <c r="N402" i="9"/>
  <c r="N403" i="9"/>
  <c r="N404" i="9"/>
  <c r="N405" i="9"/>
  <c r="N406" i="9"/>
  <c r="N407" i="9"/>
  <c r="N409" i="9"/>
  <c r="N410" i="9"/>
  <c r="N412" i="9"/>
  <c r="N413" i="9"/>
  <c r="N414" i="9"/>
  <c r="N415" i="9"/>
  <c r="N417" i="9"/>
  <c r="N419" i="9"/>
  <c r="N420" i="9"/>
  <c r="N421" i="9"/>
  <c r="N422" i="9"/>
  <c r="N423" i="9"/>
  <c r="N425" i="9"/>
  <c r="N427" i="9"/>
  <c r="N428" i="9"/>
  <c r="N429" i="9"/>
  <c r="N430" i="9"/>
  <c r="N431" i="9"/>
  <c r="N432" i="9"/>
  <c r="N433" i="9"/>
  <c r="N434" i="9"/>
  <c r="N436" i="9"/>
  <c r="N437" i="9"/>
  <c r="N438" i="9"/>
  <c r="N439" i="9"/>
  <c r="N440"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4" i="9"/>
  <c r="AA5" i="4"/>
  <c r="AB5" i="4"/>
  <c r="AA7" i="4"/>
  <c r="AB7" i="4"/>
  <c r="AA8" i="4"/>
  <c r="AB8" i="4"/>
  <c r="AA11" i="4"/>
  <c r="AB11" i="4"/>
  <c r="AA12" i="4"/>
  <c r="AB12" i="4"/>
  <c r="AA14" i="4"/>
  <c r="AB14" i="4"/>
  <c r="AA15" i="4"/>
  <c r="AB15" i="4"/>
  <c r="AA17" i="4"/>
  <c r="AB17" i="4"/>
  <c r="AA18" i="4"/>
  <c r="AB18" i="4"/>
  <c r="AA20" i="4"/>
  <c r="AB20" i="4"/>
  <c r="AA21" i="4"/>
  <c r="AB21" i="4"/>
  <c r="AA22" i="4"/>
  <c r="AB22" i="4"/>
  <c r="AA23" i="4"/>
  <c r="AB23" i="4"/>
  <c r="AA25" i="4"/>
  <c r="AB25" i="4"/>
  <c r="AA27" i="4"/>
  <c r="AB27" i="4"/>
  <c r="AA28" i="4"/>
  <c r="AB28" i="4"/>
  <c r="AA29" i="4"/>
  <c r="AB29" i="4"/>
  <c r="AA30" i="4"/>
  <c r="AB30" i="4"/>
  <c r="AA31" i="4"/>
  <c r="AB31" i="4"/>
  <c r="AA32" i="4"/>
  <c r="AB32" i="4"/>
  <c r="AA33" i="4"/>
  <c r="AB33" i="4"/>
  <c r="AA34" i="4"/>
  <c r="AB34" i="4"/>
  <c r="AA35" i="4"/>
  <c r="AB35" i="4"/>
  <c r="AA36" i="4"/>
  <c r="AB36" i="4"/>
  <c r="AA37" i="4"/>
  <c r="AB37" i="4"/>
  <c r="AA38" i="4"/>
  <c r="AB38" i="4"/>
  <c r="AA39" i="4"/>
  <c r="AB39" i="4"/>
  <c r="AA40" i="4"/>
  <c r="AB40" i="4"/>
  <c r="AA41" i="4"/>
  <c r="AB41" i="4"/>
  <c r="AA42" i="4"/>
  <c r="AB42" i="4"/>
  <c r="AA45" i="4"/>
  <c r="AB45" i="4"/>
  <c r="AA46" i="4"/>
  <c r="AB46" i="4"/>
  <c r="AA47" i="4"/>
  <c r="AB47" i="4"/>
  <c r="AA48" i="4"/>
  <c r="AB48" i="4"/>
  <c r="AA49" i="4"/>
  <c r="AB49" i="4"/>
  <c r="AA50" i="4"/>
  <c r="AB50" i="4"/>
  <c r="AA51" i="4"/>
  <c r="AB51" i="4"/>
  <c r="AA52" i="4"/>
  <c r="AB52" i="4"/>
  <c r="AA53" i="4"/>
  <c r="AB53" i="4"/>
  <c r="AA54" i="4"/>
  <c r="AB54" i="4"/>
  <c r="AA56" i="4"/>
  <c r="AB56" i="4"/>
  <c r="AA57" i="4"/>
  <c r="AB57" i="4"/>
  <c r="AA58" i="4"/>
  <c r="AB58" i="4"/>
  <c r="AA59" i="4"/>
  <c r="AB59" i="4"/>
  <c r="AA60" i="4"/>
  <c r="AB60" i="4"/>
  <c r="AA61" i="4"/>
  <c r="AB61" i="4"/>
  <c r="AA62" i="4"/>
  <c r="AB62" i="4"/>
  <c r="AA63" i="4"/>
  <c r="AB63" i="4"/>
  <c r="AA64" i="4"/>
  <c r="AB64" i="4"/>
  <c r="AA65" i="4"/>
  <c r="AB65" i="4"/>
  <c r="AA67" i="4"/>
  <c r="AB67" i="4"/>
  <c r="AA68" i="4"/>
  <c r="AB68" i="4"/>
  <c r="AA69" i="4"/>
  <c r="AB69" i="4"/>
  <c r="AA70" i="4"/>
  <c r="AB70" i="4"/>
  <c r="AA71" i="4"/>
  <c r="AB71" i="4"/>
  <c r="AA72" i="4"/>
  <c r="AB72" i="4"/>
  <c r="AA73" i="4"/>
  <c r="AB73" i="4"/>
  <c r="AA74" i="4"/>
  <c r="AB74" i="4"/>
  <c r="AA75" i="4"/>
  <c r="AB75" i="4"/>
  <c r="AA76" i="4"/>
  <c r="AB76" i="4"/>
  <c r="AA77" i="4"/>
  <c r="AB77" i="4"/>
  <c r="AA78" i="4"/>
  <c r="AB78" i="4"/>
  <c r="AA79" i="4"/>
  <c r="AB79" i="4"/>
  <c r="AA80" i="4"/>
  <c r="AB80" i="4"/>
  <c r="AA81" i="4"/>
  <c r="AB81" i="4"/>
  <c r="AA82" i="4"/>
  <c r="AB82" i="4"/>
  <c r="AA83" i="4"/>
  <c r="AB83" i="4"/>
  <c r="AA84" i="4"/>
  <c r="AB84" i="4"/>
  <c r="AA85" i="4"/>
  <c r="AB85" i="4"/>
  <c r="AA86" i="4"/>
  <c r="AB86" i="4"/>
  <c r="AA87" i="4"/>
  <c r="AB87" i="4"/>
  <c r="AA88" i="4"/>
  <c r="AB88" i="4"/>
  <c r="AA89" i="4"/>
  <c r="AB89" i="4"/>
  <c r="AA90" i="4"/>
  <c r="AB90" i="4"/>
  <c r="AA91" i="4"/>
  <c r="AB91" i="4"/>
  <c r="AA92" i="4"/>
  <c r="AB92" i="4"/>
  <c r="AA94" i="4"/>
  <c r="AB94" i="4"/>
  <c r="AA95" i="4"/>
  <c r="AB95" i="4"/>
  <c r="AA96" i="4"/>
  <c r="AB96" i="4"/>
  <c r="AA97" i="4"/>
  <c r="AB97" i="4"/>
  <c r="AA98" i="4"/>
  <c r="AB98" i="4"/>
  <c r="AA99" i="4"/>
  <c r="AB99" i="4"/>
  <c r="AA100" i="4"/>
  <c r="AB100" i="4"/>
  <c r="AA101" i="4"/>
  <c r="AB101" i="4"/>
  <c r="AA103" i="4"/>
  <c r="AB103" i="4"/>
  <c r="AA104" i="4"/>
  <c r="AB104" i="4"/>
  <c r="AA105" i="4"/>
  <c r="AB105" i="4"/>
  <c r="AA107" i="4"/>
  <c r="AB107" i="4"/>
  <c r="AA108" i="4"/>
  <c r="AB108" i="4"/>
  <c r="AA109" i="4"/>
  <c r="AB109" i="4"/>
  <c r="AA111" i="4"/>
  <c r="AB111" i="4"/>
  <c r="AA112" i="4"/>
  <c r="AB112" i="4"/>
  <c r="AA113" i="4"/>
  <c r="AB113" i="4"/>
  <c r="AA114" i="4"/>
  <c r="AB114" i="4"/>
  <c r="AA115" i="4"/>
  <c r="AB115" i="4"/>
  <c r="AA116" i="4"/>
  <c r="AB116" i="4"/>
  <c r="AA117" i="4"/>
  <c r="AB117" i="4"/>
  <c r="AA118" i="4"/>
  <c r="AB118" i="4"/>
  <c r="AA119" i="4"/>
  <c r="AB119" i="4"/>
  <c r="AA120" i="4"/>
  <c r="AB120" i="4"/>
  <c r="AA121" i="4"/>
  <c r="AB121" i="4"/>
  <c r="AA122" i="4"/>
  <c r="AB122" i="4"/>
  <c r="AA123" i="4"/>
  <c r="AB123" i="4"/>
  <c r="AA124" i="4"/>
  <c r="AB124" i="4"/>
  <c r="AA125" i="4"/>
  <c r="AB125" i="4"/>
  <c r="AA126" i="4"/>
  <c r="AB126" i="4"/>
  <c r="AA127" i="4"/>
  <c r="AB127" i="4"/>
  <c r="AA128" i="4"/>
  <c r="AB128" i="4"/>
  <c r="AA129" i="4"/>
  <c r="AB129" i="4"/>
  <c r="AA130" i="4"/>
  <c r="AB130" i="4"/>
  <c r="AA131" i="4"/>
  <c r="AB131" i="4"/>
  <c r="AA132" i="4"/>
  <c r="AB132" i="4"/>
  <c r="AA133" i="4"/>
  <c r="AB133" i="4"/>
  <c r="AA134" i="4"/>
  <c r="AB134" i="4"/>
  <c r="AA135" i="4"/>
  <c r="AB135" i="4"/>
  <c r="AA136" i="4"/>
  <c r="AB136" i="4"/>
  <c r="AA138" i="4"/>
  <c r="AB138" i="4"/>
  <c r="AA139" i="4"/>
  <c r="AB139" i="4"/>
  <c r="AA140" i="4"/>
  <c r="AB140" i="4"/>
  <c r="AA141" i="4"/>
  <c r="AB141" i="4"/>
  <c r="AA142" i="4"/>
  <c r="AB142" i="4"/>
  <c r="AA143" i="4"/>
  <c r="AB143" i="4"/>
  <c r="AA144" i="4"/>
  <c r="AB144" i="4"/>
  <c r="AA145" i="4"/>
  <c r="AB145" i="4"/>
  <c r="AA146" i="4"/>
  <c r="AB146" i="4"/>
  <c r="AA147" i="4"/>
  <c r="AB147" i="4"/>
  <c r="AA150" i="4"/>
  <c r="AB150" i="4"/>
  <c r="AA151" i="4"/>
  <c r="AB151" i="4"/>
  <c r="AA153" i="4"/>
  <c r="AB153" i="4"/>
  <c r="AA154" i="4"/>
  <c r="AB154" i="4"/>
  <c r="AA155" i="4"/>
  <c r="AB155" i="4"/>
  <c r="AA156" i="4"/>
  <c r="AB156" i="4"/>
  <c r="AA157" i="4"/>
  <c r="AB157" i="4"/>
  <c r="AA161" i="4"/>
  <c r="AB161" i="4"/>
  <c r="AA162" i="4"/>
  <c r="AB162" i="4"/>
  <c r="AA163" i="4"/>
  <c r="AB163" i="4"/>
  <c r="AA166" i="4"/>
  <c r="AB166" i="4"/>
  <c r="AA167" i="4"/>
  <c r="AB167" i="4"/>
  <c r="AA168" i="4"/>
  <c r="AB168" i="4"/>
  <c r="AA169" i="4"/>
  <c r="AB169" i="4"/>
  <c r="AA171" i="4"/>
  <c r="AB171" i="4"/>
  <c r="AA172" i="4"/>
  <c r="AB172" i="4"/>
  <c r="AA173" i="4"/>
  <c r="AB173" i="4"/>
  <c r="AA174" i="4"/>
  <c r="AB174" i="4"/>
  <c r="AA175" i="4"/>
  <c r="AB175" i="4"/>
  <c r="AA176" i="4"/>
  <c r="AB176" i="4"/>
  <c r="AA177" i="4"/>
  <c r="AB177" i="4"/>
  <c r="AA178" i="4"/>
  <c r="AB178" i="4"/>
  <c r="AA179" i="4"/>
  <c r="AB179" i="4"/>
  <c r="AA180" i="4"/>
  <c r="AB180" i="4"/>
  <c r="AA181" i="4"/>
  <c r="AB181" i="4"/>
  <c r="AA182" i="4"/>
  <c r="AB182" i="4"/>
  <c r="AA183" i="4"/>
  <c r="AB183" i="4"/>
  <c r="AA184" i="4"/>
  <c r="AB184" i="4"/>
  <c r="AA185" i="4"/>
  <c r="AB185" i="4"/>
  <c r="AA186" i="4"/>
  <c r="AB186" i="4"/>
  <c r="AA188" i="4"/>
  <c r="AB188" i="4"/>
  <c r="AA189" i="4"/>
  <c r="AB189" i="4"/>
  <c r="AA190" i="4"/>
  <c r="AB190" i="4"/>
  <c r="AA192" i="4"/>
  <c r="AB192" i="4"/>
  <c r="AA193" i="4"/>
  <c r="AB193" i="4"/>
  <c r="AA194" i="4"/>
  <c r="AB194" i="4"/>
  <c r="AA195" i="4"/>
  <c r="AB195" i="4"/>
  <c r="AA196" i="4"/>
  <c r="AB196" i="4"/>
  <c r="AA197" i="4"/>
  <c r="AB197" i="4"/>
  <c r="AA198" i="4"/>
  <c r="AB198" i="4"/>
  <c r="AA199" i="4"/>
  <c r="AB199" i="4"/>
  <c r="AA200" i="4"/>
  <c r="AB200" i="4"/>
  <c r="AA201" i="4"/>
  <c r="AB201" i="4"/>
  <c r="AA202" i="4"/>
  <c r="AB202" i="4"/>
  <c r="AA203" i="4"/>
  <c r="AB203" i="4"/>
  <c r="AA204" i="4"/>
  <c r="AB204" i="4"/>
  <c r="AA205" i="4"/>
  <c r="AB205" i="4"/>
  <c r="AA206" i="4"/>
  <c r="AB206" i="4"/>
  <c r="AA207" i="4"/>
  <c r="AB207" i="4"/>
  <c r="AA208" i="4"/>
  <c r="AB208" i="4"/>
  <c r="AA209" i="4"/>
  <c r="AB209" i="4"/>
  <c r="AA210" i="4"/>
  <c r="AB210" i="4"/>
  <c r="AA211" i="4"/>
  <c r="AB211" i="4"/>
  <c r="AA212" i="4"/>
  <c r="AB212" i="4"/>
  <c r="AA213" i="4"/>
  <c r="AB213" i="4"/>
  <c r="AA214" i="4"/>
  <c r="AB214" i="4"/>
  <c r="AA215" i="4"/>
  <c r="AB215" i="4"/>
  <c r="AA216" i="4"/>
  <c r="AB216" i="4"/>
  <c r="AA217" i="4"/>
  <c r="AB217" i="4"/>
  <c r="AA218" i="4"/>
  <c r="AB218" i="4"/>
  <c r="AA219" i="4"/>
  <c r="AB219" i="4"/>
  <c r="AA220" i="4"/>
  <c r="AB220" i="4"/>
  <c r="AA221" i="4"/>
  <c r="AB221" i="4"/>
  <c r="AA222" i="4"/>
  <c r="AB222" i="4"/>
  <c r="AA223" i="4"/>
  <c r="AB223" i="4"/>
  <c r="AA224" i="4"/>
  <c r="AB224" i="4"/>
  <c r="AA225" i="4"/>
  <c r="AB225" i="4"/>
  <c r="AA226" i="4"/>
  <c r="AB226" i="4"/>
  <c r="AA227" i="4"/>
  <c r="AB227" i="4"/>
  <c r="AA228" i="4"/>
  <c r="AB228" i="4"/>
  <c r="AA229" i="4"/>
  <c r="AB229" i="4"/>
  <c r="AA231" i="4"/>
  <c r="AB231" i="4"/>
  <c r="AA232" i="4"/>
  <c r="AB232" i="4"/>
  <c r="AA233" i="4"/>
  <c r="AB233" i="4"/>
  <c r="AA234" i="4"/>
  <c r="AB234" i="4"/>
  <c r="AA235" i="4"/>
  <c r="AB235" i="4"/>
  <c r="AA236" i="4"/>
  <c r="AB236" i="4"/>
  <c r="AA237" i="4"/>
  <c r="AB237" i="4"/>
  <c r="AA238" i="4"/>
  <c r="AB238" i="4"/>
  <c r="AA239" i="4"/>
  <c r="AB239" i="4"/>
  <c r="AA240" i="4"/>
  <c r="AB240" i="4"/>
  <c r="AA241" i="4"/>
  <c r="AB241" i="4"/>
  <c r="AA243" i="4"/>
  <c r="AB243" i="4"/>
  <c r="AA244" i="4"/>
  <c r="AB244" i="4"/>
  <c r="AA245" i="4"/>
  <c r="AB245" i="4"/>
  <c r="AA247" i="4"/>
  <c r="AB247" i="4"/>
  <c r="AA249" i="4"/>
  <c r="AB249" i="4"/>
  <c r="AA250" i="4"/>
  <c r="AB250" i="4"/>
  <c r="AA251" i="4"/>
  <c r="AB251" i="4"/>
  <c r="AA252" i="4"/>
  <c r="AB252" i="4"/>
  <c r="AA254" i="4"/>
  <c r="AB254" i="4"/>
  <c r="AA257" i="4"/>
  <c r="AB257" i="4"/>
  <c r="AA259" i="4"/>
  <c r="AB259" i="4"/>
  <c r="AA261" i="4"/>
  <c r="AB261" i="4"/>
  <c r="AA262" i="4"/>
  <c r="AB262" i="4"/>
  <c r="AA263" i="4"/>
  <c r="AB263" i="4"/>
  <c r="AA264" i="4"/>
  <c r="AB264" i="4"/>
  <c r="AA265" i="4"/>
  <c r="AB265" i="4"/>
  <c r="AA266" i="4"/>
  <c r="AB266" i="4"/>
  <c r="AA267" i="4"/>
  <c r="AB267" i="4"/>
  <c r="AA268" i="4"/>
  <c r="AB268" i="4"/>
  <c r="AA269" i="4"/>
  <c r="AB269" i="4"/>
  <c r="AA271" i="4"/>
  <c r="AB271" i="4"/>
  <c r="AA273" i="4"/>
  <c r="AB273" i="4"/>
  <c r="AA274" i="4"/>
  <c r="AB274" i="4"/>
  <c r="AA275" i="4"/>
  <c r="AB275" i="4"/>
  <c r="AA276" i="4"/>
  <c r="AB276" i="4"/>
  <c r="AA277" i="4"/>
  <c r="AB277" i="4"/>
  <c r="AA279" i="4"/>
  <c r="AB279" i="4"/>
  <c r="AA281" i="4"/>
  <c r="AB281" i="4"/>
  <c r="AA282" i="4"/>
  <c r="AB282" i="4"/>
  <c r="AA283" i="4"/>
  <c r="AB283" i="4"/>
  <c r="AA284" i="4"/>
  <c r="AB284" i="4"/>
  <c r="AA285" i="4"/>
  <c r="AB285" i="4"/>
  <c r="AA286" i="4"/>
  <c r="AB286" i="4"/>
  <c r="AA288" i="4"/>
  <c r="AB288" i="4"/>
  <c r="AA289" i="4"/>
  <c r="AB289" i="4"/>
  <c r="AA290" i="4"/>
  <c r="AB290" i="4"/>
  <c r="AA291" i="4"/>
  <c r="AB291" i="4"/>
  <c r="AA292" i="4"/>
  <c r="AB292" i="4"/>
  <c r="AA293" i="4"/>
  <c r="AB293" i="4"/>
  <c r="AA294" i="4"/>
  <c r="AB294" i="4"/>
  <c r="AA295" i="4"/>
  <c r="AB295" i="4"/>
  <c r="AA296" i="4"/>
  <c r="AB296" i="4"/>
  <c r="AA297" i="4"/>
  <c r="AB297" i="4"/>
  <c r="AA298" i="4"/>
  <c r="AB298" i="4"/>
  <c r="AA299" i="4"/>
  <c r="AB299" i="4"/>
  <c r="AA300" i="4"/>
  <c r="AB300" i="4"/>
  <c r="AA301" i="4"/>
  <c r="AB301" i="4"/>
  <c r="AA302" i="4"/>
  <c r="AB302" i="4"/>
  <c r="AA303" i="4"/>
  <c r="AB303" i="4"/>
  <c r="AA304" i="4"/>
  <c r="AB304" i="4"/>
  <c r="AA305" i="4"/>
  <c r="AB305" i="4"/>
  <c r="AA306" i="4"/>
  <c r="AB306" i="4"/>
  <c r="AA307" i="4"/>
  <c r="AB307" i="4"/>
  <c r="AA308" i="4"/>
  <c r="AB308" i="4"/>
  <c r="AA309" i="4"/>
  <c r="AB309" i="4"/>
  <c r="AA310" i="4"/>
  <c r="AB310" i="4"/>
  <c r="AA311" i="4"/>
  <c r="AB311" i="4"/>
  <c r="AA312" i="4"/>
  <c r="AB312" i="4"/>
  <c r="AA313" i="4"/>
  <c r="AB313" i="4"/>
  <c r="AA314" i="4"/>
  <c r="AB314" i="4"/>
  <c r="AA315" i="4"/>
  <c r="AB315" i="4"/>
  <c r="AA316" i="4"/>
  <c r="AB316" i="4"/>
  <c r="AA317" i="4"/>
  <c r="AB317" i="4"/>
  <c r="AA318" i="4"/>
  <c r="AB318" i="4"/>
  <c r="AA319" i="4"/>
  <c r="AB319" i="4"/>
  <c r="AA320" i="4"/>
  <c r="AB320" i="4"/>
  <c r="AA321" i="4"/>
  <c r="AB321" i="4"/>
  <c r="AA322" i="4"/>
  <c r="AB322" i="4"/>
  <c r="AA323" i="4"/>
  <c r="AB323" i="4"/>
  <c r="AA324" i="4"/>
  <c r="AB324" i="4"/>
  <c r="AA325" i="4"/>
  <c r="AB325" i="4"/>
  <c r="AA326" i="4"/>
  <c r="AB326" i="4"/>
  <c r="AA327" i="4"/>
  <c r="AB327" i="4"/>
  <c r="AA328" i="4"/>
  <c r="AB328" i="4"/>
  <c r="AA329" i="4"/>
  <c r="AB329" i="4"/>
  <c r="AA330" i="4"/>
  <c r="AB330" i="4"/>
  <c r="AA331" i="4"/>
  <c r="AB331" i="4"/>
  <c r="AA332" i="4"/>
  <c r="AB332" i="4"/>
  <c r="AA333" i="4"/>
  <c r="AB333" i="4"/>
  <c r="AA334" i="4"/>
  <c r="AB334" i="4"/>
  <c r="AA335" i="4"/>
  <c r="AB335" i="4"/>
  <c r="AA336" i="4"/>
  <c r="AB336" i="4"/>
  <c r="AA337" i="4"/>
  <c r="AB337" i="4"/>
  <c r="AA338" i="4"/>
  <c r="AB338" i="4"/>
  <c r="AA339" i="4"/>
  <c r="AB339" i="4"/>
  <c r="AA340" i="4"/>
  <c r="AB340" i="4"/>
  <c r="AA341" i="4"/>
  <c r="AB341" i="4"/>
  <c r="AA342" i="4"/>
  <c r="AB342" i="4"/>
  <c r="AA343" i="4"/>
  <c r="AB343" i="4"/>
  <c r="AA344" i="4"/>
  <c r="AB344" i="4"/>
  <c r="AA345" i="4"/>
  <c r="AB345" i="4"/>
  <c r="AA346" i="4"/>
  <c r="AB346" i="4"/>
  <c r="AA347" i="4"/>
  <c r="AB347" i="4"/>
  <c r="AA348" i="4"/>
  <c r="AB348" i="4"/>
  <c r="AA349" i="4"/>
  <c r="AB349" i="4"/>
  <c r="AA350" i="4"/>
  <c r="AB350" i="4"/>
  <c r="AA351" i="4"/>
  <c r="AB351" i="4"/>
  <c r="AA352" i="4"/>
  <c r="AB352" i="4"/>
  <c r="AA353" i="4"/>
  <c r="AB353" i="4"/>
  <c r="AA354" i="4"/>
  <c r="AB354" i="4"/>
  <c r="AA355" i="4"/>
  <c r="AB355" i="4"/>
  <c r="AA356" i="4"/>
  <c r="AB356" i="4"/>
  <c r="AA357" i="4"/>
  <c r="AB357" i="4"/>
  <c r="AA358" i="4"/>
  <c r="AB358" i="4"/>
  <c r="AA359" i="4"/>
  <c r="AB359" i="4"/>
  <c r="AA360" i="4"/>
  <c r="AB360" i="4"/>
  <c r="AA361" i="4"/>
  <c r="AB361" i="4"/>
  <c r="AA362" i="4"/>
  <c r="AB362" i="4"/>
  <c r="AA363" i="4"/>
  <c r="AB363" i="4"/>
  <c r="AA364" i="4"/>
  <c r="AB364" i="4"/>
  <c r="AA365" i="4"/>
  <c r="AB365" i="4"/>
  <c r="AA366" i="4"/>
  <c r="AB366" i="4"/>
  <c r="AA367" i="4"/>
  <c r="AB367" i="4"/>
  <c r="AA368" i="4"/>
  <c r="AB368" i="4"/>
  <c r="AA369" i="4"/>
  <c r="AB369" i="4"/>
  <c r="AA370" i="4"/>
  <c r="AB370" i="4"/>
  <c r="AA371" i="4"/>
  <c r="AB371" i="4"/>
  <c r="AA372" i="4"/>
  <c r="AB372" i="4"/>
  <c r="AA373" i="4"/>
  <c r="AB373" i="4"/>
  <c r="AA374" i="4"/>
  <c r="AB374" i="4"/>
  <c r="AA375" i="4"/>
  <c r="AB375" i="4"/>
  <c r="AA376" i="4"/>
  <c r="AB376" i="4"/>
  <c r="AA377" i="4"/>
  <c r="AB377" i="4"/>
  <c r="AA378" i="4"/>
  <c r="AB378" i="4"/>
  <c r="AA379" i="4"/>
  <c r="AB379" i="4"/>
  <c r="AA380" i="4"/>
  <c r="AB380" i="4"/>
  <c r="AA381" i="4"/>
  <c r="AB381" i="4"/>
  <c r="AA382" i="4"/>
  <c r="AB382" i="4"/>
  <c r="AA383" i="4"/>
  <c r="AB383" i="4"/>
  <c r="AA384" i="4"/>
  <c r="AB384" i="4"/>
  <c r="AA385" i="4"/>
  <c r="AB385" i="4"/>
  <c r="AA386" i="4"/>
  <c r="AB386" i="4"/>
  <c r="AA387" i="4"/>
  <c r="AB387" i="4"/>
  <c r="AA388" i="4"/>
  <c r="AB388" i="4"/>
  <c r="AA389" i="4"/>
  <c r="AB389" i="4"/>
  <c r="AA390" i="4"/>
  <c r="AB390" i="4"/>
  <c r="AA391" i="4"/>
  <c r="AB391" i="4"/>
  <c r="AA392" i="4"/>
  <c r="AB392" i="4"/>
  <c r="AA393" i="4"/>
  <c r="AB393" i="4"/>
  <c r="AA394" i="4"/>
  <c r="AB394" i="4"/>
  <c r="AA395" i="4"/>
  <c r="AB395" i="4"/>
  <c r="AA396" i="4"/>
  <c r="AB396" i="4"/>
  <c r="AA397" i="4"/>
  <c r="AB397" i="4"/>
  <c r="AA398" i="4"/>
  <c r="AB398" i="4"/>
  <c r="AA399" i="4"/>
  <c r="AB399" i="4"/>
  <c r="AA400" i="4"/>
  <c r="AB400" i="4"/>
  <c r="AA401" i="4"/>
  <c r="AB401" i="4"/>
  <c r="AA402" i="4"/>
  <c r="AB402" i="4"/>
  <c r="AA403" i="4"/>
  <c r="AB403" i="4"/>
  <c r="AA404" i="4"/>
  <c r="AB404" i="4"/>
  <c r="AA405" i="4"/>
  <c r="AB405" i="4"/>
  <c r="AA406" i="4"/>
  <c r="AB406" i="4"/>
  <c r="AA407" i="4"/>
  <c r="AB407" i="4"/>
  <c r="AA408" i="4"/>
  <c r="AB408" i="4"/>
  <c r="AA409" i="4"/>
  <c r="AB409" i="4"/>
  <c r="AA410" i="4"/>
  <c r="AB410" i="4"/>
  <c r="AA411" i="4"/>
  <c r="AB411" i="4"/>
  <c r="AA412" i="4"/>
  <c r="AB412" i="4"/>
  <c r="AA413" i="4"/>
  <c r="AB413" i="4"/>
  <c r="AA414" i="4"/>
  <c r="AB414" i="4"/>
  <c r="AA415" i="4"/>
  <c r="AB415" i="4"/>
  <c r="AA416" i="4"/>
  <c r="AB416" i="4"/>
  <c r="AA417" i="4"/>
  <c r="AB417" i="4"/>
  <c r="AA418" i="4"/>
  <c r="AB418" i="4"/>
  <c r="AA419" i="4"/>
  <c r="AB419" i="4"/>
  <c r="AA420" i="4"/>
  <c r="AB420" i="4"/>
  <c r="AA421" i="4"/>
  <c r="AB421" i="4"/>
  <c r="AA422" i="4"/>
  <c r="AB422" i="4"/>
  <c r="AA423" i="4"/>
  <c r="AB423" i="4"/>
  <c r="AA424" i="4"/>
  <c r="AB424" i="4"/>
  <c r="AA425" i="4"/>
  <c r="AB425" i="4"/>
  <c r="AA426" i="4"/>
  <c r="AB426" i="4"/>
  <c r="AA427" i="4"/>
  <c r="AB427" i="4"/>
  <c r="AA428" i="4"/>
  <c r="AB428" i="4"/>
  <c r="AA429" i="4"/>
  <c r="AB429" i="4"/>
  <c r="AA430" i="4"/>
  <c r="AB430" i="4"/>
  <c r="AA431" i="4"/>
  <c r="AB431" i="4"/>
  <c r="AA432" i="4"/>
  <c r="AB432" i="4"/>
  <c r="AA433" i="4"/>
  <c r="AB433" i="4"/>
  <c r="AA434" i="4"/>
  <c r="AB434" i="4"/>
  <c r="AA435" i="4"/>
  <c r="AB435" i="4"/>
  <c r="AA436" i="4"/>
  <c r="AB436" i="4"/>
  <c r="AA437" i="4"/>
  <c r="AB437" i="4"/>
  <c r="AA438" i="4"/>
  <c r="AB438" i="4"/>
  <c r="AA439" i="4"/>
  <c r="AB439" i="4"/>
  <c r="AA440" i="4"/>
  <c r="AB440" i="4"/>
  <c r="AA441" i="4"/>
  <c r="AB441" i="4"/>
  <c r="AA442" i="4"/>
  <c r="AB442" i="4"/>
  <c r="AA443" i="4"/>
  <c r="AB443" i="4"/>
  <c r="AA444" i="4"/>
  <c r="AB444" i="4"/>
  <c r="AA445" i="4"/>
  <c r="AB445" i="4"/>
  <c r="AA446" i="4"/>
  <c r="AB446" i="4"/>
  <c r="AA447" i="4"/>
  <c r="AB447" i="4"/>
  <c r="AA448" i="4"/>
  <c r="AB448" i="4"/>
  <c r="AA449" i="4"/>
  <c r="AB449" i="4"/>
  <c r="AA450" i="4"/>
  <c r="AB450" i="4"/>
  <c r="AA451" i="4"/>
  <c r="AB451" i="4"/>
  <c r="AA452" i="4"/>
  <c r="AB452" i="4"/>
  <c r="AA453" i="4"/>
  <c r="AB453" i="4"/>
  <c r="AA454" i="4"/>
  <c r="AB454" i="4"/>
  <c r="AA455" i="4"/>
  <c r="AB455" i="4"/>
  <c r="AA456" i="4"/>
  <c r="AB456" i="4"/>
  <c r="AA457" i="4"/>
  <c r="AB457" i="4"/>
  <c r="AA458" i="4"/>
  <c r="AB458" i="4"/>
  <c r="AA459" i="4"/>
  <c r="AB459" i="4"/>
  <c r="AA460" i="4"/>
  <c r="AB460" i="4"/>
  <c r="AA461" i="4"/>
  <c r="AB461" i="4"/>
  <c r="AA462" i="4"/>
  <c r="AB462" i="4"/>
  <c r="AA463" i="4"/>
  <c r="AB463" i="4"/>
  <c r="AA464" i="4"/>
  <c r="AB464" i="4"/>
  <c r="AA465" i="4"/>
  <c r="AB465" i="4"/>
  <c r="AA466" i="4"/>
  <c r="AB466" i="4"/>
  <c r="AA467" i="4"/>
  <c r="AB467" i="4"/>
  <c r="AA468" i="4"/>
  <c r="AB468" i="4"/>
  <c r="AA469" i="4"/>
  <c r="AB469" i="4"/>
  <c r="AA470" i="4"/>
  <c r="AB470" i="4"/>
  <c r="AA471" i="4"/>
  <c r="AB471" i="4"/>
  <c r="AA472" i="4"/>
  <c r="AB472" i="4"/>
  <c r="AA473" i="4"/>
  <c r="AB473" i="4"/>
  <c r="AA474" i="4"/>
  <c r="AB474" i="4"/>
  <c r="AA475" i="4"/>
  <c r="AB475" i="4"/>
  <c r="AA476" i="4"/>
  <c r="AB476" i="4"/>
  <c r="AA477" i="4"/>
  <c r="AB477" i="4"/>
  <c r="AA478" i="4"/>
  <c r="AB478" i="4"/>
  <c r="AA479" i="4"/>
  <c r="AB479" i="4"/>
  <c r="AA480" i="4"/>
  <c r="AB480" i="4"/>
  <c r="AA481" i="4"/>
  <c r="AB481" i="4"/>
  <c r="AA482" i="4"/>
  <c r="AB482" i="4"/>
  <c r="AA483" i="4"/>
  <c r="AB483" i="4"/>
  <c r="AA484" i="4"/>
  <c r="AB484" i="4"/>
  <c r="AA485" i="4"/>
  <c r="AB485" i="4"/>
  <c r="AA486" i="4"/>
  <c r="AB486" i="4"/>
  <c r="AA487" i="4"/>
  <c r="AB487" i="4"/>
  <c r="AA488" i="4"/>
  <c r="AB488" i="4"/>
  <c r="AA489" i="4"/>
  <c r="AB489" i="4"/>
  <c r="AA490" i="4"/>
  <c r="AB490" i="4"/>
  <c r="AA491" i="4"/>
  <c r="AB491" i="4"/>
  <c r="AA493" i="4"/>
  <c r="AB493" i="4"/>
  <c r="AA494" i="4"/>
  <c r="AB494" i="4"/>
  <c r="AA495" i="4"/>
  <c r="AB495" i="4"/>
  <c r="AA496" i="4"/>
  <c r="AB496" i="4"/>
  <c r="AA497" i="4"/>
  <c r="AB497" i="4"/>
  <c r="AA498" i="4"/>
  <c r="AB498" i="4"/>
  <c r="AA499" i="4"/>
  <c r="AB499" i="4"/>
  <c r="AA500" i="4"/>
  <c r="AB500" i="4"/>
  <c r="AA501" i="4"/>
  <c r="AB501" i="4"/>
  <c r="AA502" i="4"/>
  <c r="AB502" i="4"/>
  <c r="AA503" i="4"/>
  <c r="AB503" i="4"/>
  <c r="AA4" i="4"/>
  <c r="AB4" i="4"/>
  <c r="Z5" i="4"/>
  <c r="Z7" i="4"/>
  <c r="Z8" i="4"/>
  <c r="Z11" i="4"/>
  <c r="Z12" i="4"/>
  <c r="Z14" i="4"/>
  <c r="Z15" i="4"/>
  <c r="Z17" i="4"/>
  <c r="Z18" i="4"/>
  <c r="Z20" i="4"/>
  <c r="Z21" i="4"/>
  <c r="Z22" i="4"/>
  <c r="Z23" i="4"/>
  <c r="Z25" i="4"/>
  <c r="Z26" i="4"/>
  <c r="Z27" i="4"/>
  <c r="Z28" i="4"/>
  <c r="Z29" i="4"/>
  <c r="Z30" i="4"/>
  <c r="Z31" i="4"/>
  <c r="Z32" i="4"/>
  <c r="Z33" i="4"/>
  <c r="Z34" i="4"/>
  <c r="Z35" i="4"/>
  <c r="Z36" i="4"/>
  <c r="Z37" i="4"/>
  <c r="Z38" i="4"/>
  <c r="Z39" i="4"/>
  <c r="Z40" i="4"/>
  <c r="Z41" i="4"/>
  <c r="Z42" i="4"/>
  <c r="Z45" i="4"/>
  <c r="Z46" i="4"/>
  <c r="Z47" i="4"/>
  <c r="Z48" i="4"/>
  <c r="Z49" i="4"/>
  <c r="Z50" i="4"/>
  <c r="Z51" i="4"/>
  <c r="Z52" i="4"/>
  <c r="Z53" i="4"/>
  <c r="Z54" i="4"/>
  <c r="Z56" i="4"/>
  <c r="Z57" i="4"/>
  <c r="Z58" i="4"/>
  <c r="Z59" i="4"/>
  <c r="Z60" i="4"/>
  <c r="Z61" i="4"/>
  <c r="Z62" i="4"/>
  <c r="Z63" i="4"/>
  <c r="Z64" i="4"/>
  <c r="Z65" i="4"/>
  <c r="Z67" i="4"/>
  <c r="Z68" i="4"/>
  <c r="Z69" i="4"/>
  <c r="Z70" i="4"/>
  <c r="Z71" i="4"/>
  <c r="Z72" i="4"/>
  <c r="Z73" i="4"/>
  <c r="Z74" i="4"/>
  <c r="Z75" i="4"/>
  <c r="Z76" i="4"/>
  <c r="Z77" i="4"/>
  <c r="Z78" i="4"/>
  <c r="Z79" i="4"/>
  <c r="Z80" i="4"/>
  <c r="Z81" i="4"/>
  <c r="Z82" i="4"/>
  <c r="Z83" i="4"/>
  <c r="Z84" i="4"/>
  <c r="Z85" i="4"/>
  <c r="Z86" i="4"/>
  <c r="Z87" i="4"/>
  <c r="Z88" i="4"/>
  <c r="Z89" i="4"/>
  <c r="Z90" i="4"/>
  <c r="Z91" i="4"/>
  <c r="Z92" i="4"/>
  <c r="Z94" i="4"/>
  <c r="Z95" i="4"/>
  <c r="Z96" i="4"/>
  <c r="Z97" i="4"/>
  <c r="Z98" i="4"/>
  <c r="Z99" i="4"/>
  <c r="Z100" i="4"/>
  <c r="Z101" i="4"/>
  <c r="Z103" i="4"/>
  <c r="Z104" i="4"/>
  <c r="Z105" i="4"/>
  <c r="Z107" i="4"/>
  <c r="Z108" i="4"/>
  <c r="Z109"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8" i="4"/>
  <c r="Z139" i="4"/>
  <c r="Z140" i="4"/>
  <c r="Z141" i="4"/>
  <c r="Z142" i="4"/>
  <c r="Z143" i="4"/>
  <c r="Z144" i="4"/>
  <c r="Z145" i="4"/>
  <c r="Z146" i="4"/>
  <c r="Z147" i="4"/>
  <c r="Z150" i="4"/>
  <c r="Z151" i="4"/>
  <c r="Z153" i="4"/>
  <c r="Z154" i="4"/>
  <c r="Z155" i="4"/>
  <c r="Z156" i="4"/>
  <c r="Z157" i="4"/>
  <c r="Z161" i="4"/>
  <c r="Z162" i="4"/>
  <c r="Z163" i="4"/>
  <c r="Z166" i="4"/>
  <c r="Z167" i="4"/>
  <c r="Z168" i="4"/>
  <c r="Z169" i="4"/>
  <c r="Z171" i="4"/>
  <c r="Z172" i="4"/>
  <c r="Z173" i="4"/>
  <c r="Z174" i="4"/>
  <c r="Z175" i="4"/>
  <c r="Z176" i="4"/>
  <c r="Z177" i="4"/>
  <c r="Z178" i="4"/>
  <c r="Z179" i="4"/>
  <c r="Z180" i="4"/>
  <c r="Z181" i="4"/>
  <c r="Z182" i="4"/>
  <c r="Z183" i="4"/>
  <c r="Z184" i="4"/>
  <c r="Z185" i="4"/>
  <c r="Z186" i="4"/>
  <c r="Z188" i="4"/>
  <c r="Z189" i="4"/>
  <c r="Z190"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1" i="4"/>
  <c r="Z232" i="4"/>
  <c r="Z233" i="4"/>
  <c r="Z234" i="4"/>
  <c r="Z235" i="4"/>
  <c r="Z236" i="4"/>
  <c r="Z237" i="4"/>
  <c r="Z238" i="4"/>
  <c r="Z239" i="4"/>
  <c r="Z240" i="4"/>
  <c r="Z241" i="4"/>
  <c r="Z243" i="4"/>
  <c r="Z244" i="4"/>
  <c r="Z245" i="4"/>
  <c r="Z247" i="4"/>
  <c r="Z249" i="4"/>
  <c r="Z250" i="4"/>
  <c r="Z251" i="4"/>
  <c r="Z252" i="4"/>
  <c r="Z254" i="4"/>
  <c r="Z257" i="4"/>
  <c r="Z259" i="4"/>
  <c r="Z261" i="4"/>
  <c r="Z262" i="4"/>
  <c r="Z263" i="4"/>
  <c r="Z264" i="4"/>
  <c r="Z265" i="4"/>
  <c r="Z266" i="4"/>
  <c r="Z267" i="4"/>
  <c r="Z268" i="4"/>
  <c r="Z269" i="4"/>
  <c r="Z271" i="4"/>
  <c r="Z273" i="4"/>
  <c r="Z274" i="4"/>
  <c r="Z275" i="4"/>
  <c r="Z276" i="4"/>
  <c r="Z277" i="4"/>
  <c r="Z279" i="4"/>
  <c r="Z281" i="4"/>
  <c r="Z282" i="4"/>
  <c r="Z283" i="4"/>
  <c r="Z284" i="4"/>
  <c r="Z285" i="4"/>
  <c r="Z286"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3" i="4"/>
  <c r="Z494" i="4"/>
  <c r="Z495" i="4"/>
  <c r="Z496" i="4"/>
  <c r="Z497" i="4"/>
  <c r="Z498" i="4"/>
  <c r="Z499" i="4"/>
  <c r="Z500" i="4"/>
  <c r="Z501" i="4"/>
  <c r="Z502" i="4"/>
  <c r="Z503" i="4"/>
  <c r="Z4" i="4"/>
  <c r="Y5" i="4"/>
  <c r="Y7" i="4"/>
  <c r="Y8" i="4"/>
  <c r="Y11" i="4"/>
  <c r="Y12" i="4"/>
  <c r="Y14" i="4"/>
  <c r="Y15" i="4"/>
  <c r="Y17" i="4"/>
  <c r="Y18" i="4"/>
  <c r="Y20" i="4"/>
  <c r="Y21" i="4"/>
  <c r="Y22" i="4"/>
  <c r="Y23" i="4"/>
  <c r="Y25" i="4"/>
  <c r="Y26" i="4"/>
  <c r="Y27" i="4"/>
  <c r="Y28" i="4"/>
  <c r="Y29" i="4"/>
  <c r="Y30" i="4"/>
  <c r="Y31" i="4"/>
  <c r="Y32" i="4"/>
  <c r="Y33" i="4"/>
  <c r="Y34" i="4"/>
  <c r="Y35" i="4"/>
  <c r="Y36" i="4"/>
  <c r="Y37" i="4"/>
  <c r="Y38" i="4"/>
  <c r="Y39" i="4"/>
  <c r="Y40" i="4"/>
  <c r="Y41" i="4"/>
  <c r="Y42" i="4"/>
  <c r="Y45" i="4"/>
  <c r="Y46" i="4"/>
  <c r="Y47" i="4"/>
  <c r="Y48" i="4"/>
  <c r="Y49" i="4"/>
  <c r="Y50" i="4"/>
  <c r="Y51" i="4"/>
  <c r="Y52" i="4"/>
  <c r="Y53" i="4"/>
  <c r="Y54" i="4"/>
  <c r="Y56" i="4"/>
  <c r="Y57" i="4"/>
  <c r="Y58" i="4"/>
  <c r="Y59" i="4"/>
  <c r="Y60" i="4"/>
  <c r="Y61" i="4"/>
  <c r="Y62" i="4"/>
  <c r="Y63" i="4"/>
  <c r="Y64" i="4"/>
  <c r="Y65" i="4"/>
  <c r="Y67" i="4"/>
  <c r="Y68" i="4"/>
  <c r="Y69" i="4"/>
  <c r="Y70" i="4"/>
  <c r="Y71" i="4"/>
  <c r="Y72" i="4"/>
  <c r="Y73" i="4"/>
  <c r="Y74" i="4"/>
  <c r="Y75" i="4"/>
  <c r="Y76" i="4"/>
  <c r="Y77" i="4"/>
  <c r="Y78" i="4"/>
  <c r="Y79" i="4"/>
  <c r="Y80" i="4"/>
  <c r="Y81" i="4"/>
  <c r="Y82" i="4"/>
  <c r="Y83" i="4"/>
  <c r="Y84" i="4"/>
  <c r="Y85" i="4"/>
  <c r="Y86" i="4"/>
  <c r="Y87" i="4"/>
  <c r="Y88" i="4"/>
  <c r="Y89" i="4"/>
  <c r="Y90" i="4"/>
  <c r="Y91" i="4"/>
  <c r="Y92" i="4"/>
  <c r="Y94" i="4"/>
  <c r="Y95" i="4"/>
  <c r="Y96" i="4"/>
  <c r="Y97" i="4"/>
  <c r="Y98" i="4"/>
  <c r="Y99" i="4"/>
  <c r="Y100" i="4"/>
  <c r="Y101" i="4"/>
  <c r="Y103" i="4"/>
  <c r="Y104" i="4"/>
  <c r="Y105" i="4"/>
  <c r="Y107" i="4"/>
  <c r="Y108" i="4"/>
  <c r="Y109"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8" i="4"/>
  <c r="Y139" i="4"/>
  <c r="Y140" i="4"/>
  <c r="Y141" i="4"/>
  <c r="Y142" i="4"/>
  <c r="Y143" i="4"/>
  <c r="Y144" i="4"/>
  <c r="Y145" i="4"/>
  <c r="Y146" i="4"/>
  <c r="Y147" i="4"/>
  <c r="Y150" i="4"/>
  <c r="Y151" i="4"/>
  <c r="Y153" i="4"/>
  <c r="Y154" i="4"/>
  <c r="Y155" i="4"/>
  <c r="Y156" i="4"/>
  <c r="Y157" i="4"/>
  <c r="Y161" i="4"/>
  <c r="Y162" i="4"/>
  <c r="Y163" i="4"/>
  <c r="Y166" i="4"/>
  <c r="Y167" i="4"/>
  <c r="Y168" i="4"/>
  <c r="Y169" i="4"/>
  <c r="Y171" i="4"/>
  <c r="Y172" i="4"/>
  <c r="Y173" i="4"/>
  <c r="Y174" i="4"/>
  <c r="Y175" i="4"/>
  <c r="Y176" i="4"/>
  <c r="Y177" i="4"/>
  <c r="Y178" i="4"/>
  <c r="Y179" i="4"/>
  <c r="Y180" i="4"/>
  <c r="Y181" i="4"/>
  <c r="Y182" i="4"/>
  <c r="Y183" i="4"/>
  <c r="Y184" i="4"/>
  <c r="Y185" i="4"/>
  <c r="Y186" i="4"/>
  <c r="Y188" i="4"/>
  <c r="Y189" i="4"/>
  <c r="Y190"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1" i="4"/>
  <c r="Y232" i="4"/>
  <c r="Y233" i="4"/>
  <c r="Y234" i="4"/>
  <c r="Y235" i="4"/>
  <c r="Y236" i="4"/>
  <c r="Y237" i="4"/>
  <c r="Y238" i="4"/>
  <c r="Y239" i="4"/>
  <c r="Y240" i="4"/>
  <c r="Y241" i="4"/>
  <c r="Y243" i="4"/>
  <c r="Y244" i="4"/>
  <c r="Y245" i="4"/>
  <c r="Y247" i="4"/>
  <c r="Y249" i="4"/>
  <c r="Y250" i="4"/>
  <c r="Y251" i="4"/>
  <c r="Y252" i="4"/>
  <c r="Y254" i="4"/>
  <c r="Y257" i="4"/>
  <c r="Y259" i="4"/>
  <c r="Y261" i="4"/>
  <c r="Y262" i="4"/>
  <c r="Y263" i="4"/>
  <c r="Y264" i="4"/>
  <c r="Y265" i="4"/>
  <c r="Y266" i="4"/>
  <c r="Y267" i="4"/>
  <c r="Y268" i="4"/>
  <c r="Y269" i="4"/>
  <c r="Y271" i="4"/>
  <c r="Y273" i="4"/>
  <c r="Y274" i="4"/>
  <c r="Y275" i="4"/>
  <c r="Y276" i="4"/>
  <c r="Y277" i="4"/>
  <c r="Y279" i="4"/>
  <c r="Y281" i="4"/>
  <c r="Y282" i="4"/>
  <c r="Y283" i="4"/>
  <c r="Y284" i="4"/>
  <c r="Y285" i="4"/>
  <c r="Y286"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3" i="4"/>
  <c r="Y494" i="4"/>
  <c r="Y495" i="4"/>
  <c r="Y496" i="4"/>
  <c r="Y497" i="4"/>
  <c r="Y498" i="4"/>
  <c r="Y499" i="4"/>
  <c r="Y500" i="4"/>
  <c r="Y501" i="4"/>
  <c r="Y502" i="4"/>
  <c r="Y503" i="4"/>
  <c r="Y4" i="4"/>
  <c r="X5" i="4"/>
  <c r="X7" i="4"/>
  <c r="X8" i="4"/>
  <c r="X11" i="4"/>
  <c r="X12" i="4"/>
  <c r="X14" i="4"/>
  <c r="X15" i="4"/>
  <c r="X18" i="4"/>
  <c r="X20" i="4"/>
  <c r="X21" i="4"/>
  <c r="X22" i="4"/>
  <c r="X23" i="4"/>
  <c r="X25" i="4"/>
  <c r="X27" i="4"/>
  <c r="X28" i="4"/>
  <c r="X29" i="4"/>
  <c r="X30" i="4"/>
  <c r="X31" i="4"/>
  <c r="X32" i="4"/>
  <c r="X33" i="4"/>
  <c r="X34" i="4"/>
  <c r="X35" i="4"/>
  <c r="X36" i="4"/>
  <c r="X37" i="4"/>
  <c r="X38" i="4"/>
  <c r="X39" i="4"/>
  <c r="X40" i="4"/>
  <c r="X41" i="4"/>
  <c r="X42" i="4"/>
  <c r="X45" i="4"/>
  <c r="X46" i="4"/>
  <c r="X47" i="4"/>
  <c r="X48" i="4"/>
  <c r="X49" i="4"/>
  <c r="X50" i="4"/>
  <c r="X51" i="4"/>
  <c r="X52" i="4"/>
  <c r="X53" i="4"/>
  <c r="X54" i="4"/>
  <c r="X56" i="4"/>
  <c r="X57" i="4"/>
  <c r="X58" i="4"/>
  <c r="X59" i="4"/>
  <c r="X60" i="4"/>
  <c r="X61" i="4"/>
  <c r="X62" i="4"/>
  <c r="X63" i="4"/>
  <c r="X64" i="4"/>
  <c r="X65" i="4"/>
  <c r="X67" i="4"/>
  <c r="X68" i="4"/>
  <c r="X69" i="4"/>
  <c r="X70" i="4"/>
  <c r="X71" i="4"/>
  <c r="X72" i="4"/>
  <c r="X73" i="4"/>
  <c r="X74" i="4"/>
  <c r="X75" i="4"/>
  <c r="X76" i="4"/>
  <c r="X77" i="4"/>
  <c r="X78" i="4"/>
  <c r="X79" i="4"/>
  <c r="X80" i="4"/>
  <c r="X81" i="4"/>
  <c r="X82" i="4"/>
  <c r="X83" i="4"/>
  <c r="X84" i="4"/>
  <c r="X85" i="4"/>
  <c r="X86" i="4"/>
  <c r="X87" i="4"/>
  <c r="X88" i="4"/>
  <c r="X89" i="4"/>
  <c r="X90" i="4"/>
  <c r="X91" i="4"/>
  <c r="X92" i="4"/>
  <c r="X94" i="4"/>
  <c r="X95" i="4"/>
  <c r="X96" i="4"/>
  <c r="X97" i="4"/>
  <c r="X98" i="4"/>
  <c r="X99" i="4"/>
  <c r="X100" i="4"/>
  <c r="X101" i="4"/>
  <c r="X103" i="4"/>
  <c r="X104" i="4"/>
  <c r="X105" i="4"/>
  <c r="X107" i="4"/>
  <c r="X108" i="4"/>
  <c r="X109"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8" i="4"/>
  <c r="X139" i="4"/>
  <c r="X140" i="4"/>
  <c r="X141" i="4"/>
  <c r="X142" i="4"/>
  <c r="X143" i="4"/>
  <c r="X144" i="4"/>
  <c r="X145" i="4"/>
  <c r="X146" i="4"/>
  <c r="X147" i="4"/>
  <c r="X150" i="4"/>
  <c r="X151" i="4"/>
  <c r="X153" i="4"/>
  <c r="X154" i="4"/>
  <c r="X155" i="4"/>
  <c r="X156" i="4"/>
  <c r="X157" i="4"/>
  <c r="X161" i="4"/>
  <c r="X162" i="4"/>
  <c r="X163" i="4"/>
  <c r="X166" i="4"/>
  <c r="X167" i="4"/>
  <c r="X168" i="4"/>
  <c r="X169" i="4"/>
  <c r="X171" i="4"/>
  <c r="X172" i="4"/>
  <c r="X173" i="4"/>
  <c r="X174" i="4"/>
  <c r="X175" i="4"/>
  <c r="X176" i="4"/>
  <c r="X177" i="4"/>
  <c r="X178" i="4"/>
  <c r="X179" i="4"/>
  <c r="X180" i="4"/>
  <c r="X181" i="4"/>
  <c r="X182" i="4"/>
  <c r="X183" i="4"/>
  <c r="X184" i="4"/>
  <c r="X185" i="4"/>
  <c r="X186" i="4"/>
  <c r="X188" i="4"/>
  <c r="X189" i="4"/>
  <c r="X190"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1" i="4"/>
  <c r="X232" i="4"/>
  <c r="X233" i="4"/>
  <c r="X234" i="4"/>
  <c r="X235" i="4"/>
  <c r="X236" i="4"/>
  <c r="X237" i="4"/>
  <c r="X238" i="4"/>
  <c r="X239" i="4"/>
  <c r="X240" i="4"/>
  <c r="X241" i="4"/>
  <c r="X243" i="4"/>
  <c r="X244" i="4"/>
  <c r="X245" i="4"/>
  <c r="X247" i="4"/>
  <c r="X249" i="4"/>
  <c r="X250" i="4"/>
  <c r="X251" i="4"/>
  <c r="X252" i="4"/>
  <c r="X254" i="4"/>
  <c r="X257" i="4"/>
  <c r="X259" i="4"/>
  <c r="X261" i="4"/>
  <c r="X262" i="4"/>
  <c r="X263" i="4"/>
  <c r="X264" i="4"/>
  <c r="X265" i="4"/>
  <c r="X266" i="4"/>
  <c r="X267" i="4"/>
  <c r="X268" i="4"/>
  <c r="X269" i="4"/>
  <c r="X271" i="4"/>
  <c r="X273" i="4"/>
  <c r="X274" i="4"/>
  <c r="X275" i="4"/>
  <c r="X276" i="4"/>
  <c r="X277" i="4"/>
  <c r="X279" i="4"/>
  <c r="X281" i="4"/>
  <c r="X282" i="4"/>
  <c r="X283" i="4"/>
  <c r="X284" i="4"/>
  <c r="X285" i="4"/>
  <c r="X286"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3" i="4"/>
  <c r="X494" i="4"/>
  <c r="X495" i="4"/>
  <c r="X496" i="4"/>
  <c r="X497" i="4"/>
  <c r="X498" i="4"/>
  <c r="X499" i="4"/>
  <c r="X500" i="4"/>
  <c r="X501" i="4"/>
  <c r="X502" i="4"/>
  <c r="X503" i="4"/>
  <c r="X4" i="4"/>
  <c r="W5" i="4"/>
  <c r="W7" i="4"/>
  <c r="W8" i="4"/>
  <c r="W11" i="4"/>
  <c r="W12" i="4"/>
  <c r="W14" i="4"/>
  <c r="W15" i="4"/>
  <c r="W18" i="4"/>
  <c r="W20" i="4"/>
  <c r="W21" i="4"/>
  <c r="W22" i="4"/>
  <c r="W23" i="4"/>
  <c r="W25" i="4"/>
  <c r="W27" i="4"/>
  <c r="W28" i="4"/>
  <c r="W29" i="4"/>
  <c r="W30" i="4"/>
  <c r="W31" i="4"/>
  <c r="W32" i="4"/>
  <c r="W33" i="4"/>
  <c r="W34" i="4"/>
  <c r="W35" i="4"/>
  <c r="W36" i="4"/>
  <c r="W37" i="4"/>
  <c r="W38" i="4"/>
  <c r="W39" i="4"/>
  <c r="W40" i="4"/>
  <c r="W41" i="4"/>
  <c r="W42" i="4"/>
  <c r="W45" i="4"/>
  <c r="W46" i="4"/>
  <c r="W47" i="4"/>
  <c r="W48" i="4"/>
  <c r="W49" i="4"/>
  <c r="W50" i="4"/>
  <c r="W51" i="4"/>
  <c r="W52" i="4"/>
  <c r="W53" i="4"/>
  <c r="W54" i="4"/>
  <c r="W56" i="4"/>
  <c r="W57" i="4"/>
  <c r="W58" i="4"/>
  <c r="W59" i="4"/>
  <c r="W60" i="4"/>
  <c r="W61" i="4"/>
  <c r="W62" i="4"/>
  <c r="W63" i="4"/>
  <c r="W64" i="4"/>
  <c r="W65" i="4"/>
  <c r="W67" i="4"/>
  <c r="W68" i="4"/>
  <c r="W69" i="4"/>
  <c r="W70" i="4"/>
  <c r="W71" i="4"/>
  <c r="W72" i="4"/>
  <c r="W73" i="4"/>
  <c r="W74" i="4"/>
  <c r="W75" i="4"/>
  <c r="W76" i="4"/>
  <c r="W77" i="4"/>
  <c r="W78" i="4"/>
  <c r="W79" i="4"/>
  <c r="W80" i="4"/>
  <c r="W81" i="4"/>
  <c r="W82" i="4"/>
  <c r="W83" i="4"/>
  <c r="W84" i="4"/>
  <c r="W85" i="4"/>
  <c r="W86" i="4"/>
  <c r="W87" i="4"/>
  <c r="W88" i="4"/>
  <c r="W89" i="4"/>
  <c r="W90" i="4"/>
  <c r="W91" i="4"/>
  <c r="W92" i="4"/>
  <c r="W94" i="4"/>
  <c r="W95" i="4"/>
  <c r="W96" i="4"/>
  <c r="W97" i="4"/>
  <c r="W98" i="4"/>
  <c r="W99" i="4"/>
  <c r="W100" i="4"/>
  <c r="W101" i="4"/>
  <c r="W103" i="4"/>
  <c r="W104" i="4"/>
  <c r="W105" i="4"/>
  <c r="W107" i="4"/>
  <c r="W108" i="4"/>
  <c r="W109"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8" i="4"/>
  <c r="W139" i="4"/>
  <c r="W140" i="4"/>
  <c r="W141" i="4"/>
  <c r="W142" i="4"/>
  <c r="W143" i="4"/>
  <c r="W144" i="4"/>
  <c r="W145" i="4"/>
  <c r="W146" i="4"/>
  <c r="W147" i="4"/>
  <c r="W150" i="4"/>
  <c r="W151" i="4"/>
  <c r="W153" i="4"/>
  <c r="W154" i="4"/>
  <c r="W155" i="4"/>
  <c r="W156" i="4"/>
  <c r="W157" i="4"/>
  <c r="W161" i="4"/>
  <c r="W162" i="4"/>
  <c r="W163" i="4"/>
  <c r="W166" i="4"/>
  <c r="W167" i="4"/>
  <c r="W168" i="4"/>
  <c r="W169" i="4"/>
  <c r="W171" i="4"/>
  <c r="W172" i="4"/>
  <c r="W173" i="4"/>
  <c r="W174" i="4"/>
  <c r="W175" i="4"/>
  <c r="W176" i="4"/>
  <c r="W177" i="4"/>
  <c r="W178" i="4"/>
  <c r="W179" i="4"/>
  <c r="W180" i="4"/>
  <c r="W181" i="4"/>
  <c r="W182" i="4"/>
  <c r="W183" i="4"/>
  <c r="W184" i="4"/>
  <c r="W185" i="4"/>
  <c r="W186" i="4"/>
  <c r="W188" i="4"/>
  <c r="W189" i="4"/>
  <c r="W190"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1" i="4"/>
  <c r="W232" i="4"/>
  <c r="W233" i="4"/>
  <c r="W234" i="4"/>
  <c r="W235" i="4"/>
  <c r="W236" i="4"/>
  <c r="W237" i="4"/>
  <c r="W238" i="4"/>
  <c r="W239" i="4"/>
  <c r="W240" i="4"/>
  <c r="W241" i="4"/>
  <c r="W243" i="4"/>
  <c r="W244" i="4"/>
  <c r="W245" i="4"/>
  <c r="W247" i="4"/>
  <c r="W249" i="4"/>
  <c r="W250" i="4"/>
  <c r="W251" i="4"/>
  <c r="W252" i="4"/>
  <c r="W254" i="4"/>
  <c r="W257" i="4"/>
  <c r="W259" i="4"/>
  <c r="W261" i="4"/>
  <c r="W262" i="4"/>
  <c r="W263" i="4"/>
  <c r="W264" i="4"/>
  <c r="W265" i="4"/>
  <c r="W266" i="4"/>
  <c r="W267" i="4"/>
  <c r="W268" i="4"/>
  <c r="W269" i="4"/>
  <c r="W271" i="4"/>
  <c r="W273" i="4"/>
  <c r="W274" i="4"/>
  <c r="W275" i="4"/>
  <c r="W276" i="4"/>
  <c r="W277" i="4"/>
  <c r="W279" i="4"/>
  <c r="W281" i="4"/>
  <c r="W282" i="4"/>
  <c r="W283" i="4"/>
  <c r="W284" i="4"/>
  <c r="W285" i="4"/>
  <c r="W286"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3" i="4"/>
  <c r="W494" i="4"/>
  <c r="W495" i="4"/>
  <c r="W496" i="4"/>
  <c r="W497" i="4"/>
  <c r="W498" i="4"/>
  <c r="W499" i="4"/>
  <c r="W500" i="4"/>
  <c r="W501" i="4"/>
  <c r="W502" i="4"/>
  <c r="W503" i="4"/>
  <c r="W4" i="4"/>
  <c r="V5" i="4"/>
  <c r="V7" i="4"/>
  <c r="V8" i="4"/>
  <c r="V11" i="4"/>
  <c r="V12" i="4"/>
  <c r="V14" i="4"/>
  <c r="V15" i="4"/>
  <c r="V18" i="4"/>
  <c r="V20" i="4"/>
  <c r="V21" i="4"/>
  <c r="V22" i="4"/>
  <c r="V23" i="4"/>
  <c r="V25" i="4"/>
  <c r="V26" i="4"/>
  <c r="W26" i="4"/>
  <c r="X26" i="4"/>
  <c r="V27" i="4"/>
  <c r="V28" i="4"/>
  <c r="V29" i="4"/>
  <c r="V30" i="4"/>
  <c r="V31" i="4"/>
  <c r="V32" i="4"/>
  <c r="V33" i="4"/>
  <c r="V34" i="4"/>
  <c r="V35" i="4"/>
  <c r="V36" i="4"/>
  <c r="V37" i="4"/>
  <c r="V38" i="4"/>
  <c r="V39" i="4"/>
  <c r="V40" i="4"/>
  <c r="V41" i="4"/>
  <c r="V42" i="4"/>
  <c r="V45" i="4"/>
  <c r="V46" i="4"/>
  <c r="V47" i="4"/>
  <c r="V48" i="4"/>
  <c r="V49" i="4"/>
  <c r="V50" i="4"/>
  <c r="V51" i="4"/>
  <c r="V52" i="4"/>
  <c r="V53" i="4"/>
  <c r="V54" i="4"/>
  <c r="V56" i="4"/>
  <c r="V57" i="4"/>
  <c r="V58" i="4"/>
  <c r="V59" i="4"/>
  <c r="V60" i="4"/>
  <c r="V61" i="4"/>
  <c r="V62" i="4"/>
  <c r="V63" i="4"/>
  <c r="V64" i="4"/>
  <c r="V65" i="4"/>
  <c r="V67" i="4"/>
  <c r="V68" i="4"/>
  <c r="V69" i="4"/>
  <c r="V70" i="4"/>
  <c r="V71" i="4"/>
  <c r="V72" i="4"/>
  <c r="V73" i="4"/>
  <c r="V74" i="4"/>
  <c r="V75" i="4"/>
  <c r="V76" i="4"/>
  <c r="V77" i="4"/>
  <c r="V78" i="4"/>
  <c r="V79" i="4"/>
  <c r="V80" i="4"/>
  <c r="V81" i="4"/>
  <c r="V82" i="4"/>
  <c r="V83" i="4"/>
  <c r="V84" i="4"/>
  <c r="V85" i="4"/>
  <c r="V86" i="4"/>
  <c r="V87" i="4"/>
  <c r="V88" i="4"/>
  <c r="V89" i="4"/>
  <c r="V90" i="4"/>
  <c r="V91" i="4"/>
  <c r="V92" i="4"/>
  <c r="V94" i="4"/>
  <c r="V95" i="4"/>
  <c r="V96" i="4"/>
  <c r="V97" i="4"/>
  <c r="V98" i="4"/>
  <c r="V99" i="4"/>
  <c r="V100" i="4"/>
  <c r="V101" i="4"/>
  <c r="V103" i="4"/>
  <c r="V104" i="4"/>
  <c r="V105" i="4"/>
  <c r="V107" i="4"/>
  <c r="V108" i="4"/>
  <c r="V109"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8" i="4"/>
  <c r="V139" i="4"/>
  <c r="V140" i="4"/>
  <c r="V141" i="4"/>
  <c r="V142" i="4"/>
  <c r="V143" i="4"/>
  <c r="V144" i="4"/>
  <c r="V145" i="4"/>
  <c r="V146" i="4"/>
  <c r="V147" i="4"/>
  <c r="V150" i="4"/>
  <c r="V151" i="4"/>
  <c r="V153" i="4"/>
  <c r="V154" i="4"/>
  <c r="V155" i="4"/>
  <c r="V156" i="4"/>
  <c r="V157" i="4"/>
  <c r="V161" i="4"/>
  <c r="V162" i="4"/>
  <c r="V163" i="4"/>
  <c r="V166" i="4"/>
  <c r="V167" i="4"/>
  <c r="V168" i="4"/>
  <c r="V169" i="4"/>
  <c r="V171" i="4"/>
  <c r="V172" i="4"/>
  <c r="V173" i="4"/>
  <c r="V174" i="4"/>
  <c r="V175" i="4"/>
  <c r="V176" i="4"/>
  <c r="V177" i="4"/>
  <c r="V178" i="4"/>
  <c r="V179" i="4"/>
  <c r="V180" i="4"/>
  <c r="V181" i="4"/>
  <c r="V182" i="4"/>
  <c r="V183" i="4"/>
  <c r="V184" i="4"/>
  <c r="V185" i="4"/>
  <c r="V186" i="4"/>
  <c r="V188" i="4"/>
  <c r="V189" i="4"/>
  <c r="V190"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1" i="4"/>
  <c r="V232" i="4"/>
  <c r="V233" i="4"/>
  <c r="V234" i="4"/>
  <c r="V235" i="4"/>
  <c r="V236" i="4"/>
  <c r="V237" i="4"/>
  <c r="V238" i="4"/>
  <c r="V239" i="4"/>
  <c r="V240" i="4"/>
  <c r="V241" i="4"/>
  <c r="V243" i="4"/>
  <c r="V244" i="4"/>
  <c r="V245" i="4"/>
  <c r="V247" i="4"/>
  <c r="V249" i="4"/>
  <c r="V250" i="4"/>
  <c r="V251" i="4"/>
  <c r="V252" i="4"/>
  <c r="V254" i="4"/>
  <c r="V257" i="4"/>
  <c r="V259" i="4"/>
  <c r="V261" i="4"/>
  <c r="V262" i="4"/>
  <c r="V263" i="4"/>
  <c r="V264" i="4"/>
  <c r="V265" i="4"/>
  <c r="V266" i="4"/>
  <c r="V267" i="4"/>
  <c r="V268" i="4"/>
  <c r="V269" i="4"/>
  <c r="V271" i="4"/>
  <c r="V273" i="4"/>
  <c r="V274" i="4"/>
  <c r="V275" i="4"/>
  <c r="V276" i="4"/>
  <c r="V277" i="4"/>
  <c r="V279" i="4"/>
  <c r="V281" i="4"/>
  <c r="V282" i="4"/>
  <c r="V283" i="4"/>
  <c r="V284" i="4"/>
  <c r="V285" i="4"/>
  <c r="V286"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3" i="4"/>
  <c r="V494" i="4"/>
  <c r="V495" i="4"/>
  <c r="V496" i="4"/>
  <c r="V497" i="4"/>
  <c r="V498" i="4"/>
  <c r="V499" i="4"/>
  <c r="V500" i="4"/>
  <c r="V501" i="4"/>
  <c r="V502" i="4"/>
  <c r="V503" i="4"/>
  <c r="V4" i="4"/>
  <c r="T5" i="4"/>
  <c r="U5" i="4"/>
  <c r="T7" i="4"/>
  <c r="U7" i="4"/>
  <c r="T8" i="4"/>
  <c r="U8" i="4"/>
  <c r="T11" i="4"/>
  <c r="U11" i="4"/>
  <c r="T12" i="4"/>
  <c r="U12" i="4"/>
  <c r="T14" i="4"/>
  <c r="U14" i="4"/>
  <c r="T15" i="4"/>
  <c r="U15" i="4"/>
  <c r="T18" i="4"/>
  <c r="U18" i="4"/>
  <c r="T20" i="4"/>
  <c r="U20" i="4"/>
  <c r="T21" i="4"/>
  <c r="U21" i="4"/>
  <c r="T22" i="4"/>
  <c r="U22" i="4"/>
  <c r="T23" i="4"/>
  <c r="U23" i="4"/>
  <c r="T25" i="4"/>
  <c r="U25" i="4"/>
  <c r="T27" i="4"/>
  <c r="U27" i="4"/>
  <c r="T28" i="4"/>
  <c r="U28" i="4"/>
  <c r="T29" i="4"/>
  <c r="U29" i="4"/>
  <c r="T30" i="4"/>
  <c r="U30" i="4"/>
  <c r="T31" i="4"/>
  <c r="U31" i="4"/>
  <c r="T32" i="4"/>
  <c r="U32" i="4"/>
  <c r="T33" i="4"/>
  <c r="U33" i="4"/>
  <c r="T34" i="4"/>
  <c r="U34" i="4"/>
  <c r="T35" i="4"/>
  <c r="U35" i="4"/>
  <c r="T36" i="4"/>
  <c r="U36" i="4"/>
  <c r="T37" i="4"/>
  <c r="U37" i="4"/>
  <c r="T38" i="4"/>
  <c r="U38" i="4"/>
  <c r="T39" i="4"/>
  <c r="U39" i="4"/>
  <c r="T40" i="4"/>
  <c r="U40" i="4"/>
  <c r="T41" i="4"/>
  <c r="U41" i="4"/>
  <c r="T42" i="4"/>
  <c r="U42" i="4"/>
  <c r="T45" i="4"/>
  <c r="U45" i="4"/>
  <c r="T46" i="4"/>
  <c r="U46" i="4"/>
  <c r="T47" i="4"/>
  <c r="U47" i="4"/>
  <c r="T48" i="4"/>
  <c r="U48" i="4"/>
  <c r="T49" i="4"/>
  <c r="U49" i="4"/>
  <c r="T50" i="4"/>
  <c r="U50" i="4"/>
  <c r="T51" i="4"/>
  <c r="U51" i="4"/>
  <c r="T52" i="4"/>
  <c r="U52" i="4"/>
  <c r="T53" i="4"/>
  <c r="U53" i="4"/>
  <c r="T54" i="4"/>
  <c r="U54" i="4"/>
  <c r="T56" i="4"/>
  <c r="U56" i="4"/>
  <c r="T57" i="4"/>
  <c r="U57" i="4"/>
  <c r="T58" i="4"/>
  <c r="U58" i="4"/>
  <c r="T59" i="4"/>
  <c r="U59" i="4"/>
  <c r="T60" i="4"/>
  <c r="U60" i="4"/>
  <c r="T61" i="4"/>
  <c r="U61" i="4"/>
  <c r="T62" i="4"/>
  <c r="U62" i="4"/>
  <c r="T63" i="4"/>
  <c r="U63" i="4"/>
  <c r="T64" i="4"/>
  <c r="U64" i="4"/>
  <c r="T65" i="4"/>
  <c r="U65" i="4"/>
  <c r="T67" i="4"/>
  <c r="U67" i="4"/>
  <c r="T68" i="4"/>
  <c r="U68" i="4"/>
  <c r="T69" i="4"/>
  <c r="U69" i="4"/>
  <c r="T70" i="4"/>
  <c r="U70" i="4"/>
  <c r="T71" i="4"/>
  <c r="U71" i="4"/>
  <c r="T72" i="4"/>
  <c r="U72" i="4"/>
  <c r="T73" i="4"/>
  <c r="U73" i="4"/>
  <c r="T74" i="4"/>
  <c r="U74" i="4"/>
  <c r="T75" i="4"/>
  <c r="U75" i="4"/>
  <c r="T76" i="4"/>
  <c r="U76" i="4"/>
  <c r="T77" i="4"/>
  <c r="U77" i="4"/>
  <c r="T78" i="4"/>
  <c r="U78" i="4"/>
  <c r="T79" i="4"/>
  <c r="U79" i="4"/>
  <c r="T80" i="4"/>
  <c r="U80" i="4"/>
  <c r="T81" i="4"/>
  <c r="U81" i="4"/>
  <c r="T82" i="4"/>
  <c r="U82" i="4"/>
  <c r="T83" i="4"/>
  <c r="U83" i="4"/>
  <c r="T84" i="4"/>
  <c r="U84" i="4"/>
  <c r="T85" i="4"/>
  <c r="U85" i="4"/>
  <c r="T86" i="4"/>
  <c r="U86" i="4"/>
  <c r="T87" i="4"/>
  <c r="U87" i="4"/>
  <c r="T88" i="4"/>
  <c r="U88" i="4"/>
  <c r="T89" i="4"/>
  <c r="U89" i="4"/>
  <c r="T90" i="4"/>
  <c r="U90" i="4"/>
  <c r="T91" i="4"/>
  <c r="U91" i="4"/>
  <c r="T92" i="4"/>
  <c r="U92" i="4"/>
  <c r="T94" i="4"/>
  <c r="U94" i="4"/>
  <c r="T95" i="4"/>
  <c r="U95" i="4"/>
  <c r="T96" i="4"/>
  <c r="U96" i="4"/>
  <c r="T97" i="4"/>
  <c r="U97" i="4"/>
  <c r="T98" i="4"/>
  <c r="U98" i="4"/>
  <c r="T99" i="4"/>
  <c r="U99" i="4"/>
  <c r="T100" i="4"/>
  <c r="U100" i="4"/>
  <c r="T101" i="4"/>
  <c r="U101" i="4"/>
  <c r="T103" i="4"/>
  <c r="U103" i="4"/>
  <c r="T104" i="4"/>
  <c r="U104" i="4"/>
  <c r="T105" i="4"/>
  <c r="U105" i="4"/>
  <c r="T107" i="4"/>
  <c r="U107" i="4"/>
  <c r="T108" i="4"/>
  <c r="U108" i="4"/>
  <c r="T109" i="4"/>
  <c r="U109" i="4"/>
  <c r="T111" i="4"/>
  <c r="U111" i="4"/>
  <c r="T112" i="4"/>
  <c r="U112" i="4"/>
  <c r="T113" i="4"/>
  <c r="U113" i="4"/>
  <c r="T114" i="4"/>
  <c r="U114" i="4"/>
  <c r="T115" i="4"/>
  <c r="U115" i="4"/>
  <c r="T116" i="4"/>
  <c r="U116" i="4"/>
  <c r="T117" i="4"/>
  <c r="U117" i="4"/>
  <c r="T118" i="4"/>
  <c r="U118" i="4"/>
  <c r="T119" i="4"/>
  <c r="U119" i="4"/>
  <c r="T120" i="4"/>
  <c r="U120" i="4"/>
  <c r="T121" i="4"/>
  <c r="U121" i="4"/>
  <c r="T122" i="4"/>
  <c r="U122" i="4"/>
  <c r="T123" i="4"/>
  <c r="U123" i="4"/>
  <c r="T124" i="4"/>
  <c r="U124" i="4"/>
  <c r="T125" i="4"/>
  <c r="U125" i="4"/>
  <c r="T126" i="4"/>
  <c r="U126" i="4"/>
  <c r="T127" i="4"/>
  <c r="U127" i="4"/>
  <c r="T128" i="4"/>
  <c r="U128" i="4"/>
  <c r="T129" i="4"/>
  <c r="U129" i="4"/>
  <c r="T130" i="4"/>
  <c r="U130" i="4"/>
  <c r="T131" i="4"/>
  <c r="U131" i="4"/>
  <c r="T132" i="4"/>
  <c r="U132" i="4"/>
  <c r="T133" i="4"/>
  <c r="U133" i="4"/>
  <c r="T134" i="4"/>
  <c r="U134" i="4"/>
  <c r="T135" i="4"/>
  <c r="U135" i="4"/>
  <c r="T136" i="4"/>
  <c r="U136" i="4"/>
  <c r="T138" i="4"/>
  <c r="U138" i="4"/>
  <c r="T139" i="4"/>
  <c r="U139" i="4"/>
  <c r="T140" i="4"/>
  <c r="U140" i="4"/>
  <c r="T141" i="4"/>
  <c r="U141" i="4"/>
  <c r="T142" i="4"/>
  <c r="U142" i="4"/>
  <c r="T143" i="4"/>
  <c r="U143" i="4"/>
  <c r="T144" i="4"/>
  <c r="U144" i="4"/>
  <c r="T145" i="4"/>
  <c r="U145" i="4"/>
  <c r="T146" i="4"/>
  <c r="U146" i="4"/>
  <c r="T147" i="4"/>
  <c r="U147" i="4"/>
  <c r="T150" i="4"/>
  <c r="U150" i="4"/>
  <c r="T151" i="4"/>
  <c r="U151" i="4"/>
  <c r="T153" i="4"/>
  <c r="U153" i="4"/>
  <c r="T154" i="4"/>
  <c r="U154" i="4"/>
  <c r="T155" i="4"/>
  <c r="U155" i="4"/>
  <c r="T156" i="4"/>
  <c r="U156" i="4"/>
  <c r="T157" i="4"/>
  <c r="U157" i="4"/>
  <c r="T161" i="4"/>
  <c r="U161" i="4"/>
  <c r="T162" i="4"/>
  <c r="U162" i="4"/>
  <c r="T163" i="4"/>
  <c r="U163" i="4"/>
  <c r="T166" i="4"/>
  <c r="U166" i="4"/>
  <c r="T167" i="4"/>
  <c r="U167" i="4"/>
  <c r="T168" i="4"/>
  <c r="U168" i="4"/>
  <c r="T169" i="4"/>
  <c r="U169" i="4"/>
  <c r="T171" i="4"/>
  <c r="U171" i="4"/>
  <c r="T172" i="4"/>
  <c r="U172" i="4"/>
  <c r="T173" i="4"/>
  <c r="U173" i="4"/>
  <c r="T174" i="4"/>
  <c r="U174" i="4"/>
  <c r="T175" i="4"/>
  <c r="U175" i="4"/>
  <c r="T176" i="4"/>
  <c r="U176" i="4"/>
  <c r="T177" i="4"/>
  <c r="U177" i="4"/>
  <c r="T178" i="4"/>
  <c r="U178" i="4"/>
  <c r="T179" i="4"/>
  <c r="U179" i="4"/>
  <c r="T180" i="4"/>
  <c r="U180" i="4"/>
  <c r="T181" i="4"/>
  <c r="U181" i="4"/>
  <c r="T182" i="4"/>
  <c r="U182" i="4"/>
  <c r="T183" i="4"/>
  <c r="U183" i="4"/>
  <c r="T184" i="4"/>
  <c r="U184" i="4"/>
  <c r="T185" i="4"/>
  <c r="U185" i="4"/>
  <c r="T186" i="4"/>
  <c r="U186" i="4"/>
  <c r="T188" i="4"/>
  <c r="U188" i="4"/>
  <c r="T189" i="4"/>
  <c r="U189" i="4"/>
  <c r="T190" i="4"/>
  <c r="U190" i="4"/>
  <c r="T192" i="4"/>
  <c r="U192" i="4"/>
  <c r="T193" i="4"/>
  <c r="U193" i="4"/>
  <c r="T194" i="4"/>
  <c r="U194" i="4"/>
  <c r="T195" i="4"/>
  <c r="U195" i="4"/>
  <c r="T196" i="4"/>
  <c r="U196" i="4"/>
  <c r="T197" i="4"/>
  <c r="U197" i="4"/>
  <c r="T198" i="4"/>
  <c r="U198" i="4"/>
  <c r="T199" i="4"/>
  <c r="U199" i="4"/>
  <c r="T200" i="4"/>
  <c r="U200" i="4"/>
  <c r="T201" i="4"/>
  <c r="U201" i="4"/>
  <c r="T202" i="4"/>
  <c r="U202" i="4"/>
  <c r="T203" i="4"/>
  <c r="U203" i="4"/>
  <c r="T204" i="4"/>
  <c r="U204" i="4"/>
  <c r="T205" i="4"/>
  <c r="U205" i="4"/>
  <c r="T206" i="4"/>
  <c r="U206" i="4"/>
  <c r="T207" i="4"/>
  <c r="U207" i="4"/>
  <c r="T208" i="4"/>
  <c r="U208" i="4"/>
  <c r="T209" i="4"/>
  <c r="U209" i="4"/>
  <c r="T210" i="4"/>
  <c r="U210" i="4"/>
  <c r="T211" i="4"/>
  <c r="U211" i="4"/>
  <c r="T212" i="4"/>
  <c r="U212" i="4"/>
  <c r="T213" i="4"/>
  <c r="U213" i="4"/>
  <c r="T214" i="4"/>
  <c r="U214" i="4"/>
  <c r="T215" i="4"/>
  <c r="U215" i="4"/>
  <c r="T216" i="4"/>
  <c r="U216" i="4"/>
  <c r="T217" i="4"/>
  <c r="U217" i="4"/>
  <c r="T218" i="4"/>
  <c r="U218" i="4"/>
  <c r="T219" i="4"/>
  <c r="U219" i="4"/>
  <c r="T220" i="4"/>
  <c r="U220" i="4"/>
  <c r="T221" i="4"/>
  <c r="U221" i="4"/>
  <c r="T222" i="4"/>
  <c r="U222" i="4"/>
  <c r="T223" i="4"/>
  <c r="U223" i="4"/>
  <c r="T224" i="4"/>
  <c r="U224" i="4"/>
  <c r="T225" i="4"/>
  <c r="U225" i="4"/>
  <c r="T226" i="4"/>
  <c r="U226" i="4"/>
  <c r="T227" i="4"/>
  <c r="U227" i="4"/>
  <c r="T228" i="4"/>
  <c r="U228" i="4"/>
  <c r="T229" i="4"/>
  <c r="U229" i="4"/>
  <c r="T231" i="4"/>
  <c r="U231" i="4"/>
  <c r="T232" i="4"/>
  <c r="U232" i="4"/>
  <c r="T233" i="4"/>
  <c r="U233" i="4"/>
  <c r="T234" i="4"/>
  <c r="U234" i="4"/>
  <c r="T235" i="4"/>
  <c r="U235" i="4"/>
  <c r="T236" i="4"/>
  <c r="U236" i="4"/>
  <c r="T237" i="4"/>
  <c r="U237" i="4"/>
  <c r="T238" i="4"/>
  <c r="U238" i="4"/>
  <c r="T239" i="4"/>
  <c r="U239" i="4"/>
  <c r="T240" i="4"/>
  <c r="U240" i="4"/>
  <c r="T241" i="4"/>
  <c r="U241" i="4"/>
  <c r="T243" i="4"/>
  <c r="U243" i="4"/>
  <c r="T244" i="4"/>
  <c r="U244" i="4"/>
  <c r="T245" i="4"/>
  <c r="U245" i="4"/>
  <c r="T247" i="4"/>
  <c r="U247" i="4"/>
  <c r="T249" i="4"/>
  <c r="U249" i="4"/>
  <c r="T250" i="4"/>
  <c r="U250" i="4"/>
  <c r="T251" i="4"/>
  <c r="U251" i="4"/>
  <c r="T252" i="4"/>
  <c r="U252" i="4"/>
  <c r="T254" i="4"/>
  <c r="U254" i="4"/>
  <c r="T257" i="4"/>
  <c r="U257" i="4"/>
  <c r="T259" i="4"/>
  <c r="U259" i="4"/>
  <c r="T261" i="4"/>
  <c r="U261" i="4"/>
  <c r="T262" i="4"/>
  <c r="U262" i="4"/>
  <c r="T263" i="4"/>
  <c r="U263" i="4"/>
  <c r="T264" i="4"/>
  <c r="U264" i="4"/>
  <c r="T265" i="4"/>
  <c r="U265" i="4"/>
  <c r="T266" i="4"/>
  <c r="U266" i="4"/>
  <c r="T267" i="4"/>
  <c r="U267" i="4"/>
  <c r="T268" i="4"/>
  <c r="U268" i="4"/>
  <c r="T269" i="4"/>
  <c r="U269" i="4"/>
  <c r="T271" i="4"/>
  <c r="U271" i="4"/>
  <c r="T273" i="4"/>
  <c r="U273" i="4"/>
  <c r="T274" i="4"/>
  <c r="U274" i="4"/>
  <c r="T275" i="4"/>
  <c r="U275" i="4"/>
  <c r="T276" i="4"/>
  <c r="U276" i="4"/>
  <c r="T277" i="4"/>
  <c r="U277" i="4"/>
  <c r="T279" i="4"/>
  <c r="U279" i="4"/>
  <c r="T281" i="4"/>
  <c r="U281" i="4"/>
  <c r="T282" i="4"/>
  <c r="U282" i="4"/>
  <c r="T283" i="4"/>
  <c r="U283" i="4"/>
  <c r="T284" i="4"/>
  <c r="U284" i="4"/>
  <c r="T285" i="4"/>
  <c r="U285" i="4"/>
  <c r="T286" i="4"/>
  <c r="U286" i="4"/>
  <c r="T288" i="4"/>
  <c r="U288" i="4"/>
  <c r="T289" i="4"/>
  <c r="U289" i="4"/>
  <c r="T290" i="4"/>
  <c r="U290" i="4"/>
  <c r="T291" i="4"/>
  <c r="U291" i="4"/>
  <c r="T292" i="4"/>
  <c r="U292" i="4"/>
  <c r="T293" i="4"/>
  <c r="U293" i="4"/>
  <c r="T294" i="4"/>
  <c r="U294" i="4"/>
  <c r="T295" i="4"/>
  <c r="U295" i="4"/>
  <c r="T296" i="4"/>
  <c r="U296" i="4"/>
  <c r="T297" i="4"/>
  <c r="U297" i="4"/>
  <c r="T298" i="4"/>
  <c r="U298" i="4"/>
  <c r="T299" i="4"/>
  <c r="U299" i="4"/>
  <c r="T300" i="4"/>
  <c r="U300" i="4"/>
  <c r="T301" i="4"/>
  <c r="U301" i="4"/>
  <c r="T302" i="4"/>
  <c r="U302" i="4"/>
  <c r="T303" i="4"/>
  <c r="U303" i="4"/>
  <c r="T304" i="4"/>
  <c r="U304" i="4"/>
  <c r="T305" i="4"/>
  <c r="U305" i="4"/>
  <c r="T306" i="4"/>
  <c r="U306" i="4"/>
  <c r="T307" i="4"/>
  <c r="U307" i="4"/>
  <c r="T308" i="4"/>
  <c r="U308" i="4"/>
  <c r="T309" i="4"/>
  <c r="U309" i="4"/>
  <c r="T310" i="4"/>
  <c r="U310" i="4"/>
  <c r="T311" i="4"/>
  <c r="U311" i="4"/>
  <c r="T312" i="4"/>
  <c r="U312" i="4"/>
  <c r="T313" i="4"/>
  <c r="U313" i="4"/>
  <c r="T314" i="4"/>
  <c r="U314" i="4"/>
  <c r="T315" i="4"/>
  <c r="U315" i="4"/>
  <c r="T316" i="4"/>
  <c r="U316" i="4"/>
  <c r="T317" i="4"/>
  <c r="U317" i="4"/>
  <c r="T318" i="4"/>
  <c r="U318" i="4"/>
  <c r="T319" i="4"/>
  <c r="U319" i="4"/>
  <c r="T320" i="4"/>
  <c r="U320" i="4"/>
  <c r="T321" i="4"/>
  <c r="U321" i="4"/>
  <c r="T322" i="4"/>
  <c r="U322" i="4"/>
  <c r="T323" i="4"/>
  <c r="U323" i="4"/>
  <c r="T324" i="4"/>
  <c r="U324" i="4"/>
  <c r="T325" i="4"/>
  <c r="U325" i="4"/>
  <c r="T326" i="4"/>
  <c r="U326" i="4"/>
  <c r="T327" i="4"/>
  <c r="U327" i="4"/>
  <c r="T328" i="4"/>
  <c r="U328" i="4"/>
  <c r="T329" i="4"/>
  <c r="U329" i="4"/>
  <c r="T330" i="4"/>
  <c r="U330" i="4"/>
  <c r="T331" i="4"/>
  <c r="U331" i="4"/>
  <c r="T332" i="4"/>
  <c r="U332" i="4"/>
  <c r="T333" i="4"/>
  <c r="U333" i="4"/>
  <c r="T334" i="4"/>
  <c r="U334" i="4"/>
  <c r="T335" i="4"/>
  <c r="U335" i="4"/>
  <c r="T336" i="4"/>
  <c r="U336" i="4"/>
  <c r="T337" i="4"/>
  <c r="U337" i="4"/>
  <c r="T338" i="4"/>
  <c r="U338" i="4"/>
  <c r="T339" i="4"/>
  <c r="U339" i="4"/>
  <c r="T340" i="4"/>
  <c r="U340" i="4"/>
  <c r="T341" i="4"/>
  <c r="U341" i="4"/>
  <c r="T342" i="4"/>
  <c r="U342" i="4"/>
  <c r="T343" i="4"/>
  <c r="U343" i="4"/>
  <c r="T344" i="4"/>
  <c r="U344" i="4"/>
  <c r="T345" i="4"/>
  <c r="U345" i="4"/>
  <c r="T346" i="4"/>
  <c r="U346" i="4"/>
  <c r="T347" i="4"/>
  <c r="U347" i="4"/>
  <c r="T348" i="4"/>
  <c r="U348" i="4"/>
  <c r="T349" i="4"/>
  <c r="U349" i="4"/>
  <c r="T350" i="4"/>
  <c r="U350" i="4"/>
  <c r="T351" i="4"/>
  <c r="U351" i="4"/>
  <c r="T352" i="4"/>
  <c r="U352" i="4"/>
  <c r="T353" i="4"/>
  <c r="U353" i="4"/>
  <c r="T354" i="4"/>
  <c r="U354" i="4"/>
  <c r="T355" i="4"/>
  <c r="U355" i="4"/>
  <c r="T356" i="4"/>
  <c r="U356" i="4"/>
  <c r="T357" i="4"/>
  <c r="U357" i="4"/>
  <c r="T358" i="4"/>
  <c r="U358" i="4"/>
  <c r="T359" i="4"/>
  <c r="U359" i="4"/>
  <c r="T360" i="4"/>
  <c r="U360" i="4"/>
  <c r="T361" i="4"/>
  <c r="U361" i="4"/>
  <c r="T362" i="4"/>
  <c r="U362" i="4"/>
  <c r="T363" i="4"/>
  <c r="U363" i="4"/>
  <c r="T364" i="4"/>
  <c r="U364" i="4"/>
  <c r="T365" i="4"/>
  <c r="U365" i="4"/>
  <c r="T366" i="4"/>
  <c r="U366" i="4"/>
  <c r="T367" i="4"/>
  <c r="U367" i="4"/>
  <c r="T368" i="4"/>
  <c r="U368" i="4"/>
  <c r="T369" i="4"/>
  <c r="U369" i="4"/>
  <c r="T370" i="4"/>
  <c r="U370" i="4"/>
  <c r="T371" i="4"/>
  <c r="U371" i="4"/>
  <c r="T372" i="4"/>
  <c r="U372" i="4"/>
  <c r="T373" i="4"/>
  <c r="U373" i="4"/>
  <c r="T374" i="4"/>
  <c r="U374" i="4"/>
  <c r="T375" i="4"/>
  <c r="U375" i="4"/>
  <c r="T376" i="4"/>
  <c r="U376" i="4"/>
  <c r="T377" i="4"/>
  <c r="U377" i="4"/>
  <c r="T378" i="4"/>
  <c r="U378" i="4"/>
  <c r="T379" i="4"/>
  <c r="U379" i="4"/>
  <c r="T380" i="4"/>
  <c r="U380" i="4"/>
  <c r="T381" i="4"/>
  <c r="U381" i="4"/>
  <c r="T382" i="4"/>
  <c r="U382" i="4"/>
  <c r="T383" i="4"/>
  <c r="U383" i="4"/>
  <c r="T384" i="4"/>
  <c r="U384" i="4"/>
  <c r="T385" i="4"/>
  <c r="U385" i="4"/>
  <c r="T386" i="4"/>
  <c r="U386" i="4"/>
  <c r="T387" i="4"/>
  <c r="U387" i="4"/>
  <c r="T388" i="4"/>
  <c r="U388" i="4"/>
  <c r="T389" i="4"/>
  <c r="U389" i="4"/>
  <c r="T390" i="4"/>
  <c r="U390" i="4"/>
  <c r="T391" i="4"/>
  <c r="U391" i="4"/>
  <c r="T392" i="4"/>
  <c r="U392" i="4"/>
  <c r="T393" i="4"/>
  <c r="U393" i="4"/>
  <c r="T394" i="4"/>
  <c r="U394" i="4"/>
  <c r="T395" i="4"/>
  <c r="U395" i="4"/>
  <c r="T396" i="4"/>
  <c r="U396" i="4"/>
  <c r="T397" i="4"/>
  <c r="U397" i="4"/>
  <c r="T398" i="4"/>
  <c r="U398" i="4"/>
  <c r="T399" i="4"/>
  <c r="U399" i="4"/>
  <c r="T400" i="4"/>
  <c r="U400" i="4"/>
  <c r="T401" i="4"/>
  <c r="U401" i="4"/>
  <c r="T402" i="4"/>
  <c r="U402" i="4"/>
  <c r="T403" i="4"/>
  <c r="U403" i="4"/>
  <c r="T404" i="4"/>
  <c r="U404" i="4"/>
  <c r="T405" i="4"/>
  <c r="U405" i="4"/>
  <c r="T406" i="4"/>
  <c r="U406" i="4"/>
  <c r="T407" i="4"/>
  <c r="U407" i="4"/>
  <c r="T408" i="4"/>
  <c r="U408" i="4"/>
  <c r="T409" i="4"/>
  <c r="U409" i="4"/>
  <c r="T410" i="4"/>
  <c r="U410" i="4"/>
  <c r="T411" i="4"/>
  <c r="U411" i="4"/>
  <c r="T412" i="4"/>
  <c r="U412" i="4"/>
  <c r="T413" i="4"/>
  <c r="U413" i="4"/>
  <c r="T414" i="4"/>
  <c r="U414" i="4"/>
  <c r="T415" i="4"/>
  <c r="U415" i="4"/>
  <c r="T416" i="4"/>
  <c r="U416" i="4"/>
  <c r="T417" i="4"/>
  <c r="U417" i="4"/>
  <c r="T418" i="4"/>
  <c r="U418" i="4"/>
  <c r="T419" i="4"/>
  <c r="U419" i="4"/>
  <c r="T420" i="4"/>
  <c r="U420" i="4"/>
  <c r="T421" i="4"/>
  <c r="U421" i="4"/>
  <c r="T422" i="4"/>
  <c r="U422" i="4"/>
  <c r="T423" i="4"/>
  <c r="U423" i="4"/>
  <c r="T424" i="4"/>
  <c r="U424" i="4"/>
  <c r="T425" i="4"/>
  <c r="U425" i="4"/>
  <c r="T426" i="4"/>
  <c r="U426" i="4"/>
  <c r="T427" i="4"/>
  <c r="U427" i="4"/>
  <c r="T428" i="4"/>
  <c r="U428" i="4"/>
  <c r="T429" i="4"/>
  <c r="U429" i="4"/>
  <c r="T430" i="4"/>
  <c r="U430" i="4"/>
  <c r="T431" i="4"/>
  <c r="U431" i="4"/>
  <c r="T432" i="4"/>
  <c r="U432" i="4"/>
  <c r="T433" i="4"/>
  <c r="U433" i="4"/>
  <c r="T434" i="4"/>
  <c r="U434" i="4"/>
  <c r="T435" i="4"/>
  <c r="U435" i="4"/>
  <c r="T436" i="4"/>
  <c r="U436" i="4"/>
  <c r="T437" i="4"/>
  <c r="U437" i="4"/>
  <c r="T438" i="4"/>
  <c r="U438" i="4"/>
  <c r="T439" i="4"/>
  <c r="U439" i="4"/>
  <c r="T440" i="4"/>
  <c r="U440" i="4"/>
  <c r="T441" i="4"/>
  <c r="U441" i="4"/>
  <c r="T442" i="4"/>
  <c r="U442" i="4"/>
  <c r="T443" i="4"/>
  <c r="U443" i="4"/>
  <c r="T444" i="4"/>
  <c r="U444" i="4"/>
  <c r="T445" i="4"/>
  <c r="U445" i="4"/>
  <c r="T446" i="4"/>
  <c r="U446" i="4"/>
  <c r="T447" i="4"/>
  <c r="U447" i="4"/>
  <c r="T448" i="4"/>
  <c r="U448" i="4"/>
  <c r="T449" i="4"/>
  <c r="U449" i="4"/>
  <c r="T450" i="4"/>
  <c r="U450" i="4"/>
  <c r="T451" i="4"/>
  <c r="U451" i="4"/>
  <c r="T452" i="4"/>
  <c r="U452" i="4"/>
  <c r="T453" i="4"/>
  <c r="U453" i="4"/>
  <c r="T454" i="4"/>
  <c r="U454" i="4"/>
  <c r="T455" i="4"/>
  <c r="U455" i="4"/>
  <c r="T456" i="4"/>
  <c r="U456" i="4"/>
  <c r="T457" i="4"/>
  <c r="U457" i="4"/>
  <c r="T458" i="4"/>
  <c r="U458" i="4"/>
  <c r="T459" i="4"/>
  <c r="U459" i="4"/>
  <c r="T460" i="4"/>
  <c r="U460" i="4"/>
  <c r="T461" i="4"/>
  <c r="U461" i="4"/>
  <c r="T462" i="4"/>
  <c r="U462" i="4"/>
  <c r="T463" i="4"/>
  <c r="U463" i="4"/>
  <c r="T464" i="4"/>
  <c r="U464" i="4"/>
  <c r="T465" i="4"/>
  <c r="U465" i="4"/>
  <c r="T466" i="4"/>
  <c r="U466" i="4"/>
  <c r="T467" i="4"/>
  <c r="U467" i="4"/>
  <c r="T468" i="4"/>
  <c r="U468" i="4"/>
  <c r="T469" i="4"/>
  <c r="U469" i="4"/>
  <c r="T470" i="4"/>
  <c r="U470" i="4"/>
  <c r="T471" i="4"/>
  <c r="U471" i="4"/>
  <c r="T472" i="4"/>
  <c r="U472" i="4"/>
  <c r="T473" i="4"/>
  <c r="U473" i="4"/>
  <c r="T474" i="4"/>
  <c r="U474" i="4"/>
  <c r="T475" i="4"/>
  <c r="U475" i="4"/>
  <c r="T476" i="4"/>
  <c r="U476" i="4"/>
  <c r="T477" i="4"/>
  <c r="U477" i="4"/>
  <c r="T478" i="4"/>
  <c r="U478" i="4"/>
  <c r="T479" i="4"/>
  <c r="U479" i="4"/>
  <c r="T480" i="4"/>
  <c r="U480" i="4"/>
  <c r="T481" i="4"/>
  <c r="U481" i="4"/>
  <c r="T482" i="4"/>
  <c r="U482" i="4"/>
  <c r="T483" i="4"/>
  <c r="U483" i="4"/>
  <c r="T484" i="4"/>
  <c r="U484" i="4"/>
  <c r="T485" i="4"/>
  <c r="U485" i="4"/>
  <c r="T486" i="4"/>
  <c r="U486" i="4"/>
  <c r="T487" i="4"/>
  <c r="U487" i="4"/>
  <c r="T488" i="4"/>
  <c r="U488" i="4"/>
  <c r="T489" i="4"/>
  <c r="U489" i="4"/>
  <c r="T490" i="4"/>
  <c r="U490" i="4"/>
  <c r="T491" i="4"/>
  <c r="U491" i="4"/>
  <c r="T493" i="4"/>
  <c r="U493" i="4"/>
  <c r="T494" i="4"/>
  <c r="U494" i="4"/>
  <c r="T495" i="4"/>
  <c r="U495" i="4"/>
  <c r="T496" i="4"/>
  <c r="U496" i="4"/>
  <c r="T497" i="4"/>
  <c r="U497" i="4"/>
  <c r="T498" i="4"/>
  <c r="U498" i="4"/>
  <c r="T499" i="4"/>
  <c r="U499" i="4"/>
  <c r="T500" i="4"/>
  <c r="U500" i="4"/>
  <c r="T501" i="4"/>
  <c r="U501" i="4"/>
  <c r="T502" i="4"/>
  <c r="U502" i="4"/>
  <c r="T503" i="4"/>
  <c r="U503" i="4"/>
  <c r="R5" i="4"/>
  <c r="R7" i="4"/>
  <c r="R8" i="4"/>
  <c r="R11" i="4"/>
  <c r="R12" i="4"/>
  <c r="R14" i="4"/>
  <c r="R15" i="4"/>
  <c r="R18" i="4"/>
  <c r="R20" i="4"/>
  <c r="R21" i="4"/>
  <c r="R22" i="4"/>
  <c r="R23" i="4"/>
  <c r="R25" i="4"/>
  <c r="R27" i="4"/>
  <c r="R28" i="4"/>
  <c r="R29" i="4"/>
  <c r="R30" i="4"/>
  <c r="R31" i="4"/>
  <c r="R32" i="4"/>
  <c r="R33" i="4"/>
  <c r="R34" i="4"/>
  <c r="R35" i="4"/>
  <c r="R36" i="4"/>
  <c r="R37" i="4"/>
  <c r="R38" i="4"/>
  <c r="R39" i="4"/>
  <c r="R40" i="4"/>
  <c r="R41" i="4"/>
  <c r="R42" i="4"/>
  <c r="R45" i="4"/>
  <c r="R46" i="4"/>
  <c r="R47" i="4"/>
  <c r="R48" i="4"/>
  <c r="R49" i="4"/>
  <c r="R50" i="4"/>
  <c r="R51" i="4"/>
  <c r="R52" i="4"/>
  <c r="R53" i="4"/>
  <c r="R54" i="4"/>
  <c r="R56" i="4"/>
  <c r="R57" i="4"/>
  <c r="R58" i="4"/>
  <c r="R59" i="4"/>
  <c r="R60" i="4"/>
  <c r="R61" i="4"/>
  <c r="R62" i="4"/>
  <c r="R63" i="4"/>
  <c r="R64" i="4"/>
  <c r="R65" i="4"/>
  <c r="R67" i="4"/>
  <c r="R68" i="4"/>
  <c r="R69" i="4"/>
  <c r="R70" i="4"/>
  <c r="R71" i="4"/>
  <c r="R72" i="4"/>
  <c r="R73" i="4"/>
  <c r="R74" i="4"/>
  <c r="R75" i="4"/>
  <c r="R76" i="4"/>
  <c r="R77" i="4"/>
  <c r="R78" i="4"/>
  <c r="R79" i="4"/>
  <c r="R80" i="4"/>
  <c r="R81" i="4"/>
  <c r="R82" i="4"/>
  <c r="R83" i="4"/>
  <c r="R84" i="4"/>
  <c r="R85" i="4"/>
  <c r="R86" i="4"/>
  <c r="R87" i="4"/>
  <c r="R88" i="4"/>
  <c r="R89" i="4"/>
  <c r="R90" i="4"/>
  <c r="R91" i="4"/>
  <c r="R92" i="4"/>
  <c r="R94" i="4"/>
  <c r="R95" i="4"/>
  <c r="R96" i="4"/>
  <c r="R97" i="4"/>
  <c r="R98" i="4"/>
  <c r="R99" i="4"/>
  <c r="R100" i="4"/>
  <c r="R101" i="4"/>
  <c r="R103" i="4"/>
  <c r="R104" i="4"/>
  <c r="R105" i="4"/>
  <c r="R107" i="4"/>
  <c r="R108" i="4"/>
  <c r="R109"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8" i="4"/>
  <c r="R139" i="4"/>
  <c r="R140" i="4"/>
  <c r="R141" i="4"/>
  <c r="R142" i="4"/>
  <c r="R143" i="4"/>
  <c r="R144" i="4"/>
  <c r="R145" i="4"/>
  <c r="R146" i="4"/>
  <c r="R147" i="4"/>
  <c r="R150" i="4"/>
  <c r="R151" i="4"/>
  <c r="R153" i="4"/>
  <c r="R154" i="4"/>
  <c r="R155" i="4"/>
  <c r="R156" i="4"/>
  <c r="R157" i="4"/>
  <c r="R159" i="4"/>
  <c r="R161" i="4"/>
  <c r="R162" i="4"/>
  <c r="R163" i="4"/>
  <c r="R166" i="4"/>
  <c r="R167" i="4"/>
  <c r="R168" i="4"/>
  <c r="R169" i="4"/>
  <c r="R170" i="4"/>
  <c r="R171" i="4"/>
  <c r="R172" i="4"/>
  <c r="R173" i="4"/>
  <c r="R174" i="4"/>
  <c r="R175" i="4"/>
  <c r="R176" i="4"/>
  <c r="R177" i="4"/>
  <c r="R178" i="4"/>
  <c r="R179" i="4"/>
  <c r="R180" i="4"/>
  <c r="R181" i="4"/>
  <c r="R182" i="4"/>
  <c r="R183" i="4"/>
  <c r="R184" i="4"/>
  <c r="R185" i="4"/>
  <c r="R186" i="4"/>
  <c r="R188" i="4"/>
  <c r="R189" i="4"/>
  <c r="R190"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1" i="4"/>
  <c r="R232" i="4"/>
  <c r="R233" i="4"/>
  <c r="R234" i="4"/>
  <c r="R235" i="4"/>
  <c r="R236" i="4"/>
  <c r="R237" i="4"/>
  <c r="R238" i="4"/>
  <c r="R239" i="4"/>
  <c r="R240" i="4"/>
  <c r="R241" i="4"/>
  <c r="R243" i="4"/>
  <c r="R244" i="4"/>
  <c r="R245" i="4"/>
  <c r="R247" i="4"/>
  <c r="R249" i="4"/>
  <c r="R250" i="4"/>
  <c r="R251" i="4"/>
  <c r="R252" i="4"/>
  <c r="R254" i="4"/>
  <c r="R257" i="4"/>
  <c r="R259" i="4"/>
  <c r="R261" i="4"/>
  <c r="R262" i="4"/>
  <c r="R263" i="4"/>
  <c r="R264" i="4"/>
  <c r="R265" i="4"/>
  <c r="R266" i="4"/>
  <c r="R267" i="4"/>
  <c r="R268" i="4"/>
  <c r="R269" i="4"/>
  <c r="R271" i="4"/>
  <c r="R273" i="4"/>
  <c r="R274" i="4"/>
  <c r="R275" i="4"/>
  <c r="R276" i="4"/>
  <c r="R277" i="4"/>
  <c r="R279" i="4"/>
  <c r="R281" i="4"/>
  <c r="R282" i="4"/>
  <c r="R283" i="4"/>
  <c r="R284" i="4"/>
  <c r="R285" i="4"/>
  <c r="R286"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3" i="4"/>
  <c r="R494" i="4"/>
  <c r="R495" i="4"/>
  <c r="R496" i="4"/>
  <c r="R497" i="4"/>
  <c r="R498" i="4"/>
  <c r="R499" i="4"/>
  <c r="R500" i="4"/>
  <c r="R501" i="4"/>
  <c r="R502" i="4"/>
  <c r="R503"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4" i="4"/>
  <c r="P5" i="4"/>
  <c r="P7" i="4"/>
  <c r="P8" i="4"/>
  <c r="P11" i="4"/>
  <c r="P12" i="4"/>
  <c r="P14" i="4"/>
  <c r="P15" i="4"/>
  <c r="P17" i="4"/>
  <c r="P18" i="4"/>
  <c r="P20" i="4"/>
  <c r="P21" i="4"/>
  <c r="P22" i="4"/>
  <c r="P23" i="4"/>
  <c r="P25" i="4"/>
  <c r="P26" i="4"/>
  <c r="P27" i="4"/>
  <c r="P28" i="4"/>
  <c r="P29" i="4"/>
  <c r="P30" i="4"/>
  <c r="P31" i="4"/>
  <c r="P32" i="4"/>
  <c r="P33" i="4"/>
  <c r="P34" i="4"/>
  <c r="P35" i="4"/>
  <c r="P36" i="4"/>
  <c r="P37" i="4"/>
  <c r="P38" i="4"/>
  <c r="P39" i="4"/>
  <c r="P40" i="4"/>
  <c r="P41" i="4"/>
  <c r="P42" i="4"/>
  <c r="P45" i="4"/>
  <c r="P46" i="4"/>
  <c r="P47" i="4"/>
  <c r="P48" i="4"/>
  <c r="P49" i="4"/>
  <c r="P50" i="4"/>
  <c r="P51" i="4"/>
  <c r="P52" i="4"/>
  <c r="P53" i="4"/>
  <c r="P54" i="4"/>
  <c r="P56" i="4"/>
  <c r="P57" i="4"/>
  <c r="P58" i="4"/>
  <c r="P59" i="4"/>
  <c r="P60" i="4"/>
  <c r="P61" i="4"/>
  <c r="P62" i="4"/>
  <c r="P63" i="4"/>
  <c r="P64" i="4"/>
  <c r="P65" i="4"/>
  <c r="P67" i="4"/>
  <c r="P68" i="4"/>
  <c r="P69" i="4"/>
  <c r="P70" i="4"/>
  <c r="P71" i="4"/>
  <c r="P72" i="4"/>
  <c r="P73" i="4"/>
  <c r="P74" i="4"/>
  <c r="P75" i="4"/>
  <c r="P76" i="4"/>
  <c r="P77" i="4"/>
  <c r="P78" i="4"/>
  <c r="P79" i="4"/>
  <c r="P80" i="4"/>
  <c r="P81" i="4"/>
  <c r="P82" i="4"/>
  <c r="P83" i="4"/>
  <c r="P84" i="4"/>
  <c r="P85" i="4"/>
  <c r="P86" i="4"/>
  <c r="P87" i="4"/>
  <c r="P88" i="4"/>
  <c r="P89" i="4"/>
  <c r="P90" i="4"/>
  <c r="P91" i="4"/>
  <c r="P92" i="4"/>
  <c r="P94" i="4"/>
  <c r="P95" i="4"/>
  <c r="P96" i="4"/>
  <c r="P97" i="4"/>
  <c r="P98" i="4"/>
  <c r="P99" i="4"/>
  <c r="P100" i="4"/>
  <c r="P101" i="4"/>
  <c r="P103" i="4"/>
  <c r="P104" i="4"/>
  <c r="P105" i="4"/>
  <c r="P107" i="4"/>
  <c r="P108" i="4"/>
  <c r="P109"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8" i="4"/>
  <c r="P139" i="4"/>
  <c r="P140" i="4"/>
  <c r="P141" i="4"/>
  <c r="P142" i="4"/>
  <c r="P143" i="4"/>
  <c r="P144" i="4"/>
  <c r="P145" i="4"/>
  <c r="P146" i="4"/>
  <c r="P147" i="4"/>
  <c r="P150" i="4"/>
  <c r="P151" i="4"/>
  <c r="P153" i="4"/>
  <c r="P154" i="4"/>
  <c r="P155" i="4"/>
  <c r="P156" i="4"/>
  <c r="P157" i="4"/>
  <c r="P159" i="4"/>
  <c r="P161" i="4"/>
  <c r="P162" i="4"/>
  <c r="P163" i="4"/>
  <c r="P166" i="4"/>
  <c r="P167" i="4"/>
  <c r="P168" i="4"/>
  <c r="P169" i="4"/>
  <c r="P170" i="4"/>
  <c r="P171" i="4"/>
  <c r="P172" i="4"/>
  <c r="P173" i="4"/>
  <c r="P174" i="4"/>
  <c r="P175" i="4"/>
  <c r="P176" i="4"/>
  <c r="P177" i="4"/>
  <c r="P178" i="4"/>
  <c r="P179" i="4"/>
  <c r="P180" i="4"/>
  <c r="P181" i="4"/>
  <c r="P182" i="4"/>
  <c r="P183" i="4"/>
  <c r="P184" i="4"/>
  <c r="P185" i="4"/>
  <c r="P186" i="4"/>
  <c r="P188" i="4"/>
  <c r="P189" i="4"/>
  <c r="P190"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1" i="4"/>
  <c r="P232" i="4"/>
  <c r="P233" i="4"/>
  <c r="P234" i="4"/>
  <c r="P235" i="4"/>
  <c r="P236" i="4"/>
  <c r="P237" i="4"/>
  <c r="P238" i="4"/>
  <c r="P239" i="4"/>
  <c r="P240" i="4"/>
  <c r="P241" i="4"/>
  <c r="P243" i="4"/>
  <c r="P244" i="4"/>
  <c r="P245" i="4"/>
  <c r="P247" i="4"/>
  <c r="P249" i="4"/>
  <c r="P250" i="4"/>
  <c r="P251" i="4"/>
  <c r="P252" i="4"/>
  <c r="P254" i="4"/>
  <c r="P257" i="4"/>
  <c r="P259" i="4"/>
  <c r="P261" i="4"/>
  <c r="P262" i="4"/>
  <c r="P263" i="4"/>
  <c r="P264" i="4"/>
  <c r="P265" i="4"/>
  <c r="P266" i="4"/>
  <c r="P267" i="4"/>
  <c r="P268" i="4"/>
  <c r="P269" i="4"/>
  <c r="P271" i="4"/>
  <c r="P273" i="4"/>
  <c r="P274" i="4"/>
  <c r="P275" i="4"/>
  <c r="P276" i="4"/>
  <c r="P277" i="4"/>
  <c r="P279" i="4"/>
  <c r="P281" i="4"/>
  <c r="P282" i="4"/>
  <c r="P283" i="4"/>
  <c r="P284" i="4"/>
  <c r="P285" i="4"/>
  <c r="P286"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3" i="4"/>
  <c r="P494" i="4"/>
  <c r="P495" i="4"/>
  <c r="P496" i="4"/>
  <c r="P497" i="4"/>
  <c r="P498" i="4"/>
  <c r="P499" i="4"/>
  <c r="P500" i="4"/>
  <c r="P501" i="4"/>
  <c r="P502" i="4"/>
  <c r="P503" i="4"/>
  <c r="P4" i="4"/>
  <c r="N5" i="4"/>
  <c r="N7" i="4"/>
  <c r="N8" i="4"/>
  <c r="N11" i="4"/>
  <c r="N12" i="4"/>
  <c r="N14" i="4"/>
  <c r="N15" i="4"/>
  <c r="N17" i="4"/>
  <c r="T17" i="4"/>
  <c r="U17" i="4"/>
  <c r="N18" i="4"/>
  <c r="N20" i="4"/>
  <c r="N21" i="4"/>
  <c r="N22" i="4"/>
  <c r="N23" i="4"/>
  <c r="N25" i="4"/>
  <c r="N26" i="4"/>
  <c r="N27" i="4"/>
  <c r="N28" i="4"/>
  <c r="N29" i="4"/>
  <c r="N30" i="4"/>
  <c r="N31" i="4"/>
  <c r="N32" i="4"/>
  <c r="N33" i="4"/>
  <c r="N34" i="4"/>
  <c r="N35" i="4"/>
  <c r="N36" i="4"/>
  <c r="N37" i="4"/>
  <c r="N38" i="4"/>
  <c r="N39" i="4"/>
  <c r="N40" i="4"/>
  <c r="N41" i="4"/>
  <c r="N42" i="4"/>
  <c r="N45" i="4"/>
  <c r="N46" i="4"/>
  <c r="N47" i="4"/>
  <c r="N48" i="4"/>
  <c r="N49" i="4"/>
  <c r="N50" i="4"/>
  <c r="N51" i="4"/>
  <c r="N52" i="4"/>
  <c r="N53" i="4"/>
  <c r="N54" i="4"/>
  <c r="N56" i="4"/>
  <c r="N57" i="4"/>
  <c r="N58" i="4"/>
  <c r="N59" i="4"/>
  <c r="N60" i="4"/>
  <c r="N61" i="4"/>
  <c r="N62" i="4"/>
  <c r="N63" i="4"/>
  <c r="N64" i="4"/>
  <c r="N65" i="4"/>
  <c r="N67" i="4"/>
  <c r="N68" i="4"/>
  <c r="N69" i="4"/>
  <c r="N70" i="4"/>
  <c r="N71" i="4"/>
  <c r="N72" i="4"/>
  <c r="N73" i="4"/>
  <c r="N74" i="4"/>
  <c r="N75" i="4"/>
  <c r="N76" i="4"/>
  <c r="N77" i="4"/>
  <c r="N78" i="4"/>
  <c r="N79" i="4"/>
  <c r="N80" i="4"/>
  <c r="N81" i="4"/>
  <c r="N82" i="4"/>
  <c r="N83" i="4"/>
  <c r="N84" i="4"/>
  <c r="N85" i="4"/>
  <c r="N86" i="4"/>
  <c r="N87" i="4"/>
  <c r="N88" i="4"/>
  <c r="N89" i="4"/>
  <c r="N90" i="4"/>
  <c r="N91" i="4"/>
  <c r="N92" i="4"/>
  <c r="N94" i="4"/>
  <c r="N95" i="4"/>
  <c r="N96" i="4"/>
  <c r="N97" i="4"/>
  <c r="N98" i="4"/>
  <c r="N99" i="4"/>
  <c r="N100" i="4"/>
  <c r="N101" i="4"/>
  <c r="N103" i="4"/>
  <c r="N104" i="4"/>
  <c r="N105" i="4"/>
  <c r="N107" i="4"/>
  <c r="N108" i="4"/>
  <c r="N109"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8" i="4"/>
  <c r="N139" i="4"/>
  <c r="N140" i="4"/>
  <c r="N141" i="4"/>
  <c r="N142" i="4"/>
  <c r="N143" i="4"/>
  <c r="N144" i="4"/>
  <c r="N145" i="4"/>
  <c r="N146" i="4"/>
  <c r="N147" i="4"/>
  <c r="N150" i="4"/>
  <c r="N151" i="4"/>
  <c r="N153" i="4"/>
  <c r="N154" i="4"/>
  <c r="N155" i="4"/>
  <c r="N156" i="4"/>
  <c r="N157" i="4"/>
  <c r="N161" i="4"/>
  <c r="N162" i="4"/>
  <c r="N163" i="4"/>
  <c r="N166" i="4"/>
  <c r="N167" i="4"/>
  <c r="N168" i="4"/>
  <c r="N169" i="4"/>
  <c r="N171" i="4"/>
  <c r="N172" i="4"/>
  <c r="N173" i="4"/>
  <c r="N174" i="4"/>
  <c r="N175" i="4"/>
  <c r="N176" i="4"/>
  <c r="N177" i="4"/>
  <c r="N178" i="4"/>
  <c r="N179" i="4"/>
  <c r="N180" i="4"/>
  <c r="N181" i="4"/>
  <c r="N182" i="4"/>
  <c r="N183" i="4"/>
  <c r="N184" i="4"/>
  <c r="N185" i="4"/>
  <c r="N186" i="4"/>
  <c r="N188" i="4"/>
  <c r="N189" i="4"/>
  <c r="N190"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1" i="4"/>
  <c r="N232" i="4"/>
  <c r="N233" i="4"/>
  <c r="N234" i="4"/>
  <c r="N235" i="4"/>
  <c r="N236" i="4"/>
  <c r="N237" i="4"/>
  <c r="N238" i="4"/>
  <c r="N239" i="4"/>
  <c r="N240" i="4"/>
  <c r="N241" i="4"/>
  <c r="N243" i="4"/>
  <c r="N244" i="4"/>
  <c r="N245" i="4"/>
  <c r="N247" i="4"/>
  <c r="N249" i="4"/>
  <c r="N250" i="4"/>
  <c r="N251" i="4"/>
  <c r="N252" i="4"/>
  <c r="N254" i="4"/>
  <c r="N257" i="4"/>
  <c r="N259" i="4"/>
  <c r="N261" i="4"/>
  <c r="N262" i="4"/>
  <c r="N263" i="4"/>
  <c r="N264" i="4"/>
  <c r="N265" i="4"/>
  <c r="N266" i="4"/>
  <c r="N267" i="4"/>
  <c r="N268" i="4"/>
  <c r="N269" i="4"/>
  <c r="N271" i="4"/>
  <c r="N273" i="4"/>
  <c r="N274" i="4"/>
  <c r="N275" i="4"/>
  <c r="N276" i="4"/>
  <c r="N277" i="4"/>
  <c r="N279" i="4"/>
  <c r="N281" i="4"/>
  <c r="N282" i="4"/>
  <c r="N283" i="4"/>
  <c r="N284" i="4"/>
  <c r="N285" i="4"/>
  <c r="N286"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3" i="4"/>
  <c r="N494" i="4"/>
  <c r="N495" i="4"/>
  <c r="N496" i="4"/>
  <c r="N497" i="4"/>
  <c r="N498" i="4"/>
  <c r="N499" i="4"/>
  <c r="N500" i="4"/>
  <c r="N501" i="4"/>
  <c r="N502" i="4"/>
  <c r="N503" i="4"/>
  <c r="A1" i="10" a="1"/>
  <c r="A1" i="10" s="1"/>
  <c r="B29" i="8" s="1"/>
  <c r="A1" i="9" a="1"/>
  <c r="A1" i="9" s="1"/>
  <c r="A1" i="4" a="1"/>
  <c r="A1" i="4" s="1"/>
  <c r="Z65" i="9"/>
  <c r="AA65" i="9"/>
  <c r="AB65" i="9"/>
  <c r="N247" i="9"/>
  <c r="V247" i="9"/>
  <c r="W247" i="9"/>
  <c r="X247" i="9"/>
  <c r="Z247" i="9"/>
  <c r="R247" i="9"/>
  <c r="P247" i="9"/>
  <c r="AA247" i="9"/>
  <c r="AB247" i="9"/>
  <c r="T247" i="9"/>
  <c r="N273" i="9"/>
  <c r="V17" i="4"/>
  <c r="W17" i="4"/>
  <c r="X17" i="4"/>
  <c r="R17" i="4"/>
  <c r="Y264" i="10"/>
  <c r="Z264" i="10"/>
  <c r="AA264" i="10"/>
  <c r="AB264" i="10" s="1"/>
  <c r="N264" i="10"/>
  <c r="P264" i="10"/>
  <c r="R264" i="10"/>
  <c r="Y441" i="9"/>
  <c r="N441" i="9"/>
  <c r="T441" i="9"/>
  <c r="Z441" i="9"/>
  <c r="P441" i="9"/>
  <c r="R441" i="9"/>
  <c r="AA441" i="9"/>
  <c r="AB441" i="9"/>
  <c r="N435" i="9"/>
  <c r="V435" i="9"/>
  <c r="W435" i="9"/>
  <c r="X435" i="9"/>
  <c r="AA435" i="9"/>
  <c r="AB435" i="9"/>
  <c r="Y435" i="9"/>
  <c r="P435" i="9"/>
  <c r="R435" i="9"/>
  <c r="Z435" i="9"/>
  <c r="AA424" i="9"/>
  <c r="AB424" i="9"/>
  <c r="Y424" i="9"/>
  <c r="N424" i="9"/>
  <c r="T424" i="9"/>
  <c r="Z424" i="9"/>
  <c r="P424" i="9"/>
  <c r="R424" i="9"/>
  <c r="AA418" i="9"/>
  <c r="AB418" i="9"/>
  <c r="Z418" i="9"/>
  <c r="P418" i="9"/>
  <c r="Y418" i="9"/>
  <c r="R418" i="9"/>
  <c r="N418" i="9"/>
  <c r="V418" i="9"/>
  <c r="W418" i="9"/>
  <c r="X418" i="9"/>
  <c r="Z416" i="9"/>
  <c r="Y416" i="9"/>
  <c r="N416" i="9"/>
  <c r="V416" i="9"/>
  <c r="W416" i="9"/>
  <c r="X416" i="9"/>
  <c r="R416" i="9"/>
  <c r="AA416" i="9"/>
  <c r="AB416" i="9"/>
  <c r="P416" i="9"/>
  <c r="Z411" i="9"/>
  <c r="T411" i="9"/>
  <c r="AA411" i="9"/>
  <c r="AB411" i="9"/>
  <c r="N411" i="9"/>
  <c r="R411" i="9"/>
  <c r="Y411" i="9"/>
  <c r="V411" i="9"/>
  <c r="W411" i="9"/>
  <c r="X411" i="9"/>
  <c r="P411" i="9"/>
  <c r="AA408" i="9"/>
  <c r="AB408" i="9"/>
  <c r="Z408" i="9"/>
  <c r="P408" i="9"/>
  <c r="R408" i="9"/>
  <c r="Y408" i="9"/>
  <c r="N408" i="9"/>
  <c r="T408" i="9"/>
  <c r="AA398" i="9"/>
  <c r="AB398" i="9"/>
  <c r="R398" i="9"/>
  <c r="Z398" i="9"/>
  <c r="N368" i="9"/>
  <c r="V368" i="9"/>
  <c r="W368" i="9"/>
  <c r="X368" i="9"/>
  <c r="P368" i="9"/>
  <c r="Y398" i="9"/>
  <c r="N398" i="9"/>
  <c r="T398" i="9"/>
  <c r="P398" i="9"/>
  <c r="Y368" i="9"/>
  <c r="Z368" i="9"/>
  <c r="AA368" i="9"/>
  <c r="AB368" i="9"/>
  <c r="R368" i="9"/>
  <c r="Z328" i="9"/>
  <c r="Y362" i="9"/>
  <c r="Y338" i="9"/>
  <c r="R362" i="9"/>
  <c r="Z362" i="9"/>
  <c r="N362" i="9"/>
  <c r="T362" i="9"/>
  <c r="P362" i="9"/>
  <c r="AA362" i="9"/>
  <c r="AB362" i="9"/>
  <c r="Z303" i="9"/>
  <c r="Z338" i="9"/>
  <c r="N328" i="9"/>
  <c r="V328" i="9"/>
  <c r="W328" i="9"/>
  <c r="X328" i="9"/>
  <c r="N338" i="9"/>
  <c r="V338" i="9"/>
  <c r="W338" i="9"/>
  <c r="X338" i="9"/>
  <c r="R328" i="9"/>
  <c r="P328" i="9"/>
  <c r="AA338" i="9"/>
  <c r="AB338" i="9"/>
  <c r="R338" i="9"/>
  <c r="P338" i="9"/>
  <c r="AA328" i="9"/>
  <c r="AB328" i="9"/>
  <c r="Y328" i="9"/>
  <c r="N303" i="9"/>
  <c r="T303" i="9"/>
  <c r="AA303" i="9"/>
  <c r="AB303" i="9"/>
  <c r="P303" i="9"/>
  <c r="R303" i="9"/>
  <c r="Y303" i="9"/>
  <c r="AA281" i="9"/>
  <c r="AB281" i="9"/>
  <c r="N281" i="9"/>
  <c r="V281" i="9"/>
  <c r="W281" i="9"/>
  <c r="X281" i="9"/>
  <c r="Y281" i="9"/>
  <c r="P281" i="9"/>
  <c r="R281" i="9"/>
  <c r="Z281" i="9"/>
  <c r="P280" i="9"/>
  <c r="N280" i="9"/>
  <c r="V280" i="9"/>
  <c r="W280" i="9"/>
  <c r="X280" i="9"/>
  <c r="Z280" i="9"/>
  <c r="R280" i="9"/>
  <c r="Y280" i="9"/>
  <c r="AA280" i="9"/>
  <c r="AB280" i="9"/>
  <c r="Z270" i="4"/>
  <c r="AA270" i="4"/>
  <c r="AB270" i="4"/>
  <c r="Y270" i="4"/>
  <c r="N270" i="4"/>
  <c r="V270" i="4"/>
  <c r="W270" i="4"/>
  <c r="X270" i="4"/>
  <c r="P270" i="4"/>
  <c r="R270" i="4"/>
  <c r="AA152" i="4"/>
  <c r="AB152" i="4"/>
  <c r="N152" i="4"/>
  <c r="T152" i="4"/>
  <c r="U152" i="4"/>
  <c r="Y170" i="4"/>
  <c r="Z170" i="4"/>
  <c r="N170" i="4"/>
  <c r="T170" i="4"/>
  <c r="U170" i="4"/>
  <c r="AA170" i="4"/>
  <c r="AB170" i="4"/>
  <c r="Y159" i="4"/>
  <c r="AA159" i="4"/>
  <c r="AB159" i="4"/>
  <c r="N159" i="4"/>
  <c r="T159" i="4"/>
  <c r="U159" i="4"/>
  <c r="V159" i="4"/>
  <c r="W159" i="4"/>
  <c r="X159" i="4"/>
  <c r="Z159" i="4"/>
  <c r="Z152" i="4"/>
  <c r="P152" i="4"/>
  <c r="R152" i="4"/>
  <c r="Y152" i="4"/>
  <c r="N102" i="4"/>
  <c r="T102" i="4"/>
  <c r="U102" i="4"/>
  <c r="Y102" i="4"/>
  <c r="AA102" i="4"/>
  <c r="AB102" i="4"/>
  <c r="P43" i="4"/>
  <c r="R102" i="4"/>
  <c r="P102" i="4"/>
  <c r="Z102" i="4"/>
  <c r="AA43" i="4"/>
  <c r="AB43" i="4"/>
  <c r="N43" i="4"/>
  <c r="V43" i="4"/>
  <c r="W43" i="4"/>
  <c r="X43" i="4"/>
  <c r="Z43" i="4"/>
  <c r="R43" i="4"/>
  <c r="Y43" i="4"/>
  <c r="T26" i="4"/>
  <c r="U26" i="4"/>
  <c r="R26" i="4"/>
  <c r="AA26" i="4"/>
  <c r="AB26" i="4"/>
  <c r="U441" i="9"/>
  <c r="U303" i="9"/>
  <c r="U398" i="9"/>
  <c r="U362" i="9"/>
  <c r="U247" i="9"/>
  <c r="U408" i="9"/>
  <c r="U411" i="9"/>
  <c r="U424" i="9"/>
  <c r="T264" i="10"/>
  <c r="V264" i="10"/>
  <c r="W264" i="10"/>
  <c r="X264" i="10"/>
  <c r="V441" i="9"/>
  <c r="W441" i="9"/>
  <c r="X441" i="9"/>
  <c r="T435" i="9"/>
  <c r="V424" i="9"/>
  <c r="W424" i="9"/>
  <c r="X424" i="9"/>
  <c r="T416" i="9"/>
  <c r="T418" i="9"/>
  <c r="V408" i="9"/>
  <c r="W408" i="9"/>
  <c r="X408" i="9"/>
  <c r="T368" i="9"/>
  <c r="V398" i="9"/>
  <c r="W398" i="9"/>
  <c r="X398" i="9"/>
  <c r="T328" i="9"/>
  <c r="T338" i="9"/>
  <c r="V362" i="9"/>
  <c r="W362" i="9"/>
  <c r="X362" i="9"/>
  <c r="V303" i="9"/>
  <c r="W303" i="9"/>
  <c r="X303" i="9"/>
  <c r="T281" i="9"/>
  <c r="T280" i="9"/>
  <c r="V152" i="4"/>
  <c r="W152" i="4"/>
  <c r="X152" i="4"/>
  <c r="T270" i="4"/>
  <c r="U270" i="4"/>
  <c r="V102" i="4"/>
  <c r="W102" i="4"/>
  <c r="X102" i="4"/>
  <c r="V170" i="4"/>
  <c r="W170" i="4"/>
  <c r="X170" i="4"/>
  <c r="T43" i="4"/>
  <c r="U43" i="4"/>
  <c r="U264" i="10"/>
  <c r="U280" i="9"/>
  <c r="U338" i="9"/>
  <c r="U435" i="9"/>
  <c r="U328" i="9"/>
  <c r="U418" i="9"/>
  <c r="U416" i="9"/>
  <c r="U281" i="9"/>
  <c r="U368" i="9"/>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D3" i="1"/>
  <c r="B4" i="10" a="1"/>
  <c r="S24" i="10" s="1"/>
  <c r="B4" i="4" a="1"/>
  <c r="AE287" i="4" s="1"/>
  <c r="B4" i="9" a="1"/>
  <c r="AC233" i="9" s="1"/>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 i="3"/>
  <c r="A3" i="3"/>
  <c r="A4" i="3"/>
  <c r="A5" i="3"/>
  <c r="A6" i="3"/>
  <c r="A7" i="3"/>
  <c r="A8" i="3"/>
  <c r="A9" i="3"/>
  <c r="A14" i="3"/>
  <c r="A10" i="3"/>
  <c r="A11" i="3"/>
  <c r="A12" i="3"/>
  <c r="A15" i="3"/>
  <c r="A17" i="3"/>
  <c r="A16" i="3"/>
  <c r="A13" i="3"/>
  <c r="A18" i="3"/>
  <c r="A21" i="3"/>
  <c r="A20" i="3"/>
  <c r="A19" i="3"/>
  <c r="A22" i="3"/>
  <c r="A24" i="3"/>
  <c r="A23" i="3"/>
  <c r="A26" i="3"/>
  <c r="A27" i="3"/>
  <c r="A25" i="3"/>
  <c r="A29" i="3"/>
  <c r="A48" i="3"/>
  <c r="A61" i="3"/>
  <c r="A30" i="3"/>
  <c r="A28" i="3"/>
  <c r="A31" i="3"/>
  <c r="A41" i="3"/>
  <c r="A32" i="3"/>
  <c r="A34" i="3"/>
  <c r="A33" i="3"/>
  <c r="A37" i="3"/>
  <c r="A35" i="3"/>
  <c r="A36" i="3"/>
  <c r="A38" i="3"/>
  <c r="A40" i="3"/>
  <c r="A93" i="3"/>
  <c r="A39" i="3"/>
  <c r="A42" i="3"/>
  <c r="A46" i="3"/>
  <c r="A50" i="3"/>
  <c r="A56" i="3"/>
  <c r="A43" i="3"/>
  <c r="A53" i="3"/>
  <c r="A45" i="3"/>
  <c r="A60" i="3"/>
  <c r="A49" i="3"/>
  <c r="A101" i="3"/>
  <c r="A57" i="3"/>
  <c r="A51" i="3"/>
  <c r="A54" i="3"/>
  <c r="A52" i="3"/>
  <c r="A63" i="3"/>
  <c r="A55" i="3"/>
  <c r="A114" i="3"/>
  <c r="A173" i="3"/>
  <c r="A68" i="3"/>
  <c r="A62" i="3"/>
  <c r="A59" i="3"/>
  <c r="A58" i="3"/>
  <c r="A67" i="3"/>
  <c r="A66" i="3"/>
  <c r="A76" i="3"/>
  <c r="A70" i="3"/>
  <c r="A69" i="3"/>
  <c r="A65" i="3"/>
  <c r="A71" i="3"/>
  <c r="A72" i="3"/>
  <c r="A75" i="3"/>
  <c r="A74" i="3"/>
  <c r="A239" i="3"/>
  <c r="A77" i="3"/>
  <c r="A81" i="3"/>
  <c r="A80" i="3"/>
  <c r="A82" i="3"/>
  <c r="A83" i="3"/>
  <c r="A86" i="3"/>
  <c r="A85" i="3"/>
  <c r="A228" i="3"/>
  <c r="A89" i="3"/>
  <c r="A87" i="3"/>
  <c r="A92" i="3"/>
  <c r="A88" i="3"/>
  <c r="A95" i="3"/>
  <c r="A94" i="3"/>
  <c r="A99" i="3"/>
  <c r="A240" i="3"/>
  <c r="A100" i="3"/>
  <c r="A103" i="3"/>
  <c r="A119" i="3"/>
  <c r="A109" i="3"/>
  <c r="A112" i="3"/>
  <c r="A104" i="3"/>
  <c r="A102" i="3"/>
  <c r="A118" i="3"/>
  <c r="A117" i="3"/>
  <c r="A141" i="3"/>
  <c r="A140" i="3"/>
  <c r="A124" i="3"/>
  <c r="A146" i="3"/>
  <c r="A113" i="3"/>
  <c r="A153" i="3"/>
  <c r="A145" i="3"/>
  <c r="A123" i="3"/>
  <c r="A186" i="3"/>
  <c r="A152" i="3"/>
  <c r="A163" i="3"/>
  <c r="A151" i="3"/>
  <c r="A156" i="3"/>
  <c r="A150" i="3"/>
  <c r="A134" i="3"/>
  <c r="A241" i="3"/>
  <c r="A204" i="3"/>
  <c r="A144" i="3"/>
  <c r="A166" i="3"/>
  <c r="A217" i="3"/>
  <c r="A198" i="3"/>
  <c r="A172" i="3"/>
  <c r="A149" i="3"/>
  <c r="A171" i="3"/>
  <c r="A213" i="3"/>
  <c r="A191" i="3"/>
  <c r="A242" i="3"/>
  <c r="A183" i="3"/>
  <c r="A182" i="3"/>
  <c r="A203" i="3"/>
  <c r="A209" i="3"/>
  <c r="A229" i="3"/>
  <c r="A212" i="3"/>
  <c r="A197" i="3"/>
  <c r="A162" i="3"/>
  <c r="A181" i="3"/>
  <c r="A180" i="3"/>
  <c r="A202" i="3"/>
  <c r="A208" i="3"/>
  <c r="A185" i="3"/>
  <c r="A211" i="3"/>
  <c r="A224" i="3"/>
  <c r="A195" i="3"/>
  <c r="A227" i="3"/>
  <c r="A193" i="3"/>
  <c r="A201" i="3"/>
  <c r="A216" i="3"/>
  <c r="A177" i="3"/>
  <c r="A176" i="3"/>
  <c r="A200" i="3"/>
  <c r="A231" i="3"/>
  <c r="A161" i="3"/>
  <c r="A179" i="3"/>
  <c r="A155" i="3"/>
  <c r="A220" i="3"/>
  <c r="A160" i="3"/>
  <c r="A196" i="3"/>
  <c r="A138" i="3"/>
  <c r="A178" i="3"/>
  <c r="A210" i="3"/>
  <c r="A133" i="3"/>
  <c r="A170" i="3"/>
  <c r="A190" i="3"/>
  <c r="A226" i="3"/>
  <c r="A159" i="3"/>
  <c r="A137" i="3"/>
  <c r="A207" i="3"/>
  <c r="A215" i="3"/>
  <c r="A122" i="3"/>
  <c r="A148" i="3"/>
  <c r="A223" i="3"/>
  <c r="A199" i="3"/>
  <c r="A248" i="3"/>
  <c r="A225" i="3"/>
  <c r="A129" i="3"/>
  <c r="A189" i="3"/>
  <c r="A214" i="3"/>
  <c r="A219" i="3"/>
  <c r="A188" i="3"/>
  <c r="A169" i="3"/>
  <c r="A206" i="3"/>
  <c r="A147" i="3"/>
  <c r="A108" i="3"/>
  <c r="A132" i="3"/>
  <c r="A187" i="3"/>
  <c r="A165" i="3"/>
  <c r="A192" i="3"/>
  <c r="A128" i="3"/>
  <c r="A158" i="3"/>
  <c r="A175" i="3"/>
  <c r="A194" i="3"/>
  <c r="A136" i="3"/>
  <c r="A143" i="3"/>
  <c r="A184" i="3"/>
  <c r="A164" i="3"/>
  <c r="A111" i="3"/>
  <c r="A131" i="3"/>
  <c r="A116" i="3"/>
  <c r="A130" i="3"/>
  <c r="A142" i="3"/>
  <c r="A127" i="3"/>
  <c r="A120" i="3"/>
  <c r="A230" i="3"/>
  <c r="A218" i="3"/>
  <c r="A167" i="3"/>
  <c r="A205" i="3"/>
  <c r="A221" i="3"/>
  <c r="A91" i="3"/>
  <c r="A90" i="3"/>
  <c r="A79" i="3"/>
  <c r="A126" i="3"/>
  <c r="A98" i="3"/>
  <c r="A157" i="3"/>
  <c r="A97" i="3"/>
  <c r="A107" i="3"/>
  <c r="A154" i="3"/>
  <c r="A96" i="3"/>
  <c r="A73" i="3"/>
  <c r="A78" i="3"/>
  <c r="A84" i="3"/>
  <c r="A47" i="3"/>
  <c r="A64" i="3"/>
  <c r="A44" i="3"/>
  <c r="A121" i="3"/>
  <c r="A106" i="3"/>
  <c r="A105" i="3"/>
  <c r="A135" i="3"/>
  <c r="A168" i="3"/>
  <c r="A139" i="3"/>
  <c r="A237" i="3"/>
  <c r="A234" i="3"/>
  <c r="A174" i="3"/>
  <c r="A110" i="3"/>
  <c r="A222" i="3"/>
  <c r="A125" i="3"/>
  <c r="A115" i="3"/>
  <c r="A232" i="3"/>
  <c r="A235" i="3"/>
  <c r="A238" i="3"/>
  <c r="A233" i="3"/>
  <c r="A236" i="3"/>
  <c r="A243" i="3"/>
  <c r="A245" i="3"/>
  <c r="A246" i="3"/>
  <c r="A247" i="3"/>
  <c r="A244" i="3"/>
  <c r="A249" i="3"/>
  <c r="A251" i="3"/>
  <c r="A250" i="3"/>
  <c r="A253" i="3"/>
  <c r="A252" i="3"/>
  <c r="A256" i="3"/>
  <c r="A255" i="3"/>
  <c r="A254" i="3"/>
  <c r="A258" i="3"/>
  <c r="A257" i="3"/>
  <c r="A262" i="3"/>
  <c r="A259" i="3"/>
  <c r="A264" i="3"/>
  <c r="A266" i="3"/>
  <c r="A260" i="3"/>
  <c r="A261" i="3"/>
  <c r="A263" i="3"/>
  <c r="A267" i="3"/>
  <c r="A270" i="3"/>
  <c r="A265" i="3"/>
  <c r="A268" i="3"/>
  <c r="A269" i="3"/>
  <c r="A272" i="3"/>
  <c r="A275" i="3"/>
  <c r="A271" i="3"/>
  <c r="A273" i="3"/>
  <c r="A274" i="3"/>
  <c r="A277" i="3"/>
  <c r="A279" i="3"/>
  <c r="A276" i="3"/>
  <c r="A278" i="3"/>
  <c r="A280" i="3"/>
  <c r="S106" i="4"/>
  <c r="AE212" i="9"/>
  <c r="AC212" i="9"/>
  <c r="AE106" i="4"/>
  <c r="AC106" i="4"/>
  <c r="P106" i="4"/>
  <c r="N106" i="4"/>
  <c r="Z106" i="4"/>
  <c r="AA106" i="4"/>
  <c r="AB106" i="4"/>
  <c r="R106" i="4"/>
  <c r="Y106" i="4"/>
  <c r="R212" i="9"/>
  <c r="P212" i="9"/>
  <c r="Z212" i="9"/>
  <c r="Y212" i="9"/>
  <c r="N212" i="9"/>
  <c r="AA212" i="9"/>
  <c r="AB212" i="9"/>
  <c r="AA158" i="4"/>
  <c r="AB158" i="4"/>
  <c r="AA230" i="4"/>
  <c r="AB230" i="4"/>
  <c r="AA242" i="4"/>
  <c r="AB242" i="4"/>
  <c r="Z246" i="4"/>
  <c r="Z258" i="4"/>
  <c r="Y10" i="4"/>
  <c r="AA148" i="4"/>
  <c r="AB148" i="4"/>
  <c r="AA160" i="4"/>
  <c r="AB160" i="4"/>
  <c r="AA256" i="4"/>
  <c r="AB256" i="4"/>
  <c r="Z164" i="4"/>
  <c r="Z248" i="4"/>
  <c r="P158" i="4"/>
  <c r="P230" i="4"/>
  <c r="P242" i="4"/>
  <c r="AA137" i="4"/>
  <c r="AB137" i="4"/>
  <c r="AA149" i="4"/>
  <c r="AB149" i="4"/>
  <c r="Z165" i="4"/>
  <c r="Y253" i="4"/>
  <c r="AA246" i="4"/>
  <c r="AB246" i="4"/>
  <c r="AA258" i="4"/>
  <c r="AB258" i="4"/>
  <c r="Z10" i="4"/>
  <c r="Y158" i="4"/>
  <c r="Y230" i="4"/>
  <c r="Y242" i="4"/>
  <c r="P148" i="4"/>
  <c r="P160" i="4"/>
  <c r="P256" i="4"/>
  <c r="AA164" i="4"/>
  <c r="AB164" i="4"/>
  <c r="AA248" i="4"/>
  <c r="AB248" i="4"/>
  <c r="Y148" i="4"/>
  <c r="Y160" i="4"/>
  <c r="Y256" i="4"/>
  <c r="P246" i="4"/>
  <c r="P258" i="4"/>
  <c r="N10" i="4"/>
  <c r="AA253" i="4"/>
  <c r="AB253" i="4"/>
  <c r="Z137" i="4"/>
  <c r="Z149" i="4"/>
  <c r="Y165" i="4"/>
  <c r="P191" i="4"/>
  <c r="AA187" i="4"/>
  <c r="AB187" i="4"/>
  <c r="Z55" i="4"/>
  <c r="Z191" i="4"/>
  <c r="Z253" i="4"/>
  <c r="Y55" i="4"/>
  <c r="Y191" i="4"/>
  <c r="P137" i="4"/>
  <c r="P164" i="4"/>
  <c r="N55" i="4"/>
  <c r="T55" i="4"/>
  <c r="N187" i="4"/>
  <c r="T187" i="4"/>
  <c r="P248" i="4"/>
  <c r="N148" i="4"/>
  <c r="V148" i="4"/>
  <c r="W148" i="4"/>
  <c r="X148" i="4"/>
  <c r="P165" i="4"/>
  <c r="P253" i="4"/>
  <c r="N164" i="4"/>
  <c r="T164" i="4"/>
  <c r="N248" i="4"/>
  <c r="T248" i="4"/>
  <c r="AA55" i="4"/>
  <c r="AB55" i="4"/>
  <c r="N253" i="4"/>
  <c r="T253" i="4"/>
  <c r="N242" i="4"/>
  <c r="V242" i="4"/>
  <c r="W242" i="4"/>
  <c r="X242" i="4"/>
  <c r="Y187" i="4"/>
  <c r="AA10" i="4"/>
  <c r="AB10" i="4"/>
  <c r="N256" i="4"/>
  <c r="V256" i="4"/>
  <c r="W256" i="4"/>
  <c r="X256" i="4"/>
  <c r="AA165" i="4"/>
  <c r="AB165" i="4"/>
  <c r="P55" i="4"/>
  <c r="N165" i="4"/>
  <c r="V165" i="4"/>
  <c r="W165" i="4"/>
  <c r="X165" i="4"/>
  <c r="N160" i="4"/>
  <c r="V160" i="4"/>
  <c r="W160" i="4"/>
  <c r="X160" i="4"/>
  <c r="Z230" i="4"/>
  <c r="Z242" i="4"/>
  <c r="Z256" i="4"/>
  <c r="Y258" i="4"/>
  <c r="Z187" i="4"/>
  <c r="Y149" i="4"/>
  <c r="AA191" i="4"/>
  <c r="AB191" i="4"/>
  <c r="N191" i="4"/>
  <c r="V191" i="4"/>
  <c r="W191" i="4"/>
  <c r="X191" i="4"/>
  <c r="Z158" i="4"/>
  <c r="Y246" i="4"/>
  <c r="P10" i="4"/>
  <c r="Z160" i="4"/>
  <c r="Y248" i="4"/>
  <c r="N158" i="4"/>
  <c r="V158" i="4"/>
  <c r="W158" i="4"/>
  <c r="X158" i="4"/>
  <c r="N230" i="4"/>
  <c r="T230" i="4"/>
  <c r="Z148" i="4"/>
  <c r="P149" i="4"/>
  <c r="N137" i="4"/>
  <c r="V137" i="4"/>
  <c r="W137" i="4"/>
  <c r="X137" i="4"/>
  <c r="N149" i="4"/>
  <c r="V149" i="4"/>
  <c r="W149" i="4"/>
  <c r="X149" i="4"/>
  <c r="P187" i="4"/>
  <c r="Y164" i="4"/>
  <c r="N258" i="4"/>
  <c r="V258" i="4"/>
  <c r="W258" i="4"/>
  <c r="X258" i="4"/>
  <c r="Y137" i="4"/>
  <c r="N246" i="4"/>
  <c r="V246" i="4"/>
  <c r="W246" i="4"/>
  <c r="X246" i="4"/>
  <c r="R149" i="4"/>
  <c r="R191" i="4"/>
  <c r="R137" i="4"/>
  <c r="R55" i="4"/>
  <c r="R246" i="4"/>
  <c r="R148" i="4"/>
  <c r="R248" i="4"/>
  <c r="R164" i="4"/>
  <c r="R165" i="4"/>
  <c r="R10" i="4"/>
  <c r="R158" i="4"/>
  <c r="R256" i="4"/>
  <c r="R253" i="4"/>
  <c r="R160" i="4"/>
  <c r="R242" i="4"/>
  <c r="R187" i="4"/>
  <c r="R258" i="4"/>
  <c r="R230" i="4"/>
  <c r="N158" i="10"/>
  <c r="V158" i="10"/>
  <c r="W158" i="10"/>
  <c r="X158" i="10"/>
  <c r="Y148" i="10"/>
  <c r="N147" i="10"/>
  <c r="T147" i="10"/>
  <c r="U147" i="10" s="1"/>
  <c r="AA138" i="10"/>
  <c r="AB138" i="10" s="1"/>
  <c r="P137" i="10"/>
  <c r="Z135" i="10"/>
  <c r="Y124" i="10"/>
  <c r="AA106" i="10"/>
  <c r="AB106" i="10" s="1"/>
  <c r="AA67" i="10"/>
  <c r="AB67" i="10" s="1"/>
  <c r="P66" i="10"/>
  <c r="P284" i="10"/>
  <c r="N284" i="10"/>
  <c r="V284" i="10"/>
  <c r="W284" i="10"/>
  <c r="X284" i="10"/>
  <c r="Z273" i="10"/>
  <c r="AA151" i="10"/>
  <c r="AB151" i="10" s="1"/>
  <c r="AA145" i="10"/>
  <c r="AB145" i="10" s="1"/>
  <c r="P142" i="10"/>
  <c r="Y138" i="10"/>
  <c r="Y106" i="10"/>
  <c r="N78" i="10"/>
  <c r="T78" i="10"/>
  <c r="U78" i="10" s="1"/>
  <c r="AA74" i="10"/>
  <c r="AB74" i="10" s="1"/>
  <c r="P73" i="10"/>
  <c r="Z70" i="10"/>
  <c r="P69" i="10"/>
  <c r="Y67" i="10"/>
  <c r="AA65" i="10"/>
  <c r="AB65" i="10"/>
  <c r="P4" i="10"/>
  <c r="Y273" i="10"/>
  <c r="Z151" i="10"/>
  <c r="P148" i="10"/>
  <c r="Z145" i="10"/>
  <c r="N142" i="10"/>
  <c r="V142" i="10"/>
  <c r="W142" i="10"/>
  <c r="X142" i="10"/>
  <c r="AA136" i="10"/>
  <c r="AB136" i="10" s="1"/>
  <c r="P124" i="10"/>
  <c r="Z74" i="10"/>
  <c r="N73" i="10"/>
  <c r="V73" i="10"/>
  <c r="W73" i="10"/>
  <c r="X73" i="10"/>
  <c r="Y70" i="10"/>
  <c r="N69" i="10"/>
  <c r="V69" i="10"/>
  <c r="W69" i="10"/>
  <c r="X69" i="10"/>
  <c r="Z65" i="10"/>
  <c r="N4" i="10"/>
  <c r="T4" i="10"/>
  <c r="U4" i="10" s="1"/>
  <c r="Y151" i="10"/>
  <c r="N148" i="10"/>
  <c r="V148" i="10"/>
  <c r="W148" i="10"/>
  <c r="X148" i="10"/>
  <c r="Y145" i="10"/>
  <c r="Z136" i="10"/>
  <c r="P135" i="10"/>
  <c r="N124" i="10"/>
  <c r="V124" i="10"/>
  <c r="W124" i="10"/>
  <c r="X124" i="10"/>
  <c r="AA77" i="10"/>
  <c r="AB77" i="10"/>
  <c r="Y74" i="10"/>
  <c r="AA68" i="10"/>
  <c r="AB68" i="10" s="1"/>
  <c r="Y65" i="10"/>
  <c r="AA279" i="10"/>
  <c r="AB279" i="10"/>
  <c r="Z279" i="10"/>
  <c r="P273" i="10"/>
  <c r="Z179" i="10"/>
  <c r="Z167" i="10"/>
  <c r="AA158" i="10"/>
  <c r="AB158" i="10" s="1"/>
  <c r="AA147" i="10"/>
  <c r="AB147" i="10"/>
  <c r="Z139" i="10"/>
  <c r="N138" i="10"/>
  <c r="V138" i="10"/>
  <c r="W138" i="10"/>
  <c r="X138" i="10"/>
  <c r="N106" i="10"/>
  <c r="V106" i="10"/>
  <c r="W106" i="10"/>
  <c r="X106" i="10"/>
  <c r="Y77" i="10"/>
  <c r="Z72" i="10"/>
  <c r="P70" i="10"/>
  <c r="Y68" i="10"/>
  <c r="N67" i="10"/>
  <c r="T67" i="10"/>
  <c r="U67" i="10" s="1"/>
  <c r="Y279" i="10"/>
  <c r="AA284" i="10"/>
  <c r="AB284" i="10"/>
  <c r="Z284" i="10"/>
  <c r="Y284" i="10"/>
  <c r="N279" i="10"/>
  <c r="V279" i="10"/>
  <c r="W279" i="10"/>
  <c r="X279" i="10"/>
  <c r="N179" i="10"/>
  <c r="T179" i="10"/>
  <c r="U179" i="10" s="1"/>
  <c r="N167" i="10"/>
  <c r="V167" i="10"/>
  <c r="W167" i="10"/>
  <c r="X167" i="10"/>
  <c r="P158" i="10"/>
  <c r="Z148" i="10"/>
  <c r="P147" i="10"/>
  <c r="Y142" i="10"/>
  <c r="N139" i="10"/>
  <c r="T139" i="10"/>
  <c r="AA135" i="10"/>
  <c r="AB135" i="10" s="1"/>
  <c r="Z124" i="10"/>
  <c r="Y73" i="10"/>
  <c r="N72" i="10"/>
  <c r="T72" i="10"/>
  <c r="U72" i="10" s="1"/>
  <c r="Y69" i="10"/>
  <c r="Y4" i="10"/>
  <c r="N273" i="10"/>
  <c r="V273" i="10"/>
  <c r="W273" i="10"/>
  <c r="X273" i="10"/>
  <c r="P179" i="10"/>
  <c r="Y158" i="10"/>
  <c r="Z137" i="10"/>
  <c r="N77" i="10"/>
  <c r="T77" i="10"/>
  <c r="U77" i="10" s="1"/>
  <c r="Z68" i="10"/>
  <c r="AA273" i="10"/>
  <c r="AB273" i="10" s="1"/>
  <c r="AA66" i="10"/>
  <c r="AB66" i="10"/>
  <c r="Z147" i="10"/>
  <c r="Y137" i="10"/>
  <c r="N151" i="10"/>
  <c r="V151" i="10"/>
  <c r="W151" i="10"/>
  <c r="X151" i="10"/>
  <c r="P78" i="10"/>
  <c r="Z73" i="10"/>
  <c r="AA179" i="10"/>
  <c r="AB179" i="10" s="1"/>
  <c r="P145" i="10"/>
  <c r="AA69" i="10"/>
  <c r="AB69" i="10"/>
  <c r="N136" i="10"/>
  <c r="T136" i="10"/>
  <c r="Z69" i="10"/>
  <c r="AA4" i="10"/>
  <c r="AB4" i="10" s="1"/>
  <c r="Y147" i="10"/>
  <c r="AA139" i="10"/>
  <c r="AB139" i="10"/>
  <c r="N135" i="10"/>
  <c r="T135" i="10"/>
  <c r="Z106" i="10"/>
  <c r="AA78" i="10"/>
  <c r="AB78" i="10" s="1"/>
  <c r="P72" i="10"/>
  <c r="N66" i="10"/>
  <c r="T66" i="10"/>
  <c r="U66" i="10" s="1"/>
  <c r="Y179" i="10"/>
  <c r="N145" i="10"/>
  <c r="V145" i="10"/>
  <c r="W145" i="10"/>
  <c r="X145" i="10"/>
  <c r="AA167" i="10"/>
  <c r="AB167" i="10" s="1"/>
  <c r="Y139" i="10"/>
  <c r="Z78" i="10"/>
  <c r="AA70" i="10"/>
  <c r="AB70" i="10"/>
  <c r="P68" i="10"/>
  <c r="Y167" i="10"/>
  <c r="N137" i="10"/>
  <c r="T137" i="10"/>
  <c r="Y78" i="10"/>
  <c r="P74" i="10"/>
  <c r="N68" i="10"/>
  <c r="V68" i="10"/>
  <c r="W68" i="10"/>
  <c r="X68" i="10"/>
  <c r="AA124" i="10"/>
  <c r="AB124" i="10" s="1"/>
  <c r="AA73" i="10"/>
  <c r="AB73" i="10"/>
  <c r="N65" i="10"/>
  <c r="T65" i="10"/>
  <c r="U65" i="10" s="1"/>
  <c r="Y136" i="10"/>
  <c r="P106" i="10"/>
  <c r="N74" i="10"/>
  <c r="V74" i="10"/>
  <c r="W74" i="10"/>
  <c r="X74" i="10"/>
  <c r="Z67" i="10"/>
  <c r="P65" i="10"/>
  <c r="P151" i="10"/>
  <c r="P139" i="10"/>
  <c r="N70" i="10"/>
  <c r="T70" i="10"/>
  <c r="U70" i="10" s="1"/>
  <c r="P167" i="10"/>
  <c r="Z138" i="10"/>
  <c r="P279" i="10"/>
  <c r="P136" i="10"/>
  <c r="Z77" i="10"/>
  <c r="P67" i="10"/>
  <c r="AA148" i="10"/>
  <c r="AB148" i="10" s="1"/>
  <c r="Y135" i="10"/>
  <c r="Z142" i="10"/>
  <c r="Z4" i="10"/>
  <c r="AA72" i="10"/>
  <c r="AB72" i="10"/>
  <c r="Z66" i="10"/>
  <c r="AA137" i="10"/>
  <c r="AB137" i="10" s="1"/>
  <c r="Z158" i="10"/>
  <c r="AA142" i="10"/>
  <c r="AB142" i="10" s="1"/>
  <c r="P77" i="10"/>
  <c r="Y72" i="10"/>
  <c r="Y66" i="10"/>
  <c r="P138" i="10"/>
  <c r="R167" i="10"/>
  <c r="R158" i="10"/>
  <c r="R145" i="10"/>
  <c r="R68" i="10"/>
  <c r="R136" i="10"/>
  <c r="R137" i="10"/>
  <c r="R179" i="10"/>
  <c r="R70" i="10"/>
  <c r="R106" i="10"/>
  <c r="R77" i="10"/>
  <c r="R65" i="10"/>
  <c r="R135" i="10"/>
  <c r="R4" i="10"/>
  <c r="R148" i="10"/>
  <c r="R139" i="10"/>
  <c r="R147" i="10"/>
  <c r="R74" i="10"/>
  <c r="R78" i="10"/>
  <c r="R69" i="10"/>
  <c r="R279" i="10"/>
  <c r="R66" i="10"/>
  <c r="R284" i="10"/>
  <c r="T68" i="10"/>
  <c r="U68" i="10" s="1"/>
  <c r="R73" i="10"/>
  <c r="R67" i="10"/>
  <c r="R273" i="10"/>
  <c r="R124" i="10"/>
  <c r="R72" i="10"/>
  <c r="R142" i="10"/>
  <c r="R138" i="10"/>
  <c r="R151" i="10"/>
  <c r="AA243" i="9"/>
  <c r="AB243" i="9"/>
  <c r="AA279" i="9"/>
  <c r="AB279" i="9"/>
  <c r="Y167" i="9"/>
  <c r="Y299" i="9"/>
  <c r="N167" i="9"/>
  <c r="T167" i="9"/>
  <c r="N299" i="9"/>
  <c r="T299" i="9"/>
  <c r="AA257" i="9"/>
  <c r="AB257" i="9"/>
  <c r="Z189" i="9"/>
  <c r="Z273" i="9"/>
  <c r="Y373" i="9"/>
  <c r="P189" i="9"/>
  <c r="P273" i="9"/>
  <c r="N373" i="9"/>
  <c r="T373" i="9"/>
  <c r="Z82" i="9"/>
  <c r="Z262" i="9"/>
  <c r="P82" i="9"/>
  <c r="P262" i="9"/>
  <c r="Z167" i="9"/>
  <c r="Z299" i="9"/>
  <c r="Y243" i="9"/>
  <c r="Y279" i="9"/>
  <c r="P167" i="9"/>
  <c r="P299" i="9"/>
  <c r="N243" i="9"/>
  <c r="V243" i="9"/>
  <c r="W243" i="9"/>
  <c r="X243" i="9"/>
  <c r="N279" i="9"/>
  <c r="T279" i="9"/>
  <c r="AA189" i="9"/>
  <c r="AB189" i="9"/>
  <c r="AA273" i="9"/>
  <c r="AB273" i="9"/>
  <c r="Z373" i="9"/>
  <c r="Y257" i="9"/>
  <c r="P373" i="9"/>
  <c r="N257" i="9"/>
  <c r="T257" i="9"/>
  <c r="Y82" i="9"/>
  <c r="Y262" i="9"/>
  <c r="N82" i="9"/>
  <c r="T82" i="9"/>
  <c r="N262" i="9"/>
  <c r="V262" i="9"/>
  <c r="W262" i="9"/>
  <c r="X262" i="9"/>
  <c r="Y168" i="9"/>
  <c r="Y180" i="9"/>
  <c r="P257" i="9"/>
  <c r="Z243" i="9"/>
  <c r="P148" i="9"/>
  <c r="N189" i="9"/>
  <c r="T189" i="9"/>
  <c r="P168" i="9"/>
  <c r="N180" i="9"/>
  <c r="V180" i="9"/>
  <c r="W180" i="9"/>
  <c r="X180" i="9"/>
  <c r="AA148" i="9"/>
  <c r="AB148" i="9"/>
  <c r="N148" i="9"/>
  <c r="V148" i="9"/>
  <c r="W148" i="9"/>
  <c r="X148" i="9"/>
  <c r="AA260" i="9"/>
  <c r="AB260" i="9"/>
  <c r="Z257" i="9"/>
  <c r="P260" i="9"/>
  <c r="N260" i="9"/>
  <c r="V260" i="9"/>
  <c r="W260" i="9"/>
  <c r="X260" i="9"/>
  <c r="T273" i="9"/>
  <c r="P279" i="9"/>
  <c r="AA299" i="9"/>
  <c r="AB299" i="9"/>
  <c r="Z148" i="9"/>
  <c r="AA373" i="9"/>
  <c r="AB373" i="9"/>
  <c r="Y273" i="9"/>
  <c r="Y189" i="9"/>
  <c r="AA262" i="9"/>
  <c r="AB262" i="9"/>
  <c r="Y148" i="9"/>
  <c r="Z260" i="9"/>
  <c r="Y260" i="9"/>
  <c r="AA82" i="9"/>
  <c r="AB82" i="9"/>
  <c r="P180" i="9"/>
  <c r="AA167" i="9"/>
  <c r="AB167" i="9"/>
  <c r="N168" i="9"/>
  <c r="V168" i="9"/>
  <c r="W168" i="9"/>
  <c r="X168" i="9"/>
  <c r="Z180" i="9"/>
  <c r="AA168" i="9"/>
  <c r="AB168" i="9"/>
  <c r="P243" i="9"/>
  <c r="AA180" i="9"/>
  <c r="AB180" i="9"/>
  <c r="Z168" i="9"/>
  <c r="Z279" i="9"/>
  <c r="R189" i="9"/>
  <c r="R279" i="9"/>
  <c r="R260" i="9"/>
  <c r="R243" i="9"/>
  <c r="R148" i="9"/>
  <c r="R167" i="9"/>
  <c r="R273" i="9"/>
  <c r="R180" i="9"/>
  <c r="R168" i="9"/>
  <c r="R257" i="9"/>
  <c r="R262" i="9"/>
  <c r="R82" i="9"/>
  <c r="R299" i="9"/>
  <c r="R373" i="9"/>
  <c r="U164" i="4"/>
  <c r="U253" i="4"/>
  <c r="U248" i="4"/>
  <c r="U230" i="4"/>
  <c r="U187" i="4"/>
  <c r="U55" i="4"/>
  <c r="U136" i="10"/>
  <c r="U137" i="10"/>
  <c r="U135" i="10"/>
  <c r="U139" i="10"/>
  <c r="U189" i="9"/>
  <c r="U257" i="9"/>
  <c r="U82" i="9"/>
  <c r="U299" i="9"/>
  <c r="U273" i="9"/>
  <c r="U279" i="9"/>
  <c r="U373" i="9"/>
  <c r="U167" i="9"/>
  <c r="V212" i="9"/>
  <c r="W212" i="9"/>
  <c r="X212" i="9"/>
  <c r="V106" i="4"/>
  <c r="W106" i="4"/>
  <c r="X106" i="4"/>
  <c r="T106" i="4"/>
  <c r="U106" i="4"/>
  <c r="T212" i="9"/>
  <c r="T148" i="4"/>
  <c r="V137" i="10"/>
  <c r="W137" i="10"/>
  <c r="X137" i="10"/>
  <c r="V279" i="9"/>
  <c r="W279" i="9"/>
  <c r="X279" i="9"/>
  <c r="T165" i="4"/>
  <c r="V189" i="9"/>
  <c r="W189" i="9"/>
  <c r="X189" i="9"/>
  <c r="T168" i="9"/>
  <c r="T258" i="4"/>
  <c r="T160" i="4"/>
  <c r="T106" i="10"/>
  <c r="U106" i="10" s="1"/>
  <c r="T142" i="10"/>
  <c r="U142" i="10" s="1"/>
  <c r="V257" i="9"/>
  <c r="W257" i="9"/>
  <c r="X257" i="9"/>
  <c r="V4" i="10"/>
  <c r="W4" i="10"/>
  <c r="T273" i="10"/>
  <c r="T167" i="10"/>
  <c r="U167" i="10" s="1"/>
  <c r="T148" i="9"/>
  <c r="T138" i="10"/>
  <c r="V78" i="10"/>
  <c r="W78" i="10"/>
  <c r="X78" i="10"/>
  <c r="V139" i="10"/>
  <c r="W139" i="10"/>
  <c r="X139" i="10"/>
  <c r="T158" i="10"/>
  <c r="U158" i="10" s="1"/>
  <c r="V55" i="4"/>
  <c r="W55" i="4"/>
  <c r="X55" i="4"/>
  <c r="T69" i="10"/>
  <c r="U69" i="10" s="1"/>
  <c r="T151" i="10"/>
  <c r="U151" i="10" s="1"/>
  <c r="T145" i="10"/>
  <c r="U145" i="10" s="1"/>
  <c r="T246" i="4"/>
  <c r="V147" i="10"/>
  <c r="W147" i="10"/>
  <c r="X147" i="10"/>
  <c r="V77" i="10"/>
  <c r="W77" i="10"/>
  <c r="X77" i="10"/>
  <c r="T191" i="4"/>
  <c r="T243" i="9"/>
  <c r="T180" i="9"/>
  <c r="T284" i="10"/>
  <c r="T149" i="4"/>
  <c r="AD106" i="4"/>
  <c r="V72" i="10"/>
  <c r="W72" i="10"/>
  <c r="X72" i="10"/>
  <c r="T279" i="10"/>
  <c r="U279" i="10" s="1"/>
  <c r="V135" i="10"/>
  <c r="W135" i="10"/>
  <c r="X135" i="10"/>
  <c r="T10" i="4"/>
  <c r="V167" i="9"/>
  <c r="W167" i="9"/>
  <c r="X167" i="9"/>
  <c r="T148" i="10"/>
  <c r="U148" i="10" s="1"/>
  <c r="T137" i="4"/>
  <c r="V253" i="4"/>
  <c r="W253" i="4"/>
  <c r="X253" i="4"/>
  <c r="V179" i="10"/>
  <c r="W179" i="10"/>
  <c r="X179" i="10"/>
  <c r="V299" i="9"/>
  <c r="W299" i="9"/>
  <c r="X299" i="9"/>
  <c r="V187" i="4"/>
  <c r="W187" i="4"/>
  <c r="X187" i="4"/>
  <c r="T158" i="4"/>
  <c r="T74" i="10"/>
  <c r="U74" i="10" s="1"/>
  <c r="V70" i="10"/>
  <c r="W70" i="10"/>
  <c r="X70" i="10"/>
  <c r="V230" i="4"/>
  <c r="W230" i="4"/>
  <c r="X230" i="4"/>
  <c r="T260" i="9"/>
  <c r="V65" i="10"/>
  <c r="W65" i="10"/>
  <c r="X65" i="10"/>
  <c r="V67" i="10"/>
  <c r="W67" i="10"/>
  <c r="X67" i="10"/>
  <c r="V164" i="4"/>
  <c r="W164" i="4"/>
  <c r="X164" i="4"/>
  <c r="V373" i="9"/>
  <c r="W373" i="9"/>
  <c r="X373" i="9"/>
  <c r="T262" i="9"/>
  <c r="V136" i="10"/>
  <c r="W136" i="10"/>
  <c r="X136" i="10"/>
  <c r="V248" i="4"/>
  <c r="W248" i="4"/>
  <c r="X248" i="4"/>
  <c r="V273" i="9"/>
  <c r="W273" i="9"/>
  <c r="X273" i="9"/>
  <c r="T73" i="10"/>
  <c r="U73" i="10" s="1"/>
  <c r="T124" i="10"/>
  <c r="U124" i="10" s="1"/>
  <c r="V10" i="4"/>
  <c r="W10" i="4"/>
  <c r="X10" i="4"/>
  <c r="T242" i="4"/>
  <c r="V66" i="10"/>
  <c r="W66" i="10"/>
  <c r="X66" i="10"/>
  <c r="V82" i="9"/>
  <c r="T256" i="4"/>
  <c r="U137" i="4"/>
  <c r="U160" i="4"/>
  <c r="U10" i="4"/>
  <c r="U256" i="4"/>
  <c r="U246" i="4"/>
  <c r="U165" i="4"/>
  <c r="U191" i="4"/>
  <c r="U258" i="4"/>
  <c r="U158" i="4"/>
  <c r="U149" i="4"/>
  <c r="U148" i="4"/>
  <c r="U242" i="4"/>
  <c r="U138" i="10"/>
  <c r="U273" i="10"/>
  <c r="U284" i="10"/>
  <c r="U180" i="9"/>
  <c r="U260" i="9"/>
  <c r="U243" i="9"/>
  <c r="U262" i="9"/>
  <c r="U168" i="9"/>
  <c r="U148" i="9"/>
  <c r="U212" i="9"/>
  <c r="AF212" i="9"/>
  <c r="AD212" i="9"/>
  <c r="AF106" i="4"/>
  <c r="W82" i="9"/>
  <c r="X4" i="10"/>
  <c r="X82" i="9"/>
  <c r="Y8" i="10" l="1"/>
  <c r="AA13" i="10"/>
  <c r="AB13" i="10" s="1"/>
  <c r="Y471" i="9"/>
  <c r="AE74" i="9"/>
  <c r="S471" i="9"/>
  <c r="N12" i="10"/>
  <c r="T12" i="10" s="1"/>
  <c r="U12" i="10" s="1"/>
  <c r="R13" i="10"/>
  <c r="R27" i="10"/>
  <c r="R15" i="10"/>
  <c r="R74" i="9"/>
  <c r="P309" i="9"/>
  <c r="N72" i="9"/>
  <c r="T72" i="9" s="1"/>
  <c r="U72" i="9" s="1"/>
  <c r="AC8" i="10"/>
  <c r="AE15" i="10"/>
  <c r="AE43" i="10"/>
  <c r="Y234" i="9"/>
  <c r="B29" i="5"/>
  <c r="N31" i="10"/>
  <c r="V31" i="10" s="1"/>
  <c r="W31" i="10" s="1"/>
  <c r="X31" i="10" s="1"/>
  <c r="Y19" i="10"/>
  <c r="P15" i="10"/>
  <c r="R471" i="9"/>
  <c r="AC22" i="10"/>
  <c r="AE37" i="10"/>
  <c r="S13" i="10"/>
  <c r="P12" i="10"/>
  <c r="S230" i="9"/>
  <c r="Y37" i="10"/>
  <c r="Z27" i="10"/>
  <c r="Z426" i="9"/>
  <c r="Z230" i="9"/>
  <c r="R12" i="10"/>
  <c r="AA43" i="10"/>
  <c r="AB43" i="10" s="1"/>
  <c r="R309" i="9"/>
  <c r="AE24" i="10"/>
  <c r="S74" i="9"/>
  <c r="Y12" i="10"/>
  <c r="Y15" i="10"/>
  <c r="P426" i="9"/>
  <c r="R230" i="9"/>
  <c r="AC15" i="10"/>
  <c r="AC19" i="10"/>
  <c r="S426" i="9"/>
  <c r="S31" i="10"/>
  <c r="R44" i="10"/>
  <c r="N18" i="10"/>
  <c r="V18" i="10" s="1"/>
  <c r="W18" i="10" s="1"/>
  <c r="X18" i="10" s="1"/>
  <c r="Z44" i="10"/>
  <c r="AA44" i="10"/>
  <c r="AB44" i="10" s="1"/>
  <c r="AA21" i="10"/>
  <c r="AB21" i="10" s="1"/>
  <c r="P32" i="10"/>
  <c r="P21" i="10"/>
  <c r="P72" i="9"/>
  <c r="Z237" i="9"/>
  <c r="Y305" i="9"/>
  <c r="Y239" i="9"/>
  <c r="AC471" i="9"/>
  <c r="AC18" i="10"/>
  <c r="AC31" i="10"/>
  <c r="R246" i="9"/>
  <c r="S72" i="9"/>
  <c r="S44" i="10"/>
  <c r="Z21" i="10"/>
  <c r="Y237" i="9"/>
  <c r="AA27" i="10"/>
  <c r="AB27" i="10" s="1"/>
  <c r="N230" i="9"/>
  <c r="T230" i="9" s="1"/>
  <c r="U230" i="9" s="1"/>
  <c r="AE230" i="9"/>
  <c r="AE18" i="10"/>
  <c r="AC32" i="10"/>
  <c r="S32" i="10"/>
  <c r="P43" i="10"/>
  <c r="N239" i="9"/>
  <c r="T239" i="9" s="1"/>
  <c r="U239" i="9" s="1"/>
  <c r="AE305" i="9"/>
  <c r="Z246" i="9"/>
  <c r="P13" i="10"/>
  <c r="AC426" i="9"/>
  <c r="P8" i="10"/>
  <c r="Z32" i="10"/>
  <c r="Z43" i="10"/>
  <c r="N30" i="10"/>
  <c r="T30" i="10" s="1"/>
  <c r="U30" i="10" s="1"/>
  <c r="N426" i="9"/>
  <c r="T426" i="9" s="1"/>
  <c r="U426" i="9" s="1"/>
  <c r="Y74" i="9"/>
  <c r="AE72" i="9"/>
  <c r="AC21" i="10"/>
  <c r="AC37" i="10"/>
  <c r="AE246" i="9"/>
  <c r="S37" i="10"/>
  <c r="S12" i="10"/>
  <c r="N8" i="10"/>
  <c r="V8" i="10" s="1"/>
  <c r="W8" i="10" s="1"/>
  <c r="Z239" i="9"/>
  <c r="AA426" i="9"/>
  <c r="AB426" i="9" s="1"/>
  <c r="AE12" i="10"/>
  <c r="AA233" i="9"/>
  <c r="AB233" i="9" s="1"/>
  <c r="V72" i="9"/>
  <c r="W72" i="9" s="1"/>
  <c r="X72" i="9" s="1"/>
  <c r="AA37" i="10"/>
  <c r="AB37" i="10" s="1"/>
  <c r="AA31" i="10"/>
  <c r="AB31" i="10" s="1"/>
  <c r="S30" i="10"/>
  <c r="P18" i="10"/>
  <c r="Y30" i="10"/>
  <c r="Y426" i="9"/>
  <c r="P239" i="9"/>
  <c r="AC20" i="10"/>
  <c r="S237" i="9"/>
  <c r="AE234" i="9"/>
  <c r="R24" i="10"/>
  <c r="AA20" i="10"/>
  <c r="AB20" i="10" s="1"/>
  <c r="R32" i="10"/>
  <c r="R239" i="9"/>
  <c r="AE20" i="10"/>
  <c r="S27" i="10"/>
  <c r="R8" i="10"/>
  <c r="Z19" i="10"/>
  <c r="P30" i="10"/>
  <c r="N74" i="9"/>
  <c r="T74" i="9" s="1"/>
  <c r="AA246" i="9"/>
  <c r="AB246" i="9" s="1"/>
  <c r="P24" i="10"/>
  <c r="Z18" i="10"/>
  <c r="AA18" i="10"/>
  <c r="AB18" i="10" s="1"/>
  <c r="Y44" i="10"/>
  <c r="AA12" i="10"/>
  <c r="AB12" i="10" s="1"/>
  <c r="AA15" i="10"/>
  <c r="AB15" i="10" s="1"/>
  <c r="P27" i="10"/>
  <c r="N13" i="10"/>
  <c r="T13" i="10" s="1"/>
  <c r="U13" i="10" s="1"/>
  <c r="P230" i="9"/>
  <c r="Z72" i="9"/>
  <c r="Z309" i="9"/>
  <c r="AE309" i="9"/>
  <c r="AC27" i="10"/>
  <c r="AE13" i="10"/>
  <c r="S18" i="10"/>
  <c r="Z233" i="9"/>
  <c r="AA13" i="4"/>
  <c r="AB13" i="4" s="1"/>
  <c r="Y255" i="4"/>
  <c r="AA255" i="4"/>
  <c r="AB255" i="4" s="1"/>
  <c r="R272" i="4"/>
  <c r="Y260" i="4"/>
  <c r="AE9" i="4"/>
  <c r="S13" i="4"/>
  <c r="Y287" i="4"/>
  <c r="Z278" i="4"/>
  <c r="S287" i="4"/>
  <c r="V9" i="4"/>
  <c r="W9" i="4" s="1"/>
  <c r="X9" i="4" s="1"/>
  <c r="Z19" i="4"/>
  <c r="R6" i="4"/>
  <c r="N272" i="4"/>
  <c r="V272" i="4" s="1"/>
  <c r="W272" i="4" s="1"/>
  <c r="X272" i="4" s="1"/>
  <c r="P19" i="4"/>
  <c r="Z44" i="4"/>
  <c r="R93" i="4"/>
  <c r="AC9" i="4"/>
  <c r="AE272" i="4"/>
  <c r="S93" i="4"/>
  <c r="Y280" i="4"/>
  <c r="Y66" i="4"/>
  <c r="Y492" i="4"/>
  <c r="AC278" i="4"/>
  <c r="N9" i="4"/>
  <c r="T9" i="4" s="1"/>
  <c r="U9" i="4" s="1"/>
  <c r="R255" i="4"/>
  <c r="N16" i="4"/>
  <c r="T16" i="4" s="1"/>
  <c r="U16" i="4" s="1"/>
  <c r="Y24" i="4"/>
  <c r="AC272" i="4"/>
  <c r="AE19" i="4"/>
  <c r="Z287" i="4"/>
  <c r="N110" i="4"/>
  <c r="Z66" i="4"/>
  <c r="AC287" i="4"/>
  <c r="AE278" i="4"/>
  <c r="AA280" i="4"/>
  <c r="AB280" i="4" s="1"/>
  <c r="P280" i="4"/>
  <c r="S66" i="4"/>
  <c r="S278" i="4"/>
  <c r="R110" i="4"/>
  <c r="P492" i="4"/>
  <c r="R66" i="4"/>
  <c r="S24" i="4"/>
  <c r="AE93" i="4"/>
  <c r="AC44" i="4"/>
  <c r="AC255" i="4"/>
  <c r="R24" i="4"/>
  <c r="Z260" i="4"/>
  <c r="N24" i="4"/>
  <c r="T24" i="4" s="1"/>
  <c r="U24" i="4" s="1"/>
  <c r="R13" i="4"/>
  <c r="Z6" i="4"/>
  <c r="Y16" i="4"/>
  <c r="AA6" i="4"/>
  <c r="Y13" i="4"/>
  <c r="Z13" i="4"/>
  <c r="AC110" i="4"/>
  <c r="AC492" i="4"/>
  <c r="N278" i="4"/>
  <c r="V278" i="4" s="1"/>
  <c r="W278" i="4" s="1"/>
  <c r="X278" i="4" s="1"/>
  <c r="R280" i="4"/>
  <c r="AA492" i="4"/>
  <c r="AB492" i="4" s="1"/>
  <c r="AA66" i="4"/>
  <c r="AB66" i="4" s="1"/>
  <c r="R287" i="4"/>
  <c r="S6" i="4"/>
  <c r="S260" i="4"/>
  <c r="AE24" i="4"/>
  <c r="AE16" i="4"/>
  <c r="AC93" i="4"/>
  <c r="Z255" i="4"/>
  <c r="AA44" i="4"/>
  <c r="AB44" i="4" s="1"/>
  <c r="P44" i="4"/>
  <c r="P16" i="4"/>
  <c r="N13" i="4"/>
  <c r="V13" i="4" s="1"/>
  <c r="W13" i="4" s="1"/>
  <c r="X13" i="4" s="1"/>
  <c r="N19" i="4"/>
  <c r="T19" i="4" s="1"/>
  <c r="U19" i="4" s="1"/>
  <c r="P24" i="4"/>
  <c r="N255" i="4"/>
  <c r="V255" i="4" s="1"/>
  <c r="W255" i="4" s="1"/>
  <c r="X255" i="4" s="1"/>
  <c r="T110" i="4"/>
  <c r="U110" i="4" s="1"/>
  <c r="AE280" i="4"/>
  <c r="S492" i="4"/>
  <c r="AA278" i="4"/>
  <c r="AB278" i="4" s="1"/>
  <c r="P110" i="4"/>
  <c r="N492" i="4"/>
  <c r="P66" i="4"/>
  <c r="S19" i="4"/>
  <c r="S272" i="4"/>
  <c r="AE44" i="4"/>
  <c r="AC6" i="4"/>
  <c r="AA24" i="4"/>
  <c r="AB24" i="4" s="1"/>
  <c r="R16" i="4"/>
  <c r="AA272" i="4"/>
  <c r="AB272" i="4" s="1"/>
  <c r="Z24" i="4"/>
  <c r="AA19" i="4"/>
  <c r="AB19" i="4" s="1"/>
  <c r="Y272" i="4"/>
  <c r="R9" i="4"/>
  <c r="Y19" i="4"/>
  <c r="Y93" i="4"/>
  <c r="N6" i="4"/>
  <c r="V492" i="4"/>
  <c r="W492" i="4" s="1"/>
  <c r="X492" i="4" s="1"/>
  <c r="AC66" i="4"/>
  <c r="AC280" i="4"/>
  <c r="P287" i="4"/>
  <c r="AA287" i="4"/>
  <c r="AB287" i="4" s="1"/>
  <c r="Z280" i="4"/>
  <c r="Z492" i="4"/>
  <c r="R492" i="4"/>
  <c r="S9" i="4"/>
  <c r="AE260" i="4"/>
  <c r="AC19" i="4"/>
  <c r="AC24" i="4"/>
  <c r="P9" i="4"/>
  <c r="AA260" i="4"/>
  <c r="AB260" i="4" s="1"/>
  <c r="Y6" i="4"/>
  <c r="AA16" i="4"/>
  <c r="AB16" i="4" s="1"/>
  <c r="R260" i="4"/>
  <c r="AA93" i="4"/>
  <c r="AB93" i="4" s="1"/>
  <c r="Z16" i="4"/>
  <c r="N93" i="4"/>
  <c r="Z9" i="4"/>
  <c r="P6" i="4"/>
  <c r="AC260" i="4"/>
  <c r="AE6" i="4"/>
  <c r="Y110" i="4"/>
  <c r="R278" i="4"/>
  <c r="Z110" i="4"/>
  <c r="AE66" i="4"/>
  <c r="N260" i="4"/>
  <c r="T260" i="4" s="1"/>
  <c r="U260" i="4" s="1"/>
  <c r="P272" i="4"/>
  <c r="P13" i="4"/>
  <c r="Z272" i="4"/>
  <c r="AC16" i="4"/>
  <c r="S16" i="4"/>
  <c r="P278" i="4"/>
  <c r="N280" i="4"/>
  <c r="V280" i="4" s="1"/>
  <c r="W280" i="4" s="1"/>
  <c r="X280" i="4" s="1"/>
  <c r="S110" i="4"/>
  <c r="B27" i="5"/>
  <c r="B27" i="8"/>
  <c r="R19" i="4"/>
  <c r="AA9" i="4"/>
  <c r="AB9" i="4" s="1"/>
  <c r="N44" i="4"/>
  <c r="T44" i="4" s="1"/>
  <c r="U44" i="4" s="1"/>
  <c r="P255" i="4"/>
  <c r="Y44" i="4"/>
  <c r="AE255" i="4"/>
  <c r="AA110" i="4"/>
  <c r="AB110" i="4" s="1"/>
  <c r="AE110" i="4"/>
  <c r="B28" i="5"/>
  <c r="B28" i="8"/>
  <c r="T31" i="10"/>
  <c r="U31" i="10" s="1"/>
  <c r="Y9" i="4"/>
  <c r="Z93" i="4"/>
  <c r="R44" i="4"/>
  <c r="B4" i="4"/>
  <c r="AE13" i="4"/>
  <c r="S44" i="4"/>
  <c r="N287" i="4"/>
  <c r="S280" i="4"/>
  <c r="P260" i="4"/>
  <c r="P93" i="4"/>
  <c r="AC13" i="4"/>
  <c r="S255" i="4"/>
  <c r="N66" i="4"/>
  <c r="V66" i="4" s="1"/>
  <c r="W66" i="4" s="1"/>
  <c r="X66" i="4" s="1"/>
  <c r="Y278" i="4"/>
  <c r="AE492" i="4"/>
  <c r="R19" i="10"/>
  <c r="P20" i="10"/>
  <c r="Z20" i="10"/>
  <c r="P22" i="10"/>
  <c r="P19" i="10"/>
  <c r="P37" i="10"/>
  <c r="N19" i="10"/>
  <c r="Y31" i="10"/>
  <c r="N22" i="10"/>
  <c r="T22" i="10" s="1"/>
  <c r="U22" i="10" s="1"/>
  <c r="AA24" i="10"/>
  <c r="AB24" i="10" s="1"/>
  <c r="Y27" i="10"/>
  <c r="Y32" i="10"/>
  <c r="Y21" i="10"/>
  <c r="Y43" i="10"/>
  <c r="R21" i="10"/>
  <c r="AA28" i="10"/>
  <c r="AB28" i="10" s="1"/>
  <c r="AA30" i="10"/>
  <c r="AB30" i="10" s="1"/>
  <c r="AA237" i="9"/>
  <c r="AB237" i="9" s="1"/>
  <c r="Z471" i="9"/>
  <c r="R72" i="9"/>
  <c r="AA230" i="9"/>
  <c r="AB230" i="9" s="1"/>
  <c r="P237" i="9"/>
  <c r="P74" i="9"/>
  <c r="Y72" i="9"/>
  <c r="B4" i="9"/>
  <c r="AC230" i="9"/>
  <c r="AC72" i="9"/>
  <c r="AE426" i="9"/>
  <c r="AE32" i="10"/>
  <c r="AC30" i="10"/>
  <c r="AE27" i="10"/>
  <c r="AE22" i="10"/>
  <c r="Y246" i="9"/>
  <c r="S305" i="9"/>
  <c r="S19" i="10"/>
  <c r="S28" i="10"/>
  <c r="Z234" i="9"/>
  <c r="AE233" i="9"/>
  <c r="R31" i="10"/>
  <c r="R37" i="10"/>
  <c r="R22" i="10"/>
  <c r="N44" i="10"/>
  <c r="P31" i="10"/>
  <c r="AA22" i="10"/>
  <c r="AB22" i="10" s="1"/>
  <c r="Y20" i="10"/>
  <c r="Y24" i="10"/>
  <c r="N37" i="10"/>
  <c r="Z15" i="10"/>
  <c r="P28" i="10"/>
  <c r="N28" i="10"/>
  <c r="Y28" i="10"/>
  <c r="N15" i="10"/>
  <c r="V15" i="10" s="1"/>
  <c r="W15" i="10" s="1"/>
  <c r="X15" i="10" s="1"/>
  <c r="Z30" i="10"/>
  <c r="B4" i="10"/>
  <c r="N237" i="9"/>
  <c r="R305" i="9"/>
  <c r="AA305" i="9"/>
  <c r="AB305" i="9" s="1"/>
  <c r="Z74" i="9"/>
  <c r="AC239" i="9"/>
  <c r="AC237" i="9"/>
  <c r="AE471" i="9"/>
  <c r="AE44" i="10"/>
  <c r="AC44" i="10"/>
  <c r="AE30" i="10"/>
  <c r="AE28" i="10"/>
  <c r="N246" i="9"/>
  <c r="S246" i="9"/>
  <c r="S20" i="10"/>
  <c r="S43" i="10"/>
  <c r="P234" i="9"/>
  <c r="AA234" i="9"/>
  <c r="AB234" i="9" s="1"/>
  <c r="AC234" i="9"/>
  <c r="Z37" i="10"/>
  <c r="Y18" i="10"/>
  <c r="AA8" i="10"/>
  <c r="N24" i="10"/>
  <c r="P44" i="10"/>
  <c r="N32" i="10"/>
  <c r="N43" i="10"/>
  <c r="V43" i="10" s="1"/>
  <c r="W43" i="10" s="1"/>
  <c r="X43" i="10" s="1"/>
  <c r="R28" i="10"/>
  <c r="AA32" i="10"/>
  <c r="AB32" i="10" s="1"/>
  <c r="Z28" i="10"/>
  <c r="R43" i="10"/>
  <c r="N305" i="9"/>
  <c r="AA72" i="9"/>
  <c r="R426" i="9"/>
  <c r="AA74" i="9"/>
  <c r="AB74" i="9" s="1"/>
  <c r="Y309" i="9"/>
  <c r="Z305" i="9"/>
  <c r="P305" i="9"/>
  <c r="AC305" i="9"/>
  <c r="AC309" i="9"/>
  <c r="AC28" i="10"/>
  <c r="AC12" i="10"/>
  <c r="AE19" i="10"/>
  <c r="AC13" i="10"/>
  <c r="AE31" i="10"/>
  <c r="S239" i="9"/>
  <c r="S21" i="10"/>
  <c r="S8" i="10"/>
  <c r="R233" i="9"/>
  <c r="N233" i="9"/>
  <c r="S233" i="9"/>
  <c r="R20" i="10"/>
  <c r="R18" i="10"/>
  <c r="N20" i="10"/>
  <c r="Y22" i="10"/>
  <c r="Z24" i="10"/>
  <c r="Z22" i="10"/>
  <c r="Z12" i="10"/>
  <c r="Z31" i="10"/>
  <c r="Z8" i="10"/>
  <c r="AA19" i="10"/>
  <c r="AB19" i="10" s="1"/>
  <c r="N21" i="10"/>
  <c r="Z13" i="10"/>
  <c r="R30" i="10"/>
  <c r="Y13" i="10"/>
  <c r="N27" i="10"/>
  <c r="N471" i="9"/>
  <c r="P471" i="9"/>
  <c r="R237" i="9"/>
  <c r="AA471" i="9"/>
  <c r="AB471" i="9" s="1"/>
  <c r="N309" i="9"/>
  <c r="AA239" i="9"/>
  <c r="AB239" i="9" s="1"/>
  <c r="Y230" i="9"/>
  <c r="AA309" i="9"/>
  <c r="AB309" i="9" s="1"/>
  <c r="AC74" i="9"/>
  <c r="AE239" i="9"/>
  <c r="AE237" i="9"/>
  <c r="AE8" i="10"/>
  <c r="AC24" i="10"/>
  <c r="AE21" i="10"/>
  <c r="AC43" i="10"/>
  <c r="P246" i="9"/>
  <c r="AC246" i="9"/>
  <c r="S309" i="9"/>
  <c r="S15" i="10"/>
  <c r="S22" i="10"/>
  <c r="Y233" i="9"/>
  <c r="N234" i="9"/>
  <c r="S234" i="9"/>
  <c r="R234" i="9"/>
  <c r="P233" i="9"/>
  <c r="V24" i="4" l="1"/>
  <c r="W24" i="4" s="1"/>
  <c r="X24" i="4" s="1"/>
  <c r="T8" i="10"/>
  <c r="V426" i="9"/>
  <c r="W426" i="9" s="1"/>
  <c r="X426" i="9" s="1"/>
  <c r="V12" i="10"/>
  <c r="W12" i="10" s="1"/>
  <c r="X12" i="10" s="1"/>
  <c r="V30" i="10"/>
  <c r="W30" i="10" s="1"/>
  <c r="X30" i="10" s="1"/>
  <c r="V230" i="9"/>
  <c r="W230" i="9" s="1"/>
  <c r="X230" i="9" s="1"/>
  <c r="T278" i="4"/>
  <c r="U278" i="4" s="1"/>
  <c r="U74" i="9"/>
  <c r="T505" i="9"/>
  <c r="M28" i="8" s="1"/>
  <c r="T66" i="4"/>
  <c r="U66" i="4" s="1"/>
  <c r="V13" i="10"/>
  <c r="W13" i="10" s="1"/>
  <c r="X13" i="10" s="1"/>
  <c r="T18" i="10"/>
  <c r="U18" i="10" s="1"/>
  <c r="V239" i="9"/>
  <c r="W239" i="9" s="1"/>
  <c r="X239" i="9" s="1"/>
  <c r="N505" i="10"/>
  <c r="AD12" i="10" s="1"/>
  <c r="V74" i="9"/>
  <c r="W74" i="9" s="1"/>
  <c r="X74" i="9" s="1"/>
  <c r="U505" i="9"/>
  <c r="T234" i="9"/>
  <c r="U234" i="9" s="1"/>
  <c r="V234" i="9"/>
  <c r="W234" i="9" s="1"/>
  <c r="X234" i="9" s="1"/>
  <c r="T44" i="10"/>
  <c r="U44" i="10" s="1"/>
  <c r="V44" i="10"/>
  <c r="W44" i="10" s="1"/>
  <c r="X44" i="10" s="1"/>
  <c r="H29" i="8"/>
  <c r="N505" i="4"/>
  <c r="AF6" i="4" s="1"/>
  <c r="N29" i="5"/>
  <c r="F29" i="5"/>
  <c r="M29" i="5"/>
  <c r="E29" i="5"/>
  <c r="L29" i="5"/>
  <c r="D29" i="5"/>
  <c r="K29" i="5"/>
  <c r="H29" i="5"/>
  <c r="G29" i="5"/>
  <c r="J29" i="5"/>
  <c r="K29" i="8"/>
  <c r="T93" i="4"/>
  <c r="U93" i="4" s="1"/>
  <c r="AD21" i="10"/>
  <c r="V21" i="10"/>
  <c r="W21" i="10" s="1"/>
  <c r="X21" i="10" s="1"/>
  <c r="T21" i="10"/>
  <c r="U21" i="10" s="1"/>
  <c r="O21" i="10"/>
  <c r="AF21" i="10"/>
  <c r="AF20" i="10"/>
  <c r="T20" i="10"/>
  <c r="U20" i="10" s="1"/>
  <c r="V20" i="10"/>
  <c r="W20" i="10" s="1"/>
  <c r="X20" i="10" s="1"/>
  <c r="O20" i="10"/>
  <c r="AD20" i="10"/>
  <c r="AF22" i="10"/>
  <c r="V22" i="10"/>
  <c r="W22" i="10" s="1"/>
  <c r="X22" i="10" s="1"/>
  <c r="AD22" i="10"/>
  <c r="O22" i="10"/>
  <c r="J29" i="8"/>
  <c r="T6" i="4"/>
  <c r="AA505" i="4"/>
  <c r="AB6" i="4"/>
  <c r="AB505" i="4" s="1"/>
  <c r="T13" i="4"/>
  <c r="U13" i="4" s="1"/>
  <c r="T255" i="4"/>
  <c r="U255" i="4" s="1"/>
  <c r="V246" i="9"/>
  <c r="W246" i="9" s="1"/>
  <c r="X246" i="9" s="1"/>
  <c r="AF28" i="10"/>
  <c r="T28" i="10"/>
  <c r="U28" i="10" s="1"/>
  <c r="O28" i="10"/>
  <c r="V28" i="10"/>
  <c r="W28" i="10" s="1"/>
  <c r="X28" i="10" s="1"/>
  <c r="AD28" i="10"/>
  <c r="V309" i="9"/>
  <c r="W309" i="9" s="1"/>
  <c r="X309" i="9" s="1"/>
  <c r="T309" i="9"/>
  <c r="U309" i="9" s="1"/>
  <c r="AD43" i="10"/>
  <c r="AF43" i="10"/>
  <c r="O43" i="10"/>
  <c r="T43" i="10"/>
  <c r="U43" i="10" s="1"/>
  <c r="T237" i="9"/>
  <c r="U237" i="9" s="1"/>
  <c r="V237" i="9"/>
  <c r="W237" i="9" s="1"/>
  <c r="X237" i="9" s="1"/>
  <c r="V37" i="10"/>
  <c r="W37" i="10" s="1"/>
  <c r="X37" i="10" s="1"/>
  <c r="O37" i="10"/>
  <c r="AD37" i="10"/>
  <c r="T37" i="10"/>
  <c r="U37" i="10" s="1"/>
  <c r="AF37" i="10"/>
  <c r="L28" i="5"/>
  <c r="H28" i="5"/>
  <c r="C28" i="5"/>
  <c r="N28" i="5"/>
  <c r="K28" i="5"/>
  <c r="D28" i="5"/>
  <c r="J28" i="5"/>
  <c r="F28" i="5"/>
  <c r="I28" i="5"/>
  <c r="E28" i="5"/>
  <c r="T280" i="4"/>
  <c r="U280" i="4" s="1"/>
  <c r="V44" i="4"/>
  <c r="W44" i="4" s="1"/>
  <c r="X44" i="4" s="1"/>
  <c r="T272" i="4"/>
  <c r="U272" i="4" s="1"/>
  <c r="V6" i="4"/>
  <c r="O32" i="10"/>
  <c r="AD32" i="10"/>
  <c r="V32" i="10"/>
  <c r="W32" i="10" s="1"/>
  <c r="X32" i="10" s="1"/>
  <c r="T32" i="10"/>
  <c r="U32" i="10" s="1"/>
  <c r="AF32" i="10"/>
  <c r="V233" i="9"/>
  <c r="V19" i="10"/>
  <c r="W19" i="10" s="1"/>
  <c r="X19" i="10" s="1"/>
  <c r="O19" i="10"/>
  <c r="AF19" i="10"/>
  <c r="T19" i="10"/>
  <c r="U19" i="10" s="1"/>
  <c r="AD19" i="10"/>
  <c r="T471" i="9"/>
  <c r="U471" i="9" s="1"/>
  <c r="V471" i="9"/>
  <c r="W471" i="9" s="1"/>
  <c r="X471" i="9" s="1"/>
  <c r="T246" i="9"/>
  <c r="U246" i="9" s="1"/>
  <c r="AB72" i="9"/>
  <c r="AB505" i="9" s="1"/>
  <c r="AA505" i="9"/>
  <c r="L29" i="8"/>
  <c r="AF255" i="4"/>
  <c r="T287" i="4"/>
  <c r="U287" i="4" s="1"/>
  <c r="H27" i="8"/>
  <c r="L27" i="8"/>
  <c r="J27" i="8"/>
  <c r="K27" i="8"/>
  <c r="D27" i="8"/>
  <c r="I27" i="8"/>
  <c r="V16" i="4"/>
  <c r="W16" i="4" s="1"/>
  <c r="X16" i="4" s="1"/>
  <c r="T27" i="10"/>
  <c r="U27" i="10" s="1"/>
  <c r="O27" i="10"/>
  <c r="AD27" i="10"/>
  <c r="AF27" i="10"/>
  <c r="V27" i="10"/>
  <c r="W27" i="10" s="1"/>
  <c r="X27" i="10" s="1"/>
  <c r="T233" i="9"/>
  <c r="U233" i="9" s="1"/>
  <c r="V305" i="9"/>
  <c r="W305" i="9" s="1"/>
  <c r="X305" i="9" s="1"/>
  <c r="T305" i="9"/>
  <c r="U305" i="9" s="1"/>
  <c r="AD24" i="10"/>
  <c r="T24" i="10"/>
  <c r="U24" i="10" s="1"/>
  <c r="V24" i="10"/>
  <c r="W24" i="10" s="1"/>
  <c r="X24" i="10" s="1"/>
  <c r="AF24" i="10"/>
  <c r="O24" i="10"/>
  <c r="O15" i="10"/>
  <c r="AF15" i="10"/>
  <c r="T15" i="10"/>
  <c r="AD15" i="10"/>
  <c r="O260" i="4"/>
  <c r="N505" i="9"/>
  <c r="O234" i="9" s="1"/>
  <c r="AD9" i="4"/>
  <c r="V260" i="4"/>
  <c r="W260" i="4" s="1"/>
  <c r="X260" i="4" s="1"/>
  <c r="V93" i="4"/>
  <c r="W93" i="4" s="1"/>
  <c r="X93" i="4" s="1"/>
  <c r="AB8" i="10"/>
  <c r="C29" i="5" s="1"/>
  <c r="AA505" i="10"/>
  <c r="I28" i="8"/>
  <c r="C28" i="8"/>
  <c r="J28" i="8"/>
  <c r="D28" i="8"/>
  <c r="H28" i="8"/>
  <c r="K28" i="8"/>
  <c r="E28" i="8"/>
  <c r="L28" i="8"/>
  <c r="O280" i="4"/>
  <c r="I29" i="8"/>
  <c r="U8" i="10"/>
  <c r="N27" i="5"/>
  <c r="J27" i="5"/>
  <c r="F27" i="5"/>
  <c r="C27" i="5"/>
  <c r="L27" i="5"/>
  <c r="H27" i="5"/>
  <c r="M27" i="5"/>
  <c r="G27" i="5"/>
  <c r="K27" i="5"/>
  <c r="I27" i="5"/>
  <c r="E27" i="5"/>
  <c r="D27" i="5"/>
  <c r="V287" i="4"/>
  <c r="W287" i="4" s="1"/>
  <c r="X287" i="4" s="1"/>
  <c r="V19" i="4"/>
  <c r="W19" i="4" s="1"/>
  <c r="X19" i="4" s="1"/>
  <c r="T492" i="4"/>
  <c r="U492" i="4" s="1"/>
  <c r="V110" i="4"/>
  <c r="W110" i="4" s="1"/>
  <c r="X110" i="4" s="1"/>
  <c r="X8" i="10"/>
  <c r="AD13" i="10" l="1"/>
  <c r="O31" i="10"/>
  <c r="O8" i="10"/>
  <c r="AD44" i="10"/>
  <c r="AD31" i="10"/>
  <c r="W505" i="10"/>
  <c r="X505" i="10" s="1"/>
  <c r="AF305" i="9"/>
  <c r="O471" i="9"/>
  <c r="AF31" i="10"/>
  <c r="AD18" i="10"/>
  <c r="AD19" i="4"/>
  <c r="G28" i="8"/>
  <c r="AD24" i="4"/>
  <c r="AD260" i="4"/>
  <c r="O255" i="4"/>
  <c r="O272" i="4"/>
  <c r="G28" i="5"/>
  <c r="AF287" i="4"/>
  <c r="O6" i="4"/>
  <c r="F27" i="8"/>
  <c r="AD272" i="4"/>
  <c r="O287" i="4"/>
  <c r="AF93" i="4"/>
  <c r="AD287" i="4"/>
  <c r="O19" i="4"/>
  <c r="O24" i="4"/>
  <c r="AF260" i="4"/>
  <c r="AD110" i="4"/>
  <c r="AD492" i="4"/>
  <c r="AF24" i="4"/>
  <c r="O66" i="4"/>
  <c r="AF272" i="4"/>
  <c r="AD93" i="4"/>
  <c r="AF12" i="10"/>
  <c r="O18" i="10"/>
  <c r="AF110" i="4"/>
  <c r="AF492" i="4"/>
  <c r="AF278" i="4"/>
  <c r="AD66" i="4"/>
  <c r="O16" i="4"/>
  <c r="AD44" i="4"/>
  <c r="O93" i="4"/>
  <c r="AF18" i="10"/>
  <c r="AD8" i="10"/>
  <c r="AD278" i="4"/>
  <c r="AF66" i="4"/>
  <c r="AD16" i="4"/>
  <c r="O44" i="4"/>
  <c r="AF13" i="4"/>
  <c r="AF8" i="10"/>
  <c r="O30" i="10"/>
  <c r="O12" i="10"/>
  <c r="T505" i="10"/>
  <c r="O110" i="4"/>
  <c r="O492" i="4"/>
  <c r="AD280" i="4"/>
  <c r="AF9" i="4"/>
  <c r="O278" i="4"/>
  <c r="G27" i="8"/>
  <c r="AF16" i="4"/>
  <c r="AF44" i="4"/>
  <c r="O13" i="4"/>
  <c r="AF44" i="10"/>
  <c r="AF13" i="10"/>
  <c r="AF30" i="10"/>
  <c r="AD30" i="10"/>
  <c r="AF19" i="4"/>
  <c r="AF280" i="4"/>
  <c r="O9" i="4"/>
  <c r="AD255" i="4"/>
  <c r="AD13" i="4"/>
  <c r="O44" i="10"/>
  <c r="O13" i="10"/>
  <c r="V505" i="10"/>
  <c r="E29" i="8"/>
  <c r="AD234" i="9"/>
  <c r="O27" i="5"/>
  <c r="U15" i="10"/>
  <c r="G29" i="8" s="1"/>
  <c r="M28" i="5"/>
  <c r="AF237" i="9"/>
  <c r="AF309" i="9"/>
  <c r="AF234" i="9"/>
  <c r="O305" i="9"/>
  <c r="AD471" i="9"/>
  <c r="AF233" i="9"/>
  <c r="O237" i="9"/>
  <c r="O309" i="9"/>
  <c r="AD233" i="9"/>
  <c r="AD246" i="9"/>
  <c r="T505" i="4"/>
  <c r="U6" i="4"/>
  <c r="U505" i="4" s="1"/>
  <c r="D29" i="8"/>
  <c r="AF426" i="9"/>
  <c r="AD72" i="9"/>
  <c r="O72" i="9"/>
  <c r="AF239" i="9"/>
  <c r="O426" i="9"/>
  <c r="AF230" i="9"/>
  <c r="O230" i="9"/>
  <c r="AD239" i="9"/>
  <c r="AF74" i="9"/>
  <c r="AF72" i="9"/>
  <c r="AD230" i="9"/>
  <c r="O74" i="9"/>
  <c r="AD426" i="9"/>
  <c r="AD74" i="9"/>
  <c r="O239" i="9"/>
  <c r="AD305" i="9"/>
  <c r="AF471" i="9"/>
  <c r="W233" i="9"/>
  <c r="V505" i="9"/>
  <c r="O233" i="9"/>
  <c r="AD237" i="9"/>
  <c r="AD309" i="9"/>
  <c r="F28" i="8"/>
  <c r="W6" i="4"/>
  <c r="V505" i="4"/>
  <c r="AF246" i="9"/>
  <c r="AD6" i="4"/>
  <c r="C29" i="8"/>
  <c r="F29" i="8"/>
  <c r="O246" i="9"/>
  <c r="I29" i="5"/>
  <c r="O29" i="5" s="1"/>
  <c r="AB505" i="10"/>
  <c r="C27" i="8"/>
  <c r="O28" i="5" l="1"/>
  <c r="U505" i="10"/>
  <c r="E27" i="8"/>
  <c r="M29" i="8"/>
  <c r="M27" i="8"/>
  <c r="S505" i="4"/>
  <c r="N27" i="8" s="1"/>
  <c r="AD505" i="10"/>
  <c r="AC505" i="10" s="1"/>
  <c r="S505" i="10"/>
  <c r="N29" i="8" s="1"/>
  <c r="O505" i="10"/>
  <c r="AF505" i="4"/>
  <c r="AE505" i="4" s="1"/>
  <c r="O505" i="4"/>
  <c r="AF505" i="10"/>
  <c r="AE505" i="10" s="1"/>
  <c r="AD505" i="4"/>
  <c r="AC505" i="4" s="1"/>
  <c r="X6" i="4"/>
  <c r="W505" i="4"/>
  <c r="X505" i="4" s="1"/>
  <c r="O505" i="9"/>
  <c r="S505" i="9"/>
  <c r="N28" i="8" s="1"/>
  <c r="X233" i="9"/>
  <c r="W505" i="9"/>
  <c r="X505" i="9" s="1"/>
  <c r="AF505" i="9"/>
  <c r="AE505" i="9" s="1"/>
  <c r="AD505" i="9"/>
  <c r="O27" i="8" l="1"/>
  <c r="O29" i="8"/>
  <c r="P29" i="5"/>
  <c r="P27" i="5"/>
  <c r="AC505" i="9"/>
  <c r="P28" i="5"/>
  <c r="O2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Sid Basu</author>
  </authors>
  <commentList>
    <comment ref="M3" authorId="0" shapeId="0" xr:uid="{557E31B7-7B70-45E9-9E15-410C8072D6AD}">
      <text>
        <r>
          <rPr>
            <b/>
            <sz val="9"/>
            <color indexed="81"/>
            <rFont val="Tahoma"/>
            <family val="2"/>
          </rPr>
          <t>Sid Basu:</t>
        </r>
        <r>
          <rPr>
            <sz val="9"/>
            <color indexed="81"/>
            <rFont val="Tahoma"/>
            <family val="2"/>
          </rPr>
          <t xml:space="preserve">
In the highlighted cells below please type in the quantity of each bond to be purchased. Note that the purchase quantity cannot be less than the minimum quantity specified in column L within parantheses. Leave the field blank to exclude the bond from purchase.</t>
        </r>
      </text>
    </comment>
    <comment ref="N505" authorId="0" shapeId="0" xr:uid="{C0241458-20AA-48E1-B65A-250FA5669412}">
      <text>
        <r>
          <rPr>
            <b/>
            <sz val="9"/>
            <color indexed="81"/>
            <rFont val="Tahoma"/>
            <family val="2"/>
          </rPr>
          <t>Sid Basu:</t>
        </r>
        <r>
          <rPr>
            <sz val="9"/>
            <color indexed="81"/>
            <rFont val="Tahoma"/>
            <family val="2"/>
          </rPr>
          <t xml:space="preserve">
The total price cannot be more than the amount entered in the Investor Input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Sid Basu</author>
  </authors>
  <commentList>
    <comment ref="M3" authorId="0" shapeId="0" xr:uid="{5D1E2A91-E0C6-4AEA-B3C7-DB60064FCC02}">
      <text>
        <r>
          <rPr>
            <b/>
            <sz val="9"/>
            <color indexed="81"/>
            <rFont val="Tahoma"/>
            <family val="2"/>
          </rPr>
          <t>Sid Basu:</t>
        </r>
        <r>
          <rPr>
            <sz val="9"/>
            <color indexed="81"/>
            <rFont val="Tahoma"/>
            <family val="2"/>
          </rPr>
          <t xml:space="preserve">
In the highlighted cells below please type in the quantity of each bond to be purchased. Note that the purchase quantity cannot be less than the minimum quantity specified in column L within parantheses. Leave the field blank to exclude the bond from purchase.</t>
        </r>
      </text>
    </comment>
    <comment ref="N505" authorId="0" shapeId="0" xr:uid="{50E1CE51-96BE-472C-8A4A-CDEFB90FEC49}">
      <text>
        <r>
          <rPr>
            <b/>
            <sz val="9"/>
            <color indexed="81"/>
            <rFont val="Tahoma"/>
            <family val="2"/>
          </rPr>
          <t>Sid Basu:</t>
        </r>
        <r>
          <rPr>
            <sz val="9"/>
            <color indexed="81"/>
            <rFont val="Tahoma"/>
            <family val="2"/>
          </rPr>
          <t xml:space="preserve">
The total price cannot be more than the amount entered in the Investor Input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 Basu</author>
  </authors>
  <commentList>
    <comment ref="M3" authorId="0" shapeId="0" xr:uid="{C7CF4E75-597C-4495-8B2B-E6ABE4416BD5}">
      <text>
        <r>
          <rPr>
            <b/>
            <sz val="9"/>
            <color indexed="81"/>
            <rFont val="Tahoma"/>
            <family val="2"/>
          </rPr>
          <t>Sid Basu:</t>
        </r>
        <r>
          <rPr>
            <sz val="9"/>
            <color indexed="81"/>
            <rFont val="Tahoma"/>
            <family val="2"/>
          </rPr>
          <t xml:space="preserve">
In the highlighted cells below please type in the quantity of each bond to be purchased. Note that the purchase quantity cannot be less than the minimum quantity specified in column L within parantheses. Leave the field blank to exclude the bond from purchase.</t>
        </r>
      </text>
    </comment>
    <comment ref="N505" authorId="0" shapeId="0" xr:uid="{F68C5788-E99A-4EAA-B530-4C3677FE4E6E}">
      <text>
        <r>
          <rPr>
            <b/>
            <sz val="9"/>
            <color indexed="81"/>
            <rFont val="Tahoma"/>
            <family val="2"/>
          </rPr>
          <t>Sid Basu:</t>
        </r>
        <r>
          <rPr>
            <sz val="9"/>
            <color indexed="81"/>
            <rFont val="Tahoma"/>
            <family val="2"/>
          </rPr>
          <t xml:space="preserve">
The total price cannot be more than the amount entered in the Investor Input tab</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<sst xmlns="http://schemas.openxmlformats.org/spreadsheetml/2006/main" count="45461" uniqueCount="5638">
  <si>
    <t>Bond Portfolio Model</t>
  </si>
  <si>
    <t>version 2.2</t>
  </si>
  <si>
    <t>Objective</t>
  </si>
  <si>
    <t xml:space="preserve">This model is built for Goldman Sachs, with the objective to look across various fixed income asset classes (munis, corporates, treasuries, etc.) and come up with an optimized, laddered portfolio based on client’s federal and state tax rates. </t>
  </si>
  <si>
    <t>And then optimize over time based on changes in the market, clients cost basis, short term versus long term tax implications.</t>
  </si>
  <si>
    <t>Investor Input</t>
  </si>
  <si>
    <r>
      <t xml:space="preserve">The </t>
    </r>
    <r>
      <rPr>
        <b/>
        <sz val="11"/>
        <color theme="1"/>
        <rFont val="Aptos Narrow"/>
        <family val="2"/>
        <scheme val="minor"/>
      </rPr>
      <t>Investor Input</t>
    </r>
    <r>
      <rPr>
        <sz val="11"/>
        <color theme="1"/>
        <rFont val="Aptos Narrow"/>
        <family val="2"/>
        <scheme val="minor"/>
      </rPr>
      <t xml:space="preserve"> tab is where the client or the investor specifies some of the basic details like their state of residence, tax bracket, amount to invest, and investment horizon</t>
    </r>
  </si>
  <si>
    <t>Bond Portfolio Scenarios - High Yield Scenario, Secure Bonds Scenario, and Stable Income Scenario</t>
  </si>
  <si>
    <r>
      <t>Each scenario</t>
    </r>
    <r>
      <rPr>
        <b/>
        <sz val="11"/>
        <color theme="1"/>
        <rFont val="Aptos Narrow"/>
        <family val="2"/>
        <scheme val="minor"/>
      </rPr>
      <t xml:space="preserve"> </t>
    </r>
    <r>
      <rPr>
        <sz val="11"/>
        <color theme="1"/>
        <rFont val="Aptos Narrow"/>
        <family val="2"/>
        <scheme val="minor"/>
      </rPr>
      <t xml:space="preserve">tab is built to present a list of bonds curated and personalized based on client's inputs on the Investor Input tab. </t>
    </r>
  </si>
  <si>
    <t xml:space="preserve">The client can go into each tab and go down the list to pick the number of bonds to purchase for each CUSIP. The cells meant to be updated are shaded yellow (column M). </t>
  </si>
  <si>
    <t xml:space="preserve">Note that the purchase quantity entered in column M cannot be less than the minimum quantity specified within parantheses in column L. The field should be left blank to exclude the bond from purchase. </t>
  </si>
  <si>
    <t>Also note that the total price at the bottom of the list cannot exceed the amount entered in the Investor Input tab. If this happens the cell will turn red to indicate the error.</t>
  </si>
  <si>
    <t xml:space="preserve">YTM Analysis </t>
  </si>
  <si>
    <t>The YTM Analysis tab presents a comprehensive Pre-Tax /After-Tax Yield to Maturity comparison for each scenario. Toggle between Pre-/After-Tax options from the dropdown to compare the YTM changes for each portfolio.</t>
  </si>
  <si>
    <t>The table at the bottom of the tab lists the Y/Y yields while the average yield and average credit rating of each portfolio is listed on the bottom right.</t>
  </si>
  <si>
    <t>Cash Flow Analysis</t>
  </si>
  <si>
    <t>The Cash Flow Analysis is meant to present a comparison of coupon payments by month for each scenario. This provides the client with an option to take a laddered approach when picking the bonds for their portfolio.</t>
  </si>
  <si>
    <t>The client can adjust their portfolio on the scenario tabs and then go to the Cash Flow Analysis tab to compare the month over month income in any given year.</t>
  </si>
  <si>
    <t>Similar to the YTM Analysis tab, client can toggle between Pre-/After-Tax options from the dropdown to compare the YTM changes for each portfolio.</t>
  </si>
  <si>
    <t>Master Bond List (hidden)</t>
  </si>
  <si>
    <t>This is the master list of all the relevant bonds.</t>
  </si>
  <si>
    <t>Misc Lists (hidden)</t>
  </si>
  <si>
    <t>List of user input validation</t>
  </si>
  <si>
    <t>State of Residence:</t>
  </si>
  <si>
    <t>New Jersey</t>
  </si>
  <si>
    <t>Federal Tax Bracket:</t>
  </si>
  <si>
    <t>State Tax Bracket:</t>
  </si>
  <si>
    <t>Amount to Invest ($)</t>
  </si>
  <si>
    <t>Investment Horizon (Years):</t>
  </si>
  <si>
    <t>General Bond Information</t>
  </si>
  <si>
    <t>Purchase Information</t>
  </si>
  <si>
    <t>Valuation on Maturity</t>
  </si>
  <si>
    <t>Yearly Cash Flow Information</t>
  </si>
  <si>
    <t>Rating Info</t>
  </si>
  <si>
    <t>CUSIP</t>
  </si>
  <si>
    <t>State</t>
  </si>
  <si>
    <t>Description</t>
  </si>
  <si>
    <t>Type</t>
  </si>
  <si>
    <t>Cpn</t>
  </si>
  <si>
    <t>Maturity Date</t>
  </si>
  <si>
    <t>Mdy</t>
  </si>
  <si>
    <t>S&amp;P</t>
  </si>
  <si>
    <t>Price</t>
  </si>
  <si>
    <t>YTM</t>
  </si>
  <si>
    <t>Qty (Min)</t>
  </si>
  <si>
    <t>Purchase Qty</t>
  </si>
  <si>
    <t>Total Price</t>
  </si>
  <si>
    <t>Portfolio Pct</t>
  </si>
  <si>
    <t>Annual Coupon</t>
  </si>
  <si>
    <t>Purchase Date</t>
  </si>
  <si>
    <t>Yrs to Maturity</t>
  </si>
  <si>
    <t>Duration Yrs</t>
  </si>
  <si>
    <t>YTM At Buy</t>
  </si>
  <si>
    <t>After-Tax YTM</t>
  </si>
  <si>
    <t>Interest Earned</t>
  </si>
  <si>
    <t>Total Return</t>
  </si>
  <si>
    <t>1st Coupon Mth</t>
  </si>
  <si>
    <t>2nd Coupon Month</t>
  </si>
  <si>
    <t>Coupon Amt</t>
  </si>
  <si>
    <t>After-Tax Coupon Amt</t>
  </si>
  <si>
    <t>Mdy Rating</t>
  </si>
  <si>
    <t>Mdy Score</t>
  </si>
  <si>
    <t>S&amp;P Rating</t>
  </si>
  <si>
    <t>S&amp;P Score</t>
  </si>
  <si>
    <t xml:space="preserve">YTM Calculation: </t>
  </si>
  <si>
    <t>Pre-Tax</t>
  </si>
  <si>
    <t>Yield to Maturity Analysis</t>
  </si>
  <si>
    <t>Scenario Analysis</t>
  </si>
  <si>
    <t>Yield To Maturity by Year</t>
  </si>
  <si>
    <t>Avg YTM</t>
  </si>
  <si>
    <t>Avg Duration</t>
  </si>
  <si>
    <t>Avg Credit Rating</t>
  </si>
  <si>
    <t xml:space="preserve">Cash Flow Calculation: </t>
  </si>
  <si>
    <t>Yearly Cash Flow Analysis</t>
  </si>
  <si>
    <t>Cash Flow by Month</t>
  </si>
  <si>
    <t>Jan</t>
  </si>
  <si>
    <t>Feb</t>
  </si>
  <si>
    <t>Mar</t>
  </si>
  <si>
    <t>Apr</t>
  </si>
  <si>
    <t>May</t>
  </si>
  <si>
    <t>Jun</t>
  </si>
  <si>
    <t>Jul</t>
  </si>
  <si>
    <t>Aug</t>
  </si>
  <si>
    <t>Sep</t>
  </si>
  <si>
    <t>Oct</t>
  </si>
  <si>
    <t>Nov</t>
  </si>
  <si>
    <t>Dec</t>
  </si>
  <si>
    <t>12-Month Total</t>
  </si>
  <si>
    <t>Cusip</t>
  </si>
  <si>
    <t>Coupon</t>
  </si>
  <si>
    <t>Next Call Date</t>
  </si>
  <si>
    <t>Moody's Rating</t>
  </si>
  <si>
    <t>Price Bid</t>
  </si>
  <si>
    <t>Price Ask</t>
  </si>
  <si>
    <t>Yield Bid</t>
  </si>
  <si>
    <t>Ask Yield to Worst</t>
  </si>
  <si>
    <t>Ask Yield to Maturity</t>
  </si>
  <si>
    <t>Inflation Factor</t>
  </si>
  <si>
    <t>Quantity Bid(min)</t>
  </si>
  <si>
    <t>Quantity Ask(min)</t>
  </si>
  <si>
    <t>Attributes</t>
  </si>
  <si>
    <t>N/A</t>
  </si>
  <si>
    <t>UNITED STATES TREAS SER F-2034          4.25000% 11/15/2034 NTS NOTE</t>
  </si>
  <si>
    <t>Tres</t>
  </si>
  <si>
    <t>AAA</t>
  </si>
  <si>
    <t>--</t>
  </si>
  <si>
    <t>11,000(250)</t>
  </si>
  <si>
    <t>125,000(400)</t>
  </si>
  <si>
    <t xml:space="preserve">CP D </t>
  </si>
  <si>
    <t>UNITED STATES TREAS SER E-2034          3.87500% 08/15/2034 NTS NOTE</t>
  </si>
  <si>
    <t>9,000(225)</t>
  </si>
  <si>
    <t>90,000(400)</t>
  </si>
  <si>
    <t>UNITED STATES TREAS SER C-2034          4.37500% 05/15/2034 NTS NOTE</t>
  </si>
  <si>
    <t>UNITED STATES TREAS SER B-2034          4.00000% 02/15/2034 NTS NOTE</t>
  </si>
  <si>
    <t>60,000(400)</t>
  </si>
  <si>
    <t>UNITED STATES TREAS SER F-2033          4.50000% 11/15/2033 NTS NOTE</t>
  </si>
  <si>
    <t>UNITED STATES TREAS SER E-2033          3.87500% 08/15/2033 NTS NOTE</t>
  </si>
  <si>
    <t>UNITED STATES TREAS SER C-2033          3.37500% 05/15/2033 NTS NOTE</t>
  </si>
  <si>
    <t>UNITED STATES TREAS SER B-2033          3.50000% 02/15/2033 NTS NOTE</t>
  </si>
  <si>
    <t>UNITED STATES TREAS SER E-2032          2.75000% 08/15/2032 NTS NOTE</t>
  </si>
  <si>
    <t>UNITED STATES TREAS SER C-2032          2.87500% 05/15/2032 NTS NOTE</t>
  </si>
  <si>
    <t>UNITED STATES TREAS SER B-2032          1.87500% 02/15/2032 NTS NOTE</t>
  </si>
  <si>
    <t>12,000(225)</t>
  </si>
  <si>
    <t>UNITED STATES TREAS SER F-2031          1.37500% 11/15/2031 NTS NOTE</t>
  </si>
  <si>
    <t>UNITED STATES TREAS SER F-2032          4.12500% 11/15/2032 NTS NOTE</t>
  </si>
  <si>
    <t>UNITED STATES TREAS SER G-2032          4.37500% 01/31/2032 NTS NOTE</t>
  </si>
  <si>
    <t>100,000(400)</t>
  </si>
  <si>
    <t>UNITED STATES TREAS SER S-2031          4.12500% 11/30/2031 NTS NOTE</t>
  </si>
  <si>
    <t>8,000(250)</t>
  </si>
  <si>
    <t>7,000(275)</t>
  </si>
  <si>
    <t>UNITED STATES TREAS SER T-2031          4.50000% 12/31/2031 NTS NOTE</t>
  </si>
  <si>
    <t>10,000(250)</t>
  </si>
  <si>
    <t>9,000(275)</t>
  </si>
  <si>
    <t>UNITED STATES TREAS SER R-2031          4.12500% 10/31/2031 NTS NOTE</t>
  </si>
  <si>
    <t>800(200)</t>
  </si>
  <si>
    <t>UNITED STATES TREAS SER E-2031          1.25000% 08/15/2031 NTS NOTE</t>
  </si>
  <si>
    <t>UNITED STATES TREAS SER P-2031          3.75000% 08/31/2031 NTS NOTE</t>
  </si>
  <si>
    <t>UNITED STATES TREAS SER Q-2031          3.62500% 09/30/2031 NTS NOTE</t>
  </si>
  <si>
    <t>UNITED STATES TREAS SER N-2031          4.12500% 07/31/2031 NTS NOTE</t>
  </si>
  <si>
    <t>800( 200)</t>
  </si>
  <si>
    <t>70,000(400)</t>
  </si>
  <si>
    <t>UNITED STATES TREAS SER L-2031          4.62500% 05/31/2031 NTS NOTE</t>
  </si>
  <si>
    <t>65,000(400)</t>
  </si>
  <si>
    <t>UNITED STATES TREAS SER M-2031          4.25000% 06/30/2031 NTS NOTE</t>
  </si>
  <si>
    <t>4,943(1)</t>
  </si>
  <si>
    <t>UNITED STATES TREAS SER J-2031          4.12500% 03/31/2031 NTS NOTE</t>
  </si>
  <si>
    <t>UNITED STATES TREAS SER C-2031          1.62500% 05/15/2031 NTS NOTE</t>
  </si>
  <si>
    <t>UNITED STATES TREAS SER K-2031          4.62500% 04/30/2031 NTS NOTE</t>
  </si>
  <si>
    <t>3,000(200)</t>
  </si>
  <si>
    <t>UNITED STATES TREAS SER T-2030          3.75000% 12/31/2030 NTS NOTE</t>
  </si>
  <si>
    <t>14,000(250)</t>
  </si>
  <si>
    <t>UNITED STATES TREAS SER H-2031          4.25000% 02/28/2031 NTS NOTE</t>
  </si>
  <si>
    <t>UNITED STATES TREAS SER G-2031          4.00000% 01/31/2031 NTS NOTE</t>
  </si>
  <si>
    <t>4,990(1)</t>
  </si>
  <si>
    <t>UNITED STATES TREAS SER S-2030          4.37500% 11/30/2030 NTS NOTE</t>
  </si>
  <si>
    <t>UNITED STATES TREAS SER R-2030          4.87500% 10/31/2030 NTS NOTE</t>
  </si>
  <si>
    <t>4,989(1)</t>
  </si>
  <si>
    <t>UNITED STATES TREAS SER P-2030          4.12500% 08/31/2030 NTS NOTE</t>
  </si>
  <si>
    <t>UNITED STATES TREAS SER Q-2030          4.62500% 09/30/2030 NTS NOTE</t>
  </si>
  <si>
    <t>UNITED STATES TREAS SER N-2030          4.00000% 07/31/2030 NTS NOTE</t>
  </si>
  <si>
    <t>UNITED STATES TREAS SER M-2030          3.75000% 06/30/2030 NTS NOTE</t>
  </si>
  <si>
    <t>UNITED STATES TREAS SER E-2030          0.62500% 08/15/2030 NTS NOTE</t>
  </si>
  <si>
    <t>UNITED STATES TREAS SER L-2030          3.75000% 05/31/2030 NTS NOTE</t>
  </si>
  <si>
    <t>UNITED STATES TREAS SER K-2030          3.50000% 04/30/2030 NTS NOTE</t>
  </si>
  <si>
    <t>4,937(1)</t>
  </si>
  <si>
    <t>UNITED STATES TREAS SER C-2030          0.62500% 05/15/2030 NTS NOTE</t>
  </si>
  <si>
    <t>UNITED STATES TREAS SER F-2030          0.87500% 11/15/2030 NTS NOTE</t>
  </si>
  <si>
    <t>1,200(200)</t>
  </si>
  <si>
    <t>UNITED STATES TREAS SER J-2030          3.62500% 03/31/2030 NTS NOTE</t>
  </si>
  <si>
    <t>UNITED STATES TREAS SER G-2030          3.50000% 01/31/2030 NTS NOTE</t>
  </si>
  <si>
    <t>UNITED STATES TREAS SER AC-2025         0.25000% 08/31/2025 NTS NOTE</t>
  </si>
  <si>
    <t>30,000(600)</t>
  </si>
  <si>
    <t>8,000(200)</t>
  </si>
  <si>
    <t>UNITED STATES TREAS SER T-2029          3.87500% 12/31/2029 NTS NOTE</t>
  </si>
  <si>
    <t>5,000(275)</t>
  </si>
  <si>
    <t>10,000(275)</t>
  </si>
  <si>
    <t>UNITED STATES TREAS SER H-2030          4.00000% 02/28/2030 NTS NOTE</t>
  </si>
  <si>
    <t>UNITED STATES TREAS SER P-2025          2.75000% 08/31/2025 NTS NOTE</t>
  </si>
  <si>
    <t>30,000( 600)</t>
  </si>
  <si>
    <t>UNITED STATES TREAS SER B-2031          1.12500% 02/15/2031 NTS NOTE</t>
  </si>
  <si>
    <t>UNITED STATES TREAS SER S-2029          3.87500% 11/30/2029 NTS NOTE</t>
  </si>
  <si>
    <t>UNITED STATES TREAS NTS NOTE            1.50000% 02/15/2030</t>
  </si>
  <si>
    <t>NR</t>
  </si>
  <si>
    <t>UNITED STATES TREAS SER R-2029          4.00000% 10/31/2029 NTS NOTE</t>
  </si>
  <si>
    <t>UNITED STATES TREAS SER Q-2029          3.87500% 09/30/2029 NTS NOTE</t>
  </si>
  <si>
    <t>UNITED STATES TREAS SER AH-2029         4.37500% 12/31/2029 NTS NOTE</t>
  </si>
  <si>
    <t>39,000(225)</t>
  </si>
  <si>
    <t>UNITED STATES TREAS SER AD-2029         3.50000% 09/30/2029 NTS NOTE</t>
  </si>
  <si>
    <t>UNITED STATES TREAS SER P-2029          3.12500% 08/31/2029 NTS NOTE</t>
  </si>
  <si>
    <t>UNITED STATES TREAS SER U-2030          4.25000% 01/31/2030 NTS NOTE</t>
  </si>
  <si>
    <t>UNITED STATES TREAS SER AF-2029         4.12500% 10/31/2029 NTS NOTE</t>
  </si>
  <si>
    <t>UNITED STATES TREAS SER M-2029          3.25000% 06/30/2029 NTS NOTE</t>
  </si>
  <si>
    <t>UNITED STATES TREAS SER AA-2029         4.25000% 06/30/2029 NTS NOTE</t>
  </si>
  <si>
    <t>80,000(400)</t>
  </si>
  <si>
    <t>UNITED STATES TREAS SER AG-2029         4.12500% 11/30/2029 NTS NOTE</t>
  </si>
  <si>
    <t>42,000(225)</t>
  </si>
  <si>
    <t>UNITED STATES TREAS BDS                 5.37500% 02/15/2031</t>
  </si>
  <si>
    <t>4,000(200)</t>
  </si>
  <si>
    <t>25,000(5)</t>
  </si>
  <si>
    <t>UNITED STATES TREAS SER N-2029          2.62500% 07/31/2029 NTS NOTE</t>
  </si>
  <si>
    <t>UNITED STATES TREAS SER AC-2029         3.62500% 08/31/2029 NTS NOTE</t>
  </si>
  <si>
    <t>UNITED STATES TREAS SER BG-2025         5.00000% 08/31/2025 NTS NOTE</t>
  </si>
  <si>
    <t>5,600(200)</t>
  </si>
  <si>
    <t>UNITED STATES TREAS SER W-2029          4.12500% 03/31/2029 NTS NOTE</t>
  </si>
  <si>
    <t>UNITED STATES TREAS SER L-2029          2.75000% 05/31/2029 NTS NOTE</t>
  </si>
  <si>
    <t>UNITED STATES TREAS SER Z-2029          4.50000% 05/31/2029 NTS NOTE</t>
  </si>
  <si>
    <t>UNITED STATES TREAS SER AB-2029         4.00000% 07/31/2029 NTS NOTE</t>
  </si>
  <si>
    <t>UNITED STATES TREAS SER K-2029          2.87500% 04/30/2029 NTS NOTE</t>
  </si>
  <si>
    <t>UNITED STATES TREAS SER Y-2029          4.62500% 04/30/2029 NTS NOTE</t>
  </si>
  <si>
    <t>UNITED STATES TREAS SER J-2029          2.37500% 03/31/2029 NTS NOTE</t>
  </si>
  <si>
    <t>UNITED STATES TREAS SER V-2029          4.25000% 02/28/2029 NTS NOTE</t>
  </si>
  <si>
    <t>UNITED STATES TREAS SER BH-2025         5.00000% 09/30/2025 NTS NOTE</t>
  </si>
  <si>
    <t>UNITED STATES TREAS SER B-2029          2.62500% 02/15/2029 NTS NOTE</t>
  </si>
  <si>
    <t>UNITED STATES TREAS SER H-2029          1.87500% 02/28/2029 NTS NOTE</t>
  </si>
  <si>
    <t>UNITED STATES TREAS SER C-2029          2.37500% 05/15/2029 NTS NOTE</t>
  </si>
  <si>
    <t>UNITED STATES TREAS SER U-2029          4.00000% 01/31/2029 NTS NOTE</t>
  </si>
  <si>
    <t>UNITED STATES TREAS SER AD-2025         0.25000% 09/30/2025 NTS NOTE</t>
  </si>
  <si>
    <t>UNITED STATES TREAS SER AG-2025 0.37500% 11/30/2025 NTS NOTE</t>
  </si>
  <si>
    <t>2,800(200)</t>
  </si>
  <si>
    <t>UNITED STATES TREAS SER AH-2028         3.75000% 12/31/2028 NTS NOTE</t>
  </si>
  <si>
    <t>UNITED STATES TREAS SER G-2029          1.75000% 01/31/2029 NTS NOTE</t>
  </si>
  <si>
    <t>UNITED STATES TREAS SER T-2028          1.37500% 12/31/2028 NTS NOTE</t>
  </si>
  <si>
    <t>UNITED STATES TREAS SER AG-2028         4.37500% 11/30/2028 NTS NOTE</t>
  </si>
  <si>
    <t>UNITED STATES TREAS SER AS-2025         3.50000% 09/15/2025 NTS NOTE</t>
  </si>
  <si>
    <t>UNITED STATES TREAS SER F-2028          3.12500% 11/15/2028 NTS NOTE</t>
  </si>
  <si>
    <t>UNITED STATES TREAS SER S-2028          1.50000% 11/30/2028 NTS NOTE</t>
  </si>
  <si>
    <t>5,000(1)</t>
  </si>
  <si>
    <t>UNITED STATES TREAS SER R-2028          1.37500% 10/31/2028 NTS NOTE</t>
  </si>
  <si>
    <t>1,000(200)</t>
  </si>
  <si>
    <t>UNITED STATES TREAS SER Q-2028          1.25000% 09/30/2028 NTS NOTE</t>
  </si>
  <si>
    <t>UNITED STATES TREAS SER AF-2028         4.87500% 10/31/2028 NTS NOTE</t>
  </si>
  <si>
    <t>UNITED STATES TREAS SER BL-2025         4.87500% 11/30/2025 NTS NOTE</t>
  </si>
  <si>
    <t>UNITED STATES TREAS SER S-2025          2.87500% 11/30/2025 NTS NOTE</t>
  </si>
  <si>
    <t>UNITED STATES TREAS SER AD-2028         4.62500% 09/30/2028 NTS NOTE</t>
  </si>
  <si>
    <t>UNITED STATES TREAS BDS                 6.25000% 05/15/2030</t>
  </si>
  <si>
    <t>10,000(200)</t>
  </si>
  <si>
    <t>UNITED STATES TREAS SER P-2028          1.12500% 08/31/2028 NTS NOTE</t>
  </si>
  <si>
    <t>UNITED STATES TREAS SER AC-2028         4.37500% 08/31/2028 NTS NOTE</t>
  </si>
  <si>
    <t>4,197(1)</t>
  </si>
  <si>
    <t>UNITED STATES TREAS SER Q-2025          3.00000% 09/30/2025 NTS NOTE</t>
  </si>
  <si>
    <t>UNITED STATES TREAS SER BJ-2025         5.00000% 10/31/2025 NTS NOTE</t>
  </si>
  <si>
    <t>UNITED STATES TREAS SER AU-2025         4.50000% 11/15/2025 NTS NOTE</t>
  </si>
  <si>
    <t>UNITED STATES TREAS SER E-2028 2.87500% 08/15/2028 NTS NOTE</t>
  </si>
  <si>
    <t>UNITED STATES TREAS SER AB-2028         4.12500% 07/31/2028 NTS NOTE</t>
  </si>
  <si>
    <t>UNITED STATES TREAS SER F-2029          1.75000% 11/15/2029 NTS NOTE</t>
  </si>
  <si>
    <t>UNITED STATES TREAS SER C-2028          2.87500% 05/15/2028 NTS NOTE</t>
  </si>
  <si>
    <t>UNITED STATES TREAS SER N-2028          1.00000% 07/31/2028 NTS NOTE</t>
  </si>
  <si>
    <t>UNITED STATES TREAS SER L-2028          1.25000% 05/31/2028 NTS NOTE</t>
  </si>
  <si>
    <t>UNITED STATES TREAS SER N-2025          2.87500% 07/31/2025 NTS NOTE</t>
  </si>
  <si>
    <t>UNITED STATES       TREASURY NOTE       3.12500% 08/15/2025</t>
  </si>
  <si>
    <t>UNITED STATES TREAS 0.25000% 10/31/2025 NOTE</t>
  </si>
  <si>
    <t>UNITED STATES TREAS SER BC-2026         4.87500% 05/31/2026 NTS NOTE</t>
  </si>
  <si>
    <t>30,000(400)</t>
  </si>
  <si>
    <t>UNITED STATES TREAS SER M-2028          1.25000% 06/30/2028 NTS NOTE</t>
  </si>
  <si>
    <t>4,988(1)</t>
  </si>
  <si>
    <t>UNITED STATES TREAS SER AP-2025         2.87500% 06/15/2025 NTS NOTE</t>
  </si>
  <si>
    <t>UNITED STATES TREAS SER AY-2026         4.62500% 02/28/2026 NTS NOTE</t>
  </si>
  <si>
    <t>29,024(400)</t>
  </si>
  <si>
    <t>UNITED STATES TREAS SER Z-2028          3.62500% 05/31/2028 NTS NOTE</t>
  </si>
  <si>
    <t>UNITED STATES TREAS NOTES               2.75000% 02/15/2028</t>
  </si>
  <si>
    <t>UNITED STATES TREAS SER E-2029          1.62500% 08/15/2029 NTS NOTE</t>
  </si>
  <si>
    <t>UNITED STATES TREAS SER BC-2025         4.25000% 05/31/2025 NTS NOTE</t>
  </si>
  <si>
    <t>UNITED STATES TREAS SER B-2026          1.62500% 02/15/2026 NTS NOTE</t>
  </si>
  <si>
    <t>UNITED STATES TREAS SER K-2028          1.25000% 04/30/2028 NTS NOTE</t>
  </si>
  <si>
    <t>UNITED STATES TREAS SER Y-2028          3.50000% 04/30/2028 NTS NOTE</t>
  </si>
  <si>
    <t>UNITED STATES TREAS SER AA-2028         4.00000% 06/30/2028 NTS NOTE</t>
  </si>
  <si>
    <t>UNITED STATES TREAS SER U-2026          0.37500% 01/31/2026 NTS NOTE</t>
  </si>
  <si>
    <t>UNITED STATES TREAS NTS NOTE            2.00000% 08/15/2025</t>
  </si>
  <si>
    <t>UNITED STATES TREAS SER BG-2026         3.75000% 08/31/2026 NTS NOTE</t>
  </si>
  <si>
    <t>UNITED STATES TREAS SER AJ-2028         4.25000% 01/15/2028 NTS NOTE</t>
  </si>
  <si>
    <t>46,000(475)</t>
  </si>
  <si>
    <t>UNITED STATES TREAS SER V-2028          4.00000% 02/29/2028 NTS NOTE</t>
  </si>
  <si>
    <t>UNITED STATES TREAS SER Z-2025          0.25000% 05/31/2025 NTS NOTE</t>
  </si>
  <si>
    <t>UNITED STATES TREAS SER F-2025          2.25000% 11/15/2025 NTS NOTE</t>
  </si>
  <si>
    <t>UNITED STATES TREAS SER AW-2026         4.25000% 01/31/2026 NTS NOTE</t>
  </si>
  <si>
    <t>30,000( 400)</t>
  </si>
  <si>
    <t>UNITED STATES TREAS SER BA-2026         4.87500% 04/30/2026 NTS NOTE</t>
  </si>
  <si>
    <t>UNITED STATES TREAS SER BE-2026         4.37500% 07/31/2026 NTS NOTE</t>
  </si>
  <si>
    <t>150,000(400)</t>
  </si>
  <si>
    <t>UNITED STATES TREAS SER AK-2026         4.00000% 02/15/2026 NTS NOTE</t>
  </si>
  <si>
    <t>UNITED STATES TREAS SER V-2026          0.50000% 02/28/2026 NTS NOTE</t>
  </si>
  <si>
    <t>UNITED STATES TREAS SER Z-2026          0.75000% 05/31/2026 NTS NOTE</t>
  </si>
  <si>
    <t>UNITED STATES TREAS SER BJ-2026         4.12500% 10/31/2026 NTS NOTE</t>
  </si>
  <si>
    <t>UNITED STATES TREAS SER AU-2027         4.12500% 11/15/2027 NTS NOTE</t>
  </si>
  <si>
    <t>UNITED STATES TREAS SER BE-2025         4.75000% 07/31/2025 NTS NOTE</t>
  </si>
  <si>
    <t>UNITED STATES TREAS SER AZ-2026         4.50000% 03/31/2026 NTS NOTE</t>
  </si>
  <si>
    <t>UNITED STATES TREAS SER AD-2026         0.87500% 09/30/2026 NTS NOTE</t>
  </si>
  <si>
    <t>UNITED STATES TREAS SER F-2026          2.00000% 11/15/2026 NTS NOTE</t>
  </si>
  <si>
    <t>UNITED STATES TREAS SER AQ-2025         3.00000% 07/15/2025 NTS NOTE</t>
  </si>
  <si>
    <t>UNITED STATES TREAS SER J-2028          1.25000% 03/31/2028 NTS NOTE</t>
  </si>
  <si>
    <t>UNITED STATES TREAS SER W-2028          3.62500% 03/31/2028 NTS NOTE</t>
  </si>
  <si>
    <t>UNITED STATES TREAS SER G-2026          2.62500% 01/31/2026 NTS NOTE</t>
  </si>
  <si>
    <t>UNITED STATES TREAS SER W-2026          0.75000% 03/31/2026 NTS NOTE</t>
  </si>
  <si>
    <t>UNITED STATES TREAS SER R-2027          0.50000% 10/31/2027 NTS NOTE</t>
  </si>
  <si>
    <t>UNITED STATES TREAS SER G-2028          0.75000% 01/31/2028 NTS NOTE</t>
  </si>
  <si>
    <t>UNITED STATES TREAS SER H-2028          1.12500% 02/29/2028 NTS</t>
  </si>
  <si>
    <t>UNITED STATES TREAS SER L-2026          2.12500% 05/31/2026 NTS NOTE</t>
  </si>
  <si>
    <t>UNITED STATES TREAS SER AC-2026         0.75000% 08/31/2026 NTS NOTE</t>
  </si>
  <si>
    <t>UNITED STATES TREAS SER AC-2027         3.12500% 08/31/2027 NTS NOTE</t>
  </si>
  <si>
    <t>UNITED STATES TREAS SER F-2027          2.25000% 11/15/2027 NTS NOTE</t>
  </si>
  <si>
    <t>UNITED STATES TREAS SER AG-2027         3.87500% 11/30/2027 NTS NOTE</t>
  </si>
  <si>
    <t>UNITED STATES TREAS SER T-2027          0.62500% 12/31/2027 NTS NOTE</t>
  </si>
  <si>
    <t>UNITED STATES TREAS SER U-2028          3.50000% 01/31/2028 NTS NOTE</t>
  </si>
  <si>
    <t>UNITED STATES TREAS SER AT-2025         4.25000% 10/15/2025 NTS NOTE</t>
  </si>
  <si>
    <t>UNITED STATES TREAS SER AV-2026         4.37500% 12/15/2026 NTS NOTE</t>
  </si>
  <si>
    <t>UNITED STATES TREAS SER S-2027          0.62500% 11/30/2027 NTS NOTE</t>
  </si>
  <si>
    <t>UNITED STATES TREAS SER R-2025          3.00000% 10/31/2025 NTS NOTE</t>
  </si>
  <si>
    <t>UNITED STATES TREAS SER Y-2026          0.75000% 04/30/2026 NTS NOTE</t>
  </si>
  <si>
    <t>UNITED STATES TREAS SER BH-2026         3.50000% 09/30/2026 NTS NOTE</t>
  </si>
  <si>
    <t>UNITED STATES TREAS SER BL-2026         4.25000% 11/30/2026 NTS NOTE</t>
  </si>
  <si>
    <t>57,000(525)</t>
  </si>
  <si>
    <t>UNITED STATES TREAS SER BM-2026         4.25000% 12/31/2026 NTS NOTE</t>
  </si>
  <si>
    <t>UNITED STATES TREAS SER Z-2027          2.62500% 05/31/2027 NTS NOTE</t>
  </si>
  <si>
    <t>UNITED STATES TREAS SER AV-2027         4.00000% 12/15/2027 NTS NOTE</t>
  </si>
  <si>
    <t>35,000(450)</t>
  </si>
  <si>
    <t>UNITED STATES TREAS SER H-2026          2.50000% 02/28/2026 NTS NOTE</t>
  </si>
  <si>
    <t>UNITED STATES TREAS SER AN-2026         3.62500% 05/15/2026 NTS NOTE</t>
  </si>
  <si>
    <t>UNITED STATES TREAS SER AT-2027         3.87500% 10/15/2027 NTS NOTE</t>
  </si>
  <si>
    <t>UNITED STATES TREAS SER BM-2025         4.25000% 12/31/2025 NTS NOTE</t>
  </si>
  <si>
    <t>UNITED STATES TREAS SER AB-2025         0.25000% 07/31/2025 NTS</t>
  </si>
  <si>
    <t>UNITED STATES TREAS SER AA-2026         0.87500% 06/30/2026 NTS NOTE</t>
  </si>
  <si>
    <t>UNITED STATES TREAS SER AF-2026         1.12500% 10/31/2026 NTS NOTE</t>
  </si>
  <si>
    <t>UNITED STATES TREAS SER P-2027          0.50000% 08/31/2027 NTS NOTE</t>
  </si>
  <si>
    <t>UNITED STATES TREAS SER AS-2027         3.37500% 09/15/2027 NTS NOTE</t>
  </si>
  <si>
    <t>UNITED STATES TREAS BDS                 6.12500% 08/15/2029</t>
  </si>
  <si>
    <t>13,000(200)</t>
  </si>
  <si>
    <t>UNITED STATES TREAS SER BD-2025         4.62500% 06/30/2025 NTS NOTE</t>
  </si>
  <si>
    <t>UNITED STATES TREAS SER AM-2026         3.75000% 04/15/2026 NTS NOTE</t>
  </si>
  <si>
    <t>UNITED STATES TREAS SER AW-2027         4.12500% 01/31/2027 NTS NOTE</t>
  </si>
  <si>
    <t>UNITED STATES TREAS SER G-2027          1.50000% 01/31/2027 NTS NOTE</t>
  </si>
  <si>
    <t>12,000(275)</t>
  </si>
  <si>
    <t>UNITED STATES TREAS SER AU-2026         4.62500% 11/15/2026 NTS NOTE</t>
  </si>
  <si>
    <t>UNITED STATES TREAS SER AH-2026         1.25000% 12/31/2026 NTS NOTE</t>
  </si>
  <si>
    <t>UNITED STATES TREAS SER AN-2027         4.50000% 05/15/2027 NTS NOTE</t>
  </si>
  <si>
    <t>UNITED STATES TREAS SER C-2027          2.37500% 05/15/2027 NTS NOTE</t>
  </si>
  <si>
    <t>UNITED STATES TREAS SER N-2027          0.37500% 07/31/2027 NTS</t>
  </si>
  <si>
    <t>UNITED STATES TREAS SER AB-2027         2.75000% 07/31/2027 NTS NOTE</t>
  </si>
  <si>
    <t>UNITED STATES TREAS SER AL-2026         4.62500% 03/15/2026 NTS NOTE</t>
  </si>
  <si>
    <t>UNITED STATES TREAS SER AM-2027         4.50000% 04/15/2027 NTS NOTE</t>
  </si>
  <si>
    <t>UNITED STATES TREAS SER AH-2027         3.87500% 12/31/2027 NTS NOTE</t>
  </si>
  <si>
    <t>UNITED STATES TREAS SER C-2026          1.62500% 05/15/2026 NTS NOTE</t>
  </si>
  <si>
    <t>UNITED STATES TREAS SER BD-2026         4.62500% 06/30/2026 NTS NOTE</t>
  </si>
  <si>
    <t>UNITED STATES TREAS SER AB-2026         0.62500% 07/31/2026 NTS NOTE</t>
  </si>
  <si>
    <t>UNITED STATES TREAS SER AT-2026         4.62500% 10/15/2026 NTS NOTE</t>
  </si>
  <si>
    <t>UNITED STATES TREAS SER AR-2027         3.75000% 08/15/2027 NTS NOTE</t>
  </si>
  <si>
    <t>UNITED STATES TREAS SER K-2026          2.37500% 04/30/2026 NTS NOTE</t>
  </si>
  <si>
    <t>UNITED STATES TREAS SER V-2027          1.87500% 02/28/2027 NTS NOTE</t>
  </si>
  <si>
    <t>UNITED STATES TREAS SER J-2026          2.25000% 03/31/2026 NTS NOTE</t>
  </si>
  <si>
    <t>UNITED STATES TREAS SER AL-2027         4.25000% 03/15/2027 NTS NOTE</t>
  </si>
  <si>
    <t>15,000(475)</t>
  </si>
  <si>
    <t>UNITED STATES TREAS SER AG-2026         1.25000% 11/30/2026 NTS NOTE</t>
  </si>
  <si>
    <t>UNITED STATES TREAS SER L-2027          0.50000% 05/31/2027 NTS NOTE</t>
  </si>
  <si>
    <t>UNITED STATES TREAS SER Q-2027          0.37500% 09/30/2027 NTS NOTE</t>
  </si>
  <si>
    <t>UNITED STATES TREAS SER AR-2026         4.37500% 08/15/2026 NTS NOTE</t>
  </si>
  <si>
    <t>UNITED STATES TREAS SER AJ-2027         4.00000% 01/15/2027 NTS NOTE</t>
  </si>
  <si>
    <t>UNITED STATES TREAS SER B-2027          2.25000% 02/15/2027 NTS NOTE</t>
  </si>
  <si>
    <t>UNITED STATES TREAS NOTE                0.50000% 04/30/2027</t>
  </si>
  <si>
    <t>UNITED STATES TREAS SER AQ-2027         4.37500% 07/15/2027 NTS NOTE</t>
  </si>
  <si>
    <t>85,000(400)</t>
  </si>
  <si>
    <t>UNITED STATES TREAS SER AF-2027         4.12500% 10/31/2027 NTS NOTE</t>
  </si>
  <si>
    <t>UNITED STATES TREAS SER AH-2025         0.37500% 12/31/2025 NTS NOTE</t>
  </si>
  <si>
    <t>UNITED STATES TREAS SER AP-2026         4.12500% 06/15/2026 NTS NOTE</t>
  </si>
  <si>
    <t>UNITED STATES TREAS SER AS-2026         4.62500% 09/15/2026 NTS NOTE</t>
  </si>
  <si>
    <t>UNITED STATES TREAS SER Y-2027          2.75000% 04/30/2027 NTS NOTE</t>
  </si>
  <si>
    <t>UNITED STATES TREAS SER M-2027          0.50000% 06/30/2027 NTS NOTE</t>
  </si>
  <si>
    <t>UNITED STATES TREAS SER R-2026          1.62500% 10/31/2026 NTS NOTE</t>
  </si>
  <si>
    <t>UNITED STATES TREAS NOTE                0.62500% 03/31/2027</t>
  </si>
  <si>
    <t>UNITED STATES TREAS SER AP-2027         4.62500% 06/15/2027 NTS NOTE</t>
  </si>
  <si>
    <t>UNITED STATES TREAS SER E-2027          2.25000% 08/15/2027 NTS NOTE</t>
  </si>
  <si>
    <t>UNITED STATES TREAS SER AQ-2026         4.50000% 07/15/2026 NTS NOTE</t>
  </si>
  <si>
    <t>UNITED STATES TREAS SER P-2026          1.37500% 08/31/2026 NTS NOTE</t>
  </si>
  <si>
    <t>UNITED STATES TREAS SER AK-2027         4.12500% 02/15/2027 NTS NOTE</t>
  </si>
  <si>
    <t>UNITED STATES TREAS SER AD-2027         4.12500% 09/30/2027 NTS NOTE</t>
  </si>
  <si>
    <t>UNITED STATES TREAS SER T-2025          2.62500% 12/31/2025 NTS NOTE</t>
  </si>
  <si>
    <t>UNITED STATES TREAS SER M-2026          1.87500% 06/30/2026 NTS NOTE</t>
  </si>
  <si>
    <t>UNITED STATES TREAS SER S-2026          1.62500% 11/30/2026 NTS NOTE</t>
  </si>
  <si>
    <t>UNITED STATES TREAS SER AV-2025         4.00000% 12/15/2025 NTS NOTE</t>
  </si>
  <si>
    <t>UNITED STATES TREAS SER L-2025          2.87500% 05/31/2025 NTS NOTE</t>
  </si>
  <si>
    <t>UNITED STATES TREAS SER E-2026          1.50000% 08/15/2026 NTS NOTE</t>
  </si>
  <si>
    <t>UNITED STATES TREAS SER W-2027          2.50000% 03/31/2027 NTS NOTE</t>
  </si>
  <si>
    <t>UNITED STATES TREAS SER N-2026          1.87500% 07/31/2026 NTS NOTE</t>
  </si>
  <si>
    <t>UNITED STATES TREAS SER Q-2026          1.62500% 09/30/2026 NTS NOTE</t>
  </si>
  <si>
    <t>UNITED STATES TREAS NOTE                1.12500% 02/28/2027</t>
  </si>
  <si>
    <t>UNITED STATES TREAS BDS                 5.25000% 11/15/2028</t>
  </si>
  <si>
    <t>6,000(200)</t>
  </si>
  <si>
    <t>40,000(5)</t>
  </si>
  <si>
    <t>UNITED STATES TREAS SER AA-2027         3.25000% 06/30/2027 NTS NOTE</t>
  </si>
  <si>
    <t>UNITED STATES TREAS SER AJ-2026         3.87500% 01/15/2026 NTS NOTE</t>
  </si>
  <si>
    <t>UNITED STATES TREAS SER T-2026          1.75000% 12/31/2026 NTS NOTE</t>
  </si>
  <si>
    <t>UNITED STATES TREAS NTS NOTE            2.12500% 05/15/2025</t>
  </si>
  <si>
    <t>UNITED STATES TREAS SER Y-2025          0.37500% 04/30/2025 NTS NOTE</t>
  </si>
  <si>
    <t>UNITED STATES TREAS SER M-2025          2.75000% 06/30/2025 NTS NOTE</t>
  </si>
  <si>
    <t>UNITED STATES TREAS SER AN-2025         2.75000% 05/15/2025 NTS NOTE</t>
  </si>
  <si>
    <t>UNITED STATES TREAS SER BA-2025         3.87500% 04/30/2025 NTS NOTE</t>
  </si>
  <si>
    <t>UNITED STATES TREAS SER AA-2025         0.25000% 06/30/2025 NTS NOTE</t>
  </si>
  <si>
    <t>UNITED STATES TREAS SER K-2025          2.87500% 04/30/2025 NTS NOTE</t>
  </si>
  <si>
    <t>UNITED STATES TREAS BDS                 5.25000% 02/15/2029</t>
  </si>
  <si>
    <t>1,000(20)</t>
  </si>
  <si>
    <t>UNITED STATES TREAS BDS                 5.50000% 08/15/2028</t>
  </si>
  <si>
    <t>15,000(200)</t>
  </si>
  <si>
    <t>UNITED STATES TREAS BDS                 6.12500% 11/15/2027</t>
  </si>
  <si>
    <t>2,000(400)</t>
  </si>
  <si>
    <t>UNITED STATES TREAS BDS                 6.37500% 08/15/2027</t>
  </si>
  <si>
    <t>200(20)</t>
  </si>
  <si>
    <t>UNITED STATES TREAS SER AM-2025         2.62500% 04/15/2025 NTS NOTE</t>
  </si>
  <si>
    <t>UNITED STATES TREAS SER AY-2025         4.62500% 02/28/2025 NTS NOTE</t>
  </si>
  <si>
    <t>UNITED STATES TREAS SER J-2025          2.62500% 03/31/2025 NTS NOTE</t>
  </si>
  <si>
    <t>UNITED STATES TREAS NOTE                0.50000% 03/31/2025</t>
  </si>
  <si>
    <t>UNITED STATES TREAS SER AZ-2025         3.87500% 03/31/2025 NTS NOTE</t>
  </si>
  <si>
    <t>UNITED STATES TREAS BDS                 6.75000% 08/15/2026</t>
  </si>
  <si>
    <t>18,000(200)</t>
  </si>
  <si>
    <t>27,000(200)</t>
  </si>
  <si>
    <t>UNITED STATES TREAS NTS SER A-2035      2.12500% 01/15/2035</t>
  </si>
  <si>
    <t>TIPS</t>
  </si>
  <si>
    <t>UNITED STATES TREAS NTS SER A-2034      1.75000% 01/15/2034</t>
  </si>
  <si>
    <t>UNITED STATES TREAS NTS SER D-2034      1.87500% 07/15/2034</t>
  </si>
  <si>
    <t>UNITED STATES TREAS NTS SER A-2033      1.12500% 01/15/2033</t>
  </si>
  <si>
    <t>UNITED STATES TREAS NTS SER D-2033      1.37500% 07/15/2033</t>
  </si>
  <si>
    <t>UNITED STATES TREAS NTS SER A-2032      0.12500% 01/15/2032</t>
  </si>
  <si>
    <t>UNITED STATES       TREASURY            3.37500% 04/15/2032</t>
  </si>
  <si>
    <t>UNITED STATES TREAS NTS SER D-2032      0.62500% 07/15/2032</t>
  </si>
  <si>
    <t>UNITED STATES TREAS NTS SER A-2031      0.12500% 01/15/2031</t>
  </si>
  <si>
    <t>UNITED STATES TREAS NTS SER D-2031      0.12500% 07/15/2031</t>
  </si>
  <si>
    <t>UNITED STATES TREAS NTS SER A-2030      0.12500% 01/15/2030</t>
  </si>
  <si>
    <t>UNITED STATES TREAS NTS SER X-2029      2.12500% 04/15/2029</t>
  </si>
  <si>
    <t>UNITED STATES TREAS BDS                 3.87500% 04/15/2029</t>
  </si>
  <si>
    <t>UNITED STATES TREAS NTS SER D-2030      0.12500% 07/15/2030</t>
  </si>
  <si>
    <t>UNITED STATES TREAS NTS SER A-2029      0.87500% 01/15/2029</t>
  </si>
  <si>
    <t>UNITED STATES TREAS NTS SER AE-2029     1.62500% 10/15/2029</t>
  </si>
  <si>
    <t>UNITED STATES TREAS NTS SER X-2028      1.25000% 04/15/2028</t>
  </si>
  <si>
    <t>UNITED STATES TREAS NTS SER D-2029      0.25000% 07/15/2029</t>
  </si>
  <si>
    <t>UNITED STATES TREAS NTS SER AE-2028     2.37500% 10/15/2028</t>
  </si>
  <si>
    <t>UNITED STATES TREAS NTS SER A-2028      0.50000% 01/15/2028</t>
  </si>
  <si>
    <t>UNITED STATES       TREASURY            1.75000% 01/15/2028</t>
  </si>
  <si>
    <t>UNITED STATES TREAS NTS SER D-2028      0.75000% 07/15/2028</t>
  </si>
  <si>
    <t>UNITED STATES TREAS NTS SER X-2027      0.12500% 04/15/2027</t>
  </si>
  <si>
    <t>UNITED STATES TREAS NTS SER AE-2027     1.62500% 10/15/2027</t>
  </si>
  <si>
    <t>UNITED STATES TREAS NTS TIPS            0.37500% 01/15/2027</t>
  </si>
  <si>
    <t>UNITED STATES TREAS BDS TIPS            2.37500% 01/15/2027</t>
  </si>
  <si>
    <t>UNITED STATES TREAS NTS SER D-2027      0.37500% 07/15/2027</t>
  </si>
  <si>
    <t>UNITED STATES TREAS NTS SER X-2026      0.12500% 04/15/2026</t>
  </si>
  <si>
    <t>UNITED STATES TREAS NTS SER AE-2026     0.12500% 10/15/2026</t>
  </si>
  <si>
    <t>UNITED STATES       TREASURY            2.00000% 01/15/2026</t>
  </si>
  <si>
    <t>UNITED STATES TREAS NTS                 0.12500% 07/15/2026 TIPS</t>
  </si>
  <si>
    <t>UNITED STATES TREAS NTS SER AE-2025     0.12500% 10/15/2025</t>
  </si>
  <si>
    <t>GA</t>
  </si>
  <si>
    <t>GEORGIA ST HSG &amp; FINAUTH REV SINGLE     01.30000% 06/01/2028FAMILY MTG BDS SER. 2021 A</t>
  </si>
  <si>
    <t>Muni</t>
  </si>
  <si>
    <t>N/A(N/A)</t>
  </si>
  <si>
    <t>800(5)</t>
  </si>
  <si>
    <t xml:space="preserve">ME SFP ER R </t>
  </si>
  <si>
    <t>TX</t>
  </si>
  <si>
    <t>BONHAM TEX INDPT SCHDIST ULTD TAX SCH   02.00000% 08/01/2029BLDG BDS SER. 2016</t>
  </si>
  <si>
    <t>15(5)</t>
  </si>
  <si>
    <t xml:space="preserve">ME SFP GO </t>
  </si>
  <si>
    <t>NY</t>
  </si>
  <si>
    <t>PELHAM N Y UN FREE  SCH DIST REF SERIAL 02.00000% 08/15/2029BDS SER. 2016</t>
  </si>
  <si>
    <t>10(5)</t>
  </si>
  <si>
    <t>SD</t>
  </si>
  <si>
    <t>SOUTH DAKOTA HSG DEVAUTH HOMEOWNERSHIP  01.50000% 05/01/2030MTG BDS SER. 2021 B</t>
  </si>
  <si>
    <t>15(15)</t>
  </si>
  <si>
    <t>GEORGIA ST HSG &amp; FINAUTH REV SING FAMILY02.40000% 06/01/2030MTG BDS SER. 2020 A</t>
  </si>
  <si>
    <t>MD</t>
  </si>
  <si>
    <t>MONTGOMERY CNTY MD  HSG OPPNTYS COMMN   01.85000% 07/01/2030MULTIFAMILY HSG &amp; RECONSTR DEV REV BDS</t>
  </si>
  <si>
    <t>20(10)</t>
  </si>
  <si>
    <t>NH</t>
  </si>
  <si>
    <t>NEW HAMPSHIRE ST HSGFIN AUTH 01.60000% 07/01/2030MULTI-FAMILY HSG REVBDS SER. 2020 2</t>
  </si>
  <si>
    <t>NE</t>
  </si>
  <si>
    <t>NEBRASKA INVT FIN   AUTH SINGLE FAMILY  02.10000% 09/01/2030HSG REV BDS SER.    2022 A</t>
  </si>
  <si>
    <t>60(10)</t>
  </si>
  <si>
    <t>GREENBURGH N Y PUB  IMPT BDS SER. 2016  02.00000% 10/15/2030</t>
  </si>
  <si>
    <t>SOUTH DAKOTA HSG DEVAUTH HOMEOWNERSHIP  01.40000% 11/01/2030MTG BDS SER. 2021 A</t>
  </si>
  <si>
    <t>75(50)</t>
  </si>
  <si>
    <t>CT</t>
  </si>
  <si>
    <t>CONNECTICUT ST HSG  FIN AUTH HSG MTG FIN01.35000% 11/15/2030PROG BDS SER. 2021 ASUB A3</t>
  </si>
  <si>
    <t>45(5)</t>
  </si>
  <si>
    <t>GEORGIA ST HSG &amp; FINAUTH REV SINGLE     01.85000% 12/01/2030FAMILY MTG BDS SER. 2021 A</t>
  </si>
  <si>
    <t>NJ</t>
  </si>
  <si>
    <t>MORRIS CNTY N J GO  IMPT PK COLLEGE BDS 02.00000% 02/01/2031SER. 2021</t>
  </si>
  <si>
    <t>20(5)</t>
  </si>
  <si>
    <t>MIDDLESEX CNTY N J  GO VOCATIONAL       02.00000% 06/01/2031TECHNICAL SCH       COLLEGE BDS SER.</t>
  </si>
  <si>
    <t>115(10)</t>
  </si>
  <si>
    <t xml:space="preserve">ME SFP D GO </t>
  </si>
  <si>
    <t>MS</t>
  </si>
  <si>
    <t>MISSISSIPPI HOME    CORP SINGLE FAMILY  01.60000% 06/01/2031MTG REV BDS SER.    2021 B</t>
  </si>
  <si>
    <t>10(10)</t>
  </si>
  <si>
    <t>WA</t>
  </si>
  <si>
    <t>WASHINGTON ST HSG   FIN COMMN SINGLE    01.95000% 06/01/2031FAMILY PROG BDS SER.2021 2N</t>
  </si>
  <si>
    <t>5(5)</t>
  </si>
  <si>
    <t>NM</t>
  </si>
  <si>
    <t>ALBUQUERQUE N MEX GOPURP BDS SER. 2021 A02.00000% 07/01/2031</t>
  </si>
  <si>
    <t>IL</t>
  </si>
  <si>
    <t>ILLINOIS HSG DEV    AUTH MULTI FAMILY   01.80000% 07/01/2031REV BDS SER. 2021C</t>
  </si>
  <si>
    <t>GALENA PK TEX INDPT SCH DIST ULTD TAX   02.50000% 08/15/2031SCH BLDG AND REF BDSSER. 2016</t>
  </si>
  <si>
    <t>KS</t>
  </si>
  <si>
    <t>JOHNSON CNTY KANS   PUB BLDG COMMN LEASE02.37500% 09/01/2031PUR REV REV BDS     LIBRARY PROJECTS</t>
  </si>
  <si>
    <t>WI</t>
  </si>
  <si>
    <t>KENOSHA CNTY WIS GO PROM NTS SER. 2021 A01.50000% 09/01/2031</t>
  </si>
  <si>
    <t>185(5)</t>
  </si>
  <si>
    <t>FL</t>
  </si>
  <si>
    <t>PINELLAS CNTY FLA   HSG FIN AUTH SINGLE 01.90000% 09/01/2031FAMILY HSG REV BDS  SER. 2021 A</t>
  </si>
  <si>
    <t>NORTH HEMPSTEAD N Y PUB IMPT SERIAL BDS 02.00000% 09/15/2031SER. 2019 B</t>
  </si>
  <si>
    <t>MARYLAND ST DEPT    TRANSN CONS TRANSN  02.12500% 10/01/2031BDS SER. 2019</t>
  </si>
  <si>
    <t>25(5)</t>
  </si>
  <si>
    <t xml:space="preserve">ME SFP R </t>
  </si>
  <si>
    <t>CONNECTICUT ST HSG  FIN AUTH HSG MTG FIN01.50000% 11/15/2031PROG BDS SER. 2021  A-1</t>
  </si>
  <si>
    <t xml:space="preserve">ME SFP ER D R </t>
  </si>
  <si>
    <t>AK</t>
  </si>
  <si>
    <t>ALASKA HSG FIN CORP MTG REV GEN BDS SER.02.20000% 12/01/20312019A II</t>
  </si>
  <si>
    <t>AA+</t>
  </si>
  <si>
    <t>ALASKA HSG FIN CORP MTG REV GEN BDS II  01.90000% 12/01/2031SER. 2022A</t>
  </si>
  <si>
    <t>COOK CNTY ILL CMNTY CONS SCH DIST NO 03402.00000% 12/01/2031GLENVIEW GO BDS SER.2021</t>
  </si>
  <si>
    <t>120(5)</t>
  </si>
  <si>
    <t>MISSISSIPPI HOME    CORP SINGLE FAMILY  01.65000% 12/01/2031MTG REV BDS SER.    2021 A</t>
  </si>
  <si>
    <t>WASHINGTON ST HSG   FIN COMMN SINGLE    01.75000% 12/01/2031FAMILY PROG BDS SER.2021-1N</t>
  </si>
  <si>
    <t>MN</t>
  </si>
  <si>
    <t>DAKOTA CNTY MINN    CMNTY DEV AGY       02.00000% 01/01/2032GOVERNMENTAL DEV    UNLTD TAX GO REF BDS</t>
  </si>
  <si>
    <t>40(5)</t>
  </si>
  <si>
    <t>IN</t>
  </si>
  <si>
    <t>INDIANA ST HSG &amp; CMNTY DEV AUTH      02.05000% 01/01/2032SINGLE FAMILY REV   MTG BDS SER. 2021</t>
  </si>
  <si>
    <t>40(40)</t>
  </si>
  <si>
    <t>MAHWAH TWP N J GO   IMPT WTR SWR UTIL   02.00000% 01/15/2032BDS SER. 2020</t>
  </si>
  <si>
    <t>LAC QUI PARLE VALLEYINDPT SCH DIST NO   02.00000% 02/01/20322853 MINN GO BLDG   BDS SER. 2020 A</t>
  </si>
  <si>
    <t>LITCHFIELD MINN     INDPT SCH DIST NO   02.00000% 02/01/2032465 GO BLDG BDS SER.2020A</t>
  </si>
  <si>
    <t>650(50)</t>
  </si>
  <si>
    <t>ROCHESTER MINN INDPTSCH DIST NO 535 GO  02.00000% 02/01/2032BLDG BDS SER. 2020A</t>
  </si>
  <si>
    <t>ST LOUIS PARK MINN  GO BDS SER. 2020A   02.00000% 02/01/2032</t>
  </si>
  <si>
    <t>25(10)</t>
  </si>
  <si>
    <t>THREE RIVERS PARK   DIST MINN GO BDS    02.00000% 02/01/2032SER. 2019 A</t>
  </si>
  <si>
    <t>WASHINGTON CNTY MINNGO BDS SER. 2019 A  02.00000% 02/01/2032</t>
  </si>
  <si>
    <t>ISLIP N Y PUB IMPT  BDS SER. 2021 A     02.00000% 05/01/2032</t>
  </si>
  <si>
    <t>WASHINGTON ST HSG   FIN COMMN SINGLE    02.40000% 06/01/2032FAMILY PROG BDS SER.2020 1N</t>
  </si>
  <si>
    <t>IA</t>
  </si>
  <si>
    <t>IOWA FIN AUTH SINGLEFAMILY MTG REV BDS  02.30000% 07/01/2032SER. 2019 D</t>
  </si>
  <si>
    <t>PIERCE CNTY WASH LTDTAX GO BDS SER. 201902.25000% 07/01/2032A</t>
  </si>
  <si>
    <t>CRANBURY TWP N J BRDED MIDDLESEX CNTY   02.12500% 08/15/2032SCH BDS</t>
  </si>
  <si>
    <t>GALENA PK TEX INDPT SCH DIST ULTD TAX   02.50000% 08/15/2032SCH BLDG AND REF BDSSER. 2016</t>
  </si>
  <si>
    <t>VENUS TEX INDPT SCH DIST ULTD TAX SCH   02.50000% 08/15/2032BLDG BDS SER. 2016</t>
  </si>
  <si>
    <t>30(5)</t>
  </si>
  <si>
    <t>WESTCHESTER CNTY N YGO BDS SER. 2021 A  02.00000% 10/15/2032</t>
  </si>
  <si>
    <t>AA1</t>
  </si>
  <si>
    <t>NAPERVILLE ILL GO   BDS SER. 2020       02.00000% 12/01/2032</t>
  </si>
  <si>
    <t>200(200)</t>
  </si>
  <si>
    <t>LAKE CNTY ILL FST   PRESV DIST GO REF   02.00000% 12/15/2032BDS SER. 2021</t>
  </si>
  <si>
    <t>NEW CANAAN CONN GO  BDS SER. 2021 B     02.00000% 12/15/2032</t>
  </si>
  <si>
    <t>SPRINGFIELD MINN    INDPT SCH DIST NO   02.00000% 02/01/2033085 GO BLDG BDS SER.2021 A</t>
  </si>
  <si>
    <t>ST PAUL MINN INDPT  SCH DIST NO 625 CTFS02.12500% 02/01/2033PARTN CTFS PARTN    SER. 2020 C</t>
  </si>
  <si>
    <t>WICHITA FALLS TEX   INDPT SCH DIST UNLTD01.70000% 02/01/2033TAX BLDG BDS SER.   2021</t>
  </si>
  <si>
    <t>3,100(25)</t>
  </si>
  <si>
    <t>AMARILLO TEX GO BDS SER. 2021           02.00000% 02/15/2033</t>
  </si>
  <si>
    <t>MA</t>
  </si>
  <si>
    <t>WESTFORD MASS GO MUNPURP LN BDS SER.    02.37500% 02/15/20332019 A</t>
  </si>
  <si>
    <t>SC</t>
  </si>
  <si>
    <t>RICHLAND CNTY S C GOREF SWR SYS BDS SER.02.00000% 03/01/20332021</t>
  </si>
  <si>
    <t>200(5)</t>
  </si>
  <si>
    <t>BABYLON N Y PUB IMPTBDS SER. 2021 A     02.00000% 03/15/2033</t>
  </si>
  <si>
    <t>20(20)</t>
  </si>
  <si>
    <t>NORTH HEMPSTEAD N Y PUB IMPT BDS SER.   02.00000% 03/15/20332021 A</t>
  </si>
  <si>
    <t>SARPY CNTY NEB LTD  TAX BLDG BDS SER.   01.75000% 06/01/20332021</t>
  </si>
  <si>
    <t>2,125(25)</t>
  </si>
  <si>
    <t>HOPKINTON MASS GO   UNLTD TAX MUN PURP  02.00000% 06/15/2033LN BDS SER. 2020</t>
  </si>
  <si>
    <t>HUNTINGTON N Y PUB  IMPT BDS SER. 2021 A02.00000% 06/15/2033</t>
  </si>
  <si>
    <t>SCARSDALE N Y UN    FREE SCH DIST BDS   02.00000% 06/15/2033SER. 2020</t>
  </si>
  <si>
    <t>MONTGOMERY CNTY MD  HSG OPPNTYS COMMN   02.12500% 07/01/2033MULTIFAMILY HSG &amp; RECONSTR DEV REV BDS</t>
  </si>
  <si>
    <t>BETHEL CONN GO BDS  SER. 2021           02.00000% 07/15/2033</t>
  </si>
  <si>
    <t>75(5)</t>
  </si>
  <si>
    <t>TEXAS ST WTR        FINANCIAL ASSISTANCE02.25000% 08/01/2033GO REF BDS SER. 2021B</t>
  </si>
  <si>
    <t>65(5)</t>
  </si>
  <si>
    <t>ARLINGTON TEX HIGHERED FIN CORP ED REV  03.00000% 08/15/2033BDS GREAT HEARTS    AMERICA TEX SER.</t>
  </si>
  <si>
    <t>CLIFTON TEX INDPT   SCH DIST ULTD TAX   02.62500% 08/15/2033SCH BLDG BDS SER.   2016</t>
  </si>
  <si>
    <t>GALENA PK TEX INDPT SCH DIST ULTD TAX   02.50000% 08/15/2033SCH BLDG AND REF BDSSER. 2016</t>
  </si>
  <si>
    <t>40(10)</t>
  </si>
  <si>
    <t>HOUSTON TEX HIGHER  ED FIN CORP ED REV  04.00000% 08/15/2033REF BDS KIPP INC    SER. 2015</t>
  </si>
  <si>
    <t>35(5)</t>
  </si>
  <si>
    <t>NEBRASKA INVT FIN   AUTH SINGLE FAMILY  02.40000% 09/01/2033HSG REV BDS SER.    2022 A</t>
  </si>
  <si>
    <t>BABYLON N Y VARIOUS PURP BDS SER. 2019  02.00000% 10/01/2033</t>
  </si>
  <si>
    <t>ILLINOIS HSG DEV    AUTH REV BDS SER.   01.87500% 10/01/20332021 B</t>
  </si>
  <si>
    <t>WESTCHESTER CNTY N YGO BDS SER. 2021 A  02.00000% 10/15/2033</t>
  </si>
  <si>
    <t>MIDDLESEX CNTY N J  GEN IMPT BDS SER.   02.25000% 11/15/20332019 A</t>
  </si>
  <si>
    <t>LAKE CNTY ILL FST   PRESV DIST GO REF   02.00000% 12/15/2033BDS SER. 2021</t>
  </si>
  <si>
    <t>LAKE CNTY ILL SCH   DIST NO 109         04.00000% 12/15/2033DEERFIELD GO LTD SCHBDS SER. 2015</t>
  </si>
  <si>
    <t>PALM BEACH FLA REV  PUB IMPT REV REF BDS02.62500% 01/01/2034SER. B</t>
  </si>
  <si>
    <t>ROCHESTER MINN INDPTSCH DIST NO 535 GO  02.12500% 02/01/2034BLDG BDS SER. 2020A</t>
  </si>
  <si>
    <t>650(25)</t>
  </si>
  <si>
    <t>WICHITA FALLS TEX   INDPT SCH DIST UNLTD02.00000% 02/01/2034TAX BLDG BDS SER.   2021</t>
  </si>
  <si>
    <t>N/A( 0)</t>
  </si>
  <si>
    <t>ALVARADO TEX INDPT  SCH DIST UNLTD TAX  02.12500% 02/15/2034BLDG BDS SER. 2020</t>
  </si>
  <si>
    <t>AMARILLO TEX        COMBINATION TAX REV 02.00000% 02/15/2034CTFS OBLIG SER. 2020</t>
  </si>
  <si>
    <t>265(25)</t>
  </si>
  <si>
    <t xml:space="preserve">ME SFP D R </t>
  </si>
  <si>
    <t>LA PORTE TEX INDPT  SCH DIST UNLTD TAX  02.00000% 02/15/2034BLDG BDS SER. 2020</t>
  </si>
  <si>
    <t>30(10)</t>
  </si>
  <si>
    <t>PORT NECHES-GROVES  TEX INDPT SCH DIST  02.00000% 02/15/2034UNLTD TAX BLDG BDS  SER. 2020</t>
  </si>
  <si>
    <t>2,150(25)</t>
  </si>
  <si>
    <t>WILLIAMSON CNTY TEX LTD TAX PARK BDS    03.00000% 02/15/2034SER.2016</t>
  </si>
  <si>
    <t>TN</t>
  </si>
  <si>
    <t>WILLIAMSON CNTY TENNGO BDS SER. 2021 B  01.75000% 05/01/2034</t>
  </si>
  <si>
    <t>GALENA PK TEX INDPT SCH DIST ULTD TAX   02.62500% 08/15/2034SCH BLDG AND REF BDSSER. 2016</t>
  </si>
  <si>
    <t>CA</t>
  </si>
  <si>
    <t>MOULTON-NIGUEL CALIFWTR DIST CTFS PARTN 02.25000% 09/01/2034CTFS PARTN SER. 2019</t>
  </si>
  <si>
    <t>TAMPA FLA NON-AD    VALOREM REV REF AND 02.62500% 10/01/2034IMPT REV BDS SER.   2016</t>
  </si>
  <si>
    <t>BERKELEY HEIGHTS TWPN J SCH DIST GO REF 05.00000% 03/01/2025SCH BDS SER. 2014</t>
  </si>
  <si>
    <t>700(5)</t>
  </si>
  <si>
    <t xml:space="preserve">ME CP SFP D GO </t>
  </si>
  <si>
    <t>FORT BEND CNTY TEX  LTD TAX FAC BDS SER.05.00000% 03/01/20252019</t>
  </si>
  <si>
    <t>310(5)</t>
  </si>
  <si>
    <t>HADDONFIELD N J GO  BDS SER. 2013       02.50000% 03/01/2025</t>
  </si>
  <si>
    <t>TRAVIS CNTY TEX CTFSOBLIG SER. 2019 A   05.00000% 03/01/2025</t>
  </si>
  <si>
    <t xml:space="preserve">ME CP SFP R </t>
  </si>
  <si>
    <t>BREVARD CNTY FLA    HEALTH FACS AUTH REV05.00000% 04/01/2025HOSP BDS HEALTH     FIRST INC SER. 2023</t>
  </si>
  <si>
    <t>A2</t>
  </si>
  <si>
    <t>A</t>
  </si>
  <si>
    <t>GRAFTON WIS GO PROM NTS SER. 2019 A     02.00000% 06/01/2025</t>
  </si>
  <si>
    <t>AA2</t>
  </si>
  <si>
    <t xml:space="preserve">ME CP SFP GO </t>
  </si>
  <si>
    <t>BENBROOK TEX WTR    AUTH WTRWKS &amp; SWR   02.00000% 12/01/2025REV SYS REV BDS SER.2016</t>
  </si>
  <si>
    <t>AA-</t>
  </si>
  <si>
    <t>RICE LAKE WIS GO    PROM NTS SER. 2016  02.00000% 12/01/2025</t>
  </si>
  <si>
    <t>85(5)</t>
  </si>
  <si>
    <t>ROMEOVILLE ILL GO   REF BDS SER. 2016 A 02.00000% 12/30/2025</t>
  </si>
  <si>
    <t>BOLINGBROOK ILL G.O.REF BDS SER. 1999 C 00.00000% 01/01/2026</t>
  </si>
  <si>
    <t xml:space="preserve">ME CP SFP GO I </t>
  </si>
  <si>
    <t>MONROE TWP N J      MIDDLESEX CNTY IMPT 02.00000% 06/01/2026WTR SWR UTIL GO BDS SER. 2021</t>
  </si>
  <si>
    <t>PFLUGERVILLE TEX LTDTAX BDS SER. 2021   02.00000% 08/01/2026</t>
  </si>
  <si>
    <t>AA3</t>
  </si>
  <si>
    <t>CHAMBERS CNTY TEX   IMPT DIST NO 1 ULTD 02.50000% 09/01/2026TAX BDS SER. 2017</t>
  </si>
  <si>
    <t>GENERATION PK MGMT  DIST TEX UNLTD TAX  02.00000% 09/01/2026BDS SER. 2019</t>
  </si>
  <si>
    <t>A3</t>
  </si>
  <si>
    <t>AA</t>
  </si>
  <si>
    <t>125(20)</t>
  </si>
  <si>
    <t xml:space="preserve">ME SFP GO I </t>
  </si>
  <si>
    <t>HARRIS-MONTGOMERY   CNTYS MUN UTIL DIST 02.00000% 09/01/2026NO 386 UNLTD TAX BDSSER. 2020</t>
  </si>
  <si>
    <t>ILLINOIS FIN AUTH   HEALTH SVCS FAC     05.00000% 10/01/2026LEASE REV BDS       PROVIDENT GROUP UIC</t>
  </si>
  <si>
    <t>BBB+</t>
  </si>
  <si>
    <t>KANE MC HENRY COOK &amp;DE KALB CNTYS ILL   03.55000% 01/01/2027CMNTY UNIT SCH DIST NO 300 GO REF BDS</t>
  </si>
  <si>
    <t>60(5)</t>
  </si>
  <si>
    <t>EL CAMPO TEX GO REF BDS SER. 2021 A     01.87500% 02/01/2027</t>
  </si>
  <si>
    <t>WEST ORANGE TWP N J GO BDS SER.2016     02.00000% 02/01/2027</t>
  </si>
  <si>
    <t>KENDALL CNTY TEX LTDTAX GO BDS SER.2016 02.00000% 03/01/2027</t>
  </si>
  <si>
    <t>MID-ST TECH COLLEGE DIST WIS GO PROM NTS02.00000% 03/01/2027SER. 2021 A</t>
  </si>
  <si>
    <t>GLENDALE WIS GO PROMNTS SER. 2017       02.40000% 04/01/2027</t>
  </si>
  <si>
    <t>A1</t>
  </si>
  <si>
    <t>CUMBERLAND CNTY N J GO COLLEGE IMPT BDS 02.00000% 05/15/2027SER. 2021</t>
  </si>
  <si>
    <t>DANE CNTY WIS GO    PROM NTS SER. 2019 A02.00000% 06/01/2027</t>
  </si>
  <si>
    <t>2,365(100)</t>
  </si>
  <si>
    <t>FLORIDA ST TPK AUTH TPK REV REV REF BDS 02.62500% 07/01/2027SER. 2016 B</t>
  </si>
  <si>
    <t>TRENTON N J GO WTR  SWR UTIL IMPT BDS   02.00000% 07/15/2027SER. 2020</t>
  </si>
  <si>
    <t xml:space="preserve">ME CP SFP D GO I </t>
  </si>
  <si>
    <t>LITTLE ELM TEX CTFS OF OBLIG SER. 2012  02.37500% 08/01/2027</t>
  </si>
  <si>
    <t>ROUND ROCK TEX UTIL REV SYS REV REF BDS 02.50000% 08/01/2027SER. 2016</t>
  </si>
  <si>
    <t>WEST ORANGE TWP N J GEN IMPT BDS SER.   02.00000% 08/01/20272019</t>
  </si>
  <si>
    <t>LIVINGSTON TEX INDPTSCH DIST UNLTD TAX  02.00000% 08/15/2027REF BDS SER. 2021</t>
  </si>
  <si>
    <t>25( 5)</t>
  </si>
  <si>
    <t>CINCO TEX MUN UTIL  DIST NO 14 UNLTD TAX03.00000% 09/01/2027REF BDS FORT BEND   CNTY SER. 2019</t>
  </si>
  <si>
    <t>HARRIS CNTY TEX WTR CTL &amp; IMPT DIST NO  02.00000% 09/01/202796 UNLTD TAX REF BDSSER. 2019 B</t>
  </si>
  <si>
    <t>160(5)</t>
  </si>
  <si>
    <t>MCKINNEY MUN UTIL   DIST NO 1 TEX COLLIN02.00000% 09/01/2027CNTY UNLTD TAX RD   BDS SER. 2021</t>
  </si>
  <si>
    <t>RIVIERA BEACH FLA   STORMWATER MGMT UTIL02.37500% 11/01/2027REV REV BDS SER.    2016</t>
  </si>
  <si>
    <t>A+</t>
  </si>
  <si>
    <t>KENDALL KANE &amp; WILL CNTYS ILL CMNTY UNIT00.00000% 02/01/2028SCH DIST NO 308 GO  SCHOOL BDS OSWEGO</t>
  </si>
  <si>
    <t>WEST ORANGE TWP N J GO BDS SER.2016     02.00000% 02/01/2028</t>
  </si>
  <si>
    <t>UNION CNTY N J GEN  IMPT VOCATIONAL     02.00000% 03/01/2028TECHNICAL SCH COLL  BDS SER. 2020</t>
  </si>
  <si>
    <t>MONTGOMERY TWP N J  BRD ED SCH BDS      02.00000% 04/15/2028</t>
  </si>
  <si>
    <t>50(10)</t>
  </si>
  <si>
    <t>PERTH AMBOY N J GO  IMPT WTR WASTEWTR   02.00000% 05/01/2028UTIL BDS</t>
  </si>
  <si>
    <t>OSHKOSH WIS GO PROM NTS SER. 2020B      02.00000% 06/01/2028</t>
  </si>
  <si>
    <t>45(10)</t>
  </si>
  <si>
    <t>FLORIDA ST BRD      GOVERNORS FLA INTL  03.12500% 07/01/2028UNIV DORM REV FL    INTL UNIV DORM REV</t>
  </si>
  <si>
    <t>ROCKWALL TEX GO REF AND IMPT BDS        02.75000% 08/01/2028SER.2016</t>
  </si>
  <si>
    <t>WILLIAMSON CNTY TEX MUN UTIL DIST NO 15 02.00000% 08/01/2028ULTD TAX BDS SER.   2016</t>
  </si>
  <si>
    <t>BAA1</t>
  </si>
  <si>
    <t>FAIR HAVEN BORO N J SCH DIST BDS SER.   02.50000% 08/15/20282019</t>
  </si>
  <si>
    <t>GEORGETOWN TEX COMBITAX AND REV CTFS OF 02.37500% 08/15/2028OBLIG SER. 2016</t>
  </si>
  <si>
    <t>SAN MARCOS TEX COMBITAX AND REV CTFS OF 02.12500% 08/15/2028OBLIG SER.2016</t>
  </si>
  <si>
    <t>EAU CLAIRE CNTY WIS GO PROM NTS SER.    02.00000% 09/01/20282021 C</t>
  </si>
  <si>
    <t>20( 20)</t>
  </si>
  <si>
    <t>FORT BEND CNTY TEX  MUN UTIL DIST NO 5  02.00000% 09/01/2028UNLTD TAX BDS SER.  2021</t>
  </si>
  <si>
    <t>BAA2</t>
  </si>
  <si>
    <t>FORT BEND CNTY TEX  MUN UTIL DIST NO    02.25000% 09/01/2028134D UNLTD TAX BDS  SER. 2019</t>
  </si>
  <si>
    <t>FORT BEND CNTY TEX  MUN UTIL DIST NO 30 03.00000% 09/01/2028UNLTD TAX REF BDS   HARRIS CNTYS SER.</t>
  </si>
  <si>
    <t xml:space="preserve">ME SFP D GO I </t>
  </si>
  <si>
    <t>GRAND MISSION MUN   UTIL DIST NO 1 TEX  03.37500% 09/01/2028ULTD TAX REF BDS    SER. 2015</t>
  </si>
  <si>
    <t>70(5)</t>
  </si>
  <si>
    <t>HARRIS CNTY TEX MUN UTIL DIST NO 321    02.75000% 09/01/2028ULTD TAX RD BDS SER.2017</t>
  </si>
  <si>
    <t>MCKINNEY MUN UTIL   DIST NO 2 TEX COLLIN06.50000% 09/01/2028CNTY UNLTD TAX RD   BDS SER. 2023</t>
  </si>
  <si>
    <t>BAA3</t>
  </si>
  <si>
    <t>WOODRIDGE BORO N J  GEN IMPT BDS        01.00000% 09/01/2028</t>
  </si>
  <si>
    <t>FREEHOLD TWP N J GO BDS SER. 2017       02.37500% 09/15/2028</t>
  </si>
  <si>
    <t>MOUNT OLIVE TWP N J GO IMPT WTR SWR UTIL02.00000% 09/15/2028SPL ASSMT BDS SER.  2020</t>
  </si>
  <si>
    <t>ILLINOIS FIN AUTH   HEALTH SVCS FAC     05.00000% 10/01/2028LEASE REV BDS       PROVIDENT GROUP UIC</t>
  </si>
  <si>
    <t>OCEAN CNTY N J GEN  IMPT BDS SER. 2016  02.00000% 10/01/2028</t>
  </si>
  <si>
    <t xml:space="preserve"> 0(N/A)</t>
  </si>
  <si>
    <t>ORANGE CNTY FLA WTR &amp;WASTEWTR REV REV   02.00000% 10/01/2028BDS SER. 2016</t>
  </si>
  <si>
    <t>TOHOPEKALIGA WTR    AUTH FLA UTIL SYS   02.50000% 10/01/2028REV REV REF BDS SER.2016</t>
  </si>
  <si>
    <t>PALM BEACH CNTY FLA HEALTH FACS AUTH    05.00000% 11/01/2028HOSP REV BDS JUPITERMED CTR INC SER.</t>
  </si>
  <si>
    <t>BBB-</t>
  </si>
  <si>
    <t>215(25)</t>
  </si>
  <si>
    <t>OCEAN CITY N J GEN  IMPT BDS SER. 2016  01.00000% 11/15/2028</t>
  </si>
  <si>
    <t>GALVESTON CNTY TEX  MUN UTIL DIST NO 56 02.00000% 12/01/2028UNLTD TAX BDS SER.  2019</t>
  </si>
  <si>
    <t>GREEN CNTY WIS GO   CORP PURP BDS SER.  02.00000% 12/01/20282019 A</t>
  </si>
  <si>
    <t>HOFFMAN ESTATES ILL PK DIST GO BDS SER. 03.00000% 12/01/20282017A</t>
  </si>
  <si>
    <t>ILLINOIS FIN AUTH   REV REV BDS MERCY   04.00000% 12/01/2028HEALTH SER.2016</t>
  </si>
  <si>
    <t>OSHKOSH WIS GO PROM NTS WINNEBAGO CNTY  03.00000% 12/01/2028SER. 2019B</t>
  </si>
  <si>
    <t>SHEBOYGAN WIS GO    PROM NTS SER. 2021 A02.00000% 12/01/2028</t>
  </si>
  <si>
    <t>WEEHAWKEN TWP N J GOBDS SER. 2021 A-1   02.00000% 02/01/2029</t>
  </si>
  <si>
    <t>LEAGUE CITY TEX     COMBI TAX AND REV   02.25000% 02/15/2029CTFS OF OBLIG SER.  2016</t>
  </si>
  <si>
    <t>LEAGUE CITY TEX GO  REF BDS SER. 2016 A 02.12500% 02/15/2029</t>
  </si>
  <si>
    <t>COLLINGSWOOD N J GO IMPT WTR AND SWR    02.00000% 03/01/2029UTIL BDS SER. 2020</t>
  </si>
  <si>
    <t>FORT BEND CNTY TEX  MUN UTIL DIST NO 22002.50000% 03/01/2029UNLTD TAX BDS SER.  2021</t>
  </si>
  <si>
    <t>FULSHEAR MUN UTIL   DIST NO 1 TEX FT    02.00000% 03/01/2029BEND CNTY UNLTD TAX BDS SER. 2021</t>
  </si>
  <si>
    <t>HARRIS CNTY TEX MUN UTIL DIST NO 165    03.00000% 03/01/2029ULTD TAX BDS SER.   2017</t>
  </si>
  <si>
    <t>MCFARLAND WIS GO    PROM NTS            01.00000% 03/01/2029</t>
  </si>
  <si>
    <t>MILWAUKEE WIS GO    CORP PURP BDS       02.50000% 03/01/2029SER.2016 B3</t>
  </si>
  <si>
    <t>A-</t>
  </si>
  <si>
    <t>SUSSEX WIS GO STR   IMPT BDS SER. 2016B 02.50000% 03/01/2029</t>
  </si>
  <si>
    <t>100(25)</t>
  </si>
  <si>
    <t>UCF STAD CORP FLA   REV REF REV BDS     03.25000% 03/01/2029SER.A</t>
  </si>
  <si>
    <t>UNION CNTY N J VAR  PURP BDS SER.B      02.00000% 03/01/2029</t>
  </si>
  <si>
    <t>70(10)</t>
  </si>
  <si>
    <t>WASHINGTON CNTY WIS GO COMMUNICATION    02.00000% 03/01/2029PROJ BDS SER. 2021</t>
  </si>
  <si>
    <t>RANCOCAS VALLEY N J REGL HIGH SCH DIST  02.25000% 03/15/2029BDS SER. 2019</t>
  </si>
  <si>
    <t>APPLETON WIS GO PROMNTS SER. 2020       02.00000% 04/01/2029</t>
  </si>
  <si>
    <t>25(25)</t>
  </si>
  <si>
    <t>APPLETON WIS GO PROMNTS SER. 2021       02.00000% 04/01/2029</t>
  </si>
  <si>
    <t>FOX POINT WIS GO    PROM NTS SER. 2019  02.00000% 04/01/2029</t>
  </si>
  <si>
    <t>EVESHAM TWP N J GO  BDS SER.2016        02.12500% 05/01/2029</t>
  </si>
  <si>
    <t>HERONS GLEN REC DISTFLA SPL ASSMT NON AD02.50000% 05/01/2029VALOREM REF BDS SER.2020</t>
  </si>
  <si>
    <t xml:space="preserve">ME SFP ER R I </t>
  </si>
  <si>
    <t>HOLMDEL TWP N J GEN IMPT BDS CNTY OF    02.00000% 05/01/2029MONMOUTH SER. 2019</t>
  </si>
  <si>
    <t>MARLBORO TWP N J    IMPT WTR REC UTIL GO02.00000% 05/01/2029BDS SER. 2021</t>
  </si>
  <si>
    <t>SALEM CNTY N J      POLLUTN CTL FING    02.25000% 06/01/2029AUTH POLLUTN CTL REVREF BDS ATLANTIC</t>
  </si>
  <si>
    <t>TOBACCO SETTLEMENT  FING CORP N J       05.00000% 06/01/2029SETTLEMENT BDS SER. 2018 A</t>
  </si>
  <si>
    <t>VINELAND N J GO REF BDS                 02.50000% 06/01/2029</t>
  </si>
  <si>
    <t>ILLINOIS ST SALES   TAX REV JR OBLIG REF04.00000% 06/15/2029BUILD BDS SER.      SEPTEMBER 2016 C</t>
  </si>
  <si>
    <t>METROPOLITAN PIER &amp; EXPOSITION AUTH ILL 00.00000% 06/15/2029DEDICATED ST TAX REVBDS MCCORMICK PLACE</t>
  </si>
  <si>
    <t>100(20)</t>
  </si>
  <si>
    <t xml:space="preserve">ME CP SFP D R I </t>
  </si>
  <si>
    <t>NEW JERSEY ST EDL   FACS AUTH REV REF   03.37500% 07/01/2029BDS COLLEGE OF NEW  JERSEY SER. 2015G</t>
  </si>
  <si>
    <t>PUBLIC FIN AUTH WIS ED REV BDS CORAL    05.00000% 07/01/2029ACADEMY OF SCIENCE  SER. 2018 A</t>
  </si>
  <si>
    <t>BRANCHBURG TWP N J  BRD ED REF SCH BDS  02.50000% 07/15/2029SER.2016</t>
  </si>
  <si>
    <t>EAST RUTHERFORD N J SCH DIST BDS        02.00000% 07/15/2029</t>
  </si>
  <si>
    <t>EDGEWATER PARK TWP NJ BRD ED SCH BDS    02.12500% 07/15/2029SER. 2016</t>
  </si>
  <si>
    <t>HILLSBOROUGH TWP N JSCH DIST BDS SER.   02.00000% 07/15/20292020</t>
  </si>
  <si>
    <t>HARRIS CNTY TEX MUN UTIL DIST NO 120    01.12500% 08/01/2029UNLTD TAX BDS SER.  2021</t>
  </si>
  <si>
    <t>EAGLE MTN &amp; SAGINAW TEX INDPT SCH DIST  03.00000% 08/15/2029ULTD TAX REF BDS    SER. 2015</t>
  </si>
  <si>
    <t>GEORGETOWN TEX UTIL SYS REV REV BDS SER.02.37500% 08/15/20292016</t>
  </si>
  <si>
    <t>GEORGETOWN TEX UTIL SYS REV BDS SER.    03.00000% 08/15/20292018</t>
  </si>
  <si>
    <t>KYLE TEX GO REF BDS SER. 2013           03.12500% 08/15/2029</t>
  </si>
  <si>
    <t>NEWARK HIGHER ED FINCORP TEX ED REV REV 03.00000% 08/15/2029BDS ORENDA EDUCATIONSER. 2017</t>
  </si>
  <si>
    <t>SOUTH ORANGE &amp; MAPLEWOOD N J SCH   02.00000% 08/15/2029DIST BDS SER. 2021</t>
  </si>
  <si>
    <t>CELINA TEX TAX AND  WTRWRKS AND SWR SYS 02.25000% 09/01/2029REV CTFS OF OBLIG   SER. 2016</t>
  </si>
  <si>
    <t>ESSEX CNTY N J GO   BDS SER. A          02.12500% 09/01/2029</t>
  </si>
  <si>
    <t>FORT BEND CNTY TEX  LEVEE IMPT DIST NO  03.00000% 09/01/202915 ULTD TAX LEVEE   IMPT BDS SER. 2017</t>
  </si>
  <si>
    <t>FORT BEND CNTY TEX  LEVEE IMPT DIST NO  01.00000% 09/01/202915 UNLTD TAX PK BDS SER. 2020</t>
  </si>
  <si>
    <t>FORT BEND CNTY TEX  MUN UTIL DI ST NO   03.00000% 09/01/2029182 ULTD TAX BDS    SER.2016</t>
  </si>
  <si>
    <t>FORT BEND CNTY TEX  MUN UTIL DIST NO 21502.00000% 09/01/2029UNLTD TAX RD BDS    SER. 2019A</t>
  </si>
  <si>
    <t>FORT BEND CNTY TEX  MUN UTIL DIST NO 30 03.00000% 09/01/2029UNLTD TAX REF BDS   HARRIS CNTYS SER.</t>
  </si>
  <si>
    <t>90(10)</t>
  </si>
  <si>
    <t>HARRIS CNTY TEX MUN UTIL DIST NO 284    02.00000% 09/01/2029UNLTD TAX REF BDS   SER. 2021 A</t>
  </si>
  <si>
    <t>HARRIS CNTY TEX MUN UTIL DIST NO 166    03.00000% 09/01/2029UNLTD TAX REF BDS   SER. 2019</t>
  </si>
  <si>
    <t>HARRIS CNTY TEX WTR CTL &amp; IMPT DIST NO  03.00000% 09/01/2029157 ULTD TAX REF BDSSER. 2017 B</t>
  </si>
  <si>
    <t>HARRIS-BRAZORIA     CNTYS TEX MUN UTIL  03.00000% 09/01/2029DIST NO 509 UNLTD   TAX BDS SER. 2019</t>
  </si>
  <si>
    <t>MONTGOMERY TWP N J  GEN IMPT AND SWR    02.50000% 09/01/2029UTIL BDS SER. 2017A</t>
  </si>
  <si>
    <t>NORTH TEX MUN WTR   DIST TEX REGL SOLID 03.00000% 09/01/2029WASTE DISP SYS REV  REV BDS SER. 2017</t>
  </si>
  <si>
    <t>15(10)</t>
  </si>
  <si>
    <t>SEA ISLE CITY N J   GEN IMPT BDS SER.   02.00000% 09/01/20292019</t>
  </si>
  <si>
    <t>SIENNA PKS LEVEE    IMPT DIST TEX UNLTD 03.00000% 09/01/2029TAX IMPT BDS SER.   2022</t>
  </si>
  <si>
    <t>FORT BEND CNTY TEX  MUN UTIL DIST NO 25 04.00000% 10/01/2029UNLTD TAX REF BDS   SER. 2019</t>
  </si>
  <si>
    <t>FSU FINL ASSISTANCE INC FLA EDL         03.50000% 10/01/2029&amp;ATHLETIC FACS IMPT REV REV REF BDS SER.</t>
  </si>
  <si>
    <t>FSU FINL ASSISTANCE INC FLA EDL 03.25000% 10/01/2029&amp;ATHLETIC FACS IMPT REV REV BDS SER.</t>
  </si>
  <si>
    <t>HILLSBOROUGH CNTY   FLA FIFTH CENT      02.25000% 10/01/2029TOURIST DEV TAX REV REV REF BDS SER.</t>
  </si>
  <si>
    <t xml:space="preserve">ME SFP R I </t>
  </si>
  <si>
    <t>ILLINOIS HSG DEV    AUTH REV BDS SER.   04.10000% 10/01/20292023N</t>
  </si>
  <si>
    <t>SPRING CREEK UTIL   DIST TEX ULTD TAX   03.00000% 10/01/2029REF BDS SER. 2017 A</t>
  </si>
  <si>
    <t>WAUKESHA WIS GO PROMNTS SER. 2021 B     02.00000% 10/01/2029</t>
  </si>
  <si>
    <t>WAUKESHA WIS GO REF BDS SER. 2021C      02.00000% 10/01/2029</t>
  </si>
  <si>
    <t>AUDUBON N J GO BDS  SER. 2019           02.25000% 11/01/2029</t>
  </si>
  <si>
    <t>BERGEN CNTY N J GO  VOCATIONAL TECHNICAL02.00000% 11/01/2029SCH COLLEGE IMPT BDS</t>
  </si>
  <si>
    <t>FLORIDA HIGHER EDL  FACS FING AUTH REV  03.00000% 11/01/2029REF BDS FLAGLER     COLLEGE SER. 2017</t>
  </si>
  <si>
    <t>PALM BEACH CNTY FLA HEALTH FACS AUTH    05.00000% 11/01/2029HOSP REV BDS JUPITERMED CTR INC SER.</t>
  </si>
  <si>
    <t>175(25)</t>
  </si>
  <si>
    <t>FORT BEND CNTY TEX  MUN UTIL DIST NO 16902.00000% 12/01/2029CONTRACT REV BDS    SER. 2021</t>
  </si>
  <si>
    <t>55(5)</t>
  </si>
  <si>
    <t>FORT MYERS FLA CAP  IMPT REV CAP IMPT   03.37500% 12/01/2029AND REF REV BDS SER.2014A</t>
  </si>
  <si>
    <t>MACON CHRISTIAN     DEWITT ETC CNTYS ILL02.40000% 12/01/2029CMNTY COLL DIST NO  537 GO BDS SER. 2020</t>
  </si>
  <si>
    <t>750(10)</t>
  </si>
  <si>
    <t>MENARD SANGAMON &amp; LOGAN CNTYS ILL SCH 03.37500% 12/01/2029DIST NO 213 GO SCH  BLDG BDS SER. 2018 A</t>
  </si>
  <si>
    <t>ORANGE TWP N J GO   CONS GEN IMPT WTR   02.00000% 12/01/2029UTIL BDS SER. 2020</t>
  </si>
  <si>
    <t>ORLAND HILLS ILL GO BDS SER. 2017       04.00000% 12/01/2029</t>
  </si>
  <si>
    <t>KANE COOK &amp; DU PAGE CNTYS ILL CMNTY     01.50000% 12/15/2029COLLEGE DIST NO 509 GO REF BDS SER. 2021</t>
  </si>
  <si>
    <t>50(5)</t>
  </si>
  <si>
    <t>NORTH HARRIS CNTY   REGL WTR AUTH TEX   03.00000% 12/15/2029REV REF BDS SER.2014</t>
  </si>
  <si>
    <t>AURORA ILL GO REF   BDS SER. 2015-C     03.25000% 12/30/2029</t>
  </si>
  <si>
    <t>KANE CNTY ILL CMNTY UNIT SCH DIST NO 30402.75000% 01/01/2030GENEVA GO REF SCH   BDS SER. 2016</t>
  </si>
  <si>
    <t>TEXAS MUN GAS       ACQUISITION &amp; SUPPLY05.00000% 01/01/2030CORP V GAS SUPPLY   REV BDS SER. 2024</t>
  </si>
  <si>
    <t xml:space="preserve">SFP ER R </t>
  </si>
  <si>
    <t>UNION TWP NJ UN CNTYGO IMPT AND SWR UTIL02.00000% 01/15/2030BDS SER. 2020</t>
  </si>
  <si>
    <t>MISSION TEX COMBI   TAX AND REV CTFS OF 04.00000% 02/15/2030OBLIG SER. 2016</t>
  </si>
  <si>
    <t>CHESTER N J BRD ED  REF SCH BDS         04.00000% 03/01/2030</t>
  </si>
  <si>
    <t>MOUNT HOUSTON RD MUNUTIL DIST TEX WTRWKS03.00000% 03/01/2030AND SWR SYS         COMBINATION UNLTD</t>
  </si>
  <si>
    <t>SADDLE RIVER N J SCHDIST BDS SER. 2020  01.75000% 03/01/2030</t>
  </si>
  <si>
    <t>SAUK PRAIRIE WIS SCHDIST GO REF BDS     03.00000% 03/01/2030</t>
  </si>
  <si>
    <t>WISCONSIN HSG &amp; ECONOMIC DEV AUTH   02.15000% 03/01/2030HOME OWNERSHIP REV  BDS SER. 2020 A</t>
  </si>
  <si>
    <t>180(25)</t>
  </si>
  <si>
    <t>CHIPPEWA VALLEY WIS TECH COLLEGE DIST GO01.00000% 04/01/2030SCH BLDG BDS SER.   2021 A</t>
  </si>
  <si>
    <t>COTTAGE GROVE VLG   WIS GO SWR PROJ BDS 03.00000% 04/01/2030SER. 2018 A</t>
  </si>
  <si>
    <t>FORT BEND CNTY TEX  MUN UTIL DIST NO 58 03.00000% 04/01/2030UNLTD TAX REF BDS   SER. 2021</t>
  </si>
  <si>
    <t>GREEN BAY WIS GO    CORP PURP BDS SER.  03.00000% 04/01/20302016 A</t>
  </si>
  <si>
    <t>GREEN BAY WIS GO    CORP PURP BDS SER.  03.00000% 04/01/20302017 A</t>
  </si>
  <si>
    <t>ILLINOIS HSG DEV    AUTH REV BDS SER.   01.50000% 04/01/20302021 B</t>
  </si>
  <si>
    <t>65(10)</t>
  </si>
  <si>
    <t>OSHKOSH WIS STORM   WTR UTIL REV REV REF02.50000% 05/01/2030BDS SER. 2016 I</t>
  </si>
  <si>
    <t>CHESTERFIELD TWP N JGO BDS SER.2016     02.50000% 05/15/2030</t>
  </si>
  <si>
    <t>LOWER COLO RIV AUTH TEX REV REF BDS SER.03.37500% 05/15/2030A</t>
  </si>
  <si>
    <t>ILLINOIS ST GO BDS  SER. JUNE 2016      03.50000% 06/01/2030</t>
  </si>
  <si>
    <t>MILWAUKEE WIS SEW   REV SEW SYS REV BDS 03.00000% 06/01/2030SER. 2016 S7</t>
  </si>
  <si>
    <t>PUBLIC FIN AUTH WIS REV BDS TEXAS       05.00000% 06/01/2030BIOMEDICAL RESEARCH INSTITUTE SER. 2021</t>
  </si>
  <si>
    <t>MISSOURI CITY TEX   COMBINATION TAX REV 03.00000% 06/15/2030CTFS OBLIG SER. 2021</t>
  </si>
  <si>
    <t>BREVARD CNTY FLA SCHBRD CTFS PARTN REF  03.12500% 07/01/2030COPS SER. 2017 A</t>
  </si>
  <si>
    <t>COLUMBIA CNTY FLA   SCH BRD CTFS PARTN  03.37500% 07/01/2030REF COPS SER.2015A</t>
  </si>
  <si>
    <t xml:space="preserve">ME SFP D R I </t>
  </si>
  <si>
    <t>FLORIDA ST BRD      GOVERNORS UNIV SYS  03.00000% 07/01/2030IMPT REV REV REF BDSSER. 2017 A</t>
  </si>
  <si>
    <t>EAST BRUNSWICK TWP NJ GEN OBLIG IMPT WTR02.00000% 07/15/2030UTIL BDS SER. 2020</t>
  </si>
  <si>
    <t>RAHWAY N J GEN IMPT BDS SER. 2020       02.00000% 07/15/2030</t>
  </si>
  <si>
    <t>RIVER VALE TWP N J  GO BDS SER. 2020    02.00000% 07/15/2030</t>
  </si>
  <si>
    <t>ROBBINSVILLE TWP N JMERCER CNTY GO BDS  02.25000% 07/15/2030SER. 2019</t>
  </si>
  <si>
    <t>SAYREVILLE N J SCH  DIST REF SCH BDS    03.00000% 07/15/2030SER. 2013</t>
  </si>
  <si>
    <t>VENTNOR CITY N J SCHBDS SER. 2021       02.00000% 07/15/2030</t>
  </si>
  <si>
    <t>BRUSHY CREEK REGL   UTIL AUTH TEX       03.00000% 08/01/2030CONTRACT REV REV REFBDS SER. 2016</t>
  </si>
  <si>
    <t>CANYON TEX REGL WTR AUTH CONTRACT REV   03.00000% 08/01/2030BDS HAYS/CALDWELL   CNTYS AREA PROJ SER.</t>
  </si>
  <si>
    <t>HUTTO TEX INDPT SCH DIST REF BDS SER.   03.00000% 08/01/20302013</t>
  </si>
  <si>
    <t>LITTLE ELM TEX COMB TAX AND LTD PLEDGE  03.00000% 08/01/2030REV CTFS OF OBLIG   SER. 2016</t>
  </si>
  <si>
    <t>LITTLE FALLS TWP N JSCH DIST SCH BDS    02.50000% 08/01/2030</t>
  </si>
  <si>
    <t>PORT FREEPORT TEX GOBDS BRAZORIA CNTY   02.12500% 08/01/2030SER. 2019</t>
  </si>
  <si>
    <t>BARRINGTON N J GO   IMPT SWR UTIL BDS   02.00000% 08/15/2030SER. 2021</t>
  </si>
  <si>
    <t>BRYAN TEX COMBI TAX AND REV CTFS OF     02.25000% 08/15/2030OBLIG SER. 2016</t>
  </si>
  <si>
    <t>BRYAN TEX GO REF BDSSER. 2014           03.15000% 08/15/2030</t>
  </si>
  <si>
    <t>FAIR HAVEN BORO N J SCH DIST BDS SER.   02.50000% 08/15/20302019</t>
  </si>
  <si>
    <t>55(55)</t>
  </si>
  <si>
    <t>FLORHAM PARK N J BRDED SCH BDS SER. 202002.25000% 08/15/2030</t>
  </si>
  <si>
    <t>GEORGETOWN TEX UTIL SYS REV BDS SER.    03.00000% 08/15/20302018</t>
  </si>
  <si>
    <t>GEORGETOWN TEX UTIL SYS REV REV BDS SER.03.10000% 08/15/20302014A</t>
  </si>
  <si>
    <t>JOHNSON CNTY TEX SPLUTIL DIST REV REV   03.00000% 08/15/2030BDS SER. 2012</t>
  </si>
  <si>
    <t>85(10)</t>
  </si>
  <si>
    <t>KYLE TEX GO REF BDS SER. 2013           03.12500% 08/15/2030</t>
  </si>
  <si>
    <t>PENNINGTON N J GEN  IMPT BDS            02.00000% 08/15/2030</t>
  </si>
  <si>
    <t>SOUTH MIAMI FLA     HEALTH FACS AUTH    03.00000% 08/15/2030HOSP REV REF BDS    BAPTIST HEALTH SOUTH</t>
  </si>
  <si>
    <t>SOUTH ORANGE &amp; MAPLEWOOD N J SCH   02.00000% 08/15/2030DIST BDS SER. 2021</t>
  </si>
  <si>
    <t>LAKE DALLAS TEX     INDPT SCH DIST ULTD 00.00000% 08/16/2030TAX REF BDS SER.2016</t>
  </si>
  <si>
    <t>BRAZORIA CNTY TEX   MUN UTIL DIST NO 19 03.00000% 09/01/2030UNLTD TAX REF BDS   SER. 2019</t>
  </si>
  <si>
    <t>FORT BEND CNTY TEX  MUN UTIL DIST NO 11603.00000% 09/01/2030ULTD TAX REF BDS    SER. 2019</t>
  </si>
  <si>
    <t>FORT BEND CNTY TEX  MUN UTIL DIST NO 14603.00000% 09/01/2030ULTD TAX REF BDS    SER. 2017 A</t>
  </si>
  <si>
    <t>FORT BEND CNTY TEX  MUN UTIL DIST NO    03.25000% 09/01/2030134C ULTD TAX REF   BDS SER. 2017</t>
  </si>
  <si>
    <t>FORT BEND CNTY TEX  MUN UTIL DIST NO 18703.50000% 09/01/2030ULTD TAX BDS SER.   2015</t>
  </si>
  <si>
    <t>FORT BEND CNTY TEX  MUN UTIL DIST NO 16103.00000% 09/01/2030UNLTD TAX BDS SER.  2018</t>
  </si>
  <si>
    <t>HADDONFIELD N J BRD ED SCH BDS SER. 201602.12500% 09/01/2030</t>
  </si>
  <si>
    <t>HARRIS CNTY TEX MUN UTIL DIST NO 374    03.00000% 09/01/2030UNLTD TAX REF BDS   SER. 2019</t>
  </si>
  <si>
    <t>HARRIS CNTY TEX MUN UTIL DIST NO 196    02.00000% 09/01/2030UNLTD TAX REF BDS   SER. 2020</t>
  </si>
  <si>
    <t>100(5)</t>
  </si>
  <si>
    <t>HARRIS CNTY TEX MUN UTIL DIST NO 489    02.50000% 09/01/2030UNLTD TAX RD BDS    SER. 2019</t>
  </si>
  <si>
    <t>HARRIS CNTY TEX WTR CTL &amp;IMPT DIST NO   03.00000% 09/01/2030157 ULTD TAX REF BDSSER. 2016</t>
  </si>
  <si>
    <t>METUCHEN N J GO IMPTPOOL UTIL BDS SER.  01.37500% 09/01/20302021</t>
  </si>
  <si>
    <t>MUELLER LOC GOVT    CORP TEX CONTRACT   03.25000% 09/01/2030REV TAX INCREMENT   BDS SER. 2012</t>
  </si>
  <si>
    <t>PEARLAND TEX WTRWKS &amp;SWR SYS REV REV BDS03.25000% 09/01/2030SER.2014</t>
  </si>
  <si>
    <t>WEST HARRIS CNTY TEXMUN UTIL DIST NO 17 03.00000% 09/01/2030UNLTD TAX REF BDS   SER. 2019</t>
  </si>
  <si>
    <t>IRVING TEX GO BDS   SER. 2014           03.12500% 09/15/2030</t>
  </si>
  <si>
    <t>NEWARK N J GO       QUALIFIED OPEN SPACE03.00000% 09/15/2030BDS RIVERFRONT PARK SER. 2016</t>
  </si>
  <si>
    <t>ALACHUA FLA REV CAP IMPT REV REF BDS    03.00000% 10/01/2030SER. 2016</t>
  </si>
  <si>
    <t>FAIR HAVEN BORO N J GO BDS SER. 2019    02.00000% 10/01/2030</t>
  </si>
  <si>
    <t>FSU FINL ASSISTANCE INC FLA EDL         03.25000% 10/01/2030&amp;ATHLETIC FACS IMPT REV REV BDS SER.</t>
  </si>
  <si>
    <t>HILLSIDE BERKELEY   ILL WTR COMMN WTR   04.00000% 10/01/2030REV WTR REV REF BDS SER. 2017</t>
  </si>
  <si>
    <t>ILLINOIS HSG DEV    AUTH REV BDS SER.   03.10000% 10/01/20302022 A</t>
  </si>
  <si>
    <t>LEE CNTY FLA TOURISTDEV TAX REV REV BDS 03.25000% 10/01/2030SER. 2013</t>
  </si>
  <si>
    <t>OSCEOLA CNTY FLA    TRANSN REV PKWY IMPT05.00000% 10/01/2030REF BDS SER. 2019   A-1</t>
  </si>
  <si>
    <t>35(10)</t>
  </si>
  <si>
    <t>PISCATAWAY TWP N J  GEN IMPT BDS        02.00000% 10/01/2030</t>
  </si>
  <si>
    <t>SOUTHWEST HIGHER ED AUTH INC TEX REV REV02.50000% 10/01/2030BDS SOUTHERN        METHODIST UNIV</t>
  </si>
  <si>
    <t>HAWTHORNE N J GO BDSSER. 2016           02.15000% 10/15/2030</t>
  </si>
  <si>
    <t>OCEAN CITY N J GO   IMPT HSG BDS SER.   02.00000% 10/15/20302020</t>
  </si>
  <si>
    <t>PASSAIC CNTY N J GO COLLEGE IMPT BDS    02.00000% 11/01/2030SER. 2021AB</t>
  </si>
  <si>
    <t>SAYREVILLE N J GO   IMPT WTR BDS SER.   02.00000% 11/01/20302021</t>
  </si>
  <si>
    <t>TREMPEALEAU CNTY WISGO JUSTICE CTR BDS  03.00000% 11/01/2030SER. 2021A</t>
  </si>
  <si>
    <t>HARRIS CNTY TEX     CULTURAL ED FACS FIN04.00000% 11/15/2030CORP MED FACS REV   REV REF BDS BAYLOR</t>
  </si>
  <si>
    <t>CINCO SOUTHWEST TEX MUN UTIL DIST NO 1  03.00000% 12/01/2030CONTRACT REV        REF BDS SER. 2015</t>
  </si>
  <si>
    <t>COOK CNTY ILL CMNTY CONS SCH DIST NO 03403.00000% 12/01/2030GLENVIEW GO BDS SER.2021</t>
  </si>
  <si>
    <t>EVANSTON ILL GO CORPPURP BDS SER. 2014  03.00000% 12/01/2030</t>
  </si>
  <si>
    <t>HIDALGO CNTY TEX    REGL MOBILITY AUTH  05.00000% 12/01/2030TOLL &amp; VEH          REGISTRATION FEE REV</t>
  </si>
  <si>
    <t>BBB</t>
  </si>
  <si>
    <t>MONMOUTH ILL CAP    APPRECIATION GO REF 00.00000% 12/01/2030BDS SER. 2021 A</t>
  </si>
  <si>
    <t>OSHKOSH WIS GO CORP PURP BDS SER. 2018A 03.00000% 12/01/2030</t>
  </si>
  <si>
    <t>PEMBROKE PINES FLA  CAP IMPT REV REV REF03.00000% 12/01/2030BDS SER. 2017</t>
  </si>
  <si>
    <t>SHOREWOOD WIS GO    COMM DEV BDS SER.   03.00000% 12/01/20302012 A</t>
  </si>
  <si>
    <t>SKOKIE ILL GO BDS   SER. 2019           03.00000% 12/01/2030</t>
  </si>
  <si>
    <t>WILL CNTY ILL CMNTY CONS SCH DIST NO    03.00000% 12/01/2030070-C GO LEASE CTFS SER. 2017 A</t>
  </si>
  <si>
    <t>COOK CNTY ILL SCH   DIST NO 163 PARK    03.00000% 12/15/2030FOREST GO LTD TAX   REF SCH BDS SER.</t>
  </si>
  <si>
    <t>METROPOLITAN PIER &amp; EXPOSITION AUTH ILL 00.00000% 12/15/2030DEDICATED ST TAX REVBDS MC CORMICK PLACE</t>
  </si>
  <si>
    <t xml:space="preserve">ME CP SFP R I </t>
  </si>
  <si>
    <t>AURORA ILL GO REF   BDS SER. 2015-C     03.37500% 12/30/2030</t>
  </si>
  <si>
    <t>HAMPSHIRE ILL FIRE  PROTN DIST GO BDS   04.00000% 12/30/2030SER. 2023</t>
  </si>
  <si>
    <t xml:space="preserve">CP SFP GO I </t>
  </si>
  <si>
    <t>JOLIET ILL REGL PORTDIST GO BDS SER.    03.00000% 12/30/20302021</t>
  </si>
  <si>
    <t>CHICAGO ILL GO BDS  SER. 2008C          00.00000% 01/01/2031</t>
  </si>
  <si>
    <t>CHICAGO ILL O HARE  INTL ARPT REV REV   04.00000% 01/01/2031REF BDS SER. B</t>
  </si>
  <si>
    <t>DU PAGE CNTY ILL SCHDIST NO 041 GLEN    03.25000% 01/01/2031ELLYN GO SCH BDS    SER. 2017</t>
  </si>
  <si>
    <t>DU PAGE CNTY ILL SCHDIST NO 045 VILLA   03.00000% 01/01/2031PARK GO BLDG BDS    SER. 2020</t>
  </si>
  <si>
    <t>ILLINOIS ST GO BDS  SER.2016            04.00000% 01/01/2031</t>
  </si>
  <si>
    <t>LAKE CNTY ILL CMNTY CONS SCH DIST NO 07304.00000% 01/01/2031HAWTHORN GO BLDG BDSSER. 2020</t>
  </si>
  <si>
    <t>MIDLOTHIAN ILL GO   BDS SER. 2020       03.00000% 01/01/2031</t>
  </si>
  <si>
    <t>NORTH TEX TWY AUTH  REV SYS REF BDS SER.03.00000% 01/01/2031A</t>
  </si>
  <si>
    <t>OSHKOSH WIS WTR REV REV BDS SER. 2015E  03.12500% 01/01/2031</t>
  </si>
  <si>
    <t>SOUTH JERSEY PORT   CORP N J REV REV REF03.12500% 01/01/2031BDS SER. 2012Q</t>
  </si>
  <si>
    <t>TEXAS MUN GAS       ACQUISITION &amp; SUPPLY05.50000% 01/01/2031CORP IV GAS SUPPLY  REV BDS SER. 2023B</t>
  </si>
  <si>
    <t>TEXAS MUN GAS       ACQUISITION &amp; SUPPLY05.00000% 01/01/2031CORP V GAS SUPPLY   REV BDS SER. 2024</t>
  </si>
  <si>
    <t>245(5)</t>
  </si>
  <si>
    <t>WESTMONT ILL GO BDS DUPAGE CNTY SER.    03.00000% 01/01/20312019B</t>
  </si>
  <si>
    <t>ILLINOIS ST GO REF  BDS SER. OCTOBER    04.00000% 02/01/20312016</t>
  </si>
  <si>
    <t>LITTLE ELM TEX COMB TAX AND LTD PLDG REV03.00000% 02/01/2031CTFS OBLIG SER. 2018</t>
  </si>
  <si>
    <t>LITTLE ELM TEX COMB TAX AND LTD PLG REV 03.00000% 02/01/2031CTFS OBLIG SER. 2019</t>
  </si>
  <si>
    <t>MARATHON CNTY WIS GOHEALTH CARE PROJ    02.00000% 02/01/2031BLDG BDS SER. 2021 B</t>
  </si>
  <si>
    <t>105(5)</t>
  </si>
  <si>
    <t>MC HENRY &amp; LAKE     CNTYS ILL CMNTY HIGH03.00000% 02/01/2031SCH DIST NO 156 GO  SCH BLDG BDS SER.</t>
  </si>
  <si>
    <t>PISCATAWAY TWP N J  GEN IMPT BDS        02.00000% 02/01/2031</t>
  </si>
  <si>
    <t>TRINITY RIV AUTH TEXDENTON CREEK        03.00000% 02/01/2031WASTEWATER REV REV  BDS SER.2016</t>
  </si>
  <si>
    <t>WACO TEX COM TAX REVCFTS OF OBLG SER.   03.00000% 02/01/20312018</t>
  </si>
  <si>
    <t>WACO TEX COMBI TAX  AND REV CTFS OF     03.00000% 02/01/2031OBLIG SER. 2016</t>
  </si>
  <si>
    <t>WACO TEX GO REF BDS SER. 2019           03.00000% 02/01/2031</t>
  </si>
  <si>
    <t>WEST ORANGE TWP N J GO BDS SER. 2016    02.25000% 02/01/2031</t>
  </si>
  <si>
    <t>WOODRIDGE BORO N J  GEN IMPT BDS        01.50000% 02/01/2031</t>
  </si>
  <si>
    <t>BEXAR CNTY TEX HOSP DIST LTD TAX REF BDS03.00000% 02/15/2031SER. 2016</t>
  </si>
  <si>
    <t>COLLIN CNTY TEX LTD TAX PERMANENT IMPT  03.00000% 02/15/2031BDS SER. 2019</t>
  </si>
  <si>
    <t>COLLIN CNTY TEX MUN UTIL DIST NO 1 ULTD 03.00000% 02/15/2031TAX RD BDS SER. 2017</t>
  </si>
  <si>
    <t>DENTON CNTY TEX     FRESH WTR SUPPLY    03.00000% 02/15/2031DIST NO 7 ULTD TAX  RD BDS SER. 2017</t>
  </si>
  <si>
    <t>EAST BRUNSWICK TWP NJ GO IMPT WTR PKG   02.00000% 02/15/2031POOL UTIL BDS</t>
  </si>
  <si>
    <t>GRAPEVINE TEX       COMBINATION TAX REV 03.00000% 02/15/2031CTFS OBLIG SER. 2021</t>
  </si>
  <si>
    <t>HADDONFIELD N J GEN IMPT BDS SER. 2020  02.00000% 02/15/2031</t>
  </si>
  <si>
    <t>LEAGUE CITY TEX GO  REF BDS SER. 2016 A 02.50000% 02/15/2031</t>
  </si>
  <si>
    <t>LEAGUE CITY TEX     COMBI TAX AND REV   03.00000% 02/15/2031CTFS OF OBLG SER.   2017</t>
  </si>
  <si>
    <t>PASSAIC CNTY N J    COLLEGE BDS SER.    02.00000% 02/15/20312021 A</t>
  </si>
  <si>
    <t>PORT ARTHUR TEX     INDPT SCH DIST ULTD 03.25000% 02/15/2031TAX SCH BLDG AND REFBDS SER. B</t>
  </si>
  <si>
    <t>PORTLAND TEX GO BDS SER. 2018A          03.12500% 02/15/2031</t>
  </si>
  <si>
    <t>SUGAR LAND TEX COMB TAX AND REV CTFS    03.00000% 02/15/2031OBLIG SER. 2015</t>
  </si>
  <si>
    <t>SUGAR LAND TEX COMBITAX AND REV CTFS OF 03.00000% 02/15/2031OBLIG SER.2016</t>
  </si>
  <si>
    <t>WESLACO TEX CTFS    OBLIG SER. 2021     03.00000% 02/15/2031</t>
  </si>
  <si>
    <t>WHITE OAK TEX INDPT SCH DIST ULTD TAX   03.00000% 02/15/2031SCH BLD BDS SER.    2017</t>
  </si>
  <si>
    <t>WILLIAMSON CNTY TEX LTD TAX PARK BDS    03.00000% 02/15/2031SER. 2016</t>
  </si>
  <si>
    <t>BARRON WIS AREA SCH DIST GO REF BDS SER.03.00000% 03/01/20312021</t>
  </si>
  <si>
    <t>CHAMBERS CNTY TEX   PASS THRU TOLL REV  03.00000% 03/01/2031AND LTD TAX BDS SER.2015</t>
  </si>
  <si>
    <t>80(5)</t>
  </si>
  <si>
    <t>CLEAR LAKE CITY TEX WTR AUTH WTRWKS AND 03.00000% 03/01/2031SWR SYS COMB ULTD   TAX AND REV BDS SER.</t>
  </si>
  <si>
    <t>CLEAR LAKE CITY TEX WTR AUTH SWR SYS    03.00000% 03/01/2031COMBX ULTD TAX REV  BDS SER. 2017 A</t>
  </si>
  <si>
    <t>CLEAR LAKE CITY TEX WTR AUTH WKS SWR SYS03.00000% 03/01/2031COMB UNLTD TAX REV  BDS HARRIS CNTY SER.</t>
  </si>
  <si>
    <t>CLINTONVILLE WIS PUBSCH DIST GO BLDG BDS02.00000% 03/01/2031SER. 2022</t>
  </si>
  <si>
    <t>DECATUR ILL PK DIST GO PK BDS SER. 2017 03.62500% 03/01/2031B</t>
  </si>
  <si>
    <t>EL PASO TEX WTR &amp;SWRREV REF BDS SER.    03.25000% 03/01/20312015</t>
  </si>
  <si>
    <t>FOND DU LAC WIS GO  PROM NTS SER. 2021 A02.00000% 03/01/2031</t>
  </si>
  <si>
    <t>GERMANTOWN WIS GO   CORP PURP BDS SER.  02.25000% 03/01/20312019D</t>
  </si>
  <si>
    <t>LA CROSSE WIS GO    CORP PURP BDS SER.  03.00000% 03/01/20312017 A</t>
  </si>
  <si>
    <t>LAZY NINE MUN UTIL  DIST NO 1B TEX UNLTD02.00000% 03/01/2031TAX BDS SER. 2020 A</t>
  </si>
  <si>
    <t>MILWAUKEE WIS GO    CORP PURP BDS       03.00000% 03/01/2031SER.2016 B3</t>
  </si>
  <si>
    <t>NEENAH WIS GO PROM  NTS SER. 2022 A     02.00000% 03/01/2031</t>
  </si>
  <si>
    <t>NORTHAMPTON MUN UTILDIST TEX ULTD TAX   03.25000% 03/01/2031BDS SER. 2016</t>
  </si>
  <si>
    <t>OREGON WIS SCH DIST GO SCH IMPT BDS SER.03.00000% 03/01/20312015</t>
  </si>
  <si>
    <t>OSHKOSH WIS AREA SCHDIST GO BLDG AND FAC03.00000% 03/01/2031IMPT BDS SER. 2021</t>
  </si>
  <si>
    <t>PEARLAND TEX CTFS   OBLIG SER.2016      03.00000% 03/01/2031</t>
  </si>
  <si>
    <t>PEARLAND TEX PERM   IMPT AND REF BDS    03.00000% 03/01/2031SER. 2017</t>
  </si>
  <si>
    <t>PERTH AMBOY N J GO  IMPT WTR WASTEWTR   02.00000% 03/01/2031UTIL PKG BDS</t>
  </si>
  <si>
    <t>PERTH AMBOY N J GO  IMPT WASTE WTR PKG  03.00000% 03/01/2031UTIL BDS SER. 2022</t>
  </si>
  <si>
    <t>PORT BEAUMONT TEX   NAV DIST GO BDS SER.03.12500% 03/01/20312018</t>
  </si>
  <si>
    <t>SAUK PRAIRIE WIS SCHDIST GO REF BDS     03.00000% 03/01/2031</t>
  </si>
  <si>
    <t>SUN PRAIRIE WIS AREASCH DIST GO REF BDS 03.00000% 03/01/2031</t>
  </si>
  <si>
    <t>TRAVIS CNTY TEX PERMIMPT LTD TAX BDS    03.12500% 03/01/2031SER. 2013</t>
  </si>
  <si>
    <t>UNION CNTY N J GEN  IMPT VOCATIONAL     02.00000% 03/01/2031TECHNICAL SCH COLL  BDS SER. 2020</t>
  </si>
  <si>
    <t>VERONA TWP N J BRD  OF ED SCH BDS       02.00000% 03/01/2031</t>
  </si>
  <si>
    <t>WISCONSIN HSG &amp; ECONOMIC DEV AUTH   01.80000% 03/01/2031HOME OWNERSHIP REV  BDS SER. 2021 A</t>
  </si>
  <si>
    <t>925(25)</t>
  </si>
  <si>
    <t>SPRINGFIELD TWP N J BURLINGTON CNTY GEN 03.00000% 03/15/2031IMPT BDS</t>
  </si>
  <si>
    <t>BEAVER DAM WIS UNI  SCH DIST GO SCH BLDG03.00000% 04/01/2031AND IMPT BDS SER.   2017 B</t>
  </si>
  <si>
    <t>BRAZORIA CNTY TEX   MUN UTIL DIST NO 32 03.00000% 04/01/2031UNLTD TAX BDS SER.  2021</t>
  </si>
  <si>
    <t>D C EVEREST AREA SCHDIST WIS MARATHON   03.00000% 04/01/2031CNTY GO SCH IMPT BDSSER. 2017</t>
  </si>
  <si>
    <t>HARMONY TWP N J GO  BDS SER. 2021       02.00000% 04/01/2031</t>
  </si>
  <si>
    <t>ILLINOIS HSG DEV    AUTH REV BDS SER.   03.70000% 04/01/20312023 A</t>
  </si>
  <si>
    <t>KENOSHA WIS UNI SCH DIST NO 001 GO COPR 03.50000% 04/01/2031PURP BDS SER. 2015</t>
  </si>
  <si>
    <t>KENOSHA WIS UNI SCH DIST NO 001 GO SCH  03.00000% 04/01/2031IMPT BDS SER. 2016</t>
  </si>
  <si>
    <t>MUSKEGO-NORWAY WIS  SCH DIST GO SCH BLDG03.25000% 04/01/2031AND IMPT BDS</t>
  </si>
  <si>
    <t>NEW JERSEY ST HSG &amp; MTG FIN AGY REV     01.70000% 04/01/2031SINGLE FAMILY BDS   SER. 2021 H</t>
  </si>
  <si>
    <t>NEW JERSEY ST HSG &amp; MTG FIN AGY REV     03.80000% 04/01/2031SINGLE FAMILY BDS   SER. 2024K</t>
  </si>
  <si>
    <t>OAK CREEK-FRANKLIN  WIS JT SCH DIST GO  03.00000% 04/01/2031REF BDS</t>
  </si>
  <si>
    <t>RED RIV AUTH TEX    UTIL SYS REV REV BDS03.12500% 04/01/2031SER. 2017</t>
  </si>
  <si>
    <t>SUN PRAIRIE WIS GO  CORP PURP BDS DANE  03.00000% 04/01/2031CNTY SER. 2019 C</t>
  </si>
  <si>
    <t>WAUNAKEE WIS CMNTY  SCH DIST GO SCH BLDG03.37500% 04/01/2031BDS SER. 2015A</t>
  </si>
  <si>
    <t>WEST ALLIS WIS GO   PROM NTS SER. 2021 B02.00000% 04/01/2031</t>
  </si>
  <si>
    <t>MONROE &amp;ST CLAIR    CNTYS ILL SC H DIST 03.50000% 04/15/2031NO 005 GO REF SCH   BDS SER. 2017</t>
  </si>
  <si>
    <t>OCEAN GATE BORO N J GO IMPT WTR UTIL BDS02.00000% 04/15/2031SER. 2021 AB</t>
  </si>
  <si>
    <t>PUBLIC FIN AUTH WIS EDL FAC REV BDS BTS 05.00000% 04/15/2031POLK SCENIC SUPPORT LLC SER. 2022A</t>
  </si>
  <si>
    <t>BELOIT WIS SWR SYS  REV BDS SER. 2018 D 03.12500% 05/01/2031</t>
  </si>
  <si>
    <t>BRIDGESTONE MUN UTILDIST TEX WTRWRKS AND02.75000% 05/01/2031SWR SYS COMBI ULTD  TAX AND REV REF BDS</t>
  </si>
  <si>
    <t>CREST HILL ILL GO   SALES TAX REV BDS   03.00000% 05/01/2031SER. 2019B</t>
  </si>
  <si>
    <t>CREST HILL ILL GO   REF BDS SER. 2019 A 03.00000% 05/01/2031</t>
  </si>
  <si>
    <t>OSHKOSH WIS STORM   WTR UTIL REV REV BDS03.25000% 05/01/2031SER. 2015C</t>
  </si>
  <si>
    <t>OSHKOSH WIS SWR SYS REV REV BDS SER.    03.25000% 05/01/20312014D</t>
  </si>
  <si>
    <t>SOUTH BROWARD HOSP  DIST FLA REV REF REV02.75000% 05/01/2031BDS SOUTH BROWARD   HOSP DIST D/B/A</t>
  </si>
  <si>
    <t>115(5)</t>
  </si>
  <si>
    <t>SOUTH BROWARD HOSP  DIST FLA REV REF REV03.25000% 05/01/2031BDS SOUTH BROWARD   HOSP DIST D/B/A</t>
  </si>
  <si>
    <t>WAUSAU WIS SWR SYS  REV BDS SER. 2019C  02.12500% 05/01/2031</t>
  </si>
  <si>
    <t>CHESTERFIELD TWP N JGO BDS SER.2016     02.50000% 05/15/2031</t>
  </si>
  <si>
    <t>ARLINGTON TEX WTR &amp;WASTEWATER SYS REV 03.25000% 06/01/2031REV BDS SER. 2014A</t>
  </si>
  <si>
    <t>ASHWAUBENON WIS     CMNTY DEV AUTH LEASE02.35000% 06/01/2031REV BDS BROWN CNTY  EXPO CTR PROJ SER.</t>
  </si>
  <si>
    <t>ATLANTIC CNTY N J GOBDS SER. 2020       02.00000% 06/01/2031</t>
  </si>
  <si>
    <t xml:space="preserve"> 35(5)</t>
  </si>
  <si>
    <t>BUENA N J REGL SCH  DIST BDS SER. 2021  02.00000% 06/01/2031</t>
  </si>
  <si>
    <t>COOK CNTY ILL CMNTY CONS SCH DIST NO 02103.00000% 06/01/2031WHEELING GO LTD TAX DEBT CTFS SER. 2021</t>
  </si>
  <si>
    <t>HALIFAX HOSP MED CTRFLA HOSP REV HOSP   03.37500% 06/01/2031REV REF AND IMPT BDSSER. 2016</t>
  </si>
  <si>
    <t>HARRISON TWP N J GO BDS SER. 2017       03.00000% 06/01/2031</t>
  </si>
  <si>
    <t>MILWAUKEE WIS SEW   REV SEW SYS REV BDS 03.00000% 06/01/2031SER. 2016 S7</t>
  </si>
  <si>
    <t>205(5)</t>
  </si>
  <si>
    <t>NORMAL ILL GO REF   BDS SER. 2017 A     03.25000% 06/01/2031</t>
  </si>
  <si>
    <t>OSHKOSH WIS GO PROM NTS SER. 2021 B     02.00000% 06/01/2031</t>
  </si>
  <si>
    <t>PUBLIC FIN AUTH WIS HOSP REV BDS RENOWN 05.00000% 06/01/2031REGIONAL RENOWN     REGIONAL MED CTR</t>
  </si>
  <si>
    <t>RARITAN TWP N J GEN IMPT BDS            02.00000% 06/01/2031</t>
  </si>
  <si>
    <t>VOLUSIA CNTY FLA EDLFAC AUTH REV BDS    05.00000% 06/01/2031STETSON UNIV SER.   2024</t>
  </si>
  <si>
    <t>ILLINOIS ST SALES   TAX REV JR OBLIG REF03.00000% 06/15/2031BDS SER. SEPTEMBER  2016 D</t>
  </si>
  <si>
    <t>RIVER VALE TWP N J  SCH DIST BDS        02.00000% 06/15/2031</t>
  </si>
  <si>
    <t>SALEM CNTY N J GO   IMPT CLG BDS SER.   02.25000% 06/15/20312019</t>
  </si>
  <si>
    <t>SUSSEX CNTY N J GO  IMPT VOCATIONAL     02.00000% 06/15/2031TECHNICAL SCH       COLLEGE BDS SER.</t>
  </si>
  <si>
    <t>DUVAL CNTY FLA SCH  BRD CTFS PARTN COPS 03.50000% 07/01/2031FLORIDA MASTER LEASEPROGRAM SER.2015B</t>
  </si>
  <si>
    <t>FLORIDA ST BRD      GOVERNORS UNIV SYS  03.00000% 07/01/2031IMPT REV REF BDS    SER. 2017B</t>
  </si>
  <si>
    <t>HALLANDALE BEACH FLAGO BDS SER. 2016    03.00000% 07/01/2031</t>
  </si>
  <si>
    <t>LAKE WORTH FLA GO   BDS SER. 2017       03.00000% 07/01/2031</t>
  </si>
  <si>
    <t>NEW JERSEY ST EDL   FACS AUTH REV REF   03.12500% 07/01/2031BDS WILLIAM PATERSONUNIV OF NJ SER.</t>
  </si>
  <si>
    <t>PINELLAS CNTY FLA   SCH BRD CTFS PARTN  03.00000% 07/01/2031COPS PINELLAS SCH   BRD LEASING CORP</t>
  </si>
  <si>
    <t>TAMPA FLA HOSP REV  REV REF BDS H LEE   03.25000% 07/01/2031MOFFITT CANCER CTR  AND RESEARCH INST</t>
  </si>
  <si>
    <t>GLEN ROCK N J SCH   DIST SCH BDS BERGEN 02.37500% 07/15/2031CNTY</t>
  </si>
  <si>
    <t>WALDWICK N J SCH    DIST BRD ED BDS SER.02.00000% 07/15/20312021</t>
  </si>
  <si>
    <t>WOODBRIDGE TWP N J  BRD ED SCH BDS SER. 02.75000% 07/15/20312012A</t>
  </si>
  <si>
    <t>CANYON TEX REGL WTR AUTH CONTRACT REV   03.00000% 08/01/2031REF BDS WELLS RANCH I PROJ SER. 2021</t>
  </si>
  <si>
    <t>LAVACA-NAVIDAD RIVERAUTH TEX WTR SUPPLY 03.50000% 08/01/2031SYS CONTRACT REV REFBDS LAKE TEXANA PROJ</t>
  </si>
  <si>
    <t>LITTLE FALLS TWP N JGEN IMPT BDS        02.00000% 08/01/2031</t>
  </si>
  <si>
    <t>TEMPLE TEX UTIL SYS REV REV BDS SER.    03.00000% 08/01/20312017</t>
  </si>
  <si>
    <t>TRINITY RIV AUTH TEXMTN CREEK REGL      03.00000% 08/01/2031WASTEWTR SYS        CONTRACT REV REV BDS</t>
  </si>
  <si>
    <t>WENONAH N J SCH DISTBRD ED BDS          02.00000% 08/01/2031</t>
  </si>
  <si>
    <t>ARLINGTON TEX       PERMANENT IMPT BDS  03.00000% 08/15/2031SER. 2017</t>
  </si>
  <si>
    <t>BRYAN TEX COMB TAX  AND REV CTFS OBLIG  02.00000% 08/15/2031SER. 2020</t>
  </si>
  <si>
    <t>CEDAR HILL TEX INDPTSCH DIST G.O REF SCH00.00000% 08/15/2031BLDG BDS SER. 2002</t>
  </si>
  <si>
    <t>CIBOLO CANYONS SPL  IMPT DIST TEX LTD AD03.00000% 08/15/2031VALOREM TAX RD BDS  SER. 2019 B</t>
  </si>
  <si>
    <t>CLIFTON TEX HIGHER  ED FIN CORP ED REV  04.00000% 08/15/2031REV AND REF BDS IDEAPUBLIC SCHOOLS SER.</t>
  </si>
  <si>
    <t>FLORHAM PARK N J BRDED SCH BDS SER. 202002.25000% 08/15/2031</t>
  </si>
  <si>
    <t>HALLETTSVILLE TEX   INDPT SCH DIST ULTD 03.50000% 08/15/2031TAX SCH BLDG BDS    SER. 2014</t>
  </si>
  <si>
    <t>LEANDER TEX INDPT   SCH DIST ULTD TAX   00.00000% 08/15/2031REF BDS SER. A</t>
  </si>
  <si>
    <t>LUFKIN TEX CTFS OF  OBLIG SER. 2012     02.25000% 08/15/2031</t>
  </si>
  <si>
    <t>RICHLAND HILLS TEX  COMB TAX AND WTRWRKS04.00000% 08/15/2031AND SWR SYS REV CTFSOF OBLIG SER.2016</t>
  </si>
  <si>
    <t>SAN MARCOS TEX COMB TAX AND REV CTFS    03.25000% 08/15/2031OBLIG SER. 2014</t>
  </si>
  <si>
    <t>SAN MARCOS TEX COMBITAX AND REV CTFS OF 03.00000% 08/15/2031OBLIG SER. 2017</t>
  </si>
  <si>
    <t>SHERMAN TEX COMBI   TAX AND REV CTFS OF 03.12500% 08/15/2031OBLIG SER. 2017</t>
  </si>
  <si>
    <t>SOUTH ORANGE &amp; MAPLEWOOD N J SCH   02.00000% 08/15/2031DIST BRD OF ED BDS  SER. 2019</t>
  </si>
  <si>
    <t>105(10)</t>
  </si>
  <si>
    <t>TRAVIS CNTY TEX WTR CTL &amp;IMPT DIST NO   03.00000% 08/15/2031010 ULTD TAX BDS    SER. 2016</t>
  </si>
  <si>
    <t>WISCONSIN ST HEALTH &amp; EDL FACS AUTH REV 04.00000% 08/15/2031BDS CHILDRENS HOSP  OF WISCONSIN INC</t>
  </si>
  <si>
    <t>BAY CNTY FLA WTR &amp;SWR SYS REV REV REF03.62500% 09/01/2031BDS SER.2015A</t>
  </si>
  <si>
    <t>BRAZORIA CNTY TEX   MUN UTIL DIST NO 28 03.00000% 09/01/2031ULTD TAX BDS SER.   2016</t>
  </si>
  <si>
    <t>BREVARD CNTY FLA WTR&amp;WASTEWA TER UTIL   03.25000% 09/01/2031REV REV BDS SER.2014</t>
  </si>
  <si>
    <t>CAPE MAY CNTY N J GOBDS LOWER TWP PUB   02.12500% 09/01/2031SAFETY BLDG PROJ    SER. 2016 AB</t>
  </si>
  <si>
    <t>135(10)</t>
  </si>
  <si>
    <t>FORT BEND CNTY TEX  MUN UTIL DIST NO 35 03.25000% 09/01/2031ULTD TAX REF BDS    SER. 2015</t>
  </si>
  <si>
    <t>FORT BEND CNTY TEX  MUN UTIL DIST NO 15103.00000% 09/01/2031ULTD TAX REF BDS    SER. 2019</t>
  </si>
  <si>
    <t>150(5)</t>
  </si>
  <si>
    <t>FORT BEND CNTY TEX  MUN UTIL DIST NO    03.12500% 09/01/2031134C ULTD TAX RD BDSSER. 2015</t>
  </si>
  <si>
    <t>FORT BEND CNTY TEX  MUN UTIL DIST NO    03.25000% 09/01/2031134B ULTD TAX BDS   SER. 2018</t>
  </si>
  <si>
    <t>FORT BEND TEX MUN   UTIL DIST NO 137    03.00000% 09/01/2031ULTD TAX REF BDS    SER. 2016</t>
  </si>
  <si>
    <t>HARRIS CNTY TEX MUN UTIL DIST NO 391    03.25000% 09/01/2031ULTD TAX REF BDS    SER. 2015</t>
  </si>
  <si>
    <t>HARRIS CNTY TEX IMPTDIST NO 18 ULTD TAX 03.00000% 09/01/2031BDS SER. 2016</t>
  </si>
  <si>
    <t>HARRIS CNTY TEX MUN UTIL DIST NO 321    03.12500% 09/01/2031ULTD TAX BDS SER.   2017</t>
  </si>
  <si>
    <t>HARRIS CNTY TEX MUN UTIL DIST NO 321    03.25000% 09/01/2031UNLTD TAX BDS SER.  2018</t>
  </si>
  <si>
    <t>HARRIS CNTY TEX MUN UTIL DIST NO 468    03.12500% 09/01/2031ULTD TAX REF BDS    SER. 2015</t>
  </si>
  <si>
    <t>HARRIS CNTY TEX MUN UTIL DIST NO 71 ULTD03.00000% 09/01/2031TAX REF BDS SER.    2016</t>
  </si>
  <si>
    <t>HARRIS-MONTGOMERY   CNTYS MUN UTIL DIST 03.00000% 09/01/2031NO 386 UNLTD TAX BDSSER. 2018</t>
  </si>
  <si>
    <t>HOUSTON TEX HOTEL   OCCUPANCY TAX &amp;SPL  00.00000% 09/01/2031REV HOTEL OCCUPANCY &amp;SPL REV BDS</t>
  </si>
  <si>
    <t>MUSTANG SPL UTIL    DIST TEX REV REF    02.00000% 09/01/2031IMPT BDS SER. 2020</t>
  </si>
  <si>
    <t>PEARLAND TEX WTRWKS &amp; SWR SYS REV REV   03.00000% 09/01/2031AND REF BDS SER.    2017 C</t>
  </si>
  <si>
    <t>SIENNA PLANTATION   LEVEE IMPT DIST TEX 03.12500% 09/01/2031FORT BEND CNTY ULTD TAX LEVEE IMPT BDS</t>
  </si>
  <si>
    <t>SUNFIELD MUN UTIL   DIST NO 3 TEX UNLTD 03.00000% 09/01/2031TAX BDS SER. 2021</t>
  </si>
  <si>
    <t>WEST NEW YORK N J GOBDS SER. 2019       02.00000% 09/01/2031</t>
  </si>
  <si>
    <t>WOODRIDGE BORO N J  GEN IMPT BDS        02.00000% 09/01/2031</t>
  </si>
  <si>
    <t>ALACHUA FLA REV CAP IMPT REV REF BDS    03.00000% 10/01/2031SER. 2016</t>
  </si>
  <si>
    <t>BLOOMER WIS SCH DISTGO REF BDS SER.     03.00000% 10/01/20312020A</t>
  </si>
  <si>
    <t xml:space="preserve">SFP GO </t>
  </si>
  <si>
    <t>FLORIDA ST MUN PWR  AGY REV REF BDS ALL 03.00000% 10/01/2031REQUIREMENTS PWR    SUPPLY SER. 2016A</t>
  </si>
  <si>
    <t>HARRIS CNTY TEX MUN UTIL DIST NO 109    03.00000% 10/01/2031ULTD TAX BDS SER.   2017</t>
  </si>
  <si>
    <t>ILLINOIS FIN AUTH   REV REV REF BDS     04.00000% 10/01/2031DEPAUL UNIVERSITY   SER. 2016 A</t>
  </si>
  <si>
    <t>KENOSHA WIS GO PROM NTS SER. 2021 B     02.00000% 10/01/2031</t>
  </si>
  <si>
    <t>MONTGOMERY CNTY TEX MUN UTIL DIST NO 11203.00000% 10/01/2031ULTD TAX BDS SER.   2017</t>
  </si>
  <si>
    <t>OKALOOSA CNTY FLA   SALES TAX REV REV   02.75000% 10/01/2031BDS SER. 2016</t>
  </si>
  <si>
    <t>SOUTH FLA WTR MGMT  DIST CTFS PARTN COPS03.00000% 10/01/2031SER. 2015</t>
  </si>
  <si>
    <t>WAUKESHA WIS GO REF BDS SER. 2017 B     03.00000% 10/01/2031</t>
  </si>
  <si>
    <t>WOOD CNTY WIS GO REFBDS                 03.00000% 10/01/2031</t>
  </si>
  <si>
    <t>CAPE MAY N J GO BDS SER. 2021           02.00000% 10/15/2031</t>
  </si>
  <si>
    <t>HALEDON N J GO BDS  SER. 2020           02.00000% 10/15/2031</t>
  </si>
  <si>
    <t>FORT LEE N J GEN    IMPT BDS SER. 2020  02.00000% 11/01/2031</t>
  </si>
  <si>
    <t>HARLINGEN TEX WTRWKS&amp; SWR SYS REV REF   02.50000% 11/01/2031BDS SER. 2019</t>
  </si>
  <si>
    <t>MARION &amp; JEFFERSON  CNTYS ILL CMNTY HIGH03.00000% 11/01/2031SCH DIST NO 600     SALEM GO LTD TAX BDS</t>
  </si>
  <si>
    <t>MIDDLE TWP N J GO   BDS SER. 2016       02.50000% 11/01/2031</t>
  </si>
  <si>
    <t>PALM BEACH CNTY FLA HEALTH FACS AUTH    05.00000% 11/01/2031HOSP REV BDS JUPITERMED CTR INC SER.</t>
  </si>
  <si>
    <t>PASSAIC CNTY N J GO IMPT COLL CNTY BDS  02.00000% 11/01/2031SER. A</t>
  </si>
  <si>
    <t>LAKELAND FLA HOSP   SYS REV REF BDS     03.00000% 11/15/2031LAKELAND REGL HLTH  SYS SER. 2016</t>
  </si>
  <si>
    <t>MIAMI BEACH FLA     HEALTH FACS AUTH    05.00000% 11/15/2031HOSP REV BDS MOUNT  SINAI MED CTR OF FL</t>
  </si>
  <si>
    <t>WASHINGTON TWP N J  GLOUCESTER CNTY GO  02.50000% 11/15/2031BDS SER.2012</t>
  </si>
  <si>
    <t>BENSENVILLE ILL PK  DIST GO PK BDS ALT  03.50000% 12/01/2031REV SRCE SER. 2014A</t>
  </si>
  <si>
    <t>CINCO SOUTHWEST TEX MUN UTIL DIST NO 1  03.00000% 12/01/2031CONTRACT REV REF BDSSER. 2019 A</t>
  </si>
  <si>
    <t>CINCO SOUTHWEST TEX MUN UTIL DIST NO 1  03.00000% 12/01/2031CONTRACT REV RD REF BDS SER. 2019</t>
  </si>
  <si>
    <t>COOK CNTY ILL CMNTY CONS SCH DIST NO 14603.25000% 12/01/2031TINLEY PK LTD TAX GOBDS SER. 2018</t>
  </si>
  <si>
    <t>FAYETTE SHELBY &amp; MONTGOMERY CNTYS ILL03.50000% 12/01/2031CMNTY UNIT SCH DIST NO204 RAMSEY GO BDS</t>
  </si>
  <si>
    <t>FORT BEND CNTY TEX  MUN UTIL DIST NO 19 02.00000% 12/01/2031UNLTD TAX BDS SER.  2021</t>
  </si>
  <si>
    <t>HENRY CNTY ILL CMNTYUNIT SCH DIST NO 22903.00000% 12/01/2031BDS SER. 2021 B</t>
  </si>
  <si>
    <t>HIDALGO CNTY TEX    REGL MOBILITY AUTH  05.00000% 12/01/2031TOLL &amp; VEH          REGISTRATION FEE REV</t>
  </si>
  <si>
    <t>HOWARD WIS GO PROM  NTS SER. 2022 A     02.00000% 12/01/2031</t>
  </si>
  <si>
    <t>LAKE COOK KANE &amp; MCHENRY CNTYS ILL   03.00000% 12/01/2031CMNTY UNIT SCH DIST NO 220 GO BDS SER.</t>
  </si>
  <si>
    <t>LEDGEVIEW WIS GO REFBDS SER. 2021 D     03.00000% 12/01/2031</t>
  </si>
  <si>
    <t>PERRY &amp; WASHINGTON  CNTYS ILL CMNTY CONS05.00000% 12/01/2031HIGH SCH DIST NO 101GO BDS SER. 2022</t>
  </si>
  <si>
    <t>BARTLETT ILL PK DISTGO LTD REF PK BDS   03.37500% 12/15/2031SER. 2018</t>
  </si>
  <si>
    <t>NEW JERSEY ST TRANSNTR FD AUTH SYS BDS  00.00000% 12/15/2031SER. 2006C</t>
  </si>
  <si>
    <t>185(10)</t>
  </si>
  <si>
    <t>NEW JERSEY ST TRANSNTR FD AUTH          00.00000% 12/15/2031TRANSPORTATION      SYSTEM BDS SER.</t>
  </si>
  <si>
    <t>ST CHARLES ILL PK   DIST GO PK BDS SER. 03.25000% 12/15/20312018</t>
  </si>
  <si>
    <t>AURORA ILL GO       LIBRARY BDS SER.    03.25000% 12/30/20312012A</t>
  </si>
  <si>
    <t>AURORA ILL GO BDS   SER. 2017           03.00000% 12/30/2031</t>
  </si>
  <si>
    <t>AURORA ILL GO REF   BDS SER. 2015A      03.25000% 12/30/2031</t>
  </si>
  <si>
    <t>WOOD DALE ILL GO BDSSER. 2020 A         02.37500% 12/30/2031</t>
  </si>
  <si>
    <t>CHICAGO ILL GO BDS  SER. 2021 B         04.00000% 01/01/2032</t>
  </si>
  <si>
    <t>CHICAGO ILL PK DIST GO LTD TAX REF BDS  04.00000% 01/01/2032SER. 2021 C</t>
  </si>
  <si>
    <t>CHICAGO ILL PK DIST REF UNLTD TAX BDS   04.00000% 01/01/2032SER. 2021 E</t>
  </si>
  <si>
    <t>DEKALB CNTY ILL     CMNTY UNIT SCH DIST 04.00000% 01/01/2032NO 428 DEKALB GO REFSCH BDS SER. 2019</t>
  </si>
  <si>
    <t>SOUTH JERSEY PORT   CORP N J REV REV REF03.12500% 01/01/2032BDS SER. 2012Q</t>
  </si>
  <si>
    <t>WESTMONT ILL GO BDS DUPAGE CNTY SER.    03.00000% 01/01/20322019B</t>
  </si>
  <si>
    <t>WILL CNTY ILL HIGH  SCH DIST NO 204     03.00000% 01/01/2032JOLIET GO LTD TAX   BDS SER. 2020</t>
  </si>
  <si>
    <t>BOUND BROOK BORO N JBRD ED SCH BDS      03.25000% 01/15/2032</t>
  </si>
  <si>
    <t>UNION TWP NJ UN CNTYGO IMPT AND SWR UTIL02.00000% 01/15/2032BDS SER. 2020</t>
  </si>
  <si>
    <t>ADAMS CNTY ILL SCH  DIST NO 172 GO SCH  03.50000% 02/01/2032BDS SER. 2018</t>
  </si>
  <si>
    <t>BAYTOWN TEX COMBI   TAX AND REV CTFS OF 03.00000% 02/01/2032OBLIG SER. 2016</t>
  </si>
  <si>
    <t>DE KALB &amp; KANE CNTYSILL CMNTY UNIT SCH  04.00000% 02/01/2032DIST NO 427 SYCAMOREGO LTD TAX BDS SER.</t>
  </si>
  <si>
    <t>ENNIS TEX           COMBINATION TAX REV 04.00000% 02/01/2032CTFS OBLIG SER. 2020</t>
  </si>
  <si>
    <t>GRUNDY &amp;WILL CNTYS  ILL CMNTY UNIT SCH  03.37500% 02/01/2032DIST NO 001 GO SCH  BDS SER. 2016</t>
  </si>
  <si>
    <t>ILLINOIS ST GO REF  BDS SER. OCTOBER    04.00000% 02/01/20322016</t>
  </si>
  <si>
    <t>LAKEWAY TEX GO BDS  SER. 2017           03.00000% 02/01/2032</t>
  </si>
  <si>
    <t>LITTLE ELM TEX COMB TAX AND LTD PLG REV 03.00000% 02/01/2032CTFS OBLIG SER. 2019</t>
  </si>
  <si>
    <t>MIAMI-DADE CNTY FLA SCH BRD CTFS PARTN  03.25000% 02/01/2032COPS SER. 2016C</t>
  </si>
  <si>
    <t>MIDLOTHIAN TEX      COMBINATION TAX REV 03.00000% 02/01/2032CTFS OBLIG SER. 2021</t>
  </si>
  <si>
    <t>MIDLOTHIAN TEX GO   BDS SER. 2021       03.00000% 02/01/2032</t>
  </si>
  <si>
    <t>PHARR-SAN JUAN-ALAMOTEX INDPT SCH DIST  03.25000% 02/01/2032ULTD TAX REF BDS    SER. 2015</t>
  </si>
  <si>
    <t>PISCATAWAY TWP N J  GEN IMPT BDS        02.00000% 02/01/2032</t>
  </si>
  <si>
    <t>ROCK ISLAND CNTY ILLSCH DIST NO 037 EAST03.00000% 02/01/2032MOLINE GO BDS SER.  2021 B</t>
  </si>
  <si>
    <t>SANGAMON &amp;CHRISTIAN CNTYS ILL CMNTY UNIT03.25000% 02/01/2032SCH DIST NO 3-A GO  SCH REF BDS SER.</t>
  </si>
  <si>
    <t>SCHERTZ-CIBOLO-UNVL CITY TEX INDPT SCH  00.00000% 02/01/2032DIST ULTD TAX REF   BDS SER. 2016</t>
  </si>
  <si>
    <t>WACO TEX COMBI TAX  AND REV CTFS OF     03.00000% 02/01/2032OBLIG SER. 2016</t>
  </si>
  <si>
    <t>ALDINE TEX INDPT SCHDIST ULTD TAX SCH   03.00000% 02/15/2032BLDG BDS SER. 2015</t>
  </si>
  <si>
    <t>ALIEF TEX INDPT SCH DIST ULT TAX SCH    03.00000% 02/15/2032BLDG BDS SER. 2018</t>
  </si>
  <si>
    <t>ANGLETON TEX INDPT  SCH DIST ULTD TAX   03.00000% 02/15/2032REF BDS SER. 2017</t>
  </si>
  <si>
    <t>COLLIN CNTY TEX LTD TAX PERMANENT IMPT  03.00000% 02/15/2032BDS SER. 2019</t>
  </si>
  <si>
    <t>COLLIN CNTY TEX MUN UTIL DIST NO 1 UNLTD03.50000% 02/15/2032TAX UTIL SYS BDS    SER. 2018</t>
  </si>
  <si>
    <t>DENTON TEX CTFS OF  OBLIG SER. 2017     03.00000% 02/15/2032</t>
  </si>
  <si>
    <t>DENTON TEX CTFS OF  OBLIG SER. 2019     03.00000% 02/15/2032</t>
  </si>
  <si>
    <t>DUNELLEN N J BRD ED SCH BDS SER. 2020   02.00000% 02/15/2032</t>
  </si>
  <si>
    <t>ECTOR CNTY TEX CTFS OF OBLIG SER. 2017  03.00000% 02/15/2032</t>
  </si>
  <si>
    <t>EDCOUCH ELSA TEX    INDPT SCH DIST ULTD 03.12500% 02/15/2032TAX REF BDS SER.    2014</t>
  </si>
  <si>
    <t>FORT WORTH TEX DRAINUTIL SYS REV REV REF03.00000% 02/15/2032BDS SER.2016</t>
  </si>
  <si>
    <t>FORT WORTH TEX DRAINUTIL SYS REV REF BDS03.00000% 02/15/2032SER. 2019</t>
  </si>
  <si>
    <t>FORT WORTH TEX WTR &amp;SWR REV SYS REF IMPT02.00000% 02/15/2032BDS SER. 2020A</t>
  </si>
  <si>
    <t>FRISCO TEX CMNTY DEVCORP SALES TAX REV  03.00000% 02/15/2032REV BDS SER. 2016A</t>
  </si>
  <si>
    <t>GLENN HEIGHTS TEX GOBDS SER. 2016       03.00000% 02/15/2032</t>
  </si>
  <si>
    <t>GODLEY TEX INDPT SCHDIST UNLTD TAX BLDG 03.00000% 02/15/2032BDS SER. 2021</t>
  </si>
  <si>
    <t>GREENVILLE TEX      COMBINATION TAX REV 03.00000% 02/15/2032CTFS OBLIG SER. 2021</t>
  </si>
  <si>
    <t>ILLINOIS FIN AUTH   REV REV BDS         03.62500% 02/15/2032ASCENSION HEALTH    ALLIANCE D/B/A</t>
  </si>
  <si>
    <t>IRVING TEX INDPT SCHDIST ULTD TAX REF   03.00000% 02/15/2032BDS SER. 2016A</t>
  </si>
  <si>
    <t>LEAGUE CITY TEX GO  REF BDS SER. 2016 A 02.62500% 02/15/2032</t>
  </si>
  <si>
    <t>LUBBOCK TEX GO REF  BDS AND CTFS OF     04.00000% 02/15/2032OBLIG SER. 2016</t>
  </si>
  <si>
    <t>MELISSA TEX GO BDS  SER. 2015           03.12500% 02/15/2032</t>
  </si>
  <si>
    <t>MERCER CNTY N J GO  CAP IMPT OPEN SPACE 02.00000% 02/15/2032FARMLAND BDS SER.   2021</t>
  </si>
  <si>
    <t>PASADENA TEX COMBI  TAX AND REV CTFS OF 03.00000% 02/15/2032OBLIG SER. 2017</t>
  </si>
  <si>
    <t>PORT NECHES-GROVES  TEX INDPT SCH DIST  03.00000% 02/15/2032ULTD TAX REF BDS    SER. 2016</t>
  </si>
  <si>
    <t>PORT NECHES-GROVES  TEX INDPT SCH DIST  03.00000% 02/15/2032ULTD TAX REF BDS    SER. 2016 A</t>
  </si>
  <si>
    <t>PORTLAND TEX GO BDS SER. 2018A          03.25000% 02/15/2032</t>
  </si>
  <si>
    <t>SADDLE BROOK TWP N JGEN IMPT WTR UTIL   02.12500% 02/15/2032BDS SER. 2020</t>
  </si>
  <si>
    <t>835(100)</t>
  </si>
  <si>
    <t>SHELDON TEX INDPT   SCH DIST ULTD TAX   03.00000% 02/15/2032SCH BULDG REF BDS   SER. 2018</t>
  </si>
  <si>
    <t>SPRING VALLEY TEX GOBDS SER. 2015       03.12500% 02/15/2032</t>
  </si>
  <si>
    <t>SUGAR LAND TEX COMB TAX AND REV CTFS    03.00000% 02/15/2032OBLIG SER. 2015</t>
  </si>
  <si>
    <t>SUGAR LAND TEX COMBITAX AND REV CTFS OF 03.00000% 02/15/2032OBLIG SER.2016</t>
  </si>
  <si>
    <t>TEXARKANA TEX COMBI TAX AND REV CTFS OF 03.25000% 02/15/2032OBLIG SER. 2017</t>
  </si>
  <si>
    <t>WEST ORANGE-COVE TEXCONS INDPT SCH DIST 03.00000% 02/15/2032UNLTD TAX SCH BLGD  BDS SER. 2019</t>
  </si>
  <si>
    <t>WILLIAMSON CNTY TEX LTD TAX PARK BDS    03.00000% 02/15/2032SER.2016</t>
  </si>
  <si>
    <t>WILLIAMSON CNTY TEX UTLT RD TAX BDS SER.02.95000% 02/15/20322017</t>
  </si>
  <si>
    <t>BELLMEAD TEX COMB   TAX AND LTD PLEDGE  03.50000% 03/01/2032REV CTFS OBLIG SER. 2014</t>
  </si>
  <si>
    <t>BELMONT FRESH WTR   SUPPLY DIST NO 1 TEX03.00000% 03/01/2032DENTON CNTY ULTD TAXRD BDS SER. 2017</t>
  </si>
  <si>
    <t>BRIDGETON N J GO    IMPT WTR SWR UTIL   02.00000% 03/01/2032BDS</t>
  </si>
  <si>
    <t>DODGELAND WIS SCH   DIST GO REF BDS     02.00000% 03/01/2032</t>
  </si>
  <si>
    <t>625(25)</t>
  </si>
  <si>
    <t>ELMHURST ILL GO BDS SER.2016            03.00000% 03/01/2032</t>
  </si>
  <si>
    <t>FORT BEND CNTY TEX  DRAIN DIST PERM IMPT03.00000% 03/01/2032BDS SER. 2020</t>
  </si>
  <si>
    <t>FORT BEND CNTY TEX  MUN UTIL DIST NO    02.00000% 03/01/2032134B UNLTD TAX BDS  SER. 2021</t>
  </si>
  <si>
    <t>FRIENDSWOOD TEX GO  REF BDS SER. 2016 A 04.00000% 03/01/2032</t>
  </si>
  <si>
    <t>GLOUCESTER CNTY N J COLLEGE BDS SER.    02.00000% 03/01/20322021</t>
  </si>
  <si>
    <t>HARRIS CNTY TEX MUN UTIL DIST NO 105    03.00000% 03/01/2032UNLTD TAX REF BDS   SER. 2019</t>
  </si>
  <si>
    <t>HARRIS CNTY TEX MUN UTIL DIST NO 105    02.00000% 03/01/2032UNLTD TAX BDS SER.  2020</t>
  </si>
  <si>
    <t>HIGHLANDS CNTY FLA  SCH BRD CTFS PARTN  03.62500% 03/01/2032REF COPS SER. 2015</t>
  </si>
  <si>
    <t>50(25)</t>
  </si>
  <si>
    <t>LAREDO TEX WTRWKS   SWR SYS REV REV BDS 03.30000% 03/01/2032SER. 2014</t>
  </si>
  <si>
    <t>MC ALLEN TEX INTL   TOLL BRDG REV REV   03.50000% 03/01/2032REF BDS SER. B</t>
  </si>
  <si>
    <t>MESQUITE TEX WTRWKS &amp; SWR REV REV REF   03.37500% 03/01/2032BDS SER. 2012</t>
  </si>
  <si>
    <t>NEENAH WIS GO PROM  NTS SER. 2022 A     02.00000% 03/01/2032</t>
  </si>
  <si>
    <t>OREGON WIS SCH DIST GO SCH IMPT BDS SER.03.00000% 03/01/20322015</t>
  </si>
  <si>
    <t>PEARLAND TEX PERM   IMPT AND REF BDS    04.00000% 03/01/2032SER. 2017</t>
  </si>
  <si>
    <t>SAUK PRAIRIE WIS SCHDIST GO REF BDS     03.00000% 03/01/2032</t>
  </si>
  <si>
    <t>SUN PRAIRIE WIS AREASCH DIST GO REF BDS 03.00000% 03/01/2032</t>
  </si>
  <si>
    <t>TITUS CNTY TEX ULTD TAX REF BDS SER.    03.00000% 03/01/20322016</t>
  </si>
  <si>
    <t>WISCONSIN DELLS WIS SCH DIST GO REF BDS 03.00000% 03/01/2032</t>
  </si>
  <si>
    <t>WISCONSIN HSG &amp; ECONOMIC DEV AUTH   03.85000% 03/01/2032HOME OWNERSHIP REV  BDS 2024 SER B</t>
  </si>
  <si>
    <t>MAPLE SHADE TWP N J GO IMPT WTR SWR UTIL03.00000% 03/15/2032BDS SER. 2022</t>
  </si>
  <si>
    <t>ROBBINSVILLE TWP N JBRD ED SCH BDS      03.00000% 03/15/2032</t>
  </si>
  <si>
    <t xml:space="preserve"> 20(20)</t>
  </si>
  <si>
    <t>BEAVER DAM WIS UNI  SCH DIST GO SCH BLDG03.00000% 04/01/2032AND IMPT BDS SER.   2017 B</t>
  </si>
  <si>
    <t>BLAIR-TAYLOR SCH    DIST WIS GO REF BDS 03.00000% 04/01/2032SER. 2021 A</t>
  </si>
  <si>
    <t>BURLINGTON AREA WIS SCH DIST GO REF BDS 03.25000% 04/01/2032</t>
  </si>
  <si>
    <t>D C EVEREST AREA SCHDIST WIS MARATHON   03.00000% 04/01/2032CNTY GO SCH IMPT BDSSER. 2017</t>
  </si>
  <si>
    <t>DURAND WIS SCH DIST GO SCH IMPT BDS SER.03.25000% 04/01/20322015</t>
  </si>
  <si>
    <t>EAU CLAIRE WIS CORP PURP GO BDS SER.    03.12500% 04/01/20322018 A</t>
  </si>
  <si>
    <t>FOND DU LAC WIS SCH DIST GO REF BDS SER.03.00000% 04/01/20322019 B</t>
  </si>
  <si>
    <t>FORT BEND CNTY TEX  MUN UTIL DIST NO 58 03.00000% 04/01/2032UNLTD TAX REF BDS   SER. 2021</t>
  </si>
  <si>
    <t>FORT BEND CNTY TEX  MUN UTIL DIST NO 58 03.00000% 04/01/2032UNLTD TAX RD REF BDSSER. 2021 A</t>
  </si>
  <si>
    <t>FORT BEND CNTY TEX  MUN UTIL DIST NO 14403.00000% 04/01/2032ULTD TAX BDS SER.   2017</t>
  </si>
  <si>
    <t>50(50)</t>
  </si>
  <si>
    <t>GREEN BAY WIS GO    CORP PURP BDS SER.  03.12500% 04/01/20322018 A</t>
  </si>
  <si>
    <t>HARRIS-FORT BEND    CNTYS TEX MUN UTIL  03.12500% 04/01/2032DIST NO 3 UNLTD TAX BDS SER. 2022A</t>
  </si>
  <si>
    <t>KENOSHA WIS UNI SCH DIST NO 001 GO SCH  03.00000% 04/01/2032IMPT BDS SER. 2016</t>
  </si>
  <si>
    <t>KENOSHA WIS UNI SCH DIST NO 001 GO CORP 03.00000% 04/01/2032PURP BDS SER. 2017 A</t>
  </si>
  <si>
    <t>MIAMI-DADE CNTY FLA SPL OBLIG CAP ASSET 03.00000% 04/01/2032ACQUISITION REF BDS SER. 2017A</t>
  </si>
  <si>
    <t>NEW MILFORD N J GEN IMPT BDS            02.00000% 04/01/2032</t>
  </si>
  <si>
    <t>OAK CREEK-FRANKLIN  WIS JT SCH DIST GO  03.25000% 04/01/2032SCH BLDG BDS SER.   2015A</t>
  </si>
  <si>
    <t>PUBLIC FIN AUTH WIS EDL FAC REV REF BDS 05.00000% 04/01/2032LENOIR RHYNE        UNIVERSITY SER. 2022</t>
  </si>
  <si>
    <t>250(5)</t>
  </si>
  <si>
    <t>RED RIV AUTH TEX    UTIL SYS REV REV BDS03.25000% 04/01/2032SER. 2017</t>
  </si>
  <si>
    <t>SAUK CNTY WIS HWY   DEPT FAC GO BDS SER.03.00000% 04/01/20322022</t>
  </si>
  <si>
    <t>SOMERSET WIS SCH    DIST GO SCH IMPT BDS03.00000% 04/01/2032SER. 2019</t>
  </si>
  <si>
    <t>ST CLAIR CNTY ILL   SCH DIST NO 119     03.25000% 04/01/2032BELLE VY GO REF SCH BDS SER. 2017</t>
  </si>
  <si>
    <t>SUPERIOR WIS SCH    DIST GO SCH IMPT BDS02.37500% 04/01/2032SER. 2016 B</t>
  </si>
  <si>
    <t>UNIVERSITY ILL UNIV REVS AUXILIARY FAC  03.62500% 04/01/2032SYS REV BDS SER.    2018 B</t>
  </si>
  <si>
    <t>VERONA WIS AREA SCH DIST GO BLDG AND    03.00000% 04/01/2032IMPT BDS SER. 2017</t>
  </si>
  <si>
    <t>WEST DE PERE WIS SCHDIST GO CORP PURP   02.00000% 04/01/2032BDS SER. 2020 A</t>
  </si>
  <si>
    <t>160(25)</t>
  </si>
  <si>
    <t>BRIDGESTONE MUN UTILDIST TEX WTRWKS AND 03.12500% 05/01/2032SWR SYS COMB ULTD   TAX AND REV BDS</t>
  </si>
  <si>
    <t>CREST HILL ILL GO   REF BDS SER. 2019 A 03.00000% 05/01/2032</t>
  </si>
  <si>
    <t>ENCANTO REAL UTIL   DIST TEX ULTD TAX   02.50000% 05/01/2032BDS SER. 2016</t>
  </si>
  <si>
    <t>HARRIS CNTY TEX MUN UTIL DIST NO 397    03.12500% 05/01/2032UNLTD TAX REF BDS   SER. 2019</t>
  </si>
  <si>
    <t>85(85)</t>
  </si>
  <si>
    <t>NORTHWEST HARRIS    CNTY MUN UTIL DIST  03.12500% 05/01/2032NO 5 TEX ULTD TAX   BDS SER.2015A</t>
  </si>
  <si>
    <t>OSHKOSH WIS STORM   WTR UTIL REV WTR    02.62500% 05/01/2032UTIL REV BDS SER.   2016 E</t>
  </si>
  <si>
    <t>PARIS ILL GO REF BDSSER. 2016           03.25000% 05/01/2032</t>
  </si>
  <si>
    <t>ROCHELLE ILL GO BDS SER. 2021           03.00000% 05/01/2032</t>
  </si>
  <si>
    <t>SOUTH BROWARD HOSP  DIST FLA REV HOSP   03.25000% 05/01/2032REV AND REF REV BDS SOUTH BROWARD HOSP</t>
  </si>
  <si>
    <t>TEXAS A &amp; M UNIV REVFING SYS BDS SER.   03.00000% 05/15/20322017E</t>
  </si>
  <si>
    <t>ARLINGTON TEX MUN   DRAIN UTIL SYS REV  03.00000% 06/01/2032BDS SER. 2018</t>
  </si>
  <si>
    <t>ASHWAUBENON WIS     CMNTY DEV AUTH LEASE02.45000% 06/01/2032REV BDS BROWN CNTY  EXPO CTR PROJ SER.</t>
  </si>
  <si>
    <t>ATLANTIC CNTY N J GOBDS SER. 2020       02.00000% 06/01/2032</t>
  </si>
  <si>
    <t>COOK CNTY ILL CMNTY CONS SCH DIST NO 02103.00000% 06/01/2032WHEELING GO LTD TAX DEBT CTFS SER. 2021</t>
  </si>
  <si>
    <t>DELRAY BEACH FLA    UTILS TAX REV REF   03.25000% 06/01/2032AND IMPT BDS SER.   2015</t>
  </si>
  <si>
    <t>NEW JERSEY ECONOMIC DEV AUTH ECONOMIC   03.00000% 06/01/2032DEV REV REF BDS     SEEING EYE INC SER.</t>
  </si>
  <si>
    <t>TOBACCO SETTLEMENT  FING CORP N J       05.00000% 06/01/2032SETTLEMENT BDS SER. 2018 A</t>
  </si>
  <si>
    <t>ILLINOIS ST SALES   TAX REV JR OBLIG REF03.00000% 06/15/2032BDS SER. SEPTEMBER  2016 D</t>
  </si>
  <si>
    <t>90(5)</t>
  </si>
  <si>
    <t>ILLINOIS ST SALES   TAX REV BUILD JR    03.00000% 06/15/2032OBLIG BDS SER. 2021 A</t>
  </si>
  <si>
    <t xml:space="preserve">SFP D R I </t>
  </si>
  <si>
    <t>MISSOURI CITY TEX   COMB TAX AND REV    03.00000% 06/15/2032CTFS OF OBLIG SER.  2016</t>
  </si>
  <si>
    <t>NORTHSIDE TEX INDPT SCH DIST ULTD TAX   03.00000% 06/15/2032REF BDS SER. 2016</t>
  </si>
  <si>
    <t>SALEM CNTY N J      COURTHOUSE          02.00000% 06/15/2032VOCATIONAL TECH SCH GEN IMPT GO BDS SER.</t>
  </si>
  <si>
    <t>CENTRAL FLA EXPWY   AUTH SR LIENREV REF 03.00000% 07/01/2032REV BDS SER. 2016 A</t>
  </si>
  <si>
    <t>FLORIDA ST DEPT     ENVIRONMENTAL PROTN 03.37500% 07/01/2032PRESERVATION REV REVBDS EVERGLADES</t>
  </si>
  <si>
    <t>FLORIDA ST TPK AUTH TPK REV TURNPIKE REV03.00000% 07/01/2032REF BDS SER. 2016A</t>
  </si>
  <si>
    <t>HERNANDO CNTY FLA   SCH BRD CTFS PARTN  03.00000% 07/01/2032REF COPS SER. 2016A</t>
  </si>
  <si>
    <t>170(10)</t>
  </si>
  <si>
    <t>HUDSON CNTY N J     VOCATIONAL TECHNICAL02.00000% 07/01/2032SCH COLLEGE GO BDS  SER. 2021</t>
  </si>
  <si>
    <t>MIAMI DADE CNTY FLA EXPWY AUTH TOLL SYS 05.00000% 07/01/2032REV REF BDS SER.    2016 A</t>
  </si>
  <si>
    <t>NEW BRAUNFELS TEX   UTIL REV REV REF BDS03.00000% 07/01/2032SER. 2016</t>
  </si>
  <si>
    <t>NEW JERSEY HEALTH   CARE FACS FING AUTH 03.25000% 07/01/2032REV REV BDS INSPIRA HEALTH OBLIGATED</t>
  </si>
  <si>
    <t>95(5)</t>
  </si>
  <si>
    <t>NEW JERSEY ST EDL   FACS AUTH REV REV   05.00000% 07/01/2032BDS STEVENS INST OF TECHNOLOGY SER. 2017</t>
  </si>
  <si>
    <t>NEW JERSEY ST EDL   FACS AUTH REV REV   03.00000% 07/01/2032BDS WILLIAM PATERSONUNIV OF NJ SER.</t>
  </si>
  <si>
    <t>REGIONAL TRANSN AUTHILL GO REF BDS SER. 03.00000% 07/01/20322017 A</t>
  </si>
  <si>
    <t>USF FING CORP FLA   CTFS PARTN REF COPS 03.25000% 07/01/2032SER. 2019</t>
  </si>
  <si>
    <t>DENTON CNTY TEX PERMIMPT REF BDS SER.   03.00000% 07/15/20322019A</t>
  </si>
  <si>
    <t>EAST RUTHERFORD N J SCH DIST BDS        02.00000% 07/15/2032</t>
  </si>
  <si>
    <t>ILLINOIS FIN AUTH   REV BDS NORTHWESTERN03.00000% 07/15/2032MEMORIAL HEALTHCARE SER. 2017A</t>
  </si>
  <si>
    <t>RUMSON BORO N J SCH DIST BRD ED BDS     02.00000% 07/15/2032</t>
  </si>
  <si>
    <t>WEST ORANGE TWP N J GEN IMPT BDS        02.00000% 07/15/2032</t>
  </si>
  <si>
    <t>AUSTIN TEX CMNTY    COLLEGE DIST PUB FAC03.00000% 08/01/2032CORP LEASE REV BDS  HIGHLAND CAMPUS BLDG</t>
  </si>
  <si>
    <t>BRUSHY CREEK REGL   UTIL AUTH TEX       04.00000% 08/01/2032CONTRACT REV REV REFBDS BRUSHY CREEK</t>
  </si>
  <si>
    <t>CANYON TEX REGL WTR AUTH CONTRACT REV   04.00000% 08/01/2032CONTRACT REV REF BDSWELLS RANCH PROJ</t>
  </si>
  <si>
    <t>CANYON TEX REGL WTR AUTH CONTRACT REV   03.00000% 08/01/2032BDS HAYS/CALDWELL   CNTYS AREA PROJ SER.</t>
  </si>
  <si>
    <t>CLEARVIEW N J REGL  HIGH SCH DIST BDS   03.00000% 08/01/2032SER. 2022</t>
  </si>
  <si>
    <t>HUTTO TEX INDPT SCH DIST ULTD TAX REF   03.25000% 08/01/2032BDS SER. 2015A</t>
  </si>
  <si>
    <t>LAREDO TEX CMNTY    COLLEGE DIST LTD TAX03.00000% 08/01/2032REF BDS SER. 2016</t>
  </si>
  <si>
    <t>LIBERTY CNTY TEX COMB TAX REV CTFS   03.00000% 08/01/2032OBLIG SER. 2020</t>
  </si>
  <si>
    <t>LITTLE FERRY N J GENIMPT BDS SER. 2022  03.00000% 08/01/2032</t>
  </si>
  <si>
    <t>LOCKHART TEX COMB   TAX AND LTD REV CTFS03.25000% 08/01/2032OBLIG SER. 2015</t>
  </si>
  <si>
    <t>MARGATE CITY N J GENIMPT WTR SWR UTIL   02.25000% 08/01/2032SCH GO BDS SER. 2019</t>
  </si>
  <si>
    <t>SHOREWOOD WIS GO    CORP PURP BDS SER.  02.50000% 08/01/20322016 A</t>
  </si>
  <si>
    <t>TEMPLE TEX          COMBINATION TAX AND 03.00000% 08/01/2032REV CTFS OF OBLIG   SER. 2017</t>
  </si>
  <si>
    <t>UNION CITY N J GO   BDS SER. 2021       02.25000% 08/01/2032</t>
  </si>
  <si>
    <t>WAXAHACHIE TEX GO   REF BDS SER. 2016 A 04.00000% 08/01/2032</t>
  </si>
  <si>
    <t>WEST WINDSOR        PLAINSBORO N J REGL 02.25000% 08/01/2032SCH DIST BDS</t>
  </si>
  <si>
    <t>BRYAN TEX           COMBINATION TAX AND 03.00000% 08/15/2032REV CTFS OF OBLIG SER. 2018</t>
  </si>
  <si>
    <t>CADDO MILLS TEX     INDPT SCH DIST UNLTD03.00000% 08/15/2032TAX BLDG BDS SER.   2021</t>
  </si>
  <si>
    <t>CEDAR HILL TEX INDPTSCH DIST G.O REF SCH00.00000% 08/15/2032BLDG BDS SER. 2002</t>
  </si>
  <si>
    <t>CHISUM TEX INDPT SCHDIST ULTD TAX SCH   03.00000% 08/15/2032BLDG AND REF BDS    SER. 2016</t>
  </si>
  <si>
    <t>CLIFTON TEX HIGHER  ED FIN CORP ED REV  04.00000% 08/15/2032REV AND REF BDS IDEAPUBLIC SCHOOLS SER.</t>
  </si>
  <si>
    <t>EAST CENTRAL TEX    INDPT SCH DIST ULTD 03.00000% 08/15/2032TAX SCH BLDG BDS    SER. 2017</t>
  </si>
  <si>
    <t>EL PASO TEX INDPT   SCH DIST UNLTD TAX  03.00000% 08/15/2032SCH BLDG BDS SER.   2019</t>
  </si>
  <si>
    <t>FLORHAM PARK N J BRDED SCH BDS SER. 202002.25000% 08/15/2032</t>
  </si>
  <si>
    <t>FORT BEND TEX INDPT SCH DIST UNLTD TAX  03.00000% 08/15/2032REF BDS SER. 2020</t>
  </si>
  <si>
    <t>FRISCO TEX INDPT SCHDIST ULTD TAX REF   03.00000% 08/15/2032BDS SER. 2016</t>
  </si>
  <si>
    <t>GEORGETOWN TEX COMBITAX AND REV CTFS OF 03.00000% 08/15/2032OBLIG SER. 2017</t>
  </si>
  <si>
    <t>GEORGETOWN TEX UTIL SYS REV REV BDS SER.03.00000% 08/15/20322016</t>
  </si>
  <si>
    <t>GEORGETOWN TEX UTIL SYS REV REV AND REF 03.00000% 08/15/2032BDS SER. 2017</t>
  </si>
  <si>
    <t>GEORGETOWN TEX UTIL SYS REV REV BDS SER.03.50000% 08/15/20322015</t>
  </si>
  <si>
    <t>KYLE TEX GO REF BDS SER. 2013           03.25000% 08/15/2032</t>
  </si>
  <si>
    <t>LEWISVILLE TEX INDPTSCH DIST ULTD TAX   03.00000% 08/15/2032SCH BLDG BDS SER.   2017</t>
  </si>
  <si>
    <t>LIVINGSTON TEX INDPTSCH DIST ULTD TAX   03.25000% 08/15/2032REF BDS SER. 2017</t>
  </si>
  <si>
    <t>MARBLE FALLS TEX    INDPT SCH DIST UNLTD03.00000% 08/15/2032TX BDS SER. 2019</t>
  </si>
  <si>
    <t>MC KINNEY TEX GO REFAND IMPT BDS        03.00000% 08/15/2032SER.2016</t>
  </si>
  <si>
    <t>MONT BELVIEU TEX TAXAND REV CTFS OF     03.00000% 08/15/2032OBLIG SER. 2017</t>
  </si>
  <si>
    <t>MONT BELVIEU TEX TAXREV CTFS OBLIG SER. 03.00000% 08/15/20322019</t>
  </si>
  <si>
    <t>175(5)</t>
  </si>
  <si>
    <t>NORTH HAYS CNTY TEX MUN UTIL DIST NO 1  02.62500% 08/15/2032UNLTD TAX BDS SER.  2019 A</t>
  </si>
  <si>
    <t>PHARR TEX COMB TAX  AND REV CTFS OBLIG  03.12500% 08/15/2032SER. 2016</t>
  </si>
  <si>
    <t>RIO GRANDE CITY TEX CONS INDPT SCH DIST 03.37500% 08/15/2032ULTD TAX REF BDS    SER. 2013</t>
  </si>
  <si>
    <t>RIO VISTA TEX INDPT SCH DIST ULTD TAX   03.00000% 08/15/2032REF BDS SER. 2017</t>
  </si>
  <si>
    <t>ROUND ROCK TEX      COMBINATION TAX LTD 03.00000% 08/15/2032REV CTFS OF OBLIG   SER. 2021 A</t>
  </si>
  <si>
    <t>ROYSE CITY TEX COMBITAX AND REV CTFS OF 03.05000% 08/15/2032OBLIG SER. 2017</t>
  </si>
  <si>
    <t>SAN MARCOS TEX COMBITAX AND REV CTFS OF 03.00000% 08/15/2032OBLIG SER.2016</t>
  </si>
  <si>
    <t>SAN MARCOS TEX COMB TAX AND REV CTFS OF 03.00000% 08/15/2032OBLIG SER. 2021 A</t>
  </si>
  <si>
    <t>SHERMAN TEX CTFS    OBLIG SER. 2018     03.12500% 08/15/2032</t>
  </si>
  <si>
    <t>ST LUCIE CNTY FLA   SCH BRD CTFS PARTN  03.50000% 08/15/2032REF COPS            FAU-TREASURE COAST</t>
  </si>
  <si>
    <t>SUGAR LAND TEX      WTRWKS &amp;SWR RE V REV03.25000% 08/15/2032BDS SER. 2017</t>
  </si>
  <si>
    <t>WEST TEX INDPT SCH  DIST UNLTD TAX SCH  03.00000% 08/15/2032BLDG REF BDS SER.   2020</t>
  </si>
  <si>
    <t>WILLIAMSON CNTY TEX MUN UTIL DIST NO 19 03.00000% 08/15/2032UN LTD TAX BDS SER. 2019</t>
  </si>
  <si>
    <t>WIMBERLEY TEX INDPT SCH DIST ULTD TAX   03.00000% 08/15/2032SCH BLDG AND REF BDSSER. 2017</t>
  </si>
  <si>
    <t>125(5)</t>
  </si>
  <si>
    <t>WOODWAY TEX TAX REV CTFS OBLIG SER. 202103.00000% 08/15/2032</t>
  </si>
  <si>
    <t>BRAZORIA CNTY TEX   MUN UTIL DIST NO 34 03.00000% 09/01/2032ULTD TAX BDS SER.   2016</t>
  </si>
  <si>
    <t>210(5)</t>
  </si>
  <si>
    <t>BRAZORIA CNTY TEX   MUN UTIL DIST NO 56 05.25000% 09/01/2032UNLTD TAX BDS SER.  2022</t>
  </si>
  <si>
    <t>BREVARD CNTY FLA WTR&amp;WASTEWA TER UTIL   03.25000% 09/01/2032REV REV BDS SER.2014</t>
  </si>
  <si>
    <t>CAPE MAY CNTY N J GOBDS LOWER TWP PUB   02.25000% 09/01/2032SAFETY BLDG PROJ    SER. 2016 AB</t>
  </si>
  <si>
    <t>55(10)</t>
  </si>
  <si>
    <t>CELINA TEX TAX AND  WTRWKS AND SWR SYS  03.00000% 09/01/2032REV CTFS OF OBLIG   SER. 2017</t>
  </si>
  <si>
    <t>CHAMBERS CNTY TEX   IMPT DIST NO 1 ULTD 03.37500% 09/01/2032TAX BDS SER. 2017</t>
  </si>
  <si>
    <t>CHAMBERS CNTY TEX   IMPT DIST NO 1 UNLTD02.00000% 09/01/2032TAX BDS SER. 2021 A</t>
  </si>
  <si>
    <t>ESSEX CNTY N J GO   IMPT CNTY COLLEGE   02.00000% 09/01/2032BDS SER. A</t>
  </si>
  <si>
    <t>FORT BEND CNTY TEX  MUN UTIL DIST NO 12803.75000% 09/01/2032ULTD TAX BDS SER.   2015</t>
  </si>
  <si>
    <t>FORT BEND CNTY TEX  MUN UTIL DIST NO 14301.75000% 09/01/2032UNLTD TAX BDS SER.  2020 B</t>
  </si>
  <si>
    <t>FORT BEND CNTY TEX  MUN UTIL DIST NO 15503.25000% 09/01/2032UNLTD TAX BDS SER.  2018</t>
  </si>
  <si>
    <t>FORT BEND CNTY TEX  WTR CTL &amp;I MPT DIST 03.12500% 09/01/2032NO 002 UNLTD TAX BDSSER. 2012 A</t>
  </si>
  <si>
    <t>FORT BEND CNTY TEX  MUN UTIL DIST NO    03.12500% 09/01/2032134B ULTD TAX BDS   SER. 2017</t>
  </si>
  <si>
    <t>FORT BEND CNTY TEX  MUN UTIL DIST NO 19002.00000% 09/01/2032UNLTD TAX RD BDS    SER. 2019 A</t>
  </si>
  <si>
    <t>HACKENSACK N J GEN  IMPT BDS SER. 2021  02.00000% 09/01/2032</t>
  </si>
  <si>
    <t>HARRIS CNTY TEX MUN UTIL DIST NO 374    03.00000% 09/01/2032UNLTD TAX REF BDS   SER. 2019</t>
  </si>
  <si>
    <t>HARRIS CNTY TEX MUN UTIL DIST NO 1 UNLTD03.00000% 09/01/2032TX BDS SER. 2017</t>
  </si>
  <si>
    <t>HARRIS CNTY TEX MUN UTIL DIST NO 321    03.25000% 09/01/2032ULTD TAX BDS SER.   2017</t>
  </si>
  <si>
    <t>HARRIS CNTY TEX MUN UTIL DIST NO 321    03.37500% 09/01/2032UNLTD TAX BDS SER.  2018</t>
  </si>
  <si>
    <t>HARRIS CNTY TEX MUN UTIL DIST NO 450    03.00000% 09/01/2032ULTD TAX BDS SER.   2017</t>
  </si>
  <si>
    <t>HARRIS CNTY TEX MUN UTIL DIST NO 489    04.00000% 09/01/2032UNLTD TAX BDS SER.  2023</t>
  </si>
  <si>
    <t>HARRIS CNTY TEX MUN UTIL DIST NO 490    04.50000% 09/01/2032UNLTD TAX BDS SER.  2022</t>
  </si>
  <si>
    <t>HARRIS-MONTGOMERY   CNTYS MUN UTIL DIST 03.37500% 09/01/2032NO 386 ULTD TAX REF BDS SER. 2015</t>
  </si>
  <si>
    <t>HOUSTON TEX HOTEL   OCCUPANCY TAX &amp; SPL 03.00000% 09/01/2032REV CONVENTION ENTMTFACS DEPT REF BDS</t>
  </si>
  <si>
    <t>KENOSHA CNTY WIS GO PROM NTS SER. 2022A 03.00000% 09/01/2032</t>
  </si>
  <si>
    <t>MEMORIAL-HEIGHTS    REDEV AUTH TEX TAX  03.00000% 09/01/2032INCREMENT CONTRACT  REV BDS SER. 2021</t>
  </si>
  <si>
    <t>MIAMI BEACH FLA     STORMWATER REV REV  03.50000% 09/01/2032BDS SER.2015</t>
  </si>
  <si>
    <t>MONTGOMERY CNTY TEX MUN UTIL DIST NO 11303.25000% 09/01/2032ULTD TAX BDS SER.   2015</t>
  </si>
  <si>
    <t>MONTGOMERY CNTY TEX MUN UTIL DIST NO 11303.12500% 09/01/2032ULTD TAX RD IMPT BDSSER. 2017</t>
  </si>
  <si>
    <t>MONTGOMERY CNTY TEX MUN UTIL DIST NO 19106.00000% 09/01/2032UNLTD TAX BDS SER.  2024</t>
  </si>
  <si>
    <t xml:space="preserve">SFP GO I </t>
  </si>
  <si>
    <t>NEW JERSEY ST EDL   FACS AUTH REV REF   03.00000% 09/01/2032BDS KEAN UNIV SER.  2017D</t>
  </si>
  <si>
    <t>NORTHEAST TEX MUN   WTR DIST CONTRACT   03.37500% 09/01/2032REV REV REF BDS     SOUTHSIDE WATER</t>
  </si>
  <si>
    <t>SIENNA PKS LEVEE    IMPT DIST TEX UNLTD 03.00000% 09/01/2032TAX IMPT BDS SER. 2022</t>
  </si>
  <si>
    <t>SIENNA PLANTATION   LEVEE IMPT DIST TEX 03.00000% 09/01/2032FORT BEND CNTY UNLTDTAX BDS SER. 2020</t>
  </si>
  <si>
    <t>SIENNA PLANTATION   LEVEE IMPT DIST TEX 03.00000% 09/01/2032FORT BEND CNTY UNLTDTAX IMPT BDS SER.</t>
  </si>
  <si>
    <t>SOUTH SHORE HBR MUN UTIL DIST NO 7 TEX  03.00000% 09/01/2032UNLTD TAX BDS SER.  2024</t>
  </si>
  <si>
    <t>TEXAS MUN PWR AGY   REV TRANSMISSION SYS03.00000% 09/01/2032REF BDS SER. 2021</t>
  </si>
  <si>
    <t>135(5)</t>
  </si>
  <si>
    <t>WISCONSIN HSG &amp; ECONOMIC DEV AUTH   03.85000% 09/01/2032HOME OWNERSHIP REV  BDS 2024 SER B</t>
  </si>
  <si>
    <t>LAKEWOOD TWP N J BRDED SCH BDS SER.2015 03.00000% 09/15/2032</t>
  </si>
  <si>
    <t>NEWARK N J GO       QUALIFIED OPEN SPACE03.00000% 09/15/2032BDS RIVERFRONT PARK SER. 2016</t>
  </si>
  <si>
    <t>OCEAN CITY N J GEN  IMPT BDS SER. 2019  02.25000% 09/15/2032</t>
  </si>
  <si>
    <t>SOUTH PLAINFIELD N JSCH DIST BDS SER.   03.00000% 09/15/20322018</t>
  </si>
  <si>
    <t>ALACHUA FLA REV CAP IMPT REV REF BDS    03.00000% 10/01/2032SER. 2016</t>
  </si>
  <si>
    <t>100(10)</t>
  </si>
  <si>
    <t>CHARLOTTE CNTY FLA  CAP IMPT REV REF BDS03.25000% 10/01/2032SER. 2015</t>
  </si>
  <si>
    <t>COCOA FLA CAP IMPT  REV REF REV BDS SER.04.00000% 10/01/20322016</t>
  </si>
  <si>
    <t>FLORIDA ST          GOVERNMENTAL UTIL   03.00000% 10/01/2032AUTH UTIL REV REF   REV BDS LEHIGH</t>
  </si>
  <si>
    <t>FLORIDA ST MUN PWR  AGY REV BDS ALL     03.00000% 10/01/2032REQUIREMENTS PWR    SUPPLY SER. 2021 A</t>
  </si>
  <si>
    <t>FORT BEND CNTY TEX  MUN UTIL DIST NO 25 03.50000% 10/01/2032ULTD TAX REF BDS    SER. 2015</t>
  </si>
  <si>
    <t>GREATER TEXOMA UTIL AUTH TEX CONTRACT   03.00000% 10/01/2032REV BDS CITY OF     SHERMAN PROJ SER.</t>
  </si>
  <si>
    <t>GREATER TEXOMA UTIL AUTH TEX CONTRACT   03.00000% 10/01/2032REV REF BDS CITY OF SHERMAN PROJ SER.</t>
  </si>
  <si>
    <t>HARRIS CNTY TEX WTR CTL &amp;IMPT DIST NO 8903.25000% 10/01/2032ULTD TAX REF BDS    SER. 2016</t>
  </si>
  <si>
    <t>HILLSIDE BERKELEY   ILL WTR COMMN WTR   04.00000% 10/01/2032REV WTR REV REF BDS SER. 2017</t>
  </si>
  <si>
    <t>HUDSON WIS GO PROM  NTS SER. 2023B      03.00000% 10/01/2032</t>
  </si>
  <si>
    <t>ILLINOIS HSG DEV    AUTH REV BDS SER.   04.25000% 10/01/20322022 G</t>
  </si>
  <si>
    <t>ILLINOIS ST GO BDS  SER. OCTOBER 2020 B 04.00000% 10/01/2032</t>
  </si>
  <si>
    <t>ILLINOIS ST GO REF  BDS SER. 2018 A     05.00000% 10/01/2032</t>
  </si>
  <si>
    <t>MIAMI-DADE CNTY FLA SPL OBLIG SUB BDS   00.00000% 10/01/2032SER. 2009</t>
  </si>
  <si>
    <t>OKALOOSA CNTY FLA   SALES TAX REV REV   03.00000% 10/01/2032BDS SER. 2016</t>
  </si>
  <si>
    <t>ORANGE CNTY FLA     HEALTH FACS AUTH REV03.00000% 10/01/2032HOSP REV BDS ORLANDOHEALTH INC SER.2016A</t>
  </si>
  <si>
    <t>ORANGE CNTY FLA WTR &amp;WASTEWTR REV REV   03.00000% 10/01/2032BDS SER. 2016</t>
  </si>
  <si>
    <t>OSCEOLA CNTY FLA    SALES TAX REV REV   03.12500% 10/01/2032REF BDS SER.2016A</t>
  </si>
  <si>
    <t>SOUTHWEST HIGHER ED AUTH INC TEX REV REV03.00000% 10/01/2032BDS SOUTHERN        METHODIST UNIV SER.</t>
  </si>
  <si>
    <t>WASHINGTON CNTY TEX JR COLLEGE DIST REV 03.00000% 10/01/2032COMB FEE REV BDS    SER. 2016</t>
  </si>
  <si>
    <t>WILL CNTY ILL SCH   DIST NO 122 GO REF  04.00000% 10/01/2032BDS SER. 2022A</t>
  </si>
  <si>
    <t>WINSLOW TWP N J GEN IMPT AND WTR SWR ULT02.12500% 10/01/2032BDS SER. 2016</t>
  </si>
  <si>
    <t>WOOD CNTY WIS GO REFBDS                 03.00000% 10/01/2032</t>
  </si>
  <si>
    <t>HAWTHORNE N J GO BDSSER. 2016           02.50000% 10/15/2032</t>
  </si>
  <si>
    <t>FLORIDA HIGHER EDL  FACS FING AUTH REV  05.00000% 11/01/2032REF BDS FLAGLER     COLLEGE SER. 2017</t>
  </si>
  <si>
    <t>LAKE CNTY ILL CMNTY CONS SCH DIST NO 04103.00000% 11/01/2032GO BDS SER. 2020</t>
  </si>
  <si>
    <t>MARION &amp; JEFFERSON  CNTYS ILL CMNTY HIGH03.00000% 11/01/2032SCH DIST NO 600     SALEM GO LTD TAX BDS</t>
  </si>
  <si>
    <t>NEW JERSEY ST HSG &amp; MTG FIN AGY         02.55000% 11/01/2032MULTI-FAMILY REV BDSSER. 2019 A</t>
  </si>
  <si>
    <t>OAK PARK ILL GO CORPPURP REF BDS SER.   03.37500% 11/01/20322016 A</t>
  </si>
  <si>
    <t>OAK PARK ILL GO CORPPURP BDS SER. 2017 A03.12500% 11/01/2032</t>
  </si>
  <si>
    <t>OAK PARK ILL GO CORPPURP BDS SER. 2015 B03.37500% 11/01/2032</t>
  </si>
  <si>
    <t>PASSAIC CNTY N J GO IMPT COLL CNTY BDS  02.00000% 11/01/2032SER. A</t>
  </si>
  <si>
    <t>PASSAIC CNTY N J GO COLLEGE IMPT BDS    02.00000% 11/01/2032SER. 2021AB</t>
  </si>
  <si>
    <t>RIVIERA BEACH FLA   STORMWATER MGMT UTIL03.00000% 11/01/2032REV REV BDS SER.    2016</t>
  </si>
  <si>
    <t>RUTHERFORD N J GO   BDS SER. 2020       02.00000% 11/01/2032</t>
  </si>
  <si>
    <t>CONROE TEX CTFS OF  OBLIG SER. 2020 C   03.00000% 11/15/2032</t>
  </si>
  <si>
    <t>HARRIS CNTY TEX     CULTURAL ED FACS FIN03.00000% 11/15/2032CORP MED FACS REV   REV REF BDS BAYLOR</t>
  </si>
  <si>
    <t>LAKELAND FLA HOSP   SYS REV REF BDS     03.00000% 11/15/2032LAKELAND REGL HLTH  SYS SER. 2016</t>
  </si>
  <si>
    <t>MIAMI BEACH FLA     HEALTH FACS AUTH    05.00000% 11/15/2032HOSP REV BDS MOUNT  SINAI MED CTR OF FL</t>
  </si>
  <si>
    <t>NEWARK CULTURAL ED  FACS FIN CORP TEX   04.00000% 11/15/2032REV REV REF BDS     KIMBELL ART FNDTN</t>
  </si>
  <si>
    <t>CHAMPAIGN &amp; VERMILLION CNTYS ILL03.00000% 12/01/2032CMNTY HIGH SCH DIST NO 305 GO BDS SER.</t>
  </si>
  <si>
    <t>110(5)</t>
  </si>
  <si>
    <t>COOK CNTY ILL CMNTY CONS SCH DIST NO 02103.12500% 12/01/2032WHEELING GO SCH BLDGBDS SER. 2019A</t>
  </si>
  <si>
    <t>COOK CNTY ILL CMNTY CONS SCH DIST NO 14604.00000% 12/01/2032TINLEY PK LTD TAX GOBDS SER. 2018</t>
  </si>
  <si>
    <t>COOK CNTY ILL CMNTY HIGH SCH D IST NO   03.00000% 12/01/2032218 DWIGHT D        EISENHOWR GO LTD TAX</t>
  </si>
  <si>
    <t>COOK CNTY ILL HIGH  SCH DIST NO 215     03.00000% 12/01/2032THORNTON GO LTD TAX BDS THORNTON</t>
  </si>
  <si>
    <t>COOK CNTY ILL SCH   DIST NO 081 SCHILLER03.00000% 12/01/2032PK GO BDS SER. 2020</t>
  </si>
  <si>
    <t>COOK CNTY ILL SCH   DIST NO 87 BERKELEY 03.00000% 12/01/2032GO BDS SER. 2021</t>
  </si>
  <si>
    <t>COOK CNTY ILL TWP   HIGH SCH DIST NO 22704.00000% 12/01/2032RICH TWP GO LTD TAX BDS SER. 2020B</t>
  </si>
  <si>
    <t>COOK ILL HIGH SCH   DIST NO 207 MAINE   03.00000% 12/01/2032TWP GO BDS SER. 2022</t>
  </si>
  <si>
    <t>EVANSTON ILL GO CORPPURP BDS SER. 2016 A02.50000% 12/01/2032</t>
  </si>
  <si>
    <t>EVANSTON ILL GO CORPPURP BDS SER. 2017 A03.00000% 12/01/2032</t>
  </si>
  <si>
    <t>FORT BEND CNTY TEX  MUN UTIL DIST NO 16902.00000% 12/01/2032CONTRACT REV REF BDSSER. 2020 B</t>
  </si>
  <si>
    <t>JACKSON PERRY &amp; RANDOLPH CNTYS ILL  05.00000% 12/01/2032CMNTY UNIT SCH DIST NO 176 TRICO GO BDS</t>
  </si>
  <si>
    <t>KANKAKEE CNTY ILL   CMNTY HIGH SCH DIST 03.00000% 12/01/2032NO 307 GO LTD TAX   BDS SER. 2022</t>
  </si>
  <si>
    <t>KNOX &amp; WARREN CNTYS ILL CMNTY UNIT SCH  04.00000% 12/01/2032DIST NO 205         GALESBURG GO BDS</t>
  </si>
  <si>
    <t>LAKE COOK KANE &amp; MCHENRY CNTYS ILL   03.00000% 12/01/2032CMNTY UNIT SCH DIST NO 220 GO BDS SER.</t>
  </si>
  <si>
    <t>LIVINGSTON &amp; LA     SALLE CNTYS ILL     04.00000% 12/01/2032CMNTY UNIT SCH DIST NO 5 GO LTD BDS</t>
  </si>
  <si>
    <t>MACON &amp; DEWITT CNTYSILL CMNTY UNIT SCH  04.00000% 12/01/2032DIST NO 002 MAROA   FORSYTH GO BDS SER.</t>
  </si>
  <si>
    <t>MOUNT PROSPECT ILL  GO BDS SER. 2022    03.00000% 12/01/2032</t>
  </si>
  <si>
    <t>NEW LONDON WIS SEW  SYS WTRWKS &amp; ELEC   03.25000% 12/01/2032SYS MTG REV BDS SER.2018B</t>
  </si>
  <si>
    <t>NILES ILL GO BDS    SER. 2018           03.50000% 12/01/2032</t>
  </si>
  <si>
    <t>ORLAND PARK ILL GO  BDS SER. 2021 A     03.00000% 12/01/2032</t>
  </si>
  <si>
    <t>RICHLAND WAYNE      JASPER CLAY &amp; 05.00000% 12/01/2032LAWRENCE CNTYS ILL  CMNTY UNIT SCH DIST</t>
  </si>
  <si>
    <t>ROSEMONT ILL GO CORPPURP BDS SER. 2016 A04.00000% 12/01/2032</t>
  </si>
  <si>
    <t>TEXAS ST PUB FIN    AUTH REV REV AND REF04.00000% 12/01/2032BDS MIDWESTERN ST   UNIV SER. 2016 A</t>
  </si>
  <si>
    <t>VIRIDIAN MUN MGMT   DIST TEX ULTD TAX RD03.37500% 12/01/2032IMPT BDS SER. 2018</t>
  </si>
  <si>
    <t>VIRIDIAN MUN MGMT   DIST TEX UNLTD TAX  04.00000% 12/01/2032UTIL IMPT REF BDS   SER. 2024</t>
  </si>
  <si>
    <t>WISCONSIN ST HEALTH &amp;EDL FACS AUTH REV  03.00000% 12/01/2032REV BDS MEDICAL     COLLEGE OF WISCONSIN</t>
  </si>
  <si>
    <t>COOK CNTY ILL HIGH  SCH DIST NO 203 NEW 03.00000% 12/15/2032TRIER TWP GO BDS    SER. 2021 A</t>
  </si>
  <si>
    <t>ELGIN ILL GO CORP   PURP BDS SER. 2021 B02.00000% 12/15/2032</t>
  </si>
  <si>
    <t>KANE CNTY ILL FST   PRESV DIST GO BDS   03.25000% 12/15/2032SER. 2017 A</t>
  </si>
  <si>
    <t>LAKE FOREST ILL GO  BDS SER. 2015       03.25000% 12/15/2032</t>
  </si>
  <si>
    <t>METROPOLITAN PIER &amp; EXPOSITION AUTH ILL 00.00000% 12/15/2032DEDICATED ST TAX REVBDS MC CORMICK PLACE</t>
  </si>
  <si>
    <t>80(10)</t>
  </si>
  <si>
    <t>NEW JERSEY ST TRANSNTR FD AUTH SYS BDS  00.00000% 12/15/2032SER. 2006C</t>
  </si>
  <si>
    <t>NEW JERSEY ST TRANSNTR FD AUTH          00.00000% 12/15/2032TRANSPORTATION SYS  BDS SER. 2009A</t>
  </si>
  <si>
    <t>90(50)</t>
  </si>
  <si>
    <t>NEW JERSEY ST TRANSNTR FD AUTH          00.00000% 12/15/2032TRANSPORTATION      SYSTEM BDS SER.</t>
  </si>
  <si>
    <t>RIVERSIDE TWP N J GOBDS SER. 2019       02.25000% 12/15/2032</t>
  </si>
  <si>
    <t>ROCKFORD ILL PK DISTGO PK BDS ALTERNATE 03.37500% 12/15/2032REV SOURCE SER.     2018A</t>
  </si>
  <si>
    <t>RUTHERFORD N J BRD  ED SCH BDS SER. 201902.50000% 12/15/2032</t>
  </si>
  <si>
    <t>SANGAMON CNTY ILL   LTD TAX GO BDS SER. 03.00000% 12/15/20322021</t>
  </si>
  <si>
    <t>AURORA ILL GO       LIBRARY BDS SER.    03.25000% 12/30/20322012A</t>
  </si>
  <si>
    <t>AURORA ILL GO REF   BDS SER. 2015A      03.25000% 12/30/2032</t>
  </si>
  <si>
    <t>AURORA ILL GO REF   BDS SER. 2015-C     03.62500% 12/30/2032</t>
  </si>
  <si>
    <t>WOOD DALE ILL GO BDSSER. 2020 A         02.37500% 12/30/2032</t>
  </si>
  <si>
    <t>TEXAS PRIVATE       ACTIVITY BD SURFACE 05.00000% 12/31/2032TRANSN CORP REV SR  LIEN REF BDS NTE</t>
  </si>
  <si>
    <t>CENTRAL TEX REGL    MOBILITY AUTH REV SR04.00000% 01/01/2033LIEN BDS SER. 2020 E</t>
  </si>
  <si>
    <t>CHICAGO ILL MIDWAY  ARPT REV SECOND LIEN03.00000% 01/01/2033REV AND REF BDS     SER.B</t>
  </si>
  <si>
    <t>DEKALB CNTY ILL     CMNTY UNIT SCH DIST 03.12500% 01/01/2033NO 428 DEKALB GO REFSCH BDS SER. 2018 A</t>
  </si>
  <si>
    <t>DEKALB CNTY ILL     CMNTY UNIT SCH DIST 03.00000% 01/01/2033NO 428 DEKALB GO REFSCH BDS SER. 2019</t>
  </si>
  <si>
    <t>DU PAGE CNTY ILL    CMNTY HIGH SCH DIST 04.00000% 01/01/2033NO 094 WEST CHICAGO GO SCH BDS SER. 2018</t>
  </si>
  <si>
    <t>ILLINOIS FIN AUTH   REV LOC GOVT PROG   03.00000% 01/01/2033REV BDS ELMHURST    CMNTY UNIT SCH DIST</t>
  </si>
  <si>
    <t>KANKAKEE ILL GO REF BDS SER. 2020 A     04.00000% 01/01/2033</t>
  </si>
  <si>
    <t>LAKE CNTY ILL TWP   HIGH SCH DIST NO 11303.00000% 01/01/2033HIGHLAND PK GO REF  BDS SER. 2019</t>
  </si>
  <si>
    <t>MACON CNTY ILL SCH  DIST NO 061 DECATUR 04.00000% 01/01/2033GO REF BDS SER. 2020C</t>
  </si>
  <si>
    <t>NORTH TEX TWY AUTH  REV SYS REF BDS SER.03.12500% 01/01/2033B</t>
  </si>
  <si>
    <t>PEORIA ILL GO BDS   SER. 2018 B         03.37500% 01/01/2033</t>
  </si>
  <si>
    <t>PEORIA ILL GO REF   BDS SER. 2020 A     02.37500% 01/01/2033</t>
  </si>
  <si>
    <t>SOUTH JERSEY PORT   CORP N J REV REV REF03.25000% 01/01/2033BDS SER. 2012Q</t>
  </si>
  <si>
    <t>SOUTH SANGAMON WTR  COMMN ILL GO REF BDS04.00000% 01/01/2033SER. 2020</t>
  </si>
  <si>
    <t>TEXAS MUN GAS       ACQUISITION &amp; SUPPLY05.50000% 01/01/2033CORP IV GAS SUPPLY  REV BDS SER. 2023B</t>
  </si>
  <si>
    <t>140(5)</t>
  </si>
  <si>
    <t>WILL CNTY ILL HIGH  SCH DIST NO 204     03.00000% 01/01/2033JOLIET GO LTD TAX   BDS SER. 2020</t>
  </si>
  <si>
    <t>BORDENTOWN N J REGL SCH DIST BRD ED REF 03.00000% 01/15/2033BDS SER. 2016</t>
  </si>
  <si>
    <t>BOUND BROOK BORO N JBRD ED SCH BDS      03.25000% 01/15/2033</t>
  </si>
  <si>
    <t>ILLINOIS FIN AUTH   REV LOC GOVT PROG   04.00000% 01/15/2033BDS LAKE ZURICH     CMNTY UNIT SCH SER.</t>
  </si>
  <si>
    <t>LONG BRANCH N J GO  BDS SER. 2015       03.00000% 01/15/2033</t>
  </si>
  <si>
    <t>ADAMS CNTY ILL SCH  DIST NO 172 GO SCH  03.00000% 02/01/2033BDS SER.2016</t>
  </si>
  <si>
    <t>ENNIS TEX           COMBINATION TAX REV 04.00000% 02/01/2033CTFS OBLIG SER. 2020</t>
  </si>
  <si>
    <t>HORIZON TEX REGL MUNUTIL DIST ULTD TAX  03.25000% 02/01/2033REF BDS SER. 2016</t>
  </si>
  <si>
    <t>JACKSON TWP N J GO  BDS SER. 2020       02.00000% 02/01/2033</t>
  </si>
  <si>
    <t>KENDALL CNTY ILL    CMNTY UNIT SCH DIST 03.00000% 02/01/2033NO 88 PLANO GO REF  BDS SER. 2021 B</t>
  </si>
  <si>
    <t>LITTLE ELM TEX COMB TAX AND LTD PLDG REV03.12500% 02/01/2033CTFS OBLIG SER. 2018</t>
  </si>
  <si>
    <t>MIAMI-DADE CNTY FLA SCH BRD CTFS PARTN  04.00000% 02/01/2033COPS SER. 2015D</t>
  </si>
  <si>
    <t>MIAMI-DADE CNTY FLA SCH BRD CTFS PARTN  03.25000% 02/01/2033COPS SER. 2016C</t>
  </si>
  <si>
    <t>375(5)</t>
  </si>
  <si>
    <t>MONTE ALTO TEX INDPTSCH DIST UNLTD TAX  03.00000% 02/01/2033REF BDS SER. 2021</t>
  </si>
  <si>
    <t>NEW BRAUNFELS TEX   INDPT SCH DIST ULTD 03.25000% 02/01/2033TAX SCH BLDG BDS    SER. 2017</t>
  </si>
  <si>
    <t>SANGAMON &amp;CHRISTIAN CNTYS ILL CMNTY UNIT03.25000% 02/01/2033SCH DIST NO 3-A GO  SCH REF BDS SER.</t>
  </si>
  <si>
    <t>SPRING BRANCH TEX   INDPT SCH DIST UNLTD03.00000% 02/01/2033TAX HOUSE BDS SER.  2020</t>
  </si>
  <si>
    <t>TOM GREEN CNTY TEX  COMBI TAX AND LTD   03.50000% 02/01/2033SURP REV CTFS OBLIG SER. 2015</t>
  </si>
  <si>
    <t>WACO TEX GO REF BDS SER. 2016           03.00000% 02/01/2033</t>
  </si>
  <si>
    <t>ALIEF TEX INDPT SCH DIST ULTD TAX SCH   03.12500% 02/15/2033BLDG BDS SER. 2017</t>
  </si>
  <si>
    <t>ANGLETON TEX INDPT  SCH DIST ULTD TAX   03.00000% 02/15/2033REF BDS SER. 2017 A</t>
  </si>
  <si>
    <t>ANGLETON TEX INDPT  SCH DIST ULTD TAX   03.00000% 02/15/2033REF BDS SER. 2017</t>
  </si>
  <si>
    <t>BAY CITY TEX INDPT  SCH DIST ULTD TAX   03.00000% 02/15/2033SCH BLDG BDS SER.   2017</t>
  </si>
  <si>
    <t>BAY CITY TEX INDPT  SCH DIST ULTD TAX   03.00000% 02/15/2033BULDG BDS SER. 2018</t>
  </si>
  <si>
    <t>BAY CITY TEX INDPT  SCH DIST UNLTD TAX  03.12500% 02/15/2033BDS SER. 2018 A</t>
  </si>
  <si>
    <t>BEAUMONT TEX INDPT  SCH DIST ULTD TAX   03.00000% 02/15/2033REF BDS SER. 2017</t>
  </si>
  <si>
    <t>BELLAIRE TEX GO BDS SER. 2018           03.00000% 02/15/2033</t>
  </si>
  <si>
    <t>BRAZOS RIVER AUTH   TEX WTR REV WTR     03.12500% 02/15/2033SUPPLY SYS REV REF  BDS SER. 2015</t>
  </si>
  <si>
    <t>BRYAN TEX INDPT SCH DIST ULTD TAX SCH   03.00000% 02/15/2033BLDG BDS SER.2015A</t>
  </si>
  <si>
    <t>CALALLEN TEX INDPT  SCH DIST SCH BLDG   03.12500% 02/15/2033SER. 2018</t>
  </si>
  <si>
    <t>CANYON TEX INDPT SCHDIST UNLTD SCH BLDG 03.00000% 02/15/2033BDS SER. 2019</t>
  </si>
  <si>
    <t>CLEAR CREEK TEX     INDPT SCH DIST ULTD 03.00000% 02/15/2033TAX REF BDS SER.    2016</t>
  </si>
  <si>
    <t>COLLEGE STATION TEX GO IMPT AND REF BDS 03.00000% 02/15/2033SER. 2017</t>
  </si>
  <si>
    <t>COLLEGE STATION TEX CTFS OF OBLIG SER.  03.00000% 02/15/20332017</t>
  </si>
  <si>
    <t>DALLAS TEX INDPT SCHDIST UNLTD TAX BLDG 03.00000% 02/15/2033BDS SER. 2021</t>
  </si>
  <si>
    <t>DE SOTO TEX         COMBINATION TAX REV 03.00000% 02/15/2033CTFS OBLIG SER. 2020</t>
  </si>
  <si>
    <t>DENTON CNTY TEX     FRESH WTR SUPPLY    03.37500% 02/15/2033DIST NO 7 ULTD TAX  RD BDS SER.2015</t>
  </si>
  <si>
    <t>DENTON CNTY TEX     FRESH WTR SUPPLY    03.25000% 02/15/2033DIST NO 7 ULTD TAX  UTIL SYS BDS SER.</t>
  </si>
  <si>
    <t>DENTON TEX GO REF   IMPT BDS SER. 2020  02.00000% 02/15/2033</t>
  </si>
  <si>
    <t>EDNA TEX INDPT SCH  DIST ULTD TAX REF   04.00000% 02/15/2033BDS SER. 2017</t>
  </si>
  <si>
    <t>75(10)</t>
  </si>
  <si>
    <t>FARMERS BRANCH TEX  GO BDS SER. 2018    03.25000% 02/15/2033</t>
  </si>
  <si>
    <t>FORNEY TEX INDPT SCHDIST UNLTD TAX BLDG 03.00000% 02/15/2033BDS SER. 2021A</t>
  </si>
  <si>
    <t>FORT WORTH TEX DRAINUTIL SYS REV REV REF03.00000% 02/15/2033BDS SER.2016</t>
  </si>
  <si>
    <t>FRISCO TEX COMB TAX SURPLUS REV CTFS    03.00000% 02/15/2033OBLIG SER. 2022A</t>
  </si>
  <si>
    <t>GARLAND TEX GO REF  BDS SER.2015A       03.00000% 02/15/2033</t>
  </si>
  <si>
    <t>15( 5)</t>
  </si>
  <si>
    <t>GARLAND TEX GO REF  BDS SER. 2021       03.00000% 02/15/2033</t>
  </si>
  <si>
    <t>GOOSE CREEK TEX CONSINDPT SCH DIST UNLTD03.00000% 02/15/2033TAX BLDG BDS SER.   2020</t>
  </si>
  <si>
    <t>GRAPEVINE TEX COMB  TAX REV CTFS OF     03.12500% 02/15/2033OBLIG SER. 2018</t>
  </si>
  <si>
    <t>GRAPEVINE TEX GO REFAND IMPT BDS TARRANT03.00000% 02/15/2033DENTON DALLAS CNTYS SER. 2019</t>
  </si>
  <si>
    <t>GREGORY PORTLAND TEXINDPT SCH DIST UNLTD03.00000% 02/15/2033TAX BLDG BDS SER.   2021 A</t>
  </si>
  <si>
    <t>HARRIS CNTY TEX HOSPDIST COMBI TAX AND  03.00000% 02/15/2033REV CTFS OF OBLIG   SER. 2016</t>
  </si>
  <si>
    <t>535(10)</t>
  </si>
  <si>
    <t>HARRIS CNTY TEX HOSPDIST REV SR LIEN REF03.00000% 02/15/2033REV BDS SER. 2016</t>
  </si>
  <si>
    <t>HEATH TEX CTFS OF   OBLIG SER. 2014     03.75000% 02/15/2033</t>
  </si>
  <si>
    <t>HIGHLAND VILLAGE TEXCOMBINATION TAX REV 03.00000% 02/15/2033CTFS OBLIGS SER.    2021</t>
  </si>
  <si>
    <t>HUNTSVILLE TEX INDPTSCH DIST UNLTD TAX  03.00000% 02/15/2033BLDG BDS SER. 2021</t>
  </si>
  <si>
    <t>ILLINOIS FIN AUTH   REV REV BDS THE     03.50000% 02/15/2033CARLE FOUNDATION    SER. 2016 A</t>
  </si>
  <si>
    <t>JARRELL TEX INDPT   SCH DIST UNLTD TAX  03.12500% 02/15/2033SCH BLDG BDS SER.   2018 A</t>
  </si>
  <si>
    <t>LAREDO TEX          COMBINATION TAX AND 03.50000% 02/15/2033REV CTFS OF OBLIG   SER. 2015</t>
  </si>
  <si>
    <t>LEAGUE CITY TEX GO  REF BDS SER. 2016 A 02.62500% 02/15/2033</t>
  </si>
  <si>
    <t>LEAGUE CITY TEX     COMBI TAX AND REV   03.00000% 02/15/2033CTFS OF OBLG SER.   2017</t>
  </si>
  <si>
    <t>LUBBOCK COOPER TEX  INDPT SCH DIST ULTD 03.50000% 02/15/2033TAX SCH BLDG BDS    SER. 2016</t>
  </si>
  <si>
    <t>MAPLE SHADE TWP N J GO IMPT WTR SWR UTIL03.00000% 02/15/2033BDS BURLINGTON CNTY SER. 2019</t>
  </si>
  <si>
    <t>MELISSA TEX GO BDS  SER. 2015           03.12500% 02/15/2033</t>
  </si>
  <si>
    <t>MERCER CNTY N J GO  CAP IMPT OPEN SPACE 02.00000% 02/15/2033FARMLAND BDS SER.   2021</t>
  </si>
  <si>
    <t>MONAHANS-WICKETT-PYOTE TEX INDPT SCH    03.00000% 02/15/2033DIST UNLTD TX BLDG  BDS SER. 2019</t>
  </si>
  <si>
    <t>MURPHY TEX TAX WTR  WKS AND SWR SYS REV 03.12500% 02/15/2033CTFS OF OBLIG SER.  2018</t>
  </si>
  <si>
    <t>NEW CANEY TEX INDPT SCH DIST UNLTD TAX  03.00000% 02/15/2033BLDG BDS SER. 2021</t>
  </si>
  <si>
    <t>NORTH RICHLAND HILLSTEX TAX AND WTRWRKS 03.00000% 02/15/2033AND SWR SYS REV CTFSOF OBLIG SER. 2017</t>
  </si>
  <si>
    <t>NORTH RICHLAND HILLSTEX TAX AND WTRWKS  02.50000% 02/15/2033SWR SYS LTD PLEDGE  REV CTFS OBLIG SER.</t>
  </si>
  <si>
    <t>PECOS BARSTOW TOYAH TEX INDPT SCH DIST  04.00000% 02/15/2033UNLTD TAX BLDG BDS  SER. 2022</t>
  </si>
  <si>
    <t>PORT NECHES-GROVES  TEX INDPT SCH DIST  03.00000% 02/15/2033ULTD TAX REF BDS    SER. 2016</t>
  </si>
  <si>
    <t>PORT NECHES-GROVES TEX INDPT SCH DIST  03.00000% 02/15/2033ULTD TAX REF BDS    SER. 2016 A</t>
  </si>
  <si>
    <t>PRINCETON TEX INDPT SCH DIST UNLTD TAX  03.00000% 02/15/2033BLDG BDS SER. 2020</t>
  </si>
  <si>
    <t>ROWLETT TEX GO BDS  SER. 2017           03.00000% 02/15/2033</t>
  </si>
  <si>
    <t>ROWLETT TEX GO BDS  SER. 2018           03.12500% 02/15/2033</t>
  </si>
  <si>
    <t>ROYAL TEX INDPT SCH DIST ULTD TAX REF   03.12500% 02/15/2033BDS SER. 2017</t>
  </si>
  <si>
    <t>SACHSE TEX COMBI TAXAND SURPLUS REV CTFS03.00000% 02/15/2033OF OBLIG SER. 2017</t>
  </si>
  <si>
    <t>SHELDON TEX INDPT   SCH DIST ULTD TAX   03.00000% 02/15/2033SCH BULDG REF BDS   SER. 2018</t>
  </si>
  <si>
    <t>SPRING VALLEY TEX GOBDS SER. 2015       03.12500% 02/15/2033</t>
  </si>
  <si>
    <t>SUGAR LAND TEX GO   BDS SER. 2015       03.00000% 02/15/2033</t>
  </si>
  <si>
    <t>UNIVERSITY HOUSTON  TEX UNIV REVS SYS   02.00000% 02/15/2033CONSOLIDATED REF BDSSER. 2021 A</t>
  </si>
  <si>
    <t>WHITEHOUSE TEX      COMBINATION TAX REV 02.00000% 02/15/2033CTFG OF OBLIG SER.  2022</t>
  </si>
  <si>
    <t>WISCONSIN ST HEALTH &amp; EDL FACS AUTH REV 05.00000% 02/15/2033BDS SANFORD SER.    2020A</t>
  </si>
  <si>
    <t xml:space="preserve">ME SFP ER D R I </t>
  </si>
  <si>
    <t>WYLIE TEX INDPT SCH DIST TAYLOR CNTY    03.25000% 02/15/2033UNLTD TAX SCH BLDG  BDS SER. 2018</t>
  </si>
  <si>
    <t>BEAVER DAM WIS GO   REF BDS SER. 2022A  03.25000% 03/01/2033</t>
  </si>
  <si>
    <t>BELMONT FRESH WTR   SUPPLY DIST NO 1 TEX03.00000% 03/01/2033DENTON CNTY ULTD TAXRD BDS SER. 2017</t>
  </si>
  <si>
    <t xml:space="preserve"> 10(10)</t>
  </si>
  <si>
    <t>CAMPBELLSPORT WIS   SCH DIST GO SCH BLDG03.12500% 03/01/2033IMPT BDS SER. 2018A</t>
  </si>
  <si>
    <t>CLEAR LAKE CITY TEX WTR AUTH WTRWKS AND 03.12500% 03/01/2033SWR SYS COMB ULTD   TAX AND REV BDS SER.</t>
  </si>
  <si>
    <t>EDGERTON WIS SCH    DIST GO SCH BLDG    03.12500% 03/01/2033IMPT BDS SER. 2019</t>
  </si>
  <si>
    <t>ELMHURST ILL GO BDS SER.2016            03.00000% 03/01/2033</t>
  </si>
  <si>
    <t>FORT BEND CNTY TEX  CTFS OF OBLIG SER.  03.00000% 03/01/20332020 A</t>
  </si>
  <si>
    <t>FORT BEND CNTY TEX  DRAIN DIST PERM IMPT03.00000% 03/01/2033BDS SER. 2020</t>
  </si>
  <si>
    <t>FORT BEND CNTY TEX  LEVEE IMPT DIST NO  03.50000% 03/01/2033007 ULTD TAX BDS    SER. 2014</t>
  </si>
  <si>
    <t>FORT BEND CNTY TEX  LEVEE IMPT DIST NO  03.00000% 03/01/2033007 UNLTD TAX BDS   SER. 2022</t>
  </si>
  <si>
    <t>FORT WORTH TEX GEN  PURP BDS SER. 2018  03.25000% 03/01/2033</t>
  </si>
  <si>
    <t>FRANKLIN WIS GO     CMNTY DEV BDS SER.  03.12500% 03/01/20332019 B</t>
  </si>
  <si>
    <t>GILBERTS ILL SPL SVCAREA NO 15 SPL TAX  03.90000% 03/01/2033REF BDS SER. 2024</t>
  </si>
  <si>
    <t>575(25)</t>
  </si>
  <si>
    <t>HARRIS CNTY TEX MUN UTIL DIST NO 33     04.00000% 03/01/2033UNLTD TAX BDS SER.  2025</t>
  </si>
  <si>
    <t>HOUSTON TEX PUB IMP REF BDS SER. 2017 A 04.00000% 03/01/2033</t>
  </si>
  <si>
    <t>KAUFMAN CNTY TEX MUNUTIL DIST NO 14     02.00000% 03/01/2033UNLTD TAX BDS SER.  2021</t>
  </si>
  <si>
    <t>KAUFMAN CNTY TEX MUNUTIL DIST NO 2 ULTD 03.37500% 03/01/2033TAX RD BDS SER. 2015</t>
  </si>
  <si>
    <t>45(45)</t>
  </si>
  <si>
    <t>MESQUITE TEX WTRWKS &amp; SWR REV BDS DALLAS03.00000% 03/01/2033KAUFMAN CNTYS SER.  2019</t>
  </si>
  <si>
    <t>NORTHWEST HARRIS    CNTY MUN UTIL DIST  03.25000% 03/01/2033NO 12 TEX ULTD TAX  REF BDS SER. 2015</t>
  </si>
  <si>
    <t>190(25)</t>
  </si>
  <si>
    <t>OREGON WIS SCH DIST GO SCH BLDG AND IMPT03.12500% 03/01/2033BDS SER. 2019</t>
  </si>
  <si>
    <t>OSHKOSH WIS AREA SCHDIST GO SCH IMPT BDS03.12500% 03/01/2033SER. 2015</t>
  </si>
  <si>
    <t>RACINE CNTY WIS GO  CORP PURP BDS SER.  02.25000% 03/01/20332020A</t>
  </si>
  <si>
    <t>SEVASTOPOL WIS SCH  DIST GO REF BDS     03.00000% 03/01/2033</t>
  </si>
  <si>
    <t>SUN PRAIRIE WIS AREASCH DIST GO REF BDS 03.00000% 03/01/2033</t>
  </si>
  <si>
    <t>TRAVIS CNTY TEX ULTDTAX RD BDS SER. 201303.12500% 03/01/2033</t>
  </si>
  <si>
    <t>TRAVIS CNTY TEX ST  HWY SYS BDS SER.    03.20000% 03/01/20332015</t>
  </si>
  <si>
    <t>TRAVIS CNTY TEX CTFSOBLIG SER. 2015     03.12500% 03/01/2033</t>
  </si>
  <si>
    <t>TRAVIS CNTY TEX PERMIMPT BDS SER. 2015  03.20000% 03/01/2033</t>
  </si>
  <si>
    <t>EDISON TWP N J GO   GEN IMPT WTR UTIL   03.00000% 03/15/2033SWR UTIL BDS</t>
  </si>
  <si>
    <t>APPLETON WIS STORM  WTR SYS REV REV BDS 03.00000% 04/01/2033SER. 2017</t>
  </si>
  <si>
    <t>CNP UTIL DIST TEX   UNLTD TAX BDS SER.  03.37500% 04/01/20332018</t>
  </si>
  <si>
    <t>ELKHORN WIS AREA SCHDIST GO SCH BUILDING03.40000% 04/01/2033AND IMPROVEMENT BDS SER. 2016</t>
  </si>
  <si>
    <t>FOND DU LAC WIS SCH DIST GO REF BDS SER.03.00000% 04/01/20332019 B</t>
  </si>
  <si>
    <t>FORT BEND CNTY TEX  MUN UTIL DIST NO 58 03.00000% 04/01/2033UNLTD TAX REF BDS   SER. 2021</t>
  </si>
  <si>
    <t>FORT BEND CNTY TEX  MUN UTIL DIST NO 58 02.00000% 04/01/2033UNLTD TAX BDS SER.  2022</t>
  </si>
  <si>
    <t>FORT BEND CNTY TEX  MUN UTIL DIST NO 48 02.00000% 04/01/2033UNLTD TAX REF BDS   SER. 2020</t>
  </si>
  <si>
    <t>GREEN BAY WIS GO    CORP PURP BDS SER.  02.50000% 04/01/20332019 B</t>
  </si>
  <si>
    <t>HARRIS CNTY TEX MUN UTIL DIST NO 459    02.00000% 04/01/2033UNLTD TAX BDS SER.  2022</t>
  </si>
  <si>
    <t>HARRIS CNTY TEX MUN UTIL DIST NO 390    03.50000% 04/01/2033ULTD TAX REF BDS    SER. 2016</t>
  </si>
  <si>
    <t>KENOSHA WIS UNI SCH DIST NO 001 GO CORP 03.00000% 04/01/2033PURP BDS SER. 2017 A</t>
  </si>
  <si>
    <t>MAPLEWOOD TWP N J GOIMPT POOL UTIL REF  02.00000% 04/01/2033BDS</t>
  </si>
  <si>
    <t>MC FARLAND WIS SCH  DIST GO SCH IMPT BDS03.25000% 04/01/2033SER. 2018 A</t>
  </si>
  <si>
    <t>MIAMI-DADE CNTY FLA SPL OBLIG CAP ASSET 03.00000% 04/01/2033ACQUISITION REF BDS SER. 2016 B</t>
  </si>
  <si>
    <t>MILWAUKEE WIS GO    CORP PURP BDS SER.  04.00000% 04/01/20332018 B5</t>
  </si>
  <si>
    <t>MOUNT PLEASANT WIS  TAX INCREMENT REV   03.50000% 04/01/2033BDS SER. 2018 A</t>
  </si>
  <si>
    <t>NORTHERN ILL UNIV   REVS AUXILIARY FACS 05.00000% 04/01/2033SYS REF BDS SER.    2020 B</t>
  </si>
  <si>
    <t>SUPERIOR WIS SCH    DIST GO SCH IMPT BDS02.50000% 04/01/2033SER. 2016 B</t>
  </si>
  <si>
    <t>15( 15)</t>
  </si>
  <si>
    <t>TRAIL OF THE LAKES  MUN UTIL DIST TEX   03.00000% 04/01/2033ULTD TAX BDS SER.   2016 A</t>
  </si>
  <si>
    <t>UNIVERSITY ILL UNIV REVS AUXILIARY FACS 04.00000% 04/01/2033SYS BDS SER. 2020 A</t>
  </si>
  <si>
    <t>WEST DE PERE WIS SCHDIST GO CORP PURP   02.00000% 04/01/2033BDS SER. 2020 A</t>
  </si>
  <si>
    <t>WEST SALEM WIS SCH  DIST LA CROSSE CNTY 03.00000% 04/01/2033GO SCH IMPT BDS</t>
  </si>
  <si>
    <t>HARRIS CNTY TEX IMPTDIST NO 14 UNLTD TAX04.00000% 05/01/2033RD BDS SER. 2024</t>
  </si>
  <si>
    <t>HIGHWAY 380 MUN MGMTDIST NO 1 TEX UNLTD 03.00000% 05/01/2033TAX UTIL BDS SER.   2022</t>
  </si>
  <si>
    <t>NORTHWEST HARRIS    CNTY MUN UTIL DIST  03.25000% 05/01/2033NO 5 TEX UNLTD TAX  BDS SER. 2018</t>
  </si>
  <si>
    <t>PARSIPPANY-TROY     HILLS TWP N J GO    02.50000% 05/01/2033IMPT WTR SWR UTIL   OPEN SPACE BDS SER.</t>
  </si>
  <si>
    <t>SHEBOYGAN WIS WTR   UTIL REV BDS SER.   03.12500% 05/01/20332018</t>
  </si>
  <si>
    <t>SOUTH BROWARD HOSP  DIST FLA REV REF REV04.00000% 05/01/2033BDS SOUTH BROWARD   HOSP DIST D/B/A</t>
  </si>
  <si>
    <t>TEANECK TWP N J GEN IMPT BDS SER. 2023  03.00000% 05/01/2033</t>
  </si>
  <si>
    <t>WAUSAU WIS SWR SYS  REV BDS SER. 2019C  02.25000% 05/01/2033</t>
  </si>
  <si>
    <t>WASHINGTON TWP N J  GLOUCESTER CNTY GO  02.00000% 05/15/2033BDS SER. 2021</t>
  </si>
  <si>
    <t>ARLINGTON TEX WTR &amp; WASTEWATER SYS REV  03.00000% 06/01/2033REV BDS SER. 2017 A</t>
  </si>
  <si>
    <t>BROOKFIELD WIS CMNTYDEV &amp;RED EV AUTH    03.50000% 06/01/2033CMNTY DEV REV REV   BDS SER. 2015A</t>
  </si>
  <si>
    <t>FLORIDA ST BRD ED   PUB ED CAP OUTLAY   03.12500% 06/01/2033REF BDS SER. 2016 F</t>
  </si>
  <si>
    <t>LAKE CNTY ILL SCH   DIST NO 112 NORTH   03.00000% 06/01/2033SHORE GO SCH BDS    SER. 2019</t>
  </si>
  <si>
    <t>MILWAUKEE WIS SEW   REV SEW SYS REV BDS 03.00000% 06/01/2033SER. 2016 S7</t>
  </si>
  <si>
    <t>430(10)</t>
  </si>
  <si>
    <t>MONROE TWP N J      MIDDLESEX CNTY GO   03.00000% 06/01/2033IMPT AND WTR SWR    UTIL BDS SER. 2019</t>
  </si>
  <si>
    <t>MONROE TWP N J      MIDDLESEX CNTY IMPT 02.00000% 06/01/2033WTR SWR UTIL GO BDS SER. 2021</t>
  </si>
  <si>
    <t>NEW JERSEY ST GO VARPURP BDS            02.00000% 06/01/2033</t>
  </si>
  <si>
    <t>NORMAL ILL GO REF   BDS SER. 2016 A     03.00000% 06/01/2033</t>
  </si>
  <si>
    <t>NORTH TEX MUN WTR   DIST TEX REGL       03.00000% 06/01/2033WASTEWTR SYS        CONTRACT REV MUDDY</t>
  </si>
  <si>
    <t>NORTH TEX MUN WTR   DIST UPPER E FORK   03.00000% 06/01/2033WSTWTR INTRCPT      CONTRACT REV SYS BDS</t>
  </si>
  <si>
    <t>ST JOHNS CNTY FLA   WTR &amp;SWR RE V REF   00.00000% 06/01/2033BDS SER. B</t>
  </si>
  <si>
    <t>BEXAR CNTY TEX FLOODCTL TAX REF BDS SER.03.00000% 06/15/20332017</t>
  </si>
  <si>
    <t>BEXAR CNTY TEX FLD  CTL TAX REF BDS SER.03.00000% 06/15/20332016</t>
  </si>
  <si>
    <t>ILLINOIS ST SALES   TAX REV JR OBLIG REF03.00000% 06/15/2033BDS SER. SEPTEMBER  2016 D</t>
  </si>
  <si>
    <t>260(25)</t>
  </si>
  <si>
    <t>ILLINOIS ST SALES   TAX REV JR OBLIG REF04.00000% 06/15/2033BUILD BDS SER. 2021 C</t>
  </si>
  <si>
    <t>MISSOURI CITY TEX GOBDS SER. 2017       03.12500% 06/15/2033</t>
  </si>
  <si>
    <t>SUSSEX CNTY N J GO  IMPT VOCATIONAL     02.00000% 06/15/2033TECHNICAL SCH       COLLEGE BDS SER.</t>
  </si>
  <si>
    <t>BROWARD CNTY FLA SCHBRD CTFS PARTN COPS 03.25000% 07/01/2033SER. A</t>
  </si>
  <si>
    <t>BRYAN TEX ELEC SYS  REV REV REF BDS SER.03.00000% 07/01/20332017</t>
  </si>
  <si>
    <t>DORAL FLA GO BDS    PARKS AND RECREATION03.00000% 07/01/2033PROJECTS SER. 2019</t>
  </si>
  <si>
    <t>FLORIDA HSG FIN CORPREV HOMEOWNER MTG   03.85000% 07/01/2033REV BDS SER. 2024 3</t>
  </si>
  <si>
    <t>FLORIDA ST BRD      GOVERNORS FLA       06.00000% 07/01/2033POLYTECHNIC UNIV    DORM REV BDS SER.</t>
  </si>
  <si>
    <t>FLORIDA ST BRD      GOVERNORS UNIV SYS  03.00000% 07/01/2033IMPT REV REF BDS    SER. 2017B</t>
  </si>
  <si>
    <t>FLORIDA ST DEPT     TRANSN FING CORP REV03.00000% 07/01/2033BDS SER. 2020</t>
  </si>
  <si>
    <t>FLORIDA ST DEPT     ENVIRONMENTAL PROTN 03.37500% 07/01/2033PRESERVATION REV REVBDS EVERGLADES</t>
  </si>
  <si>
    <t>FLORIDA ST TPK AUTH TPK REV REF BDS SER.04.00000% 07/01/20332015B</t>
  </si>
  <si>
    <t>FLORIDA ST TPK AUTH TPK REV TURNPIKE REV03.00000% 07/01/2033REF BDS SER. 2016A</t>
  </si>
  <si>
    <t>FLORIDA ST TPK AUTH TPK REV DEPT TRANSN 03.00000% 07/01/2033BDS SER. 2020 B</t>
  </si>
  <si>
    <t>HERNANDO CNTY FLA   SCH BRD CTFS PARTN  03.00000% 07/01/2033REF COPS SER. 2016A</t>
  </si>
  <si>
    <t>110(10)</t>
  </si>
  <si>
    <t>LAKE WORTH BEACH FLANON-AD VALOREM REV  03.00000% 07/01/2033BDS SER. 2020A</t>
  </si>
  <si>
    <t>LAKE WORTH FLA GO   BDS SER. 2018       03.37500% 07/01/2033</t>
  </si>
  <si>
    <t>MANASQUAN N J BRD EDSCH BDS             03.00000% 07/01/2033</t>
  </si>
  <si>
    <t>NEW JERSEY HEALTH   CARE FACS FING AUTH 03.00000% 07/01/2033REV REF BDS AHS HOSPCORP SER. 2016</t>
  </si>
  <si>
    <t>NEW JERSEY ST EDL   FACS AUTH REV REF   03.25000% 07/01/2033BDS WILLIAM PATERSONUNIV OF NJ SER.</t>
  </si>
  <si>
    <t>NEW JERSEY ST EDL   FACS AUTH REV REV   05.00000% 07/01/2033BDS STEVENS INST OF TECHNOLOGY SER. 2017</t>
  </si>
  <si>
    <t>PUBLIC FIN AUTH WIS STUDENT HSG REV BDS 04.00000% 07/01/2033BEYOND BOONE LLC    APPALACHIAN ST UNIV</t>
  </si>
  <si>
    <t>SARASOTA FLA GO REF BDS SER.2015        03.25000% 07/01/2033</t>
  </si>
  <si>
    <t>CORPUS CHRISTI TEX  UTIL SYS REV REV    03.37500% 07/15/2033IMPT BDS SER. A</t>
  </si>
  <si>
    <t>DEPTFORD TWP N J SCHDIST BRD OF ED BDS  02.50000% 07/15/2033SER. 2020</t>
  </si>
  <si>
    <t>OCEANPORT N J SCH   DIST BDS SER. 2020  02.50000% 07/15/2033</t>
  </si>
  <si>
    <t>RUMSON BORO N J SCH DIST BRD ED BDS     02.00000% 07/15/2033</t>
  </si>
  <si>
    <t>WOODBURY HEIGHTS N JGEN IMPT WTR AND SWR02.75000% 07/15/2033UTLI GO BDS SER.    2019</t>
  </si>
  <si>
    <t>105(50)</t>
  </si>
  <si>
    <t>FLORIDA GULF COAST  UNIV FING CORP FLA  03.37500% 08/01/2033CAP IMPT REV REF BDSHOUSING PROJ SER.</t>
  </si>
  <si>
    <t>HILLSBOROUGH CNTY   FLA CAP IMPT NON-AD 03.00000% 08/01/2033VALOREM REV BDS SER.2021</t>
  </si>
  <si>
    <t>HILLSBOROUGH CNTY   FLA UTIL REF REV BDS03.00000% 08/01/2033SER. 2021 A</t>
  </si>
  <si>
    <t>HUTTO TEX TAX AND   WTRWKS AND SWR SYS  03.00000% 08/01/2033REV CTFS OF OBLIG   SER. 2017</t>
  </si>
  <si>
    <t>ILLINOIS FIN AUTH   REV REV REF BDS     03.37500% 08/01/2033BRADLEY UNIV SER.   2017 C</t>
  </si>
  <si>
    <t>250(10)</t>
  </si>
  <si>
    <t>KILLEEN TEX GO REF  BDS SER. 2016       04.00000% 08/01/2033</t>
  </si>
  <si>
    <t>KILLEEN TEX GO REF  BDS SER. 2017       04.00000% 08/01/2033</t>
  </si>
  <si>
    <t>LITTLE CYPRESS      MAURICEVILLE TEX    03.37500% 08/01/2033CONS INDPT SCH DIST CONS AS LITTLE</t>
  </si>
  <si>
    <t>LITTLE ELM TEX COMBITAX AND LTD PLEDGE  03.12500% 08/01/2033REV CTFS OF OBLIG   SER. 2017</t>
  </si>
  <si>
    <t>LITTLE ELM TEX GO   REF BDS SER. 2017   03.12500% 08/01/2033</t>
  </si>
  <si>
    <t>LITTLE FALLS TWP N JGEN IMPT BDS        02.00000% 08/01/2033</t>
  </si>
  <si>
    <t>MATAWAN-ABERDEEN N JREGL SCH DIST SCH   02.50000% 08/01/2033BDS</t>
  </si>
  <si>
    <t>TEMPLE TEX          COMBINATION TAX AND 03.00000% 08/01/2033REV CTFS OF OBLIG   SER. 2017</t>
  </si>
  <si>
    <t>TEMPLE TEX UTIL SYS REV REV BDS SER.    03.00000% 08/01/20332017</t>
  </si>
  <si>
    <t>UNION CITY N J GO   BDS SER. 2021       02.25000% 08/01/2033</t>
  </si>
  <si>
    <t>ARLINGTON TEX HIGHERED FIN CORP ED REV  04.00000% 08/15/2033BDS GREAT HEARTS    AMERICA TEX SER.</t>
  </si>
  <si>
    <t>ARLINGTON TEX PERM  IMPT REF BDS SER.   03.00000% 08/15/20332016</t>
  </si>
  <si>
    <t>BRIDGEWATER TWP N J GO BDS SER. 2016    02.25000% 08/15/2033</t>
  </si>
  <si>
    <t>CEDAR PARK TEX UTIL SYS REV BDS SER.    02.00000% 08/15/20332020</t>
  </si>
  <si>
    <t>CLIFTON TEX HIGHER  ED FIN CORP ED REV  04.00000% 08/15/2033BDS VANGUARD ACADEMYINC SER. 2021</t>
  </si>
  <si>
    <t>EAST CENTRAL TEX    INDPT SCH DIST ULTD 03.00000% 08/15/2033TAX SCH BLDG BDS    SER. 2016</t>
  </si>
  <si>
    <t>EL PASO TEX DOWNTOWNDEV CORP SPL REV SPL03.00000% 08/15/2033REV REF BDS DOWNTOWNBALLPARK VENUE PROJ</t>
  </si>
  <si>
    <t>EL PASO TEX INDPT   SCH DIST UNLTD TAX  03.12500% 08/15/2033SCH BLDG BDS SER.   2019</t>
  </si>
  <si>
    <t>ESSEX CNTY N J GO   GEN IMPT COLLEGE BDS02.00000% 08/15/2033SER. 2021A C</t>
  </si>
  <si>
    <t>FAIR HAVEN BORO N J SCH DIST BDS SER.   02.50000% 08/15/20332019</t>
  </si>
  <si>
    <t>FLORHAM PARK N J BRDED SCH BDS SER. 202002.25000% 08/15/2033</t>
  </si>
  <si>
    <t>FORNEY TEX INDPT SCHDIST UNLTD TAX BLDG 03.00000% 08/15/2033REF BDS SER. 2020 A</t>
  </si>
  <si>
    <t>FORT BEND TEX INDPT SCH DIST UNLTD TAX  03.00000% 08/15/2033REF BDS SER. 2020</t>
  </si>
  <si>
    <t>GALENA PK TEX INDPT SCH DIST UNLTD TAX  03.00000% 08/15/2033REF BDS SER. 2020</t>
  </si>
  <si>
    <t>GEORGETOWN TEX      COMBINATION TAX REV 03.12500% 08/15/2033CTFS OBLIG SER. 2022</t>
  </si>
  <si>
    <t>GEORGETOWN TEX UTIL SYS REV REV BDS SER.03.00000% 08/15/20332016</t>
  </si>
  <si>
    <t>GEORGETOWN TEX UTIL SYS REV REV AND REF 03.12500% 08/15/2033BDS SER. 2017</t>
  </si>
  <si>
    <t>HUNTSVILLE TEX WTR &amp;WASTEWATER SYS REV  03.37500% 08/15/2033BDS SER. 2018</t>
  </si>
  <si>
    <t>ILLINOIS FIN AUTH   REV REV BDS         04.00000% 08/15/2033UNIVERSITY OF       CHICAGO MED CTR SER.</t>
  </si>
  <si>
    <t>IRVING TEX WTRWKS &amp; SWR REV SYS NEW LIEN03.00000% 08/15/2033BDS SER. 2021</t>
  </si>
  <si>
    <t>LEWISVILLE TEX INDPTSCH DIST ULTD TAX   03.00000% 08/15/2033SCH BLDG BDS SER.   2017</t>
  </si>
  <si>
    <t>LIVINGSTON TEX INDPTSCH DIST ULTD TAX   03.25000% 08/15/2033REF BDS SER. 2017</t>
  </si>
  <si>
    <t>MARBLE FALLS TEX    INDPT SCH DIST ULTD 03.00000% 08/15/2033TAX REF BDS SER.    2017</t>
  </si>
  <si>
    <t>MARBLE FALLS TEX    INDPT SCH DIST UNLTD03.00000% 08/15/2033TX BDS SER. 2019</t>
  </si>
  <si>
    <t>MONT BELVIEU TEX    COMBINATION TAX REV 03.00000% 08/15/2033CTFS OBLIG SER. 2020</t>
  </si>
  <si>
    <t>MONTVALE N J SCH    DIST BDS SER. 2022  02.25000% 08/15/2033</t>
  </si>
  <si>
    <t>MUENSTER TEX INDPT  SCH DIST ULTD TAX   03.12500% 08/15/2033BDS SER. B</t>
  </si>
  <si>
    <t>PHARR TEX COMB TAX  AND REV CTFS OBLIG  03.25000% 08/15/2033SER. 2016</t>
  </si>
  <si>
    <t>RED OAK TEX INDPT   SCH DIST ULTD TAX   03.25000% 08/15/2033REF BDS SER. 2017</t>
  </si>
  <si>
    <t>RIO GRANDE CITY TEX CONS INDPT SCH DIST 03.25000% 08/15/2033ULTD TAX REF BDS    SER. 2015B</t>
  </si>
  <si>
    <t>130(5)</t>
  </si>
  <si>
    <t>SAN MARCOS TEX COMBITAX AND REV CTFS OF 03.00000% 08/15/2033OBLIG SER.2016</t>
  </si>
  <si>
    <t>SHERMAN TEX CTFS    OBLIG SER. 2018     03.25000% 08/15/2033</t>
  </si>
  <si>
    <t>SOUTH MIAMI FLA     HEALTH FACS AUTH    04.00000% 08/15/2033HOSP REV REF BDS    BAPTIST HEALTH SOUTH</t>
  </si>
  <si>
    <t>SOUTH ORANGE &amp; MAPLEWOOD N J SCH   02.12500% 08/15/2033DIST BRD OF ED BDS  SER. 2019</t>
  </si>
  <si>
    <t>TAYLOR TEX          COMBINATION OF TAX  04.00000% 08/15/2033AND REV CTFS OBLIG  SER. 2019</t>
  </si>
  <si>
    <t>TRAVIS CNTY TEX WTR CTL &amp;IMPT DIST NO   03.00000% 08/15/2033010 ULTD TAX BDS    SER. 2016</t>
  </si>
  <si>
    <t>UNIVERSITY TEX UNIV REVS FIN SYS REF BDS03.00000% 08/15/2033SER. 2017C</t>
  </si>
  <si>
    <t>VAN ALSTYNE TEX     INDPT SCH DIST ULTD 03.00000% 08/15/2033TAX SCH BLDG BDS    SER. 2017</t>
  </si>
  <si>
    <t>VICTORIA TEX CTFS OFOBLIG SER. 2015     03.50000% 08/15/2033</t>
  </si>
  <si>
    <t>WEST TRAVIS CNTY TEXPUB UTIL AGY REV REF04.00000% 08/15/2033BDS SER. 2017</t>
  </si>
  <si>
    <t>WISCONSIN ST HEALTH &amp; EDL FACS AUTH REV 03.25000% 08/15/2033BDS CHILDRENS HOSP  OF WISCONSIN INC</t>
  </si>
  <si>
    <t>WISCONSIN ST HEALTH &amp; EDL FACS AUTH REV 05.00000% 08/15/2033BDS ADVOCATE AURORA HEALTH INC SER. 2018</t>
  </si>
  <si>
    <t>BORDENTOWN TWP N J  GO BDS SER. 2021    02.00000% 09/01/2033</t>
  </si>
  <si>
    <t>BREVARD CNTY FLA WTR&amp;WASTEWA TER UTIL   03.37500% 09/01/2033REV REV BDS SER.2014</t>
  </si>
  <si>
    <t>CORAL SPRINGS FLA   SPL OBLIG BDS SER.  03.00000% 09/01/20332020</t>
  </si>
  <si>
    <t>DENTON CNTY TEX     FRESH WTR SUPPLY    03.75000% 09/01/2033DIST NO 10 ULTD TAX BDS SER. 2018</t>
  </si>
  <si>
    <t>DUNN CNTY WIS GO    PROM NTS SER. 2024 A03.00000% 09/01/2033</t>
  </si>
  <si>
    <t>ESSEX CNTY N J GO   VOCATIONAL SCH BDS  03.00000% 09/01/2033SER. 2018 B</t>
  </si>
  <si>
    <t>ESSEX CNTY N J GO   IMPT CNTY COLLEGE   02.12500% 09/01/2033BDS SER. A</t>
  </si>
  <si>
    <t>145(5)</t>
  </si>
  <si>
    <t>FLORIDA KEYS        AQUEDUCT AUTH WTR   03.50000% 09/01/2033REV REF BDS SER.    2015A</t>
  </si>
  <si>
    <t>FORT BEND CNTY TEX  LEVEE IMPT DIST N0 602.50000% 09/01/2033UNLTD TAX BDS SER.  2019A</t>
  </si>
  <si>
    <t>FORT BEND CNTY TEX  LEVEE IMPT DIST NO  03.50000% 09/01/203315 ULTD TAX LEVEE   IMPT BDS SER. 2017</t>
  </si>
  <si>
    <t>FORT BEND CNTY TEX  MUN UTIL DIST NO 12803.75000% 09/01/2033ULTD TAX BDS SER.   2015</t>
  </si>
  <si>
    <t>FORT BEND CNTY TEX  MUN UTIL DI ST NO   03.62500% 09/01/2033142 ULTD TAX REF BDSSER.2015</t>
  </si>
  <si>
    <t>FORT BEND CNTY TEX  MUN UTIL DIST NO    03.25000% 09/01/2033134C ULTD TAX RD BDSSER. 2015</t>
  </si>
  <si>
    <t>FORT BEND CNTY TEX  MUN UTIL DIST NO 13304.00000% 09/01/2033UNLTD TAX PK BDS    SER. 2024A</t>
  </si>
  <si>
    <t>FORT BEND CNTY TEX  MUN UTIL DIST NO    04.00000% 09/01/2033134D UNLTD TAX BDS  SER. 2024</t>
  </si>
  <si>
    <t>FORT BEND CNTY TEX  MUN UTIL DIST NO    02.50000% 09/01/2033134B UNLTD TAX RD   BDS SER. 2019</t>
  </si>
  <si>
    <t>FORT BEND CNTY TEX  MUN UTIL DIST NO    02.00000% 09/01/2033134B UNLTD TAX RD   BDS SER. 2020A</t>
  </si>
  <si>
    <t>FORT BEND CNTY TEX  MUN UTIL DIST NO 19004.00000% 09/01/2033UNLTD TAX BDS SER.  2022</t>
  </si>
  <si>
    <t>FULSHEAR MUN UTIL   DIST NO 3A TEX UNLTD04.00000% 09/01/2033TAX BDS SER. 2023</t>
  </si>
  <si>
    <t>HACKENSACK N J GEN  IMPT BDS SER. 2021  02.00000% 09/01/2033</t>
  </si>
  <si>
    <t>HARRIS CNTY TEX IMPTDIST NO 18 ULTD TAX 03.62500% 09/01/2033BDS SER. 2014</t>
  </si>
  <si>
    <t>HARRIS CNTY TEX IMPTDIST NO 18 ULTD TAX 03.37500% 09/01/2033BDS SER. 2015</t>
  </si>
  <si>
    <t>HARRIS CNTY TEX IMPTDIST NO 18 ULTD TAX 03.12500% 09/01/2033BDS SER. 2016</t>
  </si>
  <si>
    <t>HARRIS CNTY TEX MUN UTIL DIST NO 449    02.75000% 09/01/2033ULTD TAX BDS SER.   2016</t>
  </si>
  <si>
    <t>HARRIS CNTY TEX MUN UTIL DIST NO 422    04.00000% 09/01/2033UNLTD TAX BDS SER.  2024</t>
  </si>
  <si>
    <t>HARRIS-BRAZORIA     CNTYS TEX MUN UTIL  03.50000% 09/01/2033DIST NO 509 ULTD TAXBDS SER. 2018</t>
  </si>
  <si>
    <t>HARRIS-MONTGOMERY   CNTYS MUN UTIL DIST 03.50000% 09/01/2033NO 386 ULTD TAX BDS SER. 2014A</t>
  </si>
  <si>
    <t>HARRIS-MONTGOMERY   CNTYS MUN UTIL DIST 03.00000% 09/01/2033NO 386 ULTD TAX REF BDS SER. 2017</t>
  </si>
  <si>
    <t>LAKE MILLS WIS GO   CORP PURP BDS SER.  03.37500% 09/01/20332014B</t>
  </si>
  <si>
    <t>MIAMI BEACH FLA     STORMWATER REV REV  03.62500% 09/01/2033BDS SER.2015</t>
  </si>
  <si>
    <t>MONTGOMERY CNTY TEX MUN UTIL DIST NO 95 02.50000% 09/01/2033ULTD TAX BDS SER.   2019 A</t>
  </si>
  <si>
    <t>MONTGOMERY CNTY TEX MUN UTIL DIST NO 13804.00000% 09/01/2033UNLTD TAX BDS SER.  2023</t>
  </si>
  <si>
    <t>80( 10)</t>
  </si>
  <si>
    <t>MONTGOMERY CNTY TEX MUN UTIL DIST NO 13705.00000% 09/01/2033UNLTD TAX BDS SER.  2023</t>
  </si>
  <si>
    <t>NORTH TEX MUN WTR   DIST TEX REGL SOLID 03.25000% 09/01/2033WASTE DISP SYS REV  REF BDS SER. 2015</t>
  </si>
  <si>
    <t>PEARLAND TEX WTRWKS &amp;SWR SYS REV REV BDS03.37500% 09/01/2033SER.2014</t>
  </si>
  <si>
    <t>PLANO TEX GO BDS    SER. 2017           03.25000% 09/01/2033</t>
  </si>
  <si>
    <t>PLANO TEX GO BDS    SER. 2018           03.10000% 09/01/2033</t>
  </si>
  <si>
    <t>RACINE WIS WTRWKS   REV SYS MTG BDS     02.00000% 09/01/2033</t>
  </si>
  <si>
    <t>SUNFIELD MUN UTIL   DIST NO 1 TEX UNLTD 02.50000% 09/01/2033TAX BDS SER. 2019</t>
  </si>
  <si>
    <t>100(100)</t>
  </si>
  <si>
    <t>TAMPA FLA CAP IMPT  CIG TAX ALLOCATION  00.00000% 09/01/2033BDS SER. 2020 A</t>
  </si>
  <si>
    <t>CAPE MAY CNTY N J GOBDS SER. 2021 A     02.00000% 09/15/2033</t>
  </si>
  <si>
    <t>425(25)</t>
  </si>
  <si>
    <t>IRVING TEX GO BDS   SER. 2017 A         03.12500% 09/15/2033</t>
  </si>
  <si>
    <t>NORTH BRUNSWICK TWP N J BRD ED SCH BDS  03.00000% 09/15/2033SER. 2017</t>
  </si>
  <si>
    <t>OCEAN CITY N J GEN  IMPT BDS SER. 2019  02.25000% 09/15/2033</t>
  </si>
  <si>
    <t>1,170(25)</t>
  </si>
  <si>
    <t>ALACHUA FLA REV CAP IMPT REV REF BDS    03.00000% 10/01/2033SER. 2016</t>
  </si>
  <si>
    <t>BAY COLONY WEST MUN UTIL DIST TEX ULTD  02.50000% 10/01/2033TAX BDS SER. 2016</t>
  </si>
  <si>
    <t>CAPE CORAL FLA SPL  OBLIG REV REF BDS   03.62500% 10/01/2033SER. 2015</t>
  </si>
  <si>
    <t>FLORIDA ST MUN PWR  AGY REV BDS ALL     03.00000% 10/01/2033REQUIREMENTS PWR    SUPPLY SER. 2021 A</t>
  </si>
  <si>
    <t>GAINESVILLE FLA     UTILS SYS REV REV   03.37500% 10/01/2033BDS SER. A</t>
  </si>
  <si>
    <t>GREATER TEXOMA UTIL AUTH TEX CONTRACT   03.00000% 10/01/2033REV REF BDS CITY OF SHERMAN PROJ SER.</t>
  </si>
  <si>
    <t>HARRIS CNTY TEX WTR CTL &amp;IMPT DIST NO 8903.25000% 10/01/2033ULTD TAX REF BDS    SER. 2016</t>
  </si>
  <si>
    <t>HILLSBOROUGH CNTY   FLA FOURTH CENT     03.25000% 10/01/2033TOURIST DEV TAX REV REF REV BDS SER.</t>
  </si>
  <si>
    <t>ILLINOIS ST GO BDS  SER. OCTOBER 2020 B 04.00000% 10/01/2033</t>
  </si>
  <si>
    <t>ILLINOIS ST GO REF  BDS SER. 2018B      05.00000% 10/01/2033</t>
  </si>
  <si>
    <t>LEE CNTY ILL DEBT   CTFS SER. 2017      03.25000% 10/01/2033</t>
  </si>
  <si>
    <t xml:space="preserve"> 5(5)</t>
  </si>
  <si>
    <t xml:space="preserve">SFP R </t>
  </si>
  <si>
    <t>MADISON WIS GO CORP PURP BDS SER. 2019 B03.00000% 10/01/2033</t>
  </si>
  <si>
    <t>MIAMI-DADE CNTY FLA SPL OBLIG SUB SPL   00.00000% 10/01/2033OBLIG REF BDS SER.  2016</t>
  </si>
  <si>
    <t>MILWAUKEE WIS MET   SEW DIST GO SYS BDS 03.00000% 10/01/2033SER. 2020 A</t>
  </si>
  <si>
    <t>NORTHWEST HARRIS    CNTY MUN UTIL DIST  03.37500% 10/01/2033NO 19 TEX ULTD TAX  REF BDS SER. 2015</t>
  </si>
  <si>
    <t>OKALOOSA CNTY FLA   SALES TAX REV REV   03.00000% 10/01/2033BDS SER. 2016</t>
  </si>
  <si>
    <t>PALM BAY FLA SALES  TAX REV REV REF BDS 03.50000% 10/01/2033SER.2015</t>
  </si>
  <si>
    <t>PORT HOUSTON AUTH   TEX HARRIS CNTY GO  00.00000% 10/01/2033REF BDS SER. 2010C</t>
  </si>
  <si>
    <t>PUBLIC FIN AUTH WIS HEALTHCARE FACS REV 05.00000% 10/01/2033BDS SCOTLAND MEM    HOSP SER. 2021A</t>
  </si>
  <si>
    <t>RIVIERA BEACH FLA   PUB IMPT REV PUB    03.50000% 10/01/2033IMPT REV BDS SER.   2014</t>
  </si>
  <si>
    <t>SARASOTA FLA ST     ARMANDS PAID PKG    03.00000% 10/01/2033AREA IMPTS REV BDS  SER. 2017A</t>
  </si>
  <si>
    <t>SOUTHWEST HIGHER ED AUTH INC TEX REV REV03.50000% 10/01/2033BDS SOUTHERN        METHODIST UNIV SER.</t>
  </si>
  <si>
    <t>SOUTHWEST HIGHER ED AUTH INC TEX REV REV03.00000% 10/01/2033BDS SOUTHERN        METHODIST UNIV SER.</t>
  </si>
  <si>
    <t>SOUTHWEST HIGHER ED AUTH INC TEX REV REF03.25000% 10/01/2033BDS SOUTHERN        METHODIST UNIV SER.</t>
  </si>
  <si>
    <t>ST PETERSBURG FLA   PUB UTIL REV REV BDS03.30000% 10/01/2033SER. 2014A</t>
  </si>
  <si>
    <t>ST PETERSBURG FLA   PUB UTIL REV REF REV03.25000% 10/01/2033BDS SER. 2014B</t>
  </si>
  <si>
    <t>TAMARAC FLA CAP IMPTREV BDS SER. 2018   03.37500% 10/01/2033</t>
  </si>
  <si>
    <t>UCF CONVOCATION CORPFLA REV REF BDS     04.00000% 10/01/2033SER.A</t>
  </si>
  <si>
    <t>WASHINGTON CNTY TEX JR COLLEGE DIST REV 03.00000% 10/01/2033COMB FEE REV BDS    SER. 2016</t>
  </si>
  <si>
    <t>WAUKESHA WIS GO REF BDS SER. 2021C      02.00000% 10/01/2033</t>
  </si>
  <si>
    <t>WINTER HAVEN FLA    UTIL SYS REV REF BDS03.00000% 10/01/2033SER.2015</t>
  </si>
  <si>
    <t>145(10)</t>
  </si>
  <si>
    <t>PISCATAWAY TWP N J  GEN IMPT BDS        02.00000% 10/15/2033</t>
  </si>
  <si>
    <t>WOODBRIDGE TWP N J  GEN IMPT BDS        02.37500% 10/15/2033</t>
  </si>
  <si>
    <t>ALVIN TEX TAX AND   REV CTFS OBLIG SER. 03.12500% 11/01/20332015</t>
  </si>
  <si>
    <t>BELOIT WIS WTR SYS  REV BDS SER. 2018C  03.37500% 11/01/2033</t>
  </si>
  <si>
    <t>HAMMONTON N J GO    IMPT WTR SWR UTIL   02.12500% 11/01/2033BDS</t>
  </si>
  <si>
    <t>ILLINOIS ST GO BDS  SER. NOVEMBER 2016  05.00000% 11/01/2033</t>
  </si>
  <si>
    <t>ILLINOIS ST GO BDS  SER. 2019 B         04.00000% 11/01/2033</t>
  </si>
  <si>
    <t>LAKE CNTY ILL CMNTY HIGH SCH DIST NO 11503.00000% 11/01/2033LAKE FOREST LTD TAX GO DEBT CTFS SER.</t>
  </si>
  <si>
    <t>LIVINGSTON TWP N J  GO IMPT WTR AND SWR 02.00000% 11/01/2033UTIL BDS SER. 2020</t>
  </si>
  <si>
    <t>MARION &amp; JEFFERSON  CNTYS ILL CMNTY HIGH03.00000% 11/01/2033SCH DIST NO 600     SALEM GO LTD TAX BDS</t>
  </si>
  <si>
    <t>OAK PARK ILL GO CORPPURP BDS SER. 2017 A03.12500% 11/01/2033</t>
  </si>
  <si>
    <t>PALM BEACH CNTY FLA HEALTH FACS AUTH    05.00000% 11/01/2033HOSP REV BDS JUPITERMED CTR INC SER.</t>
  </si>
  <si>
    <t>95(95)</t>
  </si>
  <si>
    <t>PASSAIC CNTY N J GO IMPT COLL CNTY BDS  02.00000% 11/01/2033SER. A</t>
  </si>
  <si>
    <t>PASSAIC CNTY N J GO COLLEGE IMPT BDS    02.00000% 11/01/2033SER. 2021AB</t>
  </si>
  <si>
    <t>2,270(25)</t>
  </si>
  <si>
    <t>RUTHERFORD N J GO   BDS SER. 2020       02.00000% 11/01/2033</t>
  </si>
  <si>
    <t>SIENNA PLANTATION   MUN UTIL DIST NO 5  02.25000% 11/01/2033TEX CONTRACT REV RD BDS SER. 2019</t>
  </si>
  <si>
    <t>90(90)</t>
  </si>
  <si>
    <t>CHICAGO ILL PK DIST GO UNLTD TAX BDS    04.00000% 11/15/2033SER. 2020E</t>
  </si>
  <si>
    <t>FLORIDA DEV FIN CORPHEALTHCARE FACS REV 04.00000% 11/15/2033BDS LAKELAND REGL   HLTH SYS SER. 2021</t>
  </si>
  <si>
    <t>TARRANT CNTY TEX    CULTURAL ED FACS FIN03.00000% 11/15/2033CORP HOSP REV REV   BDS BAYLOR SCOTT &amp;</t>
  </si>
  <si>
    <t>TOMS RIVER N J GEN  IMPT BDS SER. 2016  03.12500% 11/15/2033AB</t>
  </si>
  <si>
    <t>LAKE CNTY ILL GO BDSSER.2015A           03.50000% 11/30/2033</t>
  </si>
  <si>
    <t>BARTLETT ILL GO BDS SER. 2019           03.00000% 12/01/2033</t>
  </si>
  <si>
    <t>BERGEN CNTY N J GO  GEN IMPT VOCATIONAL 03.00000% 12/01/2033TECH SCH COLLEGE BDS</t>
  </si>
  <si>
    <t>CHAMPAIGN &amp; VERMILLION CNTYS ILL03.00000% 12/01/2033CMNTY HIGH SCH DIST NO 305 GO BDS SER.</t>
  </si>
  <si>
    <t>COOK CNTY ILL CMNTY COLLEGE DIST NO 508 05.00000% 12/01/2033UNLTD TAX GO REF BDSSER. 2024</t>
  </si>
  <si>
    <t xml:space="preserve">CP SFP R I </t>
  </si>
  <si>
    <t>COOK CNTY ILL CMNTY CONS SCH DIST NO 02104.00000% 12/01/2033WHEELING GO BLDG BDSSER. 2020 A</t>
  </si>
  <si>
    <t>COOK CNTY ILL CMNTY HIGH SCH D IST NO   03.12500% 12/01/2033218 DWIGHT D        EISENHOWR GO LTD TAX</t>
  </si>
  <si>
    <t>COOK CNTY ILL CMNTY UNIT SCH DIST NO 40103.25000% 12/01/2033ELMWOOD PK GO LTD   SCH BDS SER. 2019 A</t>
  </si>
  <si>
    <t>COOK CNTY ILL SCH   DIST NO 081 SCHILLER03.00000% 12/01/2033PK GO BDS SER. 2020</t>
  </si>
  <si>
    <t>COOK CNTY ILL SCH   DIST NO 87 BERKELEY 03.00000% 12/01/2033GO BDS SER. 2021</t>
  </si>
  <si>
    <t>COOK CNTY ILL SCH   DIST NO 143         05.00000% 12/01/2033MIDLOTHIAN GO LTD   TAX BDS SER. 2024A</t>
  </si>
  <si>
    <t>FLOSSMOOR ILL GO BDSSER. 2021           02.00000% 12/01/2033</t>
  </si>
  <si>
    <t>FORT BEND CNTY TEX  MUN UTIL DIST NO 16903.00000% 12/01/2033CONTRACT REV REV RD BDS RD FACS SER.</t>
  </si>
  <si>
    <t>FORT BEND CNTY TEX  MUN UTIL DIST NO 16902.50000% 12/01/2033CONTRACT REV REV BDSSER. 2016</t>
  </si>
  <si>
    <t>FORT BEND CNTY TEX  MUN UTIL DIST NO 16902.50000% 12/01/2033CONTRACT REV REF BDSSER. 2019</t>
  </si>
  <si>
    <t>FORT BEND CNTY TEX  MUN UTIL DIST NO 16902.00000% 12/01/2033CONTRACT REV BDS    SER. 2020</t>
  </si>
  <si>
    <t>ILLINOIS FIN AUTH   REV LOC GOVT PROG   03.37500% 12/01/2033BDS EAST PRAIRIE SCHDIST 73 PROJ SER.</t>
  </si>
  <si>
    <t>ILLINOIS ST GO BDS  SER. DECEMBER 2023B 05.00000% 12/01/2033</t>
  </si>
  <si>
    <t>LINCOLNWOOD ILL GO  BDS SER. 2019       03.00000% 12/01/2033</t>
  </si>
  <si>
    <t>LOGAN SANGAMON ETC  CNTYS ILL CMNTY UNIT03.25000% 12/01/2033SCH DIST NO 23 GO   BLDG BDS SER. 2019B</t>
  </si>
  <si>
    <t>MONTGOMERY CNTY TEX MUN UTIL DIST NO 18606.62500% 12/01/2033CONTRACT REV BDS    SER. 2024 A</t>
  </si>
  <si>
    <t>MOUNT PROSPECT ILL  GO BDS SER. 2019B   03.00000% 12/01/2033</t>
  </si>
  <si>
    <t>MOUNT PROSPECT ILL  GO BDS SER. 2022    03.00000% 12/01/2033</t>
  </si>
  <si>
    <t>NILES ILL GO BDS    SER. 2018           03.62500% 12/01/2033</t>
  </si>
  <si>
    <t>NORTHBROOK ILL GO   BDS SER. 2015 B     03.37500% 12/01/2033</t>
  </si>
  <si>
    <t>OSHKOSH WIS GO CORP PURP BDS SER. 2014B 03.00000% 12/01/2033</t>
  </si>
  <si>
    <t>PASSAIC CNTY N J GO IMPT COLLEGE ENERGY 02.50000% 12/01/2033SAVINGS BDS SER.    2019ACD</t>
  </si>
  <si>
    <t>375(25)</t>
  </si>
  <si>
    <t>PASSAIC VALLEY N J  SEW COMMRS SWR SYS  03.00000% 12/01/2033BDS SER. I</t>
  </si>
  <si>
    <t>POLO ILL GO BDS SER.2024                05.00000% 12/01/2033</t>
  </si>
  <si>
    <t>SOUTH RIVER N J GEN WTR IMPT GO BDS SER.02.37500% 12/01/20332019</t>
  </si>
  <si>
    <t>WISCONSIN ST HEALTH &amp;EDL FACS AUTH REV  03.00000% 12/01/2033REV BDS MEDICAL     COLLEGE OF WISCONSIN</t>
  </si>
  <si>
    <t>KANE CNTY ILL FST   PRESV DIST GO BDS   03.37500% 12/15/2033SER. 2017 A</t>
  </si>
  <si>
    <t>METROPOLITAN PIER &amp; EXPOSITION AUTH ILL 00.00000% 12/15/2033DEDICATED ST TAX REVBDS MC CORMICK PLACE</t>
  </si>
  <si>
    <t>MUNDELEIN ILL GO BDSSER. 2019           04.00000% 12/15/2033</t>
  </si>
  <si>
    <t>NEW JERSEY ST TRANSNTR FD AUTH          00.00000% 12/15/2033TRANSPORTATION SYS  BDS SER. 2009A</t>
  </si>
  <si>
    <t>NEW JERSEY ST TRANSNTR FD AUTH          00.00000% 12/15/2033TRANSPORTATION      SYSTEM BDS SER.</t>
  </si>
  <si>
    <t>NORTH HARRIS CNTY   REGL WTR AUTH TEX   05.00000% 12/15/2033REV SR LIEN REF BDS SER. 2016</t>
  </si>
  <si>
    <t>RIVERSIDE TWP N J GOBDS SER. 2019       02.25000% 12/15/2033</t>
  </si>
  <si>
    <t>SANGAMON CNTY ILL   LTD TAX GO BDS SER. 03.00000% 12/15/20332021</t>
  </si>
  <si>
    <t>145(145)</t>
  </si>
  <si>
    <t>WINFIELD ILL PK DISTGO BDS SER. 2020    03.00000% 12/15/2033</t>
  </si>
  <si>
    <t>AURORA ILL GO BDS   SER. 2017           03.12500% 12/30/2033</t>
  </si>
  <si>
    <t>AURORA ILL GO REF   BDS SER. 2015A      03.37500% 12/30/2033</t>
  </si>
  <si>
    <t>AURORA ILL GO REF   BDS SER. 2015-C     03.75000% 12/30/2033</t>
  </si>
  <si>
    <t>JOLIET ILL REGL PORTDIST GO BDS SER.    03.00000% 12/30/20332021</t>
  </si>
  <si>
    <t>BATAVIA ILL GO REF  BDS SER. 2015       03.25000% 01/01/2034</t>
  </si>
  <si>
    <t>CHICAGO ILL O HARE  INTL ARPT REV REV   05.00000% 01/01/2034REF BDS SER. C</t>
  </si>
  <si>
    <t>CHICAGO ILL PK DIST GO LTD TAX REF BDS  05.00000% 01/01/2034SER. 2023C</t>
  </si>
  <si>
    <t>COUNTRYSIDE ILL GO  BDS SER. 2021A      03.00000% 01/01/2034</t>
  </si>
  <si>
    <t>DEKALB CNTY ILL     CMNTY UNIT SCH DIST 03.00000% 01/01/2034NO 428 DEKALB GO REFSCH BDS SER. 2019</t>
  </si>
  <si>
    <t>DEKALB CNTY ILL     CMNTY UNIT SCH DIST 04.00000% 01/01/2034NO 428 DEKALB GO REFBDS SER. 2020</t>
  </si>
  <si>
    <t>DU PAGE &amp; COOK CNTYSILL CMNTY UNIT SCH  03.00000% 01/01/2034DIST NO 205 GO BDS  SER. 2021 A</t>
  </si>
  <si>
    <t>DU PAGE CNTY ILL SCHDIST NO 041 GLEN    03.37500% 01/01/2034ELLYN GO SCH BDS    SER. 2017</t>
  </si>
  <si>
    <t>DU PAGE CNTY ILL    CMNTY HIGH SCH DIST 03.37500% 01/01/2034NO 094 WEST CHICAGO GO SCH BDS SER. 2018</t>
  </si>
  <si>
    <t>FLAGG-ROCHELLE ILL  CMNTY PK DIST GO PK 03.00000% 01/01/2034BDS OGLE CNTY SER.  2019 B</t>
  </si>
  <si>
    <t>ILLINOIS FIN AUTH   REV REV BDS SER.    04.00000% 01/01/20342016</t>
  </si>
  <si>
    <t>ILLINOIS ST GO BDS  SER.2016            03.75000% 01/01/2034</t>
  </si>
  <si>
    <t>KANE MC HENRY COOK &amp;DE KALB CNTYS ILL   03.00000% 01/01/2034CMNTY UNIT SCH DIST NO 300 LTD TAX GO</t>
  </si>
  <si>
    <t>LAKE CNTY ILL CMNTY CONS SCH DIST NO 07304.00000% 01/01/2034HAWTHORN GO BLDG BDSSER. 2020</t>
  </si>
  <si>
    <t>LAKE CNTY ILL CMNTY UNIT SCH DIST NO 18704.00000% 01/01/2034NORTH CHICAGO GO REFSCH BDS SER. 2019 B</t>
  </si>
  <si>
    <t>LAUDERHILL FLA GO   BDS SER. 2017       03.37500% 01/01/2034</t>
  </si>
  <si>
    <t>MADISON WIS WTR UTILREV REV BDS SER.    03.12500% 01/01/20342015</t>
  </si>
  <si>
    <t>MC HENRY &amp; KANE     CNTYS ILL CMNTY CONS03.25000% 01/01/2034SCH DIST NO 158 GO  REF BDS SER. 2017</t>
  </si>
  <si>
    <t>NORTH TEX TWY AUTH  REV REF SECOND TIER 04.00000% 01/01/2034SYS BDS SER. 2021 B</t>
  </si>
  <si>
    <t>NORTH TEX TWY AUTH  REV SYS FIRST TIER  04.00000% 01/01/2034REF BDS SER. 2019 A</t>
  </si>
  <si>
    <t>PEORIA ILL GO BDS   SER. 2018 B         03.37500% 01/01/2034</t>
  </si>
  <si>
    <t>PEORIA ILL GO BDS   SER. 2023 A         05.00000% 01/01/2034</t>
  </si>
  <si>
    <t>WILL CNTY ILL CMNTY HIGH SCH DIST NO 21004.00000% 01/01/2034LINCOLN-WAY GO REF  BDS SER. 2020</t>
  </si>
  <si>
    <t>DE KALB CNTY ILL GO BDS SER. 2017       03.25000% 01/15/2034</t>
  </si>
  <si>
    <t>BAYTOWN TEX COMB TAXAND REV CTFS OBLIG  03.00000% 02/01/2034SER. 2019</t>
  </si>
  <si>
    <t>COLUMBIA &amp; BRAZORIA TEX INDPT SCH DIST  03.00000% 02/01/2034UNLTD TAX REF BDS   SER. 2021</t>
  </si>
  <si>
    <t>GALVESTON CNTY TEX  LTD TAX CNTY BLDG   03.00000% 02/01/2034BDS SER. 2017 A</t>
  </si>
  <si>
    <t>GRUNDY &amp;WILL CNTYS  ILL CMNTY UNIT SCH  03.50000% 02/01/2034DIST NO 001 GO SCH  BDS SER. 2016</t>
  </si>
  <si>
    <t>IOWA PARK TEX INDPT SCH DIST            03.00000% 02/01/2034CONSOLIDATED ULTD   TAX BLDG BDS SER.</t>
  </si>
  <si>
    <t>JACKSONVILLE FLA HSGAUTH REV GEN BDS    05.00000% 02/01/2034WESTWOOD APTS SER.  2024</t>
  </si>
  <si>
    <t>KENDALL CNTY ILL    CMNTY UNIT SCH DIST 03.00000% 02/01/2034NO 88 PLANO GO REF  BDS SER. 2021 B</t>
  </si>
  <si>
    <t>KLEIN TEX INDPT SCH DIST ULTD TAX SCH   03.00000% 02/01/2034HOUSE BDS SER. 2018</t>
  </si>
  <si>
    <t>LAKE CNTY ILL SCH   DIST NO 001 GO SCH  03.00000% 02/01/2034BDS SER. 2016</t>
  </si>
  <si>
    <t>LITTLE ELM TEX COMB TAX AND LTD PLEDGE  03.25000% 02/01/2034REV CTFS OF OBLIG   SER. 2015</t>
  </si>
  <si>
    <t>MC HENRY &amp; LAKE     CNTYS ILL CMNTY HIGH03.25000% 02/01/2034SCH DIST NO 156 GO  SCH BLDG BDS SER.</t>
  </si>
  <si>
    <t>MC HENRY CNTY ILL   CMNTY CONS SCH DIST 03.00000% 02/01/2034NO 047 CRYSTAL LAKE GO LTD TAX DEBT CTFS</t>
  </si>
  <si>
    <t>NEW BRAUNFELS TEX   INDPT SCH DIST ULTD 03.25000% 02/01/2034TAX SCH BLDG BDS    SER. 2017</t>
  </si>
  <si>
    <t>SOUTHWEST TEX INDPT SCH DIST ULTD TAX   03.00000% 02/01/2034SCH BLDG BDS SER.   2019</t>
  </si>
  <si>
    <t>SPRING BRANCH TEX   INDPT SCH DIST UNLTD03.00000% 02/01/2034TAX HOUSE BDS SER. 2019</t>
  </si>
  <si>
    <t>TEMPLE TEX INDPT SCHDIST UNLTD TAX REF  03.00000% 02/01/2034BDS SER. 2020</t>
  </si>
  <si>
    <t>TRINITY RIVER AUTH  TEX RED OAKCREEK SYS04.00000% 02/01/2034REV IMPT BDS SER.   2019</t>
  </si>
  <si>
    <t>WACO TEX COMBI TAX  AND REV CTFS OF     03.00000% 02/01/2034OBLIG SER. 2016</t>
  </si>
  <si>
    <t>WINSLOW TWP N J GO  BDS SER. 2018       03.25000% 02/01/2034</t>
  </si>
  <si>
    <t>ALDINE TEX INDPT SCHDIST ULTD TAX SCH   03.12500% 02/15/2034BLDG BDS SER. 2015</t>
  </si>
  <si>
    <t>ANGLETON TEX INDPT  SCH DIST ULTD TAX   03.00000% 02/15/2034REF BDS SER. 2017 A</t>
  </si>
  <si>
    <t>BAY CITY TEX INDPT  SCH DIST ULTD TAX   03.00000% 02/15/2034SCH BLDG BDS SER.   2017</t>
  </si>
  <si>
    <t>BEAUMONT TEX INDPT  SCH DIST ULTD TAX   03.00000% 02/15/2034REF BDS SER. 2017</t>
  </si>
  <si>
    <t>BEAUMONT TEX INDPT  SCH DIST ULTD TAX   03.00000% 02/15/2034REF BDS SER. 2016</t>
  </si>
  <si>
    <t>BELLAIRE TEX GO BDS SER. 2018           03.12500% 02/15/2034</t>
  </si>
  <si>
    <t>BELTON TEX INDPT SCHDIST UNLTD REF BDS  04.00000% 02/15/2034SER. 2017</t>
  </si>
  <si>
    <t>BEXAR CNTY TEX HOSP DIST LTD TAX REF BDS03.00000% 02/15/2034SER. 2020</t>
  </si>
  <si>
    <t>BRAZOSPORT TEX INDPTSCH DIST SCH BLDG   03.00000% 02/15/2034BDS SER. 2017 A</t>
  </si>
  <si>
    <t>BRYAN TEX INDPT SCH DIST ULTD TAX SCH   03.12500% 02/15/2034BLDG BDS SER.2015A</t>
  </si>
  <si>
    <t>CAMERON CNTY TEX    CTFS OBLIG SER. 202103.00000% 02/15/2034</t>
  </si>
  <si>
    <t>CARROLLTON TEX FMRS BRH INDPT SCH DIST  03.00000% 02/15/2034UNLTD TAX SCH BLDG  BDS SER. 2019</t>
  </si>
  <si>
    <t>CLEAR CREEK TEX     INDPT SCH DIST UNLTD03.00000% 02/15/2034TAX BLDG BDS SER.   2019</t>
  </si>
  <si>
    <t>COLDSPRING-OAKHURST TEX CONS INDPT SCH  03.00000% 02/15/2034DIST UNLTD TAX SCH  BLDG BDS SER. 2018</t>
  </si>
  <si>
    <t>COLLEGE STATION TEX CTFS OF OBLIG SER.  03.00000% 02/15/20342017</t>
  </si>
  <si>
    <t>COLONY TEX COMB TAX AND LTD SURP REV    03.50000% 02/15/2034CTFS OF OBLIG SER.  2015</t>
  </si>
  <si>
    <t>CONROE TEX INDPT SCHDIST REF UNLTD TAX  03.00000% 02/15/2034BLDG BDS SER. 2020 A</t>
  </si>
  <si>
    <t>CORSICANA TEX       COMBINATION TAX AND 03.00000% 02/15/2034REV CTFS OF OBLIG   SER. 2022</t>
  </si>
  <si>
    <t>DALLAS TEX GO REF   BDS SER. 2018       03.25000% 02/15/2034</t>
  </si>
  <si>
    <t>DALLAS TEX INDPT SCHDIST UNLTD TAX BLDG 03.00000% 02/15/2034BDS SER. 2019 B</t>
  </si>
  <si>
    <t>DE SOTO TEX         COMBINATION TAX REV 03.00000% 02/15/2034CTFS OBLIG SER. 2020</t>
  </si>
  <si>
    <t>DONNA TEX INDPT SCH DIST UNLTD TAX REF  04.00000% 02/15/2034BDS SER. 2019</t>
  </si>
  <si>
    <t>EAST BRUNSWICK TWP NJ GO IMPT WTR PKG   02.00000% 02/15/2034POOL UTIL BDS</t>
  </si>
  <si>
    <t>EDGEWATER N J GEN   IMPT AND MARINA UTIL01.00000% 02/15/2034GO BDS SER. 2019</t>
  </si>
  <si>
    <t>EDNA TEX INDPT SCH  DIST ULTD TAX REF   04.00000% 02/15/2034BDS SER. 2017</t>
  </si>
  <si>
    <t>FORNEY TEX INDPT SCHDIST UNLTD TAX BLDG 03.00000% 02/15/2034BDS SER. 2021A</t>
  </si>
  <si>
    <t>FORT WORTH TEX WTR &amp;SWR REV SYS REF IMPT03.00000% 02/15/2034BDS SER. 2021</t>
  </si>
  <si>
    <t>FRENSHIP TEX INDPT  SCH DIST UNLTD TAX  03.00000% 02/15/2034BLDG REF BDS SER.   2021</t>
  </si>
  <si>
    <t>FRISCO TEX CMNTY DEVCORP SALES TAX REV  03.00000% 02/15/2034REV BDS SER. 2016A</t>
  </si>
  <si>
    <t>FRISCO TEX COMBI TAXAND SURPLUS REV CTFS03.00000% 02/15/2034OF OBLIG SER. 2017</t>
  </si>
  <si>
    <t>GOOSE CREEK TEX CONSINDPT SCH DIST      03.00000% 02/15/2034CONSOLIDATED ULTD   TAX BLDG BDS SER.</t>
  </si>
  <si>
    <t>GOOSE CREEK TEX CONSINDPT SCH DIST UNLTD03.00000% 02/15/2034TAX BLDG BDS SER.   2020</t>
  </si>
  <si>
    <t>GREGORY PORTLAND TEXINDPT SCH DIST UNLTD03.00000% 02/15/2034TAX BLDG BDS SER.   2021 A</t>
  </si>
  <si>
    <t>HARRIS CNTY TEX HOSPDIST COMBI TAX AND  03.00000% 02/15/2034REV CTFS OF OBLIG   SER. 2016</t>
  </si>
  <si>
    <t>HAYS CNTY TEX LTD   TAX REF BDS SER.    04.00000% 02/15/20342016</t>
  </si>
  <si>
    <t>HIGHLAND PARK TEX   INDPT SCH DIST ULTD 03.00000% 02/15/2034TAX SCH BLDG BDS    SER. 2016</t>
  </si>
  <si>
    <t>HUMBLE TEX INDPT SCHDIST UNLTD TAX BLDG 03.00000% 02/15/2034BDS SER. 2020 A</t>
  </si>
  <si>
    <t>ILLINOIS FIN AUTH   REV REV BDS         03.75000% 02/15/2034ASCENSION HEALTH    ALLIANCE D/B/A</t>
  </si>
  <si>
    <t>JARRELL TEX INDPT   SCH DIST UNLTD TAX  03.25000% 02/15/2034SCH BLDG BDS SER.   2018 A</t>
  </si>
  <si>
    <t>LAMAR TEX CONS INDPTSCH DIST UNLTD TAX  03.00000% 02/15/2034HOUSE BDS SER. 2021</t>
  </si>
  <si>
    <t>LEAGUE CITY TEX GO  REF BDS SER. 2016 A 02.75000% 02/15/2034</t>
  </si>
  <si>
    <t>LEAGUE CITY TEX GO  IMPT BDS SER. 2021  03.00000% 02/15/2034</t>
  </si>
  <si>
    <t>LUBBOCK TEX WTR &amp; WASTEWATER SYS REV  04.00000% 02/15/2034BDS SER. 2020A</t>
  </si>
  <si>
    <t>LUFKIN TEX GO REF   BDS SER. 2016       03.00000% 02/15/2034</t>
  </si>
  <si>
    <t>MC ALLEN TEX GO BDS SER. 2018           03.25000% 02/15/2034</t>
  </si>
  <si>
    <t>MESQUITE TEX COMB   TAX LTD SURP REV    04.00000% 02/15/2034CTFS OF OBLIG SER.  2020</t>
  </si>
  <si>
    <t>MURPHY TEX GO BDS   SER. 2018           03.00000% 02/15/2034</t>
  </si>
  <si>
    <t>150(10)</t>
  </si>
  <si>
    <t>MURPHY TEX TAX WTR  WKS AND SWR SYS REV 03.25000% 02/15/2034CTFS OF OBLIG SER.  2018</t>
  </si>
  <si>
    <t>NORTHWEST TEX INDPT SCH DIST UNLTD TAX  03.00000% 02/15/2034BLDG BDS SER. 2021</t>
  </si>
  <si>
    <t>PANOLA COLLEGE DIST TEX GO BDS SER. 201403.50000% 02/15/2034</t>
  </si>
  <si>
    <t>PARKER TEX WTR SWR  SYS LTD PLEDGE REV  04.00000% 02/15/2034CTF OBLIG SER. 2018</t>
  </si>
  <si>
    <t>PFLUGERVILLE TEX    INDPT SCH DIST ULTD 04.00000% 02/15/2034TAX SH BLDG BDS SER.2019 A</t>
  </si>
  <si>
    <t>PROSPER TEX         COMBINATION TAX     03.25000% 02/15/2034SURPLUS REV CTFS    OBLI SER. 2018</t>
  </si>
  <si>
    <t>RICHARDSON TEX GO   BDS SER. 2017       03.25000% 02/15/2034</t>
  </si>
  <si>
    <t>RICHARDSON TEX GO   BDS SER. 2018       03.12500% 02/15/2034</t>
  </si>
  <si>
    <t>RIO HONDO TEX INDPT SCH DIST ULTD TAX   03.50000% 02/15/2034SCH BLDG BDS SER.   2016</t>
  </si>
  <si>
    <t>ROYAL TEX INDPT SCH DIST ULTD TAX REF   03.12500% 02/15/2034BDS SER. 2017</t>
  </si>
  <si>
    <t>SACHSE TEX COMBI TAXAND SURPLUS REV CTFS03.00000% 02/15/2034OF OBLIG SER. 2017 A</t>
  </si>
  <si>
    <t>SHELDON TEX INDPT   SCH DIST ULTD TAX   03.12500% 02/15/2034SCH BLDG AND REF BDSSER. 2016</t>
  </si>
  <si>
    <t>SHELDON TEX INDPT   SCH DIST ULTD TAX   03.00000% 02/15/2034SCH BULDG REF BDS   SER. 2018</t>
  </si>
  <si>
    <t>SOUTHLAKE TEX TAX   AND WTRWRKS AND SWR 03.00000% 02/15/2034SYS REV CTFS OF     OBLIG SER. 2017</t>
  </si>
  <si>
    <t>SUGAR LAND TEX COMB TAX AND REV CTFS    03.12500% 02/15/2034OBLIG SER. 2015</t>
  </si>
  <si>
    <t>TAYLOR TEX INDPT SCHDIST ULTD TAX SCH   03.00000% 02/15/2034BLDG BDS SER. 2016</t>
  </si>
  <si>
    <t>WISCONSIN ST HEALTH &amp; EDL FACS AUTH REV 04.00000% 02/15/2034BDS SANFORD SER.    2020A</t>
  </si>
  <si>
    <t>870(25)</t>
  </si>
  <si>
    <t>BANGOR WIS SCH DIST GO PROM NTS         04.00000% 03/01/2034</t>
  </si>
  <si>
    <t>BRAZORIA CNTY TEX   MUN UTIL DIST NO 29 03.12500% 03/01/2034ULTD TAX BDS SER.   2017</t>
  </si>
  <si>
    <t>CORPUS CHRISTI TEX  COMB TAX AND LTD    03.00000% 03/01/2034PLEDGE REV CTFS     OBLIG SER. 2021 A</t>
  </si>
  <si>
    <t>DECATUR ILL GO BDS  SER. 2022           04.00000% 03/01/2034</t>
  </si>
  <si>
    <t>DENMARK WIS SCH DISTGO SCH IMPT BDS     03.12500% 03/01/2034</t>
  </si>
  <si>
    <t>ELMHURST ILL GO BDS SER.2016            03.00000% 03/01/2034</t>
  </si>
  <si>
    <t>FORT BEND CNTY TEX  LEVEE IMPT DIST NO  03.37500% 03/01/2034007 ULTD TAX LEVEE  IMPT BDS NEW</t>
  </si>
  <si>
    <t>FRANKLIN WIS GO     CMNTY DEV BDS SER.  03.25000% 03/01/20342019 B</t>
  </si>
  <si>
    <t>GARLAND TEX ELEC    UTIL SYS REV REF BDS03.00000% 03/01/2034SER. 2021</t>
  </si>
  <si>
    <t>GREENWICH TWP N J   GLOUCESTER CNTY GO  02.50000% 03/01/2034TAX REF BDS SER.    2020</t>
  </si>
  <si>
    <t>HAMPSHIRE ILL SPL   SVC AREA NO 13 SPL  03.35000% 03/01/2034TAX REF BDS TUSCANY WOODS PROJ SER. 2019</t>
  </si>
  <si>
    <t>35(35)</t>
  </si>
  <si>
    <t>HARRIS CNTY TEX MUN UTIL DIST NO 167    03.50000% 03/01/2034ULTD TAX BDS SER.   2018</t>
  </si>
  <si>
    <t>HOWARD WIS GO CORP  PURP BDS SER. 2022B 03.25000% 03/01/2034</t>
  </si>
  <si>
    <t>ILLINOIS ST GO BDS  SER. 2022A          05.00000% 03/01/2034</t>
  </si>
  <si>
    <t>MIDLAND TEX TAX LTD PLG REV CTFS OBLIG  03.00000% 03/01/2034SER. 2021</t>
  </si>
  <si>
    <t>NORTHWEST HARRIS    CNTY MUN UTIL DIST  04.25000% 03/01/2034NO 12 TEX UNLTD TAX BDS SER. 2022</t>
  </si>
  <si>
    <t>PARKWAY UTIL DIST   TEX WTRWKS SWR SYS  03.00000% 03/01/2034COMBINATION UNLTD   TAX REV REF BDS SER.</t>
  </si>
  <si>
    <t>PEARLAND TEX PERM   IMPT AND REF BDS    03.12500% 03/01/2034SER. 2017</t>
  </si>
  <si>
    <t>PORT BEAUMONT TEX   NAV DIST GO BDS SER.03.00000% 03/01/20342020</t>
  </si>
  <si>
    <t>SAN ANTONIO TEX RIV AUTH SALITRILLO     04.00000% 03/01/2034WASTEWATER SYS REV  IMPT BDS SER. 2020</t>
  </si>
  <si>
    <t>SUN PRAIRIE WIS AREASCH DIST GO REF BDS 03.00000% 03/01/2034</t>
  </si>
  <si>
    <t>SUSSEX WIS GO REF   BDS SER. 2018 B     03.25000% 03/01/2034</t>
  </si>
  <si>
    <t>TARRANT REGL WTR    DIST TEX WTR REV REV03.00000% 03/01/2034BDS SER.2016</t>
  </si>
  <si>
    <t>175(10)</t>
  </si>
  <si>
    <t>TRAVIS CNTY TEX PERMIMPT LTD TAX BDS    03.00000% 03/01/2034SER. 2019</t>
  </si>
  <si>
    <t>TRAVIS CNTY TEX CTFSOBLIG SER. 2015     03.20000% 03/01/2034</t>
  </si>
  <si>
    <t>TRAVIS CNTY TEX PERMIMPT BDS SER. 2015  03.25000% 03/01/2034</t>
  </si>
  <si>
    <t>WISCONSIN HEIGHTS   WIS SCH DIST GO REF 01.37500% 03/01/2034BDS SER. 2021 B</t>
  </si>
  <si>
    <t>TEXAS ST UNIV SYS   FING REV REF BDS    03.00000% 03/15/2034SER. 2021 A</t>
  </si>
  <si>
    <t>TEXAS ST UNIV SYS   FING REV REV AND REF03.37500% 03/15/2034BDS SER. A</t>
  </si>
  <si>
    <t>FORT BEND CNTY TEX  MUN UTIL DIST NO 58 03.12500% 04/01/2034ULTD TAX PK BDS SER.2017 B</t>
  </si>
  <si>
    <t>FORT BEND CNTY TEX  MUN UTIL DIST NO 58 03.00000% 04/01/2034UNLTD TAX REF BDS   SER. 2021</t>
  </si>
  <si>
    <t>GREEN BAY WIS GO    CORP PURP BDS SER.  03.00000% 04/01/20342019 B</t>
  </si>
  <si>
    <t>HACKENSACK N J GO   BDS SER. 2018       03.12500% 04/01/2034</t>
  </si>
  <si>
    <t>HARRIS CNTY TEX MUN UTIL DIST NO 257    03.75000% 04/01/2034UNLTD TAX PK BDS    SER. 2018</t>
  </si>
  <si>
    <t>HARRIS CNTY TEX MUN UTIL DIST NO 460    04.00000% 04/01/2034UNLTD TAX RD BDS    SER. 2024</t>
  </si>
  <si>
    <t>ILLINOIS FIN AUTH   REV BDS MEMORIAL    05.00000% 04/01/2034HEALTH SYS SER. 2019</t>
  </si>
  <si>
    <t>KENOSHA WIS UNI SCH DIST NO 001 GO CORP 03.00000% 04/01/2034PURP BDS SER. 2017 A</t>
  </si>
  <si>
    <t>KEWAUNEE WIS SCH    DIST GO SCH BLDG AND03.25000% 04/01/2034IMPT BDS</t>
  </si>
  <si>
    <t>LA CROSSE CNTY WIS  GO BDS SER. 2017 A  03.00000% 04/01/2034</t>
  </si>
  <si>
    <t>MIAMI-DADE CNTY FLA SPL OBLIG CAP ASSET 03.00000% 04/01/2034ACQUISITION REF BDS SER. 2016 B</t>
  </si>
  <si>
    <t>MIAMI-DADE CNTY FLA SPL OBLIG CT        03.62500% 04/01/2034FACILITIES REF BDS  SER.2015</t>
  </si>
  <si>
    <t>MILWAUKEE WIS GO    CORP PURP BDS SER.  03.00000% 04/01/20342021 B4</t>
  </si>
  <si>
    <t>MONTGOMERY CNTY TEX MUN UTIL DIST NO 11903.50000% 04/01/2034ULTD TAX BDS SER.   2015A</t>
  </si>
  <si>
    <t>MONTGOMERY CNTY TEX MUN UTIL DIST NO 96 02.12500% 04/01/2034UNLTD TAX BDS SER.  2020</t>
  </si>
  <si>
    <t>PORT ORANGE FLA GO  REF BDS SER. 2016   03.00000% 04/01/2034</t>
  </si>
  <si>
    <t>RACINE WIS UNI SCH  DIST GO CORP PURP   03.25000% 04/01/2034BDS</t>
  </si>
  <si>
    <t>SUN PRAIRIE WIS GO  CORP PURP BDS DANE  03.00000% 04/01/2034CNTY SER. 2019 C</t>
  </si>
  <si>
    <t>SUPERIOR WIS SCH    DIST GO SCH IMPT BDS03.00000% 04/01/2034SER.2016</t>
  </si>
  <si>
    <t>UNIVERSITY ILL UNIV REVS AUXILIARY FACS 03.25000% 04/01/2034SYS REV BDS SER.    2016 B</t>
  </si>
  <si>
    <t>UNIVERSITY ILL UNIV REVS AUXILIARY FACS 04.00000% 04/01/2034SYS BDS SER. 2020 A</t>
  </si>
  <si>
    <t>UNIVERSITY ILL UNIV REVS AUXILIARY FACS 03.00000% 04/01/2034SYS BDS SER. 2021 A</t>
  </si>
  <si>
    <t>WEST DE PERE WIS SCHDIST GO CORP PURP   02.00000% 04/01/2034BDS SER. 2020 A</t>
  </si>
  <si>
    <t>GALVESTON TEX CMNTY COLLEGE DIST REV    04.00000% 04/15/2034COMB FEE BDS SER.   2022</t>
  </si>
  <si>
    <t>PUBLIC FIN AUTH WIS EDL FAC REV BDS BTS 05.00000% 04/15/2034POLK SCENIC SUPPORT LLC SER. 2022A</t>
  </si>
  <si>
    <t>SOUTHWESTERN ILL DEVAUTH REV LOC GOVT   04.00000% 04/15/2034PROG BDS            SOUTHWESTERN ILL</t>
  </si>
  <si>
    <t>BAYTOWN AREA WTR    AUTH TEX WTR SUPPLY 03.00000% 05/01/2034CONTRACT REV BDS    CITY OF BAYTOWN PROJ</t>
  </si>
  <si>
    <t>BRIDGESTONE MUN UTILDIST TEX WTRWRKS AND03.00000% 05/01/2034SWR SYS COMBI ULTD  TAX AND REV REF BDS</t>
  </si>
  <si>
    <t>GALVESTON TEX COMB  TAX REV CTFS OBLIG  04.00000% 05/01/2034SER. 2019</t>
  </si>
  <si>
    <t>OSHKOSH WIS STORM   WTR UTIL REV REV BDS03.12500% 05/01/2034SER. 2017 E</t>
  </si>
  <si>
    <t>OSHKOSH WIS SWR SYS REV REV BDS SER.    03.25000% 05/01/20342015D</t>
  </si>
  <si>
    <t>OSHKOSH WIS SWR SYS REV SWR SYS REV BDS 03.00000% 05/01/2034SER. 2017 D</t>
  </si>
  <si>
    <t>PARIS ILL GO REF BDSSER. 2016           03.37500% 05/01/2034</t>
  </si>
  <si>
    <t>ROCHELLE ILL GO BDS SER. 2023           05.00000% 05/01/2034</t>
  </si>
  <si>
    <t>SAN ELIZARIO TEX    INDPT SCH DIST ULTD 03.37500% 05/01/2034TAX SCH BLDG BDS    SER. 2015</t>
  </si>
  <si>
    <t>SOUTH BROWARD HOSP  DIST FLA REV REF REV03.00000% 05/01/2034BDS SOUTH BROWARD   HOSP DIST D/B/A</t>
  </si>
  <si>
    <t>320(10)</t>
  </si>
  <si>
    <t>TEXAS ST PUB FIN    AUTH REV REV FING   03.00000% 05/01/2034SYS BDS TEXAS       SOUTHERN UNIV SER.</t>
  </si>
  <si>
    <t>WOODBURY N J GO BDS SER. 2017           03.00000% 05/01/2034</t>
  </si>
  <si>
    <t>ARLINGTON TEX MUN   DRAIN UTIL SYS REV  03.00000% 06/01/2034BDS TARRANT CNTY    SER. 2019</t>
  </si>
  <si>
    <t>CAMINO REAL REGL    MOBILITY AUTH TEX   03.62500% 06/01/2034VEH REGISTRATION FEEREV REV BDS SER.</t>
  </si>
  <si>
    <t>DELRAY BEACH FLA    UTILS TAX REV REF   03.37500% 06/01/2034AND IMPT BDS SER.   2015</t>
  </si>
  <si>
    <t>FLORIDA ST BRD ED   PUB ED CAP OUTLAY   03.00000% 06/01/2034REF BDS SER. 2017 C</t>
  </si>
  <si>
    <t>MATAWAN BORO N J GO IMPT WTR SWR UTIL   02.25000% 06/01/2034BDS SER. 2020</t>
  </si>
  <si>
    <t>MONROE TWP N J      MIDDLESEX CNTY GO   03.00000% 06/01/2034IMPT AND WTR SWR    UTIL BDS SER. 2019</t>
  </si>
  <si>
    <t>NEW JERSEY ST GO VARPURP BDS            02.25000% 06/01/2034</t>
  </si>
  <si>
    <t>315(5)</t>
  </si>
  <si>
    <t>NORTH TEX MUN WTR   DIST TEX REGL       03.50000% 06/01/2034WASTEWTR SYS        CONTRACT REV REV BDS</t>
  </si>
  <si>
    <t>NORTH TEX MUN WTR   DIST UPPER E FORK   03.25000% 06/01/2034WSTWTR INTRCPT      CONTRACT REV REV BDS</t>
  </si>
  <si>
    <t>PORT FREEPORT TEX SRLIEN REV BDS SER.   03.00000% 06/01/20342019 B</t>
  </si>
  <si>
    <t>PUBLIC FIN AUTH WIS HOSP REV BDS RENOWN 05.00000% 06/01/2034REGIONAL RENOWN     REGIONAL MED CTR</t>
  </si>
  <si>
    <t>REEDY CREEK IMPT    DIST FLA AD VALOREM 03.00000% 06/01/2034TAX BDS SER. 2017A</t>
  </si>
  <si>
    <t>TOBACCO SETTLEMENT  FING CORP N J       05.00000% 06/01/2034SETTLEMENT BDS SER. 2018 A</t>
  </si>
  <si>
    <t>BEXAR CNTY TEX FLOODCTL TAX REF BDS SER.03.00000% 06/15/20342017</t>
  </si>
  <si>
    <t>ILLINOIS ST SALES   TAX REV JR OBLIG    03.00000% 06/15/2034BUILD BDS SER.      SEPTEMBER 2016 A</t>
  </si>
  <si>
    <t>MISSOURI CITY TEX GOBDS SER. 2017       03.12500% 06/15/2034</t>
  </si>
  <si>
    <t>SALEM CNTY N J      COURTHOUSE          02.50000% 06/15/2034VOCATIONAL TECH SCH GEN IMPT GO BDS SER.</t>
  </si>
  <si>
    <t>BRYAN TEX ELEC SYS  REV REV REF BDS SER.03.12500% 07/01/20342017</t>
  </si>
  <si>
    <t>CENTRAL FLA EXPWY   AUTH SR LIENREV BDS 03.00000% 07/01/2034SER. 2017</t>
  </si>
  <si>
    <t>270(5)</t>
  </si>
  <si>
    <t>DORAL FLA GO BDS    PARKS AND RECREATION03.00000% 07/01/2034PROJECTS SER. 2019</t>
  </si>
  <si>
    <t>FAU FIN CORP FLA CAPIMPT REV REF BDS    05.00000% 07/01/2034STUDENT HOUSING PROJSER. 2019A</t>
  </si>
  <si>
    <t>FLORIDA ST BRD      GOVERNORS FLA       05.00000% 07/01/2034POLYTECHNIC UNIV    DORM REV BDS SER.</t>
  </si>
  <si>
    <t>FLORIDA ST CONSTR   REF BDS SER.2016 A  03.00000% 07/01/2034</t>
  </si>
  <si>
    <t>FLORIDA ST DEPT     TRANSN FING CORP REV03.00000% 07/01/2034BDS SER. 2020</t>
  </si>
  <si>
    <t>HERNANDO CNTY FLA   SCH BRD CTFS PARTN  03.00000% 07/01/2034REF COPS SER. 2016A</t>
  </si>
  <si>
    <t>ILLINOIS ST GO REF  BDS SER. MAY 2023D  05.00000% 07/01/2034</t>
  </si>
  <si>
    <t>LAKE WORTH BEACH FLANON-AD VALOREM REV  03.00000% 07/01/2034BDS SER. 2020A</t>
  </si>
  <si>
    <t>LAKE WORTH FLA GO   BDS SER. 2017       03.12500% 07/01/2034</t>
  </si>
  <si>
    <t>LAKE WORTH FLA GO   BDS SER. 2018       03.37500% 07/01/2034</t>
  </si>
  <si>
    <t>NEW JERSEY HEALTH   CARE FACS FING AUTH 03.50000% 07/01/2034REV REV REF BDS RWJ BARNABAS HEALTH SER.</t>
  </si>
  <si>
    <t>NEW JERSEY HEALTH   CARE FACS FING AUTH 04.00000% 07/01/2034REV REV AND REF BDS HACKENSACK MERIDIAN</t>
  </si>
  <si>
    <t>NEW JERSEY HEALTH   CARE FACS FING AUTH 03.37500% 07/01/2034REV REV BDS INSPIRA HEALTH OBLIGATED</t>
  </si>
  <si>
    <t>NEW JERSEY ST EDL   FACS AUTH REV GREEN 05.00000% 07/01/2034BDS STEVENS INST OF TECHNOLOGY SER. 2020</t>
  </si>
  <si>
    <t>SARASOTA CNTY FLA   PUB HOSP DIST HOSP  03.62500% 07/01/2034REV BDS SARASOTA MEMHEALTH CARE SYS SER.</t>
  </si>
  <si>
    <t>TAMPA FLA HOSP REV  BDS H LEE MOFFITT   05.00000% 07/01/2034CANCER CTR AND      RESEARCH INST INC</t>
  </si>
  <si>
    <t>TARRANT CNTY TEX    CULTURAL ED FACS FIN05.00000% 07/01/2034CORP REV BDS        CHRISTUS HEALTH SER.</t>
  </si>
  <si>
    <t>TEMPLE TEX COLLEGE  DIST LTD TAX BDS    04.00000% 07/01/2034SER. 2021</t>
  </si>
  <si>
    <t>MAYWOOD N J SCH DISTBDS SER. 2023       03.00000% 07/15/2034</t>
  </si>
  <si>
    <t>NORTH BRUNSWICK TWP N J GO BDS SER. 201503.37500% 07/15/2034</t>
  </si>
  <si>
    <t>RAHWAY N J SCH DIST GO BDS              02.12500% 07/15/2034</t>
  </si>
  <si>
    <t>BRIDGEWATER TWP N J BDS SER. 2018       03.00000% 08/01/2034</t>
  </si>
  <si>
    <t>CLEARVIEW N J REGL  HIGH SCH DIST BDS   03.00000% 08/01/2034SER. 2022</t>
  </si>
  <si>
    <t>CROWLEY TEX COMB TAXLTD PLEDGE REV CTFS 03.25000% 08/01/2034OBLIG SER. 2018</t>
  </si>
  <si>
    <t>HUTTO TEX TAX AND   WTRWKS AND SWR SYS  03.00000% 08/01/2034REV CTFS OF OBLIG   SER. 2017</t>
  </si>
  <si>
    <t>ILLINOIS FIN AUTH   REV REV REF BDS     03.50000% 08/01/2034BRADLEY UNIV SER.   2017 C</t>
  </si>
  <si>
    <t>KLEIN TEX INDPT SCH DIST UNLTD TAX HOUSE03.00000% 08/01/2034REF BDS SER. 2020</t>
  </si>
  <si>
    <t>MIAMI-DADE CNTY FLA HEALTH FACS AUTH    03.62500% 08/01/2034HOSP REV REV REF BDSNICKLAUS CHILDRENS</t>
  </si>
  <si>
    <t>PFLUGERVILLE TEX REFLTD TEX BDS SER.    04.00000% 08/01/20342017</t>
  </si>
  <si>
    <t>TEMPLE TEX          COMBINATION TAX AND 03.00000% 08/01/2034REV CTFS OF OBLIG   SER. 2017</t>
  </si>
  <si>
    <t>TEMPLE TEX TAX      INCREMENT           04.00000% 08/01/2034REINVESTMENT ZONE NOONE REV BDS SER.</t>
  </si>
  <si>
    <t>UPPER TRINITY REGL  WTR DIST TEX WTR REV03.12500% 08/01/2034REV REF BDS SER.    2017</t>
  </si>
  <si>
    <t>WEST WINDSOR        PLAINSBORO N J REGL 02.25000% 08/01/2034SCH DIST BDS</t>
  </si>
  <si>
    <t>2,025(25)</t>
  </si>
  <si>
    <t>WILLIAMSON CNTY TEX MUN UTIL DIST NO 15 02.50000% 08/01/2034ULTD TAX BDS SER.   2016</t>
  </si>
  <si>
    <t>ARLINGTON TEX       PERMANENT IMPT BDS  03.35000% 08/15/2034SER. 2018</t>
  </si>
  <si>
    <t>ARLINGTON TEX HIGHERED FIN CORP ED REV  05.00000% 08/15/2034BDS RIVERWALK ED    FDNTN INC SER. 2022</t>
  </si>
  <si>
    <t>ARLINGTON TEX PERM  IMPT BDS SER. 2016 A03.00000% 08/15/2034</t>
  </si>
  <si>
    <t>BRYAN TEX COMB TAX  AND REV CTFS OBLIG  03.60000% 08/15/2034SER. 2014</t>
  </si>
  <si>
    <t>CADDO MILLS TEX     INDPT SCH DIST UNLTD03.00000% 08/15/2034TAX BLDG BDS SER.   2021</t>
  </si>
  <si>
    <t>CLIFTON TEX HIGHER  ED FIN CORP ED REV  03.50000% 08/15/2034REV AND REF BDS IDEAPUBLIC SCHOOLS</t>
  </si>
  <si>
    <t>CLIFTON TEX HIGHER  ED FIN CORP ED REV  05.00000% 08/15/2034BDS INTERNATIONAL   LEADERSHIP TEXAS</t>
  </si>
  <si>
    <t>CLIFTON TEX HIGHER  ED FIN CORP HIGHER  03.25000% 08/15/2034ED REV BDS          SOUTHWESTERN UNIV</t>
  </si>
  <si>
    <t>CLIFTON TEX HIGHER  ED FIN CORP HIGHER  05.00000% 08/15/2034ED REV BDS          SOUTHWESTERN UNIV</t>
  </si>
  <si>
    <t>COLLEGE MAINLAND TEXLTD TAX GO BDS SER. 04.00000% 08/15/20342020</t>
  </si>
  <si>
    <t>COLLEGE STATION TEX INDPT SCH DIST ULTD 03.00000% 08/15/2034TAX REF BDS SER.    2016</t>
  </si>
  <si>
    <t>COLONY MUN UTIL DISTNO 1A TEX UNLTD TAX 04.50000% 08/15/2034BDS SER. 2023</t>
  </si>
  <si>
    <t>COPPERAS COVE TEX   COMBINATION TAX AND 03.00000% 08/15/2034REV CTFS OF OBLIG   SER. 2021</t>
  </si>
  <si>
    <t>DALLAS TEX HOTEL    OCCUPANCY TAX REV   04.00000% 08/15/2034REF BDS SER. 2021</t>
  </si>
  <si>
    <t>EL PASO TEX COMB TAXAND REV CTFS OF     04.00000% 08/15/2034OBLIG SER. 2019</t>
  </si>
  <si>
    <t>GEORGETOWN TEX GO   REF BDS SER. 2021   04.00000% 08/15/2034</t>
  </si>
  <si>
    <t>GEORGETOWN TEX UTIL SYS REV REV AND REF 03.25000% 08/15/2034BDS SER. 2017</t>
  </si>
  <si>
    <t>GOLDTHWAITE TEX     INDPT SCH DIST ULTD 03.00000% 08/15/2034TAX SCH BLDG BDS    SER. 2017</t>
  </si>
  <si>
    <t>HIDALGO CNTY TEX    CTFS OBLIG SER. 202103.00000% 08/15/2034</t>
  </si>
  <si>
    <t>ILLINOIS FIN AUTH   REV REV REF BDS ANN 05.00000% 08/15/2034&amp; ROBERT H LURIE    CHILDRENS HOSP</t>
  </si>
  <si>
    <t>KYLE TEX COMB TAX   REV CTFS OF OBLIG   04.00000% 08/15/2034SER. 2020</t>
  </si>
  <si>
    <t xml:space="preserve"> 10(5)</t>
  </si>
  <si>
    <t>LEANDER TEX         COMBINATION TAX REV 04.00000% 08/15/2034CTFS OF OBLIG SER.  2018 A</t>
  </si>
  <si>
    <t>LEWISVILLE TEX INDPTSCH DIST ULTD TAX   03.12500% 08/15/2034SCH BLDG BDS SER.   2017</t>
  </si>
  <si>
    <t>155(20)</t>
  </si>
  <si>
    <t>MONT BELVIEU TEX TAXAND REV CTFS OF     03.12500% 08/15/2034OBLIG SER. 2017</t>
  </si>
  <si>
    <t>NEW HOPE CULTURAL EDFACS FIN CORP TEX   04.00000% 08/15/2034HOSP REV BDS        CHILDRENS HEALTH SYS</t>
  </si>
  <si>
    <t>PALM BEACH CNTY FLA HEALTH FACS AUTH    05.00000% 08/15/2034HOSP REV BDS BAPTISTHEALTH SOUTH FLORIDA</t>
  </si>
  <si>
    <t>RED OAK TEX INDPT   SCH DIST ULTD TAX   03.25000% 08/15/2034REF BDS SER. 2017</t>
  </si>
  <si>
    <t>ROYSE CITY TEX COMBITAX AND REV CTFS OF 03.15000% 08/15/2034OBLIG SER. 2017</t>
  </si>
  <si>
    <t>SABINE PASS TEX     INDPT SCH DIST BLDG 03.00000% 08/15/2034UNLTD TAX BDS SER.  2022 A</t>
  </si>
  <si>
    <t>SAN MARCOS TEX      COMBINATION TAX REV 03.00000% 08/15/2034CTFS OBLIG SER. 2021B</t>
  </si>
  <si>
    <t>SOUTH ORANGE &amp; MAPLEWOOD N J SCH   02.25000% 08/15/2034DIST BRD OF ED BDS  SER. 2019</t>
  </si>
  <si>
    <t>SUGAR LAND TEX      WTRWKS &amp; SWR REV SYS03.00000% 08/15/2034REF BDS SER. 2021</t>
  </si>
  <si>
    <t>SULPHUR SPRINGS TEX INDPT SCH DIST ULTD 03.00000% 08/15/2034TAX REF BDS SER.    2017</t>
  </si>
  <si>
    <t>WACO TEX INDPT SCH  DIST UNLTD TAX BLDG 03.00000% 08/15/2034BDS SER. 2022</t>
  </si>
  <si>
    <t>WISCONSIN ST HEALTH &amp; EDL FACS AUTH REV 05.00000% 08/15/2034BDS ADVOCATE AURORA HEALTH INC SER. 2018</t>
  </si>
  <si>
    <t>ALPHA RANCH WTR CTL &amp; IMPT DIST TEX     05.00000% 09/01/2034UNLTD TAX RD BDS    SER. 2024</t>
  </si>
  <si>
    <t>CEDAR PORT NAV &amp; IMPT DIST TEX UNLTD 04.00000% 09/01/2034TAX BDS SER. 2023</t>
  </si>
  <si>
    <t>CHAMBERS CNTY TEX   IMPT DIST NO 1 ULTD 03.62500% 09/01/2034TAX BDS SER. 2017</t>
  </si>
  <si>
    <t>CORAL SPRINGS FLA   SPL OBLIG BDS SER.  03.00000% 09/01/20342020</t>
  </si>
  <si>
    <t>EAST DOWNTOWN REDEV AUTH TEX TAX        03.00000% 09/01/2034INCREMENT CONTRACT  REV REF BDS SER.</t>
  </si>
  <si>
    <t>ESSEX CNTY N J GO   IMPT CNTY COLLEGE   02.25000% 09/01/2034BDS SER. A</t>
  </si>
  <si>
    <t>ESSEX CNTY N J GEN  IMPT BDS SER. 2020  02.00000% 09/01/2034</t>
  </si>
  <si>
    <t>FLORIDA KEYS        AQUEDUCT AUTH WTR   03.50000% 09/01/2034REV REF BDS SER.    2015A</t>
  </si>
  <si>
    <t>FLORIDA ST DEPT GEN SVCS DIV FACS MGMT  03.00000% 09/01/2034REV POOL REV REF BDSSER. 2017A</t>
  </si>
  <si>
    <t>FORT BEND CNTY TEX  MUN UTIL DIST NO 12803.75000% 09/01/2034UNLTD TAX BDS SER.  2018</t>
  </si>
  <si>
    <t>FORT BEND CNTY TEX  MUN UTIL DIST NO 18204.00000% 09/01/2034UNLTD TAX BDS SER.  2024</t>
  </si>
  <si>
    <t>FORT BEND CNTY TEX  MUN UTIL DIST NO 17103.00000% 09/01/2034UNLTD TX REF BDS    SER. 2019</t>
  </si>
  <si>
    <t>FORT BEND CNTY TEX  WTR CTL &amp; IMPT DIST 04.00000% 09/01/2034NO 002 UNLTD TAX BDSSER. 2024</t>
  </si>
  <si>
    <t>FORT BEND CNTY TEX  MUN UTIL DIST NO    04.00000% 09/01/2034134D UNLTD TAX BDS  SER. 2024</t>
  </si>
  <si>
    <t>FORT BEND CNTY TEX  MUN UTIL DIST NO 19004.00000% 09/01/2034UNLTD TAX BDS SER.  2022</t>
  </si>
  <si>
    <t>HARRIS CNTY TEX IMPTDIST NO 18 DEFINED  03.00000% 09/01/2034AREA NO 1 ULTD TAX  RD BDS SER. 2019</t>
  </si>
  <si>
    <t>HARRIS-MONTGOMERY   CNTYS MUN UTIL DIST 03.25000% 09/01/2034NO 386 UNLTD TAX BDSSER. 2018</t>
  </si>
  <si>
    <t>HAYS CNTY TEX WTR   CTL &amp; IMPT DIST NO 103.12500% 09/01/2034ULTD TAX BDS SER.   2017</t>
  </si>
  <si>
    <t>HIDALGO CNTY TEX    DRAIN DIST NO 1     04.00000% 09/01/2034UNLTD TAX IMPT BDS  SER. 2019</t>
  </si>
  <si>
    <t>NEW BRUNSWICK N J   PKG AUTH REV CITY   03.00000% 09/01/2034GTD PKG REV REF BDS SER.2016A</t>
  </si>
  <si>
    <t>NORTH TEX MUN WTR   DIST TEX REGL SOLID 03.37500% 09/01/2034WASTE DISP SYS REV  REF BDS SER. 2015</t>
  </si>
  <si>
    <t>NORTH TEX MUN WTR   DIST TEX WTR SYS REV03.00000% 09/01/2034REF BDS SER. 2019</t>
  </si>
  <si>
    <t>PEARLAND TEX WTRWKS &amp; SWR SYS REV REF   04.00000% 09/01/2034BDS SER. 2021 B</t>
  </si>
  <si>
    <t>TEXAS MUN PWR AGY   REV TRANSMISSION SYS03.00000% 09/01/2034REF BDS SER. 2021</t>
  </si>
  <si>
    <t>EULESS TEX DEV CORP SALES TAX REV BDS   03.00000% 09/15/2034SER. 2019</t>
  </si>
  <si>
    <t>SOUTH PLAINFIELD N JSCH DIST BDS SER.   03.00000% 09/15/20342018</t>
  </si>
  <si>
    <t>CAPE CORAL FLA SPL  OBLIG REV REF BDS   03.75000% 10/01/2034SER. 2015</t>
  </si>
  <si>
    <t>CHARLOTTE CNTY FLA  CAP IMPT REV REF BDS03.25000% 10/01/2034SER. 2015</t>
  </si>
  <si>
    <t>CITRUS CNTY FLA WTR &amp;WASTEWTR SYS REV   02.75000% 10/01/2034REV REF BDS SER.    2016</t>
  </si>
  <si>
    <t>DELTONA FLA CAP IMPTREV REV REF BDS SER.03.00000% 10/01/20342016</t>
  </si>
  <si>
    <t>EUSTIS FLA WTR &amp;SWR REV REV BDS SER.    03.25000% 10/01/20342016</t>
  </si>
  <si>
    <t>GAINESVILLE FLA CAP IMPT REV REV BDS    03.37500% 10/01/2034SER. 2014</t>
  </si>
  <si>
    <t>GAINESVILLE FLA     UTILS SYS REV REV   03.37500% 10/01/2034BDS SER. A</t>
  </si>
  <si>
    <t>GREATER TEXOMA UTIL AUTH TEX CONTRACT   03.12500% 10/01/2034REV CONTRACT REV BDSSHERMAN PROJ SER.</t>
  </si>
  <si>
    <t>GULF COAST AUTH TEX BAYPORT AREA SYS REV03.50000% 10/01/2034BDS SER. 2018</t>
  </si>
  <si>
    <t>HARRIS CNTY TEX WTR CTL &amp;IMPT DIST NO 8903.25000% 10/01/2034ULTD TAX REF BDS    SER. 2016</t>
  </si>
  <si>
    <t>HILLSBOROUGH CNTY   FLA FOURTH CENT     03.50000% 10/01/2034TOURIST DEV TAX REV REF REV BDS SER.</t>
  </si>
  <si>
    <t>HOWELL TWP N J GO   BDS SER. 2020       02.00000% 10/01/2034</t>
  </si>
  <si>
    <t>210(210)</t>
  </si>
  <si>
    <t>HUDSON CNTY N J IMPTAUTH LEASE REV SECD 03.00000% 10/01/2034BDS HUDSON CNTY     COURTHOUSE PROJ SER.</t>
  </si>
  <si>
    <t>ILLINOIS FIN AUTH   HEALTH SVCS FAC     05.00000% 10/01/2034LEASE REV BDS       PROVIDENT GROUP UIC</t>
  </si>
  <si>
    <t>305(25)</t>
  </si>
  <si>
    <t>ILLINOIS ST GO BDS  SER. OCTOBER 2022B  05.00000% 10/01/2034</t>
  </si>
  <si>
    <t>MIAMI-DADE CNTY FLA SPL OBLIG SUB SPL   00.00000% 10/01/2034OBLIG REF BDS SER.  2016</t>
  </si>
  <si>
    <t>265(10)</t>
  </si>
  <si>
    <t>MIAMI-DADE CNTY FLA WTR &amp; SWR REV SYS   03.00000% 10/01/2034REF BDS SER. 2017 B</t>
  </si>
  <si>
    <t>MILWAUKEE WIS MET   SEW DIST GO SEWERAGE03.00000% 10/01/2034SYS BDS SER. 2017 A</t>
  </si>
  <si>
    <t>MILWAUKEE WIS MET   SEW DIST GO SYS BDS 03.00000% 10/01/2034SER. 2020 A</t>
  </si>
  <si>
    <t>ORANGE CNTY FLA     TOURIST DEV TAX REV 04.00000% 10/01/2034REV REF BDS ORANGE  CNTY CONVENTION CTR</t>
  </si>
  <si>
    <t>ORANGE CNTY FLA WTR &amp;WASTEWTR REV REV   03.00000% 10/01/2034BDS SER. 2016</t>
  </si>
  <si>
    <t>OSCEOLA CNTY FLA    TRANSN REV PKWY IMPT00.00000% 10/01/2034REF BDS SER. 2019   A-2</t>
  </si>
  <si>
    <t>SOUTHWEST HIGHER ED AUTH INC TEX REV REF04.00000% 10/01/2034BDS SOUTHERN        METHODIST UNIV SER.</t>
  </si>
  <si>
    <t>ST PETERSBURG FLA   PUB UTIL REV REV BDS03.37500% 10/01/2034SER. 2014A</t>
  </si>
  <si>
    <t>SUNRISE FLA SPL     OBLIG BDS MUN       03.00000% 10/01/2034COMPLEX PROJ SER.   2020</t>
  </si>
  <si>
    <t>UNIVERSITY ILL UNIV REVS HEALTH SVCS    05.00000% 10/01/2034FACS SYS REF BDS    SER. 2023</t>
  </si>
  <si>
    <t>WINTER HAVEN FLA    UTIL SYS REV REF BDS03.00000% 10/01/2034SER.2015</t>
  </si>
  <si>
    <t>WINTER PARK FLA ELECREV REF BDS SER.201603.00000% 10/01/2034</t>
  </si>
  <si>
    <t>WOOD CNTY WIS GO REFBDS                 03.00000% 10/01/2034</t>
  </si>
  <si>
    <t>TEXAS ST TECHNICAL  COLLEGE SYS FING SYS03.00000% 10/15/2034REV REV IMPT AND REFBDS SER.2016</t>
  </si>
  <si>
    <t>WISCONSIN ST HEALTH &amp; EDL FACS AUTH REV 04.00000% 10/15/2034REF BDS GUNDERSEN   LUTHERAN SER. 2021 A</t>
  </si>
  <si>
    <t>DALLAS FORT WORTH   TEX INTL ARPT REV JT04.00000% 11/01/2034REF BDS SER. 2020 A</t>
  </si>
  <si>
    <t>DALLAS FORT WORTH   TEX INTL ARPT REV JT04.00000% 11/01/2034REF BDS SER. 2020 B</t>
  </si>
  <si>
    <t>5( 5)</t>
  </si>
  <si>
    <t>HARRIS CTR FOR      MENTAL HEALTH &amp; 05.00000% 11/01/2034INTELLECTUAL        DEVELOPMENTAL</t>
  </si>
  <si>
    <t xml:space="preserve">SFP ER D R </t>
  </si>
  <si>
    <t>ILLINOIS ST GO BDS  SER. NOVEMBER 2016  05.00000% 11/01/2034</t>
  </si>
  <si>
    <t>OAK PARK ILL GO CORPPURP BDS SER. 2016 D03.12500% 11/01/2034</t>
  </si>
  <si>
    <t>OAK PARK ILL GO CORPPURP BDS SER. 2015 B03.50000% 11/01/2034</t>
  </si>
  <si>
    <t>RIVIERA BEACH FLA   STORMWATER MGMT UTIL03.12500% 11/01/2034REV REV BDS SER.    2016</t>
  </si>
  <si>
    <t>WOODFORD MCLEAN &amp; LIVINGSTON CNTYS ILL04.00000% 11/01/2034CMNTY UNIT SCH DIST GO BDS SER. 2020B</t>
  </si>
  <si>
    <t>CHELFORD ONE MUN    UTIL DIST TEX HARRIS03.25000% 11/15/2034CNTY ULTD TAX BDS   SER. 2015</t>
  </si>
  <si>
    <t>CHICAGO ILL PK DIST GO UNLTD TAX BDS    04.00000% 11/15/2034SER. 2020E</t>
  </si>
  <si>
    <t>FLORIDA DEV FIN CORPHEALTHCARE FACS REV 04.00000% 11/15/2034BDS LAKELAND REGL   HLTH SYS SER. 2021</t>
  </si>
  <si>
    <t>TARRANT CNTY TEX    CULTURAL ED FACS FIN04.00000% 11/15/2034CORP HOSP REV REV   BDS BAYLOR SCOTT &amp;</t>
  </si>
  <si>
    <t>350(10)</t>
  </si>
  <si>
    <t>ARLINGTON TEX HIGHERED FIN CORP ED REV  05.00000% 12/01/2034BDS UPLIFT EDUCATIONSER. 2023A</t>
  </si>
  <si>
    <t>CHAMPAIGN &amp; VERMILLION CNTYS ILL03.00000% 12/01/2034CMNTY HIGH SCH DIST NO 305 GO BDS SER.</t>
  </si>
  <si>
    <t>CINCO TEX MUN UTIL  DIST NO 1 CONTRACT  03.62500% 12/01/2034REV REV BDS SER.    2014</t>
  </si>
  <si>
    <t>COOK CNTY ILL CMNTY CONS SCH DIST NO 02104.00000% 12/01/2034WHEELING GO SCH BLDGBDS SER. 2019A</t>
  </si>
  <si>
    <t>COOK CNTY ILL CMNTY CONS SCH DIST NO 02104.00000% 12/01/2034WHEELING GO BLDG BDSSER. 2020 A</t>
  </si>
  <si>
    <t>COOK CNTY ILL CMNTY CONS SCH DIST NO 06403.00000% 12/01/2034PARK RIDGE GO LTD   TAX BDS SER. 2022</t>
  </si>
  <si>
    <t>COOK CNTY ILL CMNTY HIGH SCH D IST NO   03.12500% 12/01/2034218 DWIGHT D        EISENHOWR GO LTD TAX</t>
  </si>
  <si>
    <t>COOK CNTY ILL CMNTY UNIT SCH DIST NO 40103.37500% 12/01/2034ELMWOOD PK GO LTD   SCH BDS SER. 2019 A</t>
  </si>
  <si>
    <t>COOK CNTY ILL SCH   DIST NO 30          03.12500% 12/01/2034NORTHBROOK-GLENVIEW GO SCH BDS SER. 2017</t>
  </si>
  <si>
    <t>COOK CNTY ILL SCH   DIST NO 069 SKOKIE  04.00000% 12/01/2034GO LTD TAX BDS SER. 2020</t>
  </si>
  <si>
    <t>COOK CNTY ILL SCH   DIST NO 87 BERKELEY 03.00000% 12/01/2034GO BDS SER. 2021</t>
  </si>
  <si>
    <t>COOK CNTY ILL SCH   DIST NO 095         03.25000% 12/01/2034BROOKFIELD GO BDS   SER. 2017 B</t>
  </si>
  <si>
    <t>COOK CNTY ILL SCH   DIST NO 144 GO LTD  04.00000% 12/01/2034SCH BDS SER. 2016 A</t>
  </si>
  <si>
    <t>DENTON TEX UTIL SYS REV REV BDS SER.    05.00000% 12/01/20342017</t>
  </si>
  <si>
    <t>EVANSTON ILL CORP   PURP BDS SER. 2018 A03.37500% 12/01/2034</t>
  </si>
  <si>
    <t>EVANSTON ILL GO CORPPURP BDS SER. 2016 A02.62500% 12/01/2034</t>
  </si>
  <si>
    <t>EVANSTON ILL GO CORPPURP BDS SER. 2017 A03.12500% 12/01/2034</t>
  </si>
  <si>
    <t>FORT BEND CNTY TEX  MUN UTIL DIST NO 16902.00000% 12/01/2034CONTRACT REV BDS    SER. 2020</t>
  </si>
  <si>
    <t>FORT MYERS FLA CAP  IMPT REV REF BDS    04.00000% 12/01/2034SER. 2016</t>
  </si>
  <si>
    <t>HOFFMAN ESTATES ILL GO BDS SER. 2017 A  03.12500% 12/01/2034</t>
  </si>
  <si>
    <t>ILLINOIS FIN AUTH   REV REV BDS MERCY   05.00000% 12/01/2034HEALTH SER. 2016</t>
  </si>
  <si>
    <t>ILLINOIS ST GO BDS  SER. DECEMBER 2021 B04.00000% 12/01/2034</t>
  </si>
  <si>
    <t>LAKE COOK KANE &amp; MCHENRY CNTYS ILL   03.00000% 12/01/2034CMNTY UNIT SCH DIST NO 220 GO BDS SER.</t>
  </si>
  <si>
    <t>MERCER &amp; ROCK ISLANDCNTYS ILL CMNTY UNIT03.00000% 12/01/2034SCH DIST NO 200 GO  BDS SER. 2021 D</t>
  </si>
  <si>
    <t>MOUNT PROSPECT ILL  GO BDS SER. 2017    03.12500% 12/01/2034</t>
  </si>
  <si>
    <t>MOUNT PROSPECT ILL  GO BDS SER. 2019B   03.00000% 12/01/2034</t>
  </si>
  <si>
    <t>NORTHERN ILL MUN PWRAGY PWR PROJ REV REV03.00000% 12/01/2034REF BDS PRAIRIE ST  PROJ SER. 2016 A</t>
  </si>
  <si>
    <t>155(10)</t>
  </si>
  <si>
    <t xml:space="preserve">SFP R I </t>
  </si>
  <si>
    <t>ORLAND PARK ILL GO  BDS SER. 2021 A     03.00000% 12/01/2034</t>
  </si>
  <si>
    <t>OSHKOSH WIS GO STR  IMPT BDS WINNEBAGO  02.75000% 12/01/2034CNTY SER. 2019A</t>
  </si>
  <si>
    <t>PASSAIC VALLEY N J  SEW COMMRS SWR SYS  03.00000% 12/01/2034BDS SER. J</t>
  </si>
  <si>
    <t>RED BANK N J GO IMPTWTR SWR PKG UTIL BDS02.37500% 12/01/2034SER. 2019</t>
  </si>
  <si>
    <t>200(10)</t>
  </si>
  <si>
    <t>ROSEMONT ILL GO CORPPURP REF BDS SER.   03.37500% 12/01/20342017</t>
  </si>
  <si>
    <t>ST CHARLES ILL GO   CORP PURP BDS SER.  03.00000% 12/01/20342020 A</t>
  </si>
  <si>
    <t>BRADLEY ILL GO BDS  SER. 2023           05.00000% 12/15/2034</t>
  </si>
  <si>
    <t>COASTAL WTR AUTH TEXCONTRACT REV REF BDS04.00000% 12/15/2034CITY OF HOUSTON     PROJS SER.2014</t>
  </si>
  <si>
    <t>CRYSTAL LAKE ILL PK DIST GO PK BDS SER. 04.00000% 12/15/20342024B</t>
  </si>
  <si>
    <t>HAMILTON TWP MERCER CNTY N J BRD ED SCH 03.00000% 12/15/2034BDS</t>
  </si>
  <si>
    <t>ILLINOIS FIN AUTH   REV LOC GOVT PROG   04.00000% 12/15/2034BDS DOWNERS GROVE   CMNTY HIGH SCH SER.</t>
  </si>
  <si>
    <t>KANE COOK &amp; DU PAGE CNTYS ILL CMNTY     03.00000% 12/15/2034COLLEGE DIST NO 509 GO REF BDS SER. 2019</t>
  </si>
  <si>
    <t>METROPOLITAN PIER &amp; EXPOSITION AUTH ILL 00.00000% 12/15/2034DEDICATED ST TAX REVBDS MC CORMICK PLACE</t>
  </si>
  <si>
    <t>NEW JERSEY ST TRANSNTR FD AUTH SYS BDS  00.00000% 12/15/2034SER. 2006C</t>
  </si>
  <si>
    <t>NEW JERSEY ST TRANSNTR FD AUTH          00.00000% 12/15/2034TRANSPORTATION SYS  BDS SER. 2009A</t>
  </si>
  <si>
    <t>NORTH FT BEND WTR   AUTH TEX WTR SYS REV04.00000% 12/15/2034REF BDS SER. 2021</t>
  </si>
  <si>
    <t>PARIS TEX           COMBINATION TAX SURP03.00000% 12/15/2034REV CFTS OF OBLIG   SER. 2021</t>
  </si>
  <si>
    <t>PIATT MACON &amp; MOULTRIE CNTYS ILL  03.00000% 12/15/2034CMNTY UNIT SCH DIST NO 100 GO BDS SER.</t>
  </si>
  <si>
    <t>SANGAMON CNTY ILL   LTD TAX GO BDS SER. 03.00000% 12/15/20342021</t>
  </si>
  <si>
    <t>BATAVIA ILL GO REF  BDS SER. 2015       03.37500% 01/01/2035</t>
  </si>
  <si>
    <t>CHICAGO ILL O HARE  INTL ARPT REV GEN   05.00000% 01/01/2035ARPT SR LIEN REV REFBDS SER. B</t>
  </si>
  <si>
    <t>CHICAGO ILL O HARE  INTL ARPT REV SR    04.00000% 01/01/2035LIEN GEN REF BDS    SER. 2020A</t>
  </si>
  <si>
    <t>CHICAGO ILL PK DIST GO UNLTD TAX REF BDS05.00000% 01/01/2035SER. 2020 F-2</t>
  </si>
  <si>
    <t>CHICAGO ILL PK DIST LTD TAX GO REF BDS  04.00000% 01/01/2035SER. 2021D</t>
  </si>
  <si>
    <t>CHICAGO ILL PK DIST GO LTD TAX REF BDS  05.00000% 01/01/2035SER. 2023C</t>
  </si>
  <si>
    <t>COOK CNTY ILL SCH   DIST 097 OAK PK GO  04.00000% 01/01/2035SCH BDS SER. 2019</t>
  </si>
  <si>
    <t>DEKALB CNTY ILL     CMNTY UNIT SCH DIST 03.25000% 01/01/2035NO 428 DEKALB GO REFBDS SER. 2017</t>
  </si>
  <si>
    <t>DEKALB CNTY ILL     CMNTY UNIT SCH DIST 03.25000% 01/01/2035NO 428 DEKALB GO REFSCH BDS SER. 2018 A</t>
  </si>
  <si>
    <t>DEKALB CNTY ILL     CMNTY UNIT SCH DIST 05.00000% 01/01/2035NO 428 DEKALB LTD   TAX GO DEBT CTFS</t>
  </si>
  <si>
    <t>DU PAGE &amp; COOK CNTYSILL CMNTY UNIT SCH  03.00000% 01/01/2035DIST NO 205 GO BDS  SER. 2020</t>
  </si>
  <si>
    <t>DU PAGE &amp; COOK CNTYSILL CMNTY UNIT SCH  03.00000% 01/01/2035DIST NO 205 GO BDS  SER. 2021 A</t>
  </si>
  <si>
    <t>DU PAGE CNTY ILL    CMNTY HIGH SCH DIST 03.50000% 01/01/2035NO 094 WEST CHICAGO GO SCH BDS SER. 2018</t>
  </si>
  <si>
    <t>KANE &amp; DU PAGE CNTYSILL CMNTY UNIT SCH  03.50000% 01/01/2035DIST NO 303 GO LTD  TAX SCH BDS SER.</t>
  </si>
  <si>
    <t>KANE MC HENRY COOK &amp;DE KALB CNTYS ILL   03.00000% 01/01/2035CMNTY UNIT SCH DIST NO 300 LTD TAX GO</t>
  </si>
  <si>
    <t>MANHATTAN ILL GO BDSSER. 2024 06.00000% 01/01/2035</t>
  </si>
  <si>
    <t xml:space="preserve">CP SFP GO </t>
  </si>
  <si>
    <t>MC HENRY &amp; KANE     CNTYS ILL CMNTY CONS03.37500% 01/01/2035SCH DIST NO 158 GO  REF BDS SER. 2017</t>
  </si>
  <si>
    <t>NORTH TEX TWY AUTH  REV REF SECOND TIER 04.00000% 01/01/2035SYS BDS SER. 2021 B</t>
  </si>
  <si>
    <t>NORTH TEX TWY AUTH  REV SYS REF BDS SER.04.00000% 01/01/2035B</t>
  </si>
  <si>
    <t>PEORIA ILL GO BDS   SER. 2016 C         03.50000% 01/01/2035</t>
  </si>
  <si>
    <t>PEORIA ILL GO BDS   SER. 2022           04.00000% 01/01/2035</t>
  </si>
  <si>
    <t>SAN ANTONIO TEX RIV AUTH WASTEWATER SYS 03.00000% 01/01/2035REV IMPT BDS SER.   2021</t>
  </si>
  <si>
    <t>WESTMONT ILL GO BDS SER. 2017           03.25000% 01/01/2035</t>
  </si>
  <si>
    <t>BAYTOWN TEX COMBI   TAX AND REV CTFS OF 03.00000% 02/01/2035OBLIG SER. 2016</t>
  </si>
  <si>
    <t>130(10)</t>
  </si>
  <si>
    <t>BAYTOWN TEX COMB TAXAND REV CTFS OBLIG  03.12500% 02/01/2035SER. 2019</t>
  </si>
  <si>
    <t>BLOOMFIELD TWP N J  GENERAL IMPT BDS    03.00000% 02/01/2035SER. 2019</t>
  </si>
  <si>
    <t>DE KALB &amp; KANE CNTYSILL CMNTY UNIT SCH  04.00000% 02/01/2035DIST NO 427 SYCAMOREGO REF BDS SER.</t>
  </si>
  <si>
    <t>DE KALB &amp; KANE CNTYSILL CMNTY UNIT SCH  04.00000% 02/01/2035DIST NO 427 SYCAMOREGO LTD TAX BDS SER.</t>
  </si>
  <si>
    <t>GALVESTON CNTY TEX  LTD TAX CNTY BLDG   03.00000% 02/01/2035BDS SER. 2017 A</t>
  </si>
  <si>
    <t>ILLINOIS ST GO REF  BDS SER. OCTOBER    05.00000% 02/01/20352024</t>
  </si>
  <si>
    <t>JOLIET ILL PK DIST  GO BDS SER. 2024 A  05.00000% 02/01/2035</t>
  </si>
  <si>
    <t>LIBERTY HILL TEX    INDPT SCH DIST UNLTD03.00000% 02/01/2035TAX BLDG BDS SER.   2021</t>
  </si>
  <si>
    <t>125( 10)</t>
  </si>
  <si>
    <t>LITTLE ELM TEX COMB TAX AND LTD PLDG REV03.25000% 02/01/2035CTFS OBLIG SER. 2018</t>
  </si>
  <si>
    <t>PASSAIC CNTY N J    IMPT AUTH CNTY GTD  03.00000% 02/01/2035GOVERNMENTAL LN REV GREEN BDS CITY OF</t>
  </si>
  <si>
    <t>ROCKWALL CNTY TEX   UNLTD TAX RD BDS    03.00000% 02/01/2035SER. 2020</t>
  </si>
  <si>
    <t>SCHERTZ TEX COMB TAXLTD PLEDGE REV CTFS 03.25000% 02/01/2035OF OBLIG SER. 2018</t>
  </si>
  <si>
    <t>TEMPLE TEX INDPT SCHDIST UNLTD TAX REF  03.00000% 02/01/2035BDS SER. 2020</t>
  </si>
  <si>
    <t>TRENTON TEX INDPT   SCH DIST UNLTD TAX  05.00000% 02/01/2035BLDG BDS SER. 2023</t>
  </si>
  <si>
    <t>TRINITY RIV AUTH TEXDENTON CREEK        04.00000% 02/01/2035WASTEWATER REV REGL TREATMENT SYS BDS</t>
  </si>
  <si>
    <t>TRINITY RIV AUTH TEXDENTON CREEK        03.00000% 02/01/2035WASTEWATER REV REGL TREATMENT SYS IMPT</t>
  </si>
  <si>
    <t>WACO TEX COMBI TAX  AND REV CTFS OF     03.00000% 02/01/2035OBLIG SER. 2016</t>
  </si>
  <si>
    <t>ALIEF TEX INDPT SCH DIST ULTD TAX SCH   03.00000% 02/15/2035BLDG AND REF BDS    SER.2016</t>
  </si>
  <si>
    <t>ALPINE TEX INDPT SCHDIST UNLTD TAX BLDG 03.00000% 02/15/2035BDS SER. 2019</t>
  </si>
  <si>
    <t>330(5)</t>
  </si>
  <si>
    <t>ANGLETON TEX INDPT  SCH DIST ULTD TAX   03.00000% 02/15/2035SCH BLDG BDS SER.   2017</t>
  </si>
  <si>
    <t>BASTROP TEX INDPT   SCH DIST UNLTD TAX  03.00000% 02/15/2035BLDG BDS SER. 2021</t>
  </si>
  <si>
    <t>BAY CITY TEX INDPT  SCH DIST ULTD TAX   03.00000% 02/15/2035SCH BLDG BDS SER.   2017</t>
  </si>
  <si>
    <t>BEAUMONT TEX INDPT  SCH DIST ULTD TAX   03.00000% 02/15/2035REF BDS SER. 2017</t>
  </si>
  <si>
    <t>BRAZOSPORT TEX      COLLEGE DIST LTD TAX03.00000% 02/15/2035REF BDS SER. 2016</t>
  </si>
  <si>
    <t>BRYAN TEX INDPT SCH DIST ULTD TAX SCH   03.37500% 02/15/2035BLDG BDS SER. 2017</t>
  </si>
  <si>
    <t>CAMERON CNTY TEX    CTFS OBLIG SER. 202103.00000% 02/15/2035</t>
  </si>
  <si>
    <t>CARROLL TEX INDPT   SCH DIST ULTD TAX   03.00000% 02/15/2035SCH BLDG BDS SER. 2017</t>
  </si>
  <si>
    <t>CLEBURNE TEX 4B     ECONOMIC DEVELOPMENT05.00000% 02/15/2035CORP SALES TAX REV  BDS SER. 2024</t>
  </si>
  <si>
    <t>COLDSPRING-OAKHURST TEX CONS INDPT SCH  03.00000% 02/15/2035DIST UNLTD TAX SCH  BLDG BDS SER. 2018</t>
  </si>
  <si>
    <t>COLLEGE STATION TEX GO IMPT AND REF BDS 03.00000% 02/15/2035SER. 2017</t>
  </si>
  <si>
    <t>COLLEGE STATION TEX CTFS OF OBLIG SER.  03.00000% 02/15/20352017</t>
  </si>
  <si>
    <t>CONROE TEX INDPT SCHDIST ULTD TAX BLDG  03.00000% 02/15/2035BDS SER. 2020</t>
  </si>
  <si>
    <t>CONROE TEX INDPT SCHDIST ULTD TAX REF   03.50000% 02/15/2035BDS SER. 2015</t>
  </si>
  <si>
    <t>CORINTH TEX COMB TAXLTD SUR REV CTFS OF 03.12500% 02/15/2035OBLIG SER. 2019</t>
  </si>
  <si>
    <t>CYPRESS-FAIRBANKS   TEX INDPT SCH DIST  03.00000% 02/15/2035UNLTD TAX BLDG BDS  SER. 2019 A</t>
  </si>
  <si>
    <t>CYPRESS-FAIRBANKS   TEX INDPT SCH DIST  03.00000% 02/15/2035UNLTD TAX BLDG REF  BDS SER. 2020A</t>
  </si>
  <si>
    <t>DALLAS TEX INDPT SCHDIST ULTD TAX SCH   03.00000% 02/15/2035BLDG BDS SER. 2016 A</t>
  </si>
  <si>
    <t>DE SOTO TEX         COMBINATION TAX REV 03.00000% 02/15/2035CTFS OBLIG SER. 2020</t>
  </si>
  <si>
    <t>DENTON CNTY TEX     FRESH WTR SUPPLY    03.25000% 02/15/2035DIST NO 7 ULTD TAX  RD BDS SER. 2017</t>
  </si>
  <si>
    <t>DENTON TEX CTFS     OBLIG SER.2016      03.00000% 02/15/2035</t>
  </si>
  <si>
    <t>DENTON TEX CTFS     OBLIG SER. 2018 A   03.37500% 02/15/2035</t>
  </si>
  <si>
    <t>DENTON TEX CTFS OF  OBLIG SER. 2019     03.00000% 02/15/2035</t>
  </si>
  <si>
    <t>DENTON TEX GO BDS   SER. 2018           03.50000% 02/15/2035</t>
  </si>
  <si>
    <t>EAST ALDINE MGMT    DIST TEX SALES TAX  04.00000% 02/15/2035REV REV AND REF BDS SER. 2016</t>
  </si>
  <si>
    <t>EULESS TEX WTRWKS   SWR SYS REV CTFS    03.25000% 02/15/2035OBLI SER. 2018</t>
  </si>
  <si>
    <t>FATE TEX GO BDS SER.2021 A              03.00000% 02/15/2035</t>
  </si>
  <si>
    <t>FLOYDADA TEX INDPT  SCH DIST ULTD TAX   03.00000% 02/15/2035SCH BLDG BDS SER.   2017</t>
  </si>
  <si>
    <t>FORT WORTH TEX WTR &amp;SWR REV SYS BDS SER.03.25000% 02/15/20352018</t>
  </si>
  <si>
    <t>FRISCO TEX CMNTY DEVCORP SALES TAX REV  04.00000% 02/15/2035REV BDS SER. 2016A</t>
  </si>
  <si>
    <t>FRISCO TEX GO BDS   SER. 2017           03.12500% 02/15/2035</t>
  </si>
  <si>
    <t>GARLAND TEX COMBI   TAX AND REV CTFS OF 03.37500% 02/15/2035OBLIG SER. 2018</t>
  </si>
  <si>
    <t>GOOSE CREEK TEX CONSINDPT SCH DIST UNLTD03.00000% 02/15/2035TAX BLDG BDS SER.   2020</t>
  </si>
  <si>
    <t>GRAND PRAIRIE TEX   SALES TAX REV REV   03.25000% 02/15/2035BDS SER. 2016</t>
  </si>
  <si>
    <t>HAYS CNTY TEX LTD   TAX BDS SER. 2017   04.00000% 02/15/2035</t>
  </si>
  <si>
    <t>HAYS CNTY TEX PASS  THRU TOLL REV REV   02.75000% 02/15/2035AND LTD TAX BDS SER.2016</t>
  </si>
  <si>
    <t>HAYS CNTY TEX UNLTD TAX RD BDS SER. 201903.00000% 02/15/2035</t>
  </si>
  <si>
    <t>HIGHLAND PARK TEX   INDPT SCH DIST ULTD 03.00000% 02/15/2035TAX SCH BLDG BDS    SER. 2016</t>
  </si>
  <si>
    <t>HIGHLAND PARK TEX   INDPT SCH DIST UNLTD03.25000% 02/15/2035TAX SCH BLDG BDS    SER. 2018</t>
  </si>
  <si>
    <t>HUFFMAN TEX INDPT   SCH DIST ULTD TAX   03.25000% 02/15/2035SCH BLDG BDS SER.   2017 A</t>
  </si>
  <si>
    <t>JARRELL TEX INDPT   SCH DIST UNLTD TAX  03.25000% 02/15/2035SCH BLDG BDS SER.   2018</t>
  </si>
  <si>
    <t>KAUFMAN CNTY TEX    UNLTD TAX RD BDS    04.00000% 02/15/2035SER. 2022</t>
  </si>
  <si>
    <t>LA PORTE TEX INDPT  SCH DIST ULTD TAX   03.00000% 02/15/2035SCH BLDG BDS        SER.2016</t>
  </si>
  <si>
    <t>LAMAR TEX CONS INDPTSCH DIST UNLTD TAX  03.00000% 02/15/2035HOUSE BDS SER. 2021</t>
  </si>
  <si>
    <t>225(20)</t>
  </si>
  <si>
    <t>LANCASTER TEX GO REFBDS SER. 2020       04.00000% 02/15/2035</t>
  </si>
  <si>
    <t>LEAGUE CITY TEX     COMBI TAX AND REV   03.12500% 02/15/2035CTFS OF OBLG SER.   2017</t>
  </si>
  <si>
    <t>LEAGUE CITY TEX GO  IMPT BDS SER. 2021  03.00000% 02/15/2035</t>
  </si>
  <si>
    <t>LONE STAR COLLEGE   SYS TEX LTD TAX GO  03.00000% 02/15/2035BDS SER. 2021 A</t>
  </si>
  <si>
    <t>LONE STAR COLLEGE   SYS TEX REV FING SYS04.00000% 02/15/2035REV REF BDS SER.    2021</t>
  </si>
  <si>
    <t>LUBBOCK COOPER TEX  INDPT SCH DIST UNLTD04.00000% 02/15/2035TAX BLDG BDS SER.   2021</t>
  </si>
  <si>
    <t>LUBBOCK TEX TAX WTR WKS SYS SURP REV    04.00000% 02/15/2035CTFS OBLIG SER. 2019</t>
  </si>
  <si>
    <t>LUBBOCK TEX WTR &amp; WASTEWATER SYS REV  04.00000% 02/15/2035BDS SER. 2020A</t>
  </si>
  <si>
    <t>MANSFIELD TEX COMBI TAX AND REV CTFS OF 03.62500% 02/15/2035OBLIG SER. 2017</t>
  </si>
  <si>
    <t>MC ALLEN TEX INDPT  SCH DIST MAINTENANCE04.00000% 02/15/2035TAX NTS SER. 2020</t>
  </si>
  <si>
    <t>MC KINNEY TEX INDPT SCH DIST ULTD TAX   02.75000% 02/15/2035SCH BLDG BDS SER.   2016 A</t>
  </si>
  <si>
    <t>MELISSA TEX         COMBINATION TAX LTD 04.00000% 02/15/2035SURP REV CTFS OBLIG SER. 2021</t>
  </si>
  <si>
    <t>MERCER CNTY N J GO  CAP IMPT OPEN SPACE 03.00000% 02/15/2035FARNLAND            PRESERVATION BDS</t>
  </si>
  <si>
    <t>MURPHY TEX GO BDS   SER. 2018           03.00000% 02/15/2035</t>
  </si>
  <si>
    <t>NORTHWEST TEX INDPT SCH DIST UNLTD TAX  03.00000% 02/15/2035BLDG BDS SER. 2021</t>
  </si>
  <si>
    <t>NUECES CNTY TEX LTD TAX REF BDS SER.    04.00000% 02/15/20352019</t>
  </si>
  <si>
    <t>NUECES CNTY TEX LTD TAX REF BDS SER.    04.00000% 02/15/20352021 A</t>
  </si>
  <si>
    <t>PANOLA COLLEGE DIST TEX GO BDS SER. 201403.50000% 02/15/2035</t>
  </si>
  <si>
    <t>PASADENA TEX        COMBINATION TAX REV 04.00000% 02/15/2035CTFS OBLIG SER. 2022</t>
  </si>
  <si>
    <t>PASADENA TEX COMBI  TAX AND REV CTFS OF 03.00000% 02/15/2035OBLIG SER. 2017</t>
  </si>
  <si>
    <t>155(5)</t>
  </si>
  <si>
    <t>PLANO TEX INDPT SCH DIST ULTD TAX SCH   03.50000% 02/15/2035BLDG BDS SER. 2016</t>
  </si>
  <si>
    <t>PROSPER TEX INDPT   SCH DIST SCH BLDG   03.00000% 02/15/2035BDS SER. 2016</t>
  </si>
  <si>
    <t>ROWLETT TEX GO BDS  SER. 2017           03.12500% 02/15/2035</t>
  </si>
  <si>
    <t>ROYAL TEX INDPT SCH DIST ULTD TAX REF   03.25000% 02/15/2035BDS SER. 2017</t>
  </si>
  <si>
    <t>SACHSE TEX COMBI TAXAND SURPLUS REV CTFS03.00000% 02/15/2035OF OBLIG SER. 2017</t>
  </si>
  <si>
    <t>SAN ANGELO TEX COMB TAX AND LTD SURPLUS 03.12500% 02/15/2035REV CTFS OF OBLIG   SER. 2016</t>
  </si>
  <si>
    <t>SAN JACINTO TEX     CMNTY COLLEGE DIST  03.00000% 02/15/2035LTD TAX GO BLDG REF BDS SER. 2022</t>
  </si>
  <si>
    <t>SHELDON TEX INDPT   SCH DIST ULTD TAX   03.12500% 02/15/2035SCH BLDG AND REF BDSSER. 2016</t>
  </si>
  <si>
    <t>SHELDON TEX INDPT   SCH DIST ULTD TAX   03.00000% 02/15/2035SCH BULDG REF BDS   SER. 2018</t>
  </si>
  <si>
    <t>SOUTHLAKE TEX CMNTY ENHANCEMENT &amp; DEV   03.12500% 02/15/2035CORP SALES TAX REV  REV BDS SER. 2017</t>
  </si>
  <si>
    <t>TEXARKANA TEX COMBI TAX AND REV CTFS OF 03.37500% 02/15/2035OBLIG SER. 2017</t>
  </si>
  <si>
    <t>WALLER CNTY TEX GO  BDS SER. 2018       03.37500% 02/15/2035</t>
  </si>
  <si>
    <t>105(105)</t>
  </si>
  <si>
    <t>WESLACO TEX CTFS    OBLIG SER. 2021     03.00000% 02/15/2035</t>
  </si>
  <si>
    <t>CHUBB INA HLDGS INC NOTE CALL MAKE WHOLE3.15000% 03/15/2025</t>
  </si>
  <si>
    <t>Corp</t>
  </si>
  <si>
    <t>1,000(250)</t>
  </si>
  <si>
    <t>54(2)</t>
  </si>
  <si>
    <t xml:space="preserve">IE SFP D </t>
  </si>
  <si>
    <t>LAM RESEARCH CORP   NOTE                3.80000% 03/15/2025</t>
  </si>
  <si>
    <t>500(10)</t>
  </si>
  <si>
    <t xml:space="preserve">IE SFP </t>
  </si>
  <si>
    <t>EXXON MOBIL CORP    NOTE                2.99200% 03/19/2025</t>
  </si>
  <si>
    <t>750(2)</t>
  </si>
  <si>
    <t>DISNEY WALT CO      NOTE CALL MAKE WHOLE3.35000% 03/24/2025</t>
  </si>
  <si>
    <t>125(10)</t>
  </si>
  <si>
    <t>14(2)</t>
  </si>
  <si>
    <t>CHILE(REPUBLIC OF)  BOND                3.12500% 03/27/2025 ISIN #US168863BW77  SEDOL #BTC0JF8</t>
  </si>
  <si>
    <t>NIKE INC            NOTE                2.40000% 03/27/2025</t>
  </si>
  <si>
    <t>125(2)</t>
  </si>
  <si>
    <t>196(10)</t>
  </si>
  <si>
    <t>BURLINGTON NORTHN   SANTA FE CP BOND    3.00000% 04/01/2025</t>
  </si>
  <si>
    <t>930(250)</t>
  </si>
  <si>
    <t>40(25)</t>
  </si>
  <si>
    <t>EOG RES INC         NOTE                3.15000% 04/01/2025</t>
  </si>
  <si>
    <t>RENAISSANCERE FIN   INC NOTE            3.70000% 04/01/2025</t>
  </si>
  <si>
    <t>500(2)</t>
  </si>
  <si>
    <t>SCHWAB CHARLES CORP SER A NOTE          3.62500% 04/01/2025</t>
  </si>
  <si>
    <t>UNITED PARCEL SVCS  INC NOTE            3.90000% 04/01/2025</t>
  </si>
  <si>
    <t>340(250)</t>
  </si>
  <si>
    <t>AMERIPRISE FINL INC NOTE                3.00000% 04/02/2025</t>
  </si>
  <si>
    <t>EQUINOR ASA         NOTE                2.87500% 04/06/2025</t>
  </si>
  <si>
    <t>125(1)</t>
  </si>
  <si>
    <t xml:space="preserve"> 250(1)</t>
  </si>
  <si>
    <t>AMAZON COM INC      NOTE CALL MAKE WHOLE3.00000% 04/13/2025</t>
  </si>
  <si>
    <t>525(10)</t>
  </si>
  <si>
    <t>ROYAL BK CDA        SER I MTN           3.37500% 04/14/2025</t>
  </si>
  <si>
    <t xml:space="preserve">IE CP SFP D </t>
  </si>
  <si>
    <t>BERKSHIRE HATHAWAY  ENERGY CO SER B NOTE4.05000% 04/15/2025 CALL MAKE WHOLE</t>
  </si>
  <si>
    <t>25(2)</t>
  </si>
  <si>
    <t>BROWN FORMAN CORP   NOTE                3.50000% 04/15/2025</t>
  </si>
  <si>
    <t>DEERE &amp;CO           NOTE CALL MAKE WHOLE2.75000% 04/15/2025</t>
  </si>
  <si>
    <t>143(5)</t>
  </si>
  <si>
    <t>HOME DEPOT INC      NOTE CALL MAKE WHOLE2.70000% 04/15/2025</t>
  </si>
  <si>
    <t>250(2)</t>
  </si>
  <si>
    <t>147(2)</t>
  </si>
  <si>
    <t>REALTY INCOME CORP  NOTE                3.87500% 04/15/2025</t>
  </si>
  <si>
    <t>38(10)</t>
  </si>
  <si>
    <t>TARGET CORP         NOTE CALL MAKE WHOLE2.25000% 04/15/2025</t>
  </si>
  <si>
    <t>300(250)</t>
  </si>
  <si>
    <t>213(2)</t>
  </si>
  <si>
    <t>THE CIGNA GROUP     SER C NOTE          3.25000% 04/15/2025</t>
  </si>
  <si>
    <t>BANK NEW YORK MELLONCORP SER J MTN      1.60000% 04/24/2025</t>
  </si>
  <si>
    <t>125(15)</t>
  </si>
  <si>
    <t>63(10)</t>
  </si>
  <si>
    <t>ROYAL BK CDA        SER I MTN           4.95000% 04/25/2025</t>
  </si>
  <si>
    <t>42(2)</t>
  </si>
  <si>
    <t>CANADIAN IMPERIAL BKCOMM NOTE           5.14400% 04/28/2025</t>
  </si>
  <si>
    <t>1,803(2)</t>
  </si>
  <si>
    <t>HOME DEPOT INC      NOTE CALL MAKE WHOLE5.12500% 04/30/2025</t>
  </si>
  <si>
    <t>550(10)</t>
  </si>
  <si>
    <t>2(2)</t>
  </si>
  <si>
    <t>PEPSICO INC NOTE                2.75000% 04/30/2025</t>
  </si>
  <si>
    <t>4(2)</t>
  </si>
  <si>
    <t>BANK MONTREAL MEDIUMSER F MTN           1.85000% 05/01/2025</t>
  </si>
  <si>
    <t>910(910)</t>
  </si>
  <si>
    <t>625(10)</t>
  </si>
  <si>
    <t>PHILIP MORRIS INTL  INC NOTE            1.50000% 05/01/2025 CALL MAKE WHOLE</t>
  </si>
  <si>
    <t>TRUIST FINL CORP    SER G NOTE          4.00000% 05/01/2025</t>
  </si>
  <si>
    <t>1,000(25)</t>
  </si>
  <si>
    <t>1,440(5)</t>
  </si>
  <si>
    <t>APPLE INC           NOTE CALL MAKE WHOLE1.12500% 05/11/2025</t>
  </si>
  <si>
    <t>28(2)</t>
  </si>
  <si>
    <t>38(2)</t>
  </si>
  <si>
    <t>CHEVRON CORPORATION NOTE CALL MAKE WHOLE1.55400% 05/11/2025</t>
  </si>
  <si>
    <t>SHELL INTERNATIONAL FIN BV NOTE          3.25000% 05/11/2025CALL MAKE WHOLE     ISIN #US822582BD31</t>
  </si>
  <si>
    <t>6(1)</t>
  </si>
  <si>
    <t>US BANCORP          SER AA MTN          1.45000% 05/12/2025</t>
  </si>
  <si>
    <t>1,000(1)</t>
  </si>
  <si>
    <t>500(1)</t>
  </si>
  <si>
    <t>APPLE INC           NOTE CALL MAKE WHOLE 3.20000% 05/13/2025</t>
  </si>
  <si>
    <t>330(2)</t>
  </si>
  <si>
    <t>CATERPILLAR FINL    SVCS MTNS BE SER J  3.40000% 05/13/2025 CALL MAKE WHOLE</t>
  </si>
  <si>
    <t>3(1)</t>
  </si>
  <si>
    <t>ABBVIE INC          NOTE                3.60000% 05/14/2025</t>
  </si>
  <si>
    <t>660(250)</t>
  </si>
  <si>
    <t>340(340)</t>
  </si>
  <si>
    <t>LLOYDS BANK PLC     NOTE                3.50000% 05/14/2025</t>
  </si>
  <si>
    <t>550(200)</t>
  </si>
  <si>
    <t>CATERPILLAR FINL    SVCS S BE MTN       1.45000% 05/15/2025 CALL MAKE WHOLE</t>
  </si>
  <si>
    <t>37(1)</t>
  </si>
  <si>
    <t>CONOCOPHILLIPS      COMPANY NOTE        3.35000% 05/15/2025</t>
  </si>
  <si>
    <t>45(2)</t>
  </si>
  <si>
    <t>GENERAL DYNAMICS    CORP NOTE           3.50000% 05/15/2025 CALL MAKE WHOLE</t>
  </si>
  <si>
    <t>20(2)</t>
  </si>
  <si>
    <t>GLAXOSMITHKLINE CAP INC NOTE            3.62500% 05/15/2025 CALL MAKE WHOLE     ISIN #US377372AM97</t>
  </si>
  <si>
    <t>PRINCIPAL FINANCIAL GROUP INC NOTE      3.40000% 05/15/2025</t>
  </si>
  <si>
    <t>10(2)</t>
  </si>
  <si>
    <t>PUBLIC SERVICE CO   COLO BOND           2.90000% 05/15/2025</t>
  </si>
  <si>
    <t>250(1)</t>
  </si>
  <si>
    <t>PUBLIC SVC ELEC &amp;GASCO MTN              3.00000% 05/15/2025</t>
  </si>
  <si>
    <t>675(1)</t>
  </si>
  <si>
    <t>TENNESSEE VALLEY    AUTHORITY NOTE      0.75000% 05/15/2025</t>
  </si>
  <si>
    <t>5,000(100)</t>
  </si>
  <si>
    <t>773(100)</t>
  </si>
  <si>
    <t>PFIZER INVT         ENTERPRISES NOTE    4.65000% 05/19/2025 CALL MAKE WHOLE     ISIN #US716973AA02</t>
  </si>
  <si>
    <t>730(250)</t>
  </si>
  <si>
    <t>QUALCOMM INC        NOTE                3.45000% 05/20/2025</t>
  </si>
  <si>
    <t>177(2)</t>
  </si>
  <si>
    <t>SCHWAB CHARLES CORP NOTE CALL MAKE WHOLE3.85000% 05/21/2025</t>
  </si>
  <si>
    <t>194(2)</t>
  </si>
  <si>
    <t>AMERICAN HONDA FIN  CORP  SER A MTN     5.00000% 05/23/2025 CALL MAKE WHOLE</t>
  </si>
  <si>
    <t>720(720)</t>
  </si>
  <si>
    <t>647(2)</t>
  </si>
  <si>
    <t>INTERCONTINENTAL    EXCHANGE INC NOTE   3.65000% 05/23/2025 CALL MAKE WHOLE</t>
  </si>
  <si>
    <t>NUCOR CORP          NOTE CALL MAKE WHOLE3.95000% 05/23/2025</t>
  </si>
  <si>
    <t>475(10)</t>
  </si>
  <si>
    <t>BANCO SANTANDER S.A.NOTE                2.74600% 05/28/2025</t>
  </si>
  <si>
    <t>222(200)</t>
  </si>
  <si>
    <t>PFIZER INC          NOTE CALL MAKE WHOLE0.80000% 05/28/2025</t>
  </si>
  <si>
    <t>AVALONBAY CMNTYS INCMTN                 3.45000% 06/01/2025</t>
  </si>
  <si>
    <t>1(1)</t>
  </si>
  <si>
    <t>BOSTON SCIENTIFIC   CORP NOTE           1.90000% 06/01/2025 CALL MAKE WHOLE</t>
  </si>
  <si>
    <t>950(250)</t>
  </si>
  <si>
    <t>5(2)</t>
  </si>
  <si>
    <t>EATON CORP OHIO     BOND                6.50000% 06/01/2025</t>
  </si>
  <si>
    <t>ELI LILLY &amp;CO       NOTE                2.75000% 06/01/2025</t>
  </si>
  <si>
    <t>600(2)</t>
  </si>
  <si>
    <t>EMERSON ELEC CO     NOTE                3.15000% 06/01/2025</t>
  </si>
  <si>
    <t>ERP OPER LTD        PARTNERSHIP NOTE    3.37500% 06/01/2025</t>
  </si>
  <si>
    <t>HERSHEY CO          NOTE CALL MAKE WHOLE0.90000% 06/01/2025</t>
  </si>
  <si>
    <t>HONEYWELL INTL INC  NOTE CALL MAKE WHOLE1.35000% 06/01/2025</t>
  </si>
  <si>
    <t>NUCOR CORP          NOTE CALL MAKE WHOLE2.00000% 06/01/2025</t>
  </si>
  <si>
    <t>4,000(250)</t>
  </si>
  <si>
    <t>21(2)</t>
  </si>
  <si>
    <t>PAYPAL HLDGS INC    NOTE CALL MAKE WHOLE1.65000% 06/01/2025</t>
  </si>
  <si>
    <t>500(250)</t>
  </si>
  <si>
    <t>PNC BK N A          PITTSBURGH PA DISC  3.25000% 06/01/2025 MTN</t>
  </si>
  <si>
    <t>250(250)</t>
  </si>
  <si>
    <t>SOUTHERN CALIFORNIA EDISON CO SER 2022C 4.20000% 06/01/2025 BOND CALL MAKE WHOLE</t>
  </si>
  <si>
    <t>AMAZON COM INC      NOTE CALL MAKE WHOLE0.80000% 06/03/2025</t>
  </si>
  <si>
    <t>151(2)</t>
  </si>
  <si>
    <t>TRUIST FINL CORP    SER G MTN           3.70000% 06/05/2025</t>
  </si>
  <si>
    <t>1,950(25)</t>
  </si>
  <si>
    <t>JOHN DEERE CAPITAL  CORPORATION MTN     3.40000% 06/06/2025</t>
  </si>
  <si>
    <t>700(1)</t>
  </si>
  <si>
    <t>TORONTO DOMINION BK ONT MTN             3.76600% 06/06/2025 CALL MAKE WHOLE     ISIN #US89115A2A98</t>
  </si>
  <si>
    <t>181(2)</t>
  </si>
  <si>
    <t>BANK MONTREAL MEDIUMSER H MTN           3.70000% 06/07/2025 CALL MAKE WHOLE</t>
  </si>
  <si>
    <t>490(2)</t>
  </si>
  <si>
    <t>ROYAL BK CDA        SER H NOTE          1.15000% 06/10/2025</t>
  </si>
  <si>
    <t>713(2)</t>
  </si>
  <si>
    <t>BANK NOVA SCOTIA B CNOTE                1.30000% 06/11/2025 ISIN #US064159VL70  SEDOL #BMG11G3</t>
  </si>
  <si>
    <t>200(2)</t>
  </si>
  <si>
    <t>BANK NOVA SCOTIA B CMTN CALL MAKE WHOLE 5.45000% 06/12/2025 ISIN #US06418GAC15</t>
  </si>
  <si>
    <t>341(25)</t>
  </si>
  <si>
    <t>TORONTO DOMINION BK ONT SER C MTN       1.15000% 06/12/2025 CALL MAKE WHOLE</t>
  </si>
  <si>
    <t>700(10)</t>
  </si>
  <si>
    <t>CISCO SYS INC       NOTE CALL MAKE WHOLE3.50000% 06/15/2025</t>
  </si>
  <si>
    <t>3(2)</t>
  </si>
  <si>
    <t>NATIONAL RURAL UTILSCOOP FIN MTN        3.45000% 06/15/2025 CALL MAKE WHOLE</t>
  </si>
  <si>
    <t>SOUTHERN CALIF GAS  CO BOND             3.20000% 06/15/2025 CALL MAKE WHOLE</t>
  </si>
  <si>
    <t>5(1)</t>
  </si>
  <si>
    <t>WALMART INC         NOTE CALL MAKE WHOLE3.55000% 06/26/2025</t>
  </si>
  <si>
    <t>43(2)</t>
  </si>
  <si>
    <t>CITIGROUP GLOBAL    MKTS HLDGS IN SER N 4.75000% 06/30/2025 MTN</t>
  </si>
  <si>
    <t>100(1)</t>
  </si>
  <si>
    <t>500(5)</t>
  </si>
  <si>
    <t>TOYOTA MTR CR CORP  SER B MTN           3.95000% 06/30/2025</t>
  </si>
  <si>
    <t>2,000(250)</t>
  </si>
  <si>
    <t>175(15)</t>
  </si>
  <si>
    <t>NORTHERN STS PWR CO MINN BOND           7.12500% 07/01/2025</t>
  </si>
  <si>
    <t>250(25)</t>
  </si>
  <si>
    <t>4(1)</t>
  </si>
  <si>
    <t>PACIFICORP          BOND CALL MAKE WHOLE3.35000% 07/01/2025</t>
  </si>
  <si>
    <t>70(2)</t>
  </si>
  <si>
    <t>MORGAN STANLEY      MTN                 4.50000% 07/05/2025</t>
  </si>
  <si>
    <t>AMERICAN HONDA FIN  CORP  MTN           1.20000% 07/08/2025 CALL MAKE WHOLE</t>
  </si>
  <si>
    <t>22(2)</t>
  </si>
  <si>
    <t>SUMITOMO MITSUI FIN GRP INC NOTE        1.47400% 07/08/2025</t>
  </si>
  <si>
    <t>625(200)</t>
  </si>
  <si>
    <t>CATERPILLAR FINL    SVCS S BE MTN       3.25000% 07/15/2025</t>
  </si>
  <si>
    <t xml:space="preserve">IE CP SFP D SO </t>
  </si>
  <si>
    <t>EIDP INC            NOTE CALL MAKE WHOLE1.70000% 07/15/2025</t>
  </si>
  <si>
    <t>470(2)</t>
  </si>
  <si>
    <t>INTUIT              NOTE CALL MAKE WHOLE0.95000% 07/15/2025</t>
  </si>
  <si>
    <t>110(2)</t>
  </si>
  <si>
    <t>JPMORGAN CHASE &amp;CO  BOND                7.75000% 07/15/2025</t>
  </si>
  <si>
    <t>915(1)</t>
  </si>
  <si>
    <t>JPMORGAN CHASE &amp;CO  NOTE                3.90000% 07/15/2025</t>
  </si>
  <si>
    <t>1,000(50)</t>
  </si>
  <si>
    <t>UNION PAC CORP      NOTE CALL MAKE WHOLE3.75000% 07/15/2025</t>
  </si>
  <si>
    <t>23(1)</t>
  </si>
  <si>
    <t>UNITEDHEALTH GROUP  INC NOTE            3.75000% 07/15/2025 CALL MAKE WHOLE</t>
  </si>
  <si>
    <t>MORGAN STANLEY BK N A NOTE              5.47900% 07/16/2025 CALL MAKE WHOLE</t>
  </si>
  <si>
    <t>550(250)</t>
  </si>
  <si>
    <t>MITSUBISHI UFJ      FINANCIAL GROUP NOTE1.41200% 07/17/2025</t>
  </si>
  <si>
    <t>250(200)</t>
  </si>
  <si>
    <t>675(200)</t>
  </si>
  <si>
    <t>PEPSICO INC         NOTE CALL MAKE WHOLE3.50000% 07/17/2025</t>
  </si>
  <si>
    <t>625(2)</t>
  </si>
  <si>
    <t>CANADIAN IMPERIAL BKCOMM MTN            6.00000% 07/21/2025</t>
  </si>
  <si>
    <t>MORGAN STANLEY      MTN CALL MAKE WHOLE 4.00000% 07/23/2025</t>
  </si>
  <si>
    <t>2(1)</t>
  </si>
  <si>
    <t>77(5)</t>
  </si>
  <si>
    <t>INTERNATIONAL       BUSINESS MACHS NOTE 4.00000% 07/27/2025 CALL MAKE WHOLE</t>
  </si>
  <si>
    <t>525(100)</t>
  </si>
  <si>
    <t>500(100)</t>
  </si>
  <si>
    <t>UNILEVER CAP CORP   NOTE CALL MAKE WHOLE3.10000% 07/30/2025</t>
  </si>
  <si>
    <t>AMERICAN EXPRESS CO NOTE                3.95000% 08/01/2025</t>
  </si>
  <si>
    <t>BANK AMER CORP      MTN                  3.87500% 08/01/2025</t>
  </si>
  <si>
    <t>9(2)</t>
  </si>
  <si>
    <t>1,950(50)</t>
  </si>
  <si>
    <t>SOUTHERN CALIF      EDISON CO SER 2018E 3.70000% 08/01/2025 BOND CALL MAKE WHOLE</t>
  </si>
  <si>
    <t>625(1)</t>
  </si>
  <si>
    <t>CANADIAN IMPERIAL BKCOMM NOTE           3.94500% 08/04/2025 CALL MAKE WHOLE</t>
  </si>
  <si>
    <t>645(2)</t>
  </si>
  <si>
    <t>TRUIST FINL CORP    SER G MTN           1.20000% 08/05/2025</t>
  </si>
  <si>
    <t>CATERPILLAR FINL    SVCS MTNS BE SER K  5.15000% 08/11/2025 CALL MAKE WHOLE</t>
  </si>
  <si>
    <t>PACCAR FINANCIAL    CORP SER Q MTN      3.55000% 08/11/2025</t>
  </si>
  <si>
    <t>PHILIP MORRIS INTL  INC NOTE            3.37500% 08/11/2025 CALL MAKE WHOLE</t>
  </si>
  <si>
    <t>CATERPILLAR FINL    SVCS S BE MTN       3.65000% 08/12/2025 CALL MAKE WHOLE</t>
  </si>
  <si>
    <t>16(1)</t>
  </si>
  <si>
    <t>CHEVRON USA INC     NOTE CALL MAKE WHOLE0.68700% 08/12/2025</t>
  </si>
  <si>
    <t>8(2)</t>
  </si>
  <si>
    <t>ALPHABET INC        NOTE CALL MAKE WHOLE0.45000% 08/15/2025</t>
  </si>
  <si>
    <t>COLGATE PALMOLIVE CONOTE CALL MAKE WHOLE3.10000% 08/15/2025</t>
  </si>
  <si>
    <t>380(250)</t>
  </si>
  <si>
    <t>COMCAST CORP NEW    NOTE CALL MAKE WHOLE3.37500% 08/15/2025</t>
  </si>
  <si>
    <t>700(2)</t>
  </si>
  <si>
    <t>DUKE ENERGY PROGRESSLLC BOND            3.25000% 08/15/2025 CALL MAKE WHOLE</t>
  </si>
  <si>
    <t>95(10)</t>
  </si>
  <si>
    <t>KIMBERLY-CLARK CORP NOTE CALL MAKE WHOLE3.05000% 08/15/2025</t>
  </si>
  <si>
    <t>ROYAL BK CDA        SER L MTN           4.15000% 08/15/2025</t>
  </si>
  <si>
    <t>UNION PAC CORP      NOTE CALL MAKE WHOLE3.25000% 08/15/2025</t>
  </si>
  <si>
    <t>UBS AG LONDON BRANCHMTN                 4.25000% 08/17/2025</t>
  </si>
  <si>
    <t>40(20)</t>
  </si>
  <si>
    <t>BANCO SANTANDER S.A.SER 164 NOTE        5.14700% 08/18/2025</t>
  </si>
  <si>
    <t>475(200)</t>
  </si>
  <si>
    <t>240(240)</t>
  </si>
  <si>
    <t>BANK OF AMERICA NA  NOTE CALL MAKE WHOLE5.65000% 08/18/2025</t>
  </si>
  <si>
    <t>725(250)</t>
  </si>
  <si>
    <t>STATE STR CORP      NOTE                3.55000% 08/18/2025</t>
  </si>
  <si>
    <t>124(5)</t>
  </si>
  <si>
    <t>TOYOTA MTR CR CORP  SER B MTN           3.65000% 08/18/2025</t>
  </si>
  <si>
    <t>175(2)</t>
  </si>
  <si>
    <t>APPLE INC           NOTE CALL MAKE WHOLE0.55000% 08/20/2025</t>
  </si>
  <si>
    <t>550(15)</t>
  </si>
  <si>
    <t>HERSHEY CO          NOTE CALL MAKE WHOLE3.20000% 08/21/2025</t>
  </si>
  <si>
    <t>WESTPAC BKG CORP    NOTE                3.73500% 08/26/2025</t>
  </si>
  <si>
    <t>13(13)</t>
  </si>
  <si>
    <t>BURLINGTON NORTHN   SANTA FE CP BOND    3.65000% 09/01/2025 CALL MAKE WHOLE</t>
  </si>
  <si>
    <t>CUMMINS INC         NOTE CALL MAKE WHOLE0.75000% 09/01/2025</t>
  </si>
  <si>
    <t>165(2)</t>
  </si>
  <si>
    <t>JOHNSON &amp;JOHNSON    NOTE CALL MAKE WHOLE0.55000% 09/01/2025</t>
  </si>
  <si>
    <t>525(2)</t>
  </si>
  <si>
    <t>725(2)</t>
  </si>
  <si>
    <t>SIMON PPTY GROUP LP NOTE CALL MAKE WHOLE3.50000% 09/01/2025</t>
  </si>
  <si>
    <t>TENCENT MUSIC       ENTERTAINMENT GROUP 1.37500% 09/03/2025 NOTE CALL MAKE WHOLEISIN #US88034PAA75</t>
  </si>
  <si>
    <t>500(200)</t>
  </si>
  <si>
    <t>225(200)</t>
  </si>
  <si>
    <t>JOHN DEERE CAPITAL  CORPORATION SER H   4.05000% 09/08/2025 MTN</t>
  </si>
  <si>
    <t>JOHN DEERE CAPITAL  CORPORATION SER I   5.30000% 09/08/2025 MTN</t>
  </si>
  <si>
    <t>WALMART INC         NOTE CALL MAKE WHOLE3.90000% 09/09/2025</t>
  </si>
  <si>
    <t>AMERICAN HONDA FIN  CORP  MTN           1.00000% 09/10/2025 CALL MAKE WHOLE</t>
  </si>
  <si>
    <t>JOHN DEERE CAPITAL  CORPORATION MTN     3.40000% 09/11/2025 CALL MAKE WHOLE</t>
  </si>
  <si>
    <t>17(1)</t>
  </si>
  <si>
    <t>TORONTO DOMINION BK ONT MTN             0.75000% 09/11/2025 CALL MAKE WHOLE</t>
  </si>
  <si>
    <t>TOYOTA MTR CR CORP  SER B MTN           5.60000% 09/11/2025</t>
  </si>
  <si>
    <t>UBS AG LONDON BRANCHNOTE                5.80000% 09/11/2025 ISIN #US902674ZV55</t>
  </si>
  <si>
    <t>ABBOTT LABORATORIES SER B NOTE          3.87500% 09/15/2025 CALL MAKE WHOLE</t>
  </si>
  <si>
    <t>AUTOMATIC DATA      PROCESSING INC NOTE 3.37500% 09/15/2025 CALL MAKE WHOLE</t>
  </si>
  <si>
    <t>DANAHER CORP DEL    NOTE CALL MAKE WHOLE3.35000% 09/15/2025</t>
  </si>
  <si>
    <t>HOME DEPOT INC      NOTE CALL MAKE WHOLE3.35000% 09/15/2025</t>
  </si>
  <si>
    <t>975(250)</t>
  </si>
  <si>
    <t>68(2)</t>
  </si>
  <si>
    <t>HOME DEPOT INC      NOTE CALL MAKE WHOLE4.00000% 09/15/2025</t>
  </si>
  <si>
    <t>1,470(2)</t>
  </si>
  <si>
    <t>RALPH LAUREN CORP   NOTE CALL MAKE WHOLE3.75000% 09/15/2025</t>
  </si>
  <si>
    <t xml:space="preserve"> 12(2)</t>
  </si>
  <si>
    <t>DISNEY WALT CO      MTN CALL MAKE WHOLE 3.15000% 09/17/2025</t>
  </si>
  <si>
    <t>109(2)</t>
  </si>
  <si>
    <t>SCHLUMBERGER FINANCENOTE CALL MAKE WHOLE1.40000% 09/17/2025</t>
  </si>
  <si>
    <t>BANCO BILBAO VIZCAYAARGENTARI NOTE      1.12500% 09/18/2025</t>
  </si>
  <si>
    <t>EXPORT-IMPORT BANK  OF KOREA NOTE       5.37500% 09/18/2025 ISIN #US302154DX44  SEDOL #BN4L6S9</t>
  </si>
  <si>
    <t xml:space="preserve">CP SFP D </t>
  </si>
  <si>
    <t>BP CAP MKTS AMER INCNOTE CALL MAKE WHOLE3.79600% 09/21/2025</t>
  </si>
  <si>
    <t>51(1)</t>
  </si>
  <si>
    <t>BANK MONTREAL MEDIUMSER H MTN           5.92000% 09/25/2025 CALL MAKE WHOLE</t>
  </si>
  <si>
    <t>26(2)</t>
  </si>
  <si>
    <t>CITIBANK N A        NOTE                5.86400% 09/29/2025</t>
  </si>
  <si>
    <t>625(250)</t>
  </si>
  <si>
    <t>DIAGEO CAP PLC      NOTE CALL MAKE WHOLE1.37500% 09/29/2025</t>
  </si>
  <si>
    <t>245(200)</t>
  </si>
  <si>
    <t>APPLIED MATLS INC   NOTE CALL MAKE WHOLE3.90000% 10/01/2025</t>
  </si>
  <si>
    <t>LOUISVILLE GAS &amp;ELECCO BOND             3.30000% 10/01/2025 CALL MAKE WHOLE</t>
  </si>
  <si>
    <t>MAGNA INTL INC      NOTE CALL MAKE WHOLE4.15000% 10/01/2025</t>
  </si>
  <si>
    <t>ONCOR ELEC DELIVERY CO LLC SER B NOTE   0.55000% 10/01/2025 CALL MAKE WHOLE</t>
  </si>
  <si>
    <t xml:space="preserve">SFP D </t>
  </si>
  <si>
    <t>AMERICAN HONDA FIN  CORP  SER A MTN     5.80000% 10/03/2025 CALL MAKE WHOLE</t>
  </si>
  <si>
    <t>221(10)</t>
  </si>
  <si>
    <t>PACCAR FINANCIAL    CORP SER Q MTN      4.95000% 10/03/2025</t>
  </si>
  <si>
    <t>AIR PRODUCTS AND    CHEMICALS INC NOTE  1.50000% 10/15/2025 CALL MAKE WHOLE</t>
  </si>
  <si>
    <t>550(2)</t>
  </si>
  <si>
    <t>CATERPILLAR FINL    SVCS S BE MTN       3.50000% 10/15/2025</t>
  </si>
  <si>
    <t>COMCAST CORP NEW    NOTE CALL MAKE WHOLE3.95000% 10/15/2025</t>
  </si>
  <si>
    <t>DISNEY WALT CO      SER C NOTE          3.70000% 10/15/2025 CALL MAKE WHOLE</t>
  </si>
  <si>
    <t>ELEVANCE HEALTH INC NOTE CALL MAKE WHOLE5.35000% 10/15/2025</t>
  </si>
  <si>
    <t>8(1)</t>
  </si>
  <si>
    <t>LOCKHEED MARTIN CORPNOTE CALL MAKE WHOLE4.95000% 10/15/2025</t>
  </si>
  <si>
    <t>NATIONAL RURAL UTILSCOOP FIN MTN        3.50000% 10/15/2025</t>
  </si>
  <si>
    <t>4(4)</t>
  </si>
  <si>
    <t>PECO ENERGY CO      BOND CALL MAKE WHOLE3.15000% 10/15/2025</t>
  </si>
  <si>
    <t>UNITEDHEALTH GROUP  INC NOTE            5.15000% 10/15/2025 CALL MAKE WHOLE</t>
  </si>
  <si>
    <t>700(250)</t>
  </si>
  <si>
    <t>325( 2)</t>
  </si>
  <si>
    <t>TOYOTA MTR CR CORP  SER B MTN           0.80000% 10/16/2025</t>
  </si>
  <si>
    <t>CANADIAN IMPERIAL BKCOMM NOTE           0.95000% 10/23/2025</t>
  </si>
  <si>
    <t>475(2)</t>
  </si>
  <si>
    <t>100(9)</t>
  </si>
  <si>
    <t>DIAGEO CAP PLC      NOTE CALL MAKE WHOLE5.20000% 10/24/2025</t>
  </si>
  <si>
    <t>PROCTER &amp;GAMBLE CO  NOTE CALL MAKE WHOLE0.55000% 10/29/2025</t>
  </si>
  <si>
    <t>50(2)</t>
  </si>
  <si>
    <t>12(2)</t>
  </si>
  <si>
    <t>DISNEY WALT CO      SER D NOTE          7.70000% 10/30/2025</t>
  </si>
  <si>
    <t>INTERNATIONAL       BUSINESS MACHS BOND 7.00000% 10/30/2025 CALL MAKE WHOLE</t>
  </si>
  <si>
    <t>NATIONAL RURAL UTILSCOOP FIN SER D MTN  5.45000% 10/30/2025 CALL MAKE WHOLE</t>
  </si>
  <si>
    <t>40(2)</t>
  </si>
  <si>
    <t>NORTHERN TR CORP    NOTE                3.95000% 10/30/2025</t>
  </si>
  <si>
    <t>985(250)</t>
  </si>
  <si>
    <t>300(10)</t>
  </si>
  <si>
    <t>21ST CENTY FOX AMER INC BOND            7.70000% 10/30/2025</t>
  </si>
  <si>
    <t>WR</t>
  </si>
  <si>
    <t>355(10)</t>
  </si>
  <si>
    <t>NATIONAL RURAL UTILSCOOP FIN BOND       3.25000% 11/01/2025 CALL MAKE WHOLE</t>
  </si>
  <si>
    <t>REALTY INCOME CORP  NOTE CALL MAKE WHOLE4.62500% 11/01/2025</t>
  </si>
  <si>
    <t>REGENCY CTRS L P    NOTE CALL MAKE WHOLE3.90000% 11/01/2025</t>
  </si>
  <si>
    <t>275(2)</t>
  </si>
  <si>
    <t>MICROSOFT CORP      NOTE CALL MAKE WHOLE3.12500% 11/03/2025</t>
  </si>
  <si>
    <t>AMERICAN EXPRESS CO NOTE                4.20000% 11/06/2025</t>
  </si>
  <si>
    <t>26(5)</t>
  </si>
  <si>
    <t>PEPSICO INC         NOTE CALL MAKE WHOLE5.25000% 11/10/2025</t>
  </si>
  <si>
    <t>TOYOTA MTR CR CORP  SER B MTN           5.40000% 11/10/2025</t>
  </si>
  <si>
    <t>WISCONSIN PUB SVC   CORP NOTE           5.35000% 11/10/2025 CALL MAKE WHOLE</t>
  </si>
  <si>
    <t>BRISTOL-MYERS SQUIBBCO NOTE             0.75000% 11/13/2025 CALL MAKE WHOLE</t>
  </si>
  <si>
    <t>CATERPILLAR FINL    SVCS MTNS BE SER J  0.80000% 11/13/2025 CALL MAKE WHOLE</t>
  </si>
  <si>
    <t>500(15)</t>
  </si>
  <si>
    <t>METLIFE INC         NOTE CALL MAKE WHOLE3.60000% 11/13/2025</t>
  </si>
  <si>
    <t>100(2)</t>
  </si>
  <si>
    <t>AVALONBAY CMNTYS INCMTN CALL MAKE WHOLE 3.50000% 11/15/2025</t>
  </si>
  <si>
    <t>MID-AMERICA APTS LP NOTE CALL MAKE WHOLE4.00000% 11/15/2025</t>
  </si>
  <si>
    <t>SOUTHERN CO GAS CAP NOTE CALL MAKE WHOLE3.87500% 11/15/2025</t>
  </si>
  <si>
    <t>THE CIGNA GROUP     SER B NOTE          4.12500% 11/15/2025 CALL MAKE WHOLE</t>
  </si>
  <si>
    <t>WASTE MGMT INC DEL  NOTE CALL MAKE WHOLE0.75000% 11/15/2025</t>
  </si>
  <si>
    <t>ASTRAZENECA PLC     NOTE CALL MAKE WHOLE3.37500% 11/16/2025</t>
  </si>
  <si>
    <t>1,700(250)</t>
  </si>
  <si>
    <t>675(10)</t>
  </si>
  <si>
    <t>CHEVRON CORPORATION NOTE CALL MAKE WHOLE3.32600% 11/17/2025</t>
  </si>
  <si>
    <t>1,000(2)</t>
  </si>
  <si>
    <t>PHILIP MORRIS INTL  INC NOTE            5.00000% 11/17/2025 CALL MAKE WHOLE</t>
  </si>
  <si>
    <t>1,024(10)</t>
  </si>
  <si>
    <t>US BANCORP          SER X MTN           3.95000% 11/17/2025</t>
  </si>
  <si>
    <t>3(3)</t>
  </si>
  <si>
    <t>10(1)</t>
  </si>
  <si>
    <t>WESTPAC BANKING     CORPORATION NOTE    5.51200% 11/17/2025 ISIN #US961214FL21  SEDOL #BMG9GV7</t>
  </si>
  <si>
    <t>22(10)</t>
  </si>
  <si>
    <t>BANK NEW YORK MELLONCORP MTN            3.95000% 11/18/2025</t>
  </si>
  <si>
    <t>1,000(10)</t>
  </si>
  <si>
    <t>650(1)</t>
  </si>
  <si>
    <t>NOVARTIS CAPITAL    CORP NOTE           3.00000% 11/20/2025 CALL MAKE WHOLE</t>
  </si>
  <si>
    <t>675(2)</t>
  </si>
  <si>
    <t>MANUFACTURERS &amp;TRADERS TR CO NOTE 5.40000% 11/21/2025 CALL MAKE WHOLE</t>
  </si>
  <si>
    <t>650(250)</t>
  </si>
  <si>
    <t>CANADIAN IMPERIAL BKCOMM MTN            0.90000% 11/25/2025</t>
  </si>
  <si>
    <t>AMAZON COM INC      NOTE CALL MAKE WHOLE4.60000% 12/01/2025</t>
  </si>
  <si>
    <t>CONNECTICUT LT &amp;PWR CO SER 2020 A BOND  0.75000% 12/01/2025 CALL MAKE WHOLE</t>
  </si>
  <si>
    <t>230(2)</t>
  </si>
  <si>
    <t>EVERGY KANS CENT INCBOND CALL MAKE WHOLE3.25000% 12/01/2025</t>
  </si>
  <si>
    <t>FLORIDA PWR &amp;LT CO  BOND CALL MAKE WHOLE3.12500% 12/01/2025</t>
  </si>
  <si>
    <t>30(9)</t>
  </si>
  <si>
    <t>INTERCONTINENTAL    EXCHANGE INC NOTE   3.75000% 12/01/2025 CALL MAKE WHOLE</t>
  </si>
  <si>
    <t>990(250)</t>
  </si>
  <si>
    <t>VISA INC            NOTE CALL MAKE WHOLE3.15000% 12/14/2025</t>
  </si>
  <si>
    <t>AON PLC             NOTE CALL MAKE WHOLE3.87500% 12/15/2025</t>
  </si>
  <si>
    <t>72(2)</t>
  </si>
  <si>
    <t>BURLINGTON NORTHN   SANTA FE CP BOND    7.00000% 12/15/2025 CALL MAKE WHOLE</t>
  </si>
  <si>
    <t>UNITEDHEALTH GROUP  INC NOTE            3.70000% 12/15/2025 CALL MAKE WHOLE</t>
  </si>
  <si>
    <t>70(9)</t>
  </si>
  <si>
    <t>HOME DEPOT INC      NOTE CALL MAKE WHOLE5.10000% 12/24/2025</t>
  </si>
  <si>
    <t>TORONTO DOMINION BK ONT SER D MTN       3.00000% 12/31/2025</t>
  </si>
  <si>
    <t>MERCK &amp;CO INC       BOND                6.30000% 01/01/2026</t>
  </si>
  <si>
    <t>44(5)</t>
  </si>
  <si>
    <t>TOYOTA MTR CR CORP  SER B MTN           4.80000% 01/05/2026</t>
  </si>
  <si>
    <t>8(8)</t>
  </si>
  <si>
    <t>CATERPILLAR FINL    SVCS MTNS BE SER J  4.80000% 01/06/2026 CALL MAKE WHOLE</t>
  </si>
  <si>
    <t>TORONTO DOMINION BK ONT SER C MTN       0.75000% 01/06/2026 CALL MAKE WHOLE</t>
  </si>
  <si>
    <t>AMERICAN HONDA FIN  CORP  SER A MTN     4.95000% 01/09/2026 CALL MAKE WHOLE</t>
  </si>
  <si>
    <t>175( 15)</t>
  </si>
  <si>
    <t>JOHN DEERE CAPITAL  CORPORATION SER H   4.80000% 01/09/2026 MTN</t>
  </si>
  <si>
    <t>525(1)</t>
  </si>
  <si>
    <t>TORONTO DOMINION BK ONT SER C MTN       5.10300% 01/09/2026 CALL MAKE WHOLE</t>
  </si>
  <si>
    <t>975(25)</t>
  </si>
  <si>
    <t>TOYOTA MTR CR CORP  SER B MTN           0.80000% 01/09/2026 CALL MAKE WHOLE</t>
  </si>
  <si>
    <t>ENTERPRISE PRODS    OPER LLC NOTE       5.05000% 01/10/2026 CALL MAKE WHOLE</t>
  </si>
  <si>
    <t>AMERICAN HONDA FIN  CORP  MTN           4.75000% 01/12/2026 CALL MAKE WHOLE</t>
  </si>
  <si>
    <t>900(250)</t>
  </si>
  <si>
    <t>ROYAL BK CDA        SER I MTN           4.87500% 01/12/2026 ISIN #US78016FZT47</t>
  </si>
  <si>
    <t>SUMITOMO MITSUI FIN GRP INC NOTE        0.94800% 01/12/2026</t>
  </si>
  <si>
    <t>650(200)</t>
  </si>
  <si>
    <t>DISNEY WALT CO      NOTE CALL MAKE WHOLE1.75000% 01/13/2026</t>
  </si>
  <si>
    <t>KOREA DEV BK        NOTE                3.00000% 01/13/2026</t>
  </si>
  <si>
    <t xml:space="preserve">IE CP SFP </t>
  </si>
  <si>
    <t>REALTY INCOME CORP  NOTE                5.05000% 01/13/2026</t>
  </si>
  <si>
    <t>18(18)</t>
  </si>
  <si>
    <t>SUMITOMO MITSUI FIN GRP INC NOTE        5.46400% 01/13/2026</t>
  </si>
  <si>
    <t>525(200)</t>
  </si>
  <si>
    <t>ENTERGY LA LLC      BOND CALL MAKE WHOLE4.44000% 01/15/2026</t>
  </si>
  <si>
    <t>967(1)</t>
  </si>
  <si>
    <t>33(5)</t>
  </si>
  <si>
    <t>EOG RES INC         NOTE CALL MAKE WHOLE4.15000% 01/15/2026</t>
  </si>
  <si>
    <t>JOHN DEERE CAPITAL  CORPORATION SER H   0.70000% 01/15/2026 MTN</t>
  </si>
  <si>
    <t>NATIONAL RURAL UTILSCOOP FIN MTN        3.50000% 01/15/2026</t>
  </si>
  <si>
    <t>PIONEER NAT RES CO  NOTE CALL MAKE WHOLE1.12500% 01/15/2026</t>
  </si>
  <si>
    <t>11(1)</t>
  </si>
  <si>
    <t>SIMON PPTY GROUP LP NOTE CALL MAKE WHOLE3.30000% 01/15/2026</t>
  </si>
  <si>
    <t>24(10)</t>
  </si>
  <si>
    <t>UNITEDHEALTH GROUP  INC NOTE            1.25000% 01/15/2026 CALL MAKE WHOLE</t>
  </si>
  <si>
    <t>525(15)</t>
  </si>
  <si>
    <t>WELLS FARGO BANK    NATL ASSN NOTE      4.81100% 01/15/2026 CALL MAKE WHOLE</t>
  </si>
  <si>
    <t>450(250)</t>
  </si>
  <si>
    <t>ROYAL BK CDA        SER H MTN           0.87500% 01/20/2026</t>
  </si>
  <si>
    <t>CHILE REP           NOTE                3.12500% 01/21/2026</t>
  </si>
  <si>
    <t>JAPAN BANK FOR      INTERNATIONAL COOP  2.75000% 01/21/2026 NOTE                ISIN #US471048AR97</t>
  </si>
  <si>
    <t>EQUINOR ASA         NOTE CALL MAKE WHOLE1.75000% 01/22/2026</t>
  </si>
  <si>
    <t>41(1)</t>
  </si>
  <si>
    <t>JAPAN BANK FOR      INTERNATIONAL COOP  4.25000% 01/26/2026 NOTE                ISIN #US471048CV81</t>
  </si>
  <si>
    <t>700(200)</t>
  </si>
  <si>
    <t>PROCTER &amp;GAMBLE CO  NOTE CALL MAKE WHOLE4.10000% 01/26/2026</t>
  </si>
  <si>
    <t>MANUFACTURERS &amp;TRADERS TR CO NOTE 4.65000% 01/27/2026 CALL MAKE WHOLE</t>
  </si>
  <si>
    <t>675(250)</t>
  </si>
  <si>
    <t>MORGAN STANLEY      SER F MTN           3.87500% 01/27/2026 CALL MAKE WHOLE</t>
  </si>
  <si>
    <t>BANK NEW YORK MELLONCORP SER J MTN      0.75000% 01/28/2026</t>
  </si>
  <si>
    <t>93(10)</t>
  </si>
  <si>
    <t>LINDE INC           NOTE CALL MAKE WHOLE3.20000% 01/30/2026</t>
  </si>
  <si>
    <t>ANHEUSER-BUSCH COS  LLC / ANHEU SER C   3.65000% 02/01/2026 NOTE CALL MAKE WHOLE</t>
  </si>
  <si>
    <t>980(1)</t>
  </si>
  <si>
    <t>SOUTHERN CALIF      EDISON CO SER 2020C 1.20000% 02/01/2026 BOND CALL MAKE WHOLE</t>
  </si>
  <si>
    <t>700(15)</t>
  </si>
  <si>
    <t>BANK NOVA SCOTIA B CSER I MTN           4.75000% 02/02/2026 CALL MAKE WHOLE     ISIN #US06417XAN12</t>
  </si>
  <si>
    <t>32(2)</t>
  </si>
  <si>
    <t>PROCTER &amp;GAMBLE CO  NOTE CALL MAKE WHOLE2.70000% 02/02/2026</t>
  </si>
  <si>
    <t>IBM INTL CAP PTE LTDNOTE CALL MAKE WHOLE4.70000% 02/05/2026 ISIN #US449276AA20</t>
  </si>
  <si>
    <t>450(100)</t>
  </si>
  <si>
    <t>675(100)</t>
  </si>
  <si>
    <t>INTERNATIONAL       BUSINESS MACHS NOTE 4.50000% 02/06/2026 CALL MAKE WHOLE</t>
  </si>
  <si>
    <t>APPLE INC           NOTE CALL MAKE WHOLE0.70000% 02/08/2026</t>
  </si>
  <si>
    <t>EXPORT-IMPORT BANK  OF KOREA NOTE       0.62500% 02/09/2026 ISIN #US302154DF38  SEDOL #BMZ5CR4</t>
  </si>
  <si>
    <t xml:space="preserve">CP SFP </t>
  </si>
  <si>
    <t>BP CAP MKTS AMER INCNOTE CALL MAKE WHOLE3.41000% 02/11/2026</t>
  </si>
  <si>
    <t>AMERICAN EXPRESS CO NOTE                4.90000% 02/13/2026</t>
  </si>
  <si>
    <t>DISNEY WALT CO      MTN CALL MAKE WHOLE 3.00000% 02/13/2026</t>
  </si>
  <si>
    <t>80(2)</t>
  </si>
  <si>
    <t>PEPSICO INC         NOTE CALL MAKE WHOLE4.55000% 02/13/2026</t>
  </si>
  <si>
    <t>625(15)</t>
  </si>
  <si>
    <t>PHILIP MORRIS       INTERNATIONAL INC   4.87500% 02/13/2026 NOTE CALL MAKE WHOLE</t>
  </si>
  <si>
    <t>SCHWAB CHARLES CORP NOTE CALL MAKE WHOLE3.45000% 02/13/2026</t>
  </si>
  <si>
    <t>650(2)</t>
  </si>
  <si>
    <t>TYCO ELECTRONICS    GROUP S A NOTE      4.50000% 02/13/2026 CALL MAKE WHOLE</t>
  </si>
  <si>
    <t>2,000(200)</t>
  </si>
  <si>
    <t>3,333(25)</t>
  </si>
  <si>
    <t>BURLINGTON RES INC  BOND                6.87500% 02/15/2026</t>
  </si>
  <si>
    <t>57(5)</t>
  </si>
  <si>
    <t>ENTERPRISE PRODS    OPER LLC NOTE       3.70000% 02/15/2026 CALL MAKE WHOLE</t>
  </si>
  <si>
    <t>KIMBERLY-CLARK CORP NOTE CALL MAKE WHOLE2.75000% 02/15/2026</t>
  </si>
  <si>
    <t>PUBLIC STORAGE OPER CO NOTE             0.87500% 02/15/2026 CALL MAKE WHOLE</t>
  </si>
  <si>
    <t>TELE COMMUNICATIONS INC NEW BOND        7.87500% 02/15/2026</t>
  </si>
  <si>
    <t>3,768(50)</t>
  </si>
  <si>
    <t>TYCO ELECTRONICS    GROUP S A NOTE      3.70000% 02/15/2026 CALL MAKE WHOLE</t>
  </si>
  <si>
    <t>INTERNATIONAL       BUSINESS MACHS NOTE 3.45000% 02/19/2026 CALL MAKE WHOLE</t>
  </si>
  <si>
    <t>475(100)</t>
  </si>
  <si>
    <t>BRISTOL-MYERS SQUIBBCO NOTE             4.95000% 02/20/2026 CALL MAKE WHOLE</t>
  </si>
  <si>
    <t>UNION PAC CORP      NOTE CALL MAKE WHOLE4.75000% 02/21/2026</t>
  </si>
  <si>
    <t>APPLE INC           NOTE CALL MAKE WHOLE3.25000% 02/23/2026</t>
  </si>
  <si>
    <t>475(15)</t>
  </si>
  <si>
    <t>MERCK &amp;CO INC NOTE CALL MAKE WHOLE0.75000% 02/24/2026</t>
  </si>
  <si>
    <t>PEPSICO INC         NOTE CALL MAKE WHOLE2.85000% 02/24/2026</t>
  </si>
  <si>
    <t>EXPRESS SCRIPTS HLDGCO NOTE             4.50000% 02/25/2026 CALL MAKE WHOLE</t>
  </si>
  <si>
    <t>27(10)</t>
  </si>
  <si>
    <t>PHILIP MORRIS INTL  INC NOTE            2.75000% 02/25/2026 CALL MAKE WHOLE</t>
  </si>
  <si>
    <t>THE CIGNA GROUP     SER C NOTE          4.50000% 02/25/2026 CALL MAKE WHOLE</t>
  </si>
  <si>
    <t>CISCO SYS INC       NOTE CALL MAKE WHOLE4.90000% 02/26/2026</t>
  </si>
  <si>
    <t>BHP BILLITON FIN USALTD NOTE            4.87500% 02/27/2026 CALL MAKE WHOLE</t>
  </si>
  <si>
    <t>5,000(500)</t>
  </si>
  <si>
    <t>CATERPILLAR FINL    SVCS MTNS BE SER K  5.05000% 02/27/2026 CALL MAKE WHOLE</t>
  </si>
  <si>
    <t>550(1)</t>
  </si>
  <si>
    <t>CISCO SYS INC       NOTE CALL MAKE WHOLE2.95000% 02/28/2026</t>
  </si>
  <si>
    <t>BOSTON SCIENTIFIC   CORP NOTE           3.75000% 03/01/2026 CALL MAKE WHOLE</t>
  </si>
  <si>
    <t>250( 15)</t>
  </si>
  <si>
    <t>CANADIAN NATL RY CO NOTE CALL MAKE WHOLE2.75000% 03/01/2026</t>
  </si>
  <si>
    <t>CNA FINL CORP       NOTE CALL MAKE WHOLE4.50000% 03/01/2026</t>
  </si>
  <si>
    <t>COMCAST CORP NEW    NOTE CALL MAKE WHOLE3.15000% 03/01/2026</t>
  </si>
  <si>
    <t>EXXON MOBIL CORP    NOTE CALL MAKE WHOLE3.04300% 03/01/2026</t>
  </si>
  <si>
    <t>26(26)</t>
  </si>
  <si>
    <t>7(2)</t>
  </si>
  <si>
    <t>JOHNSON &amp;JOHNSON    NOTE CALL MAKE WHOLE2.45000% 03/01/2026</t>
  </si>
  <si>
    <t>MITSUBISHI UFJ      FINANCIAL GROUP NOTE3.85000% 03/01/2026</t>
  </si>
  <si>
    <t>SOUTHERN CALIFORNIA EDISON CO SER 2024C 5.35000% 03/01/2026 BOND CALL MAKE WHOLE</t>
  </si>
  <si>
    <t>STANLEY BLACK &amp;DECKER INC NOTE    3.40000% 03/01/2026 CALL MAKE WHOLE</t>
  </si>
  <si>
    <t>455(50)</t>
  </si>
  <si>
    <t>320(15)</t>
  </si>
  <si>
    <t>UNION PAC CORP      NOTE CALL MAKE WHOLE2.75000% 03/01/2026</t>
  </si>
  <si>
    <t>BANK NOVA SCOTIA B CNOTE CALL MAKE WHOLE1.05000% 03/02/2026</t>
  </si>
  <si>
    <t>500(9)</t>
  </si>
  <si>
    <t>CATERPILLAR FINL    SVCS S BE MTN       0.90000% 03/02/2026 CALL MAKE WHOLE</t>
  </si>
  <si>
    <t>300(5)</t>
  </si>
  <si>
    <t>COLGATE PALMOLIVE CONOTE CALL MAKE WHOLE4.80000% 03/02/2026</t>
  </si>
  <si>
    <t>JOHN DEERE CAPITAL  CORPORATION MTN     5.05000% 03/03/2026</t>
  </si>
  <si>
    <t>650(15)</t>
  </si>
  <si>
    <t>MANULIFE FINL CORP  NOTE CALL MAKE WHOLE4.15000% 03/04/2026</t>
  </si>
  <si>
    <t>JOHN DEERE CAPITAL  CORPORATION SER I   4.95000% 03/06/2026 MTN</t>
  </si>
  <si>
    <t>175(1)</t>
  </si>
  <si>
    <t>HSBC HLDGS PLC      NOTE                4.30000% 03/08/2026</t>
  </si>
  <si>
    <t>SUMITOMO MITSUI FIN GRP INC NOTE        3.78400% 03/09/2026</t>
  </si>
  <si>
    <t>PRUDENTIAL FINL INC SER E MTN           1.50000% 03/10/2026 CALL MAKE WHOLE</t>
  </si>
  <si>
    <t>475(1)</t>
  </si>
  <si>
    <t>SCHWAB CHARLES CORP NOTE CALL MAKE WHOLE0.90000% 03/11/2026</t>
  </si>
  <si>
    <t>NATIONAL RURAL UTILSCOOP FIN MTN        4.45000% 03/13/2026 CALL MAKE WHOLE</t>
  </si>
  <si>
    <t>100( 9)</t>
  </si>
  <si>
    <t>MARSH &amp;MCLENNAN COS INC NOTE            3.75000% 03/14/2026 CALL MAKE WHOLE</t>
  </si>
  <si>
    <t>32(10)</t>
  </si>
  <si>
    <t>BERKSHIRE HATHAWAY  INC DEL NOTE        3.12500% 03/15/2026 CALL MAKE WHOLE</t>
  </si>
  <si>
    <t>ELEVANCE HEALTH INC NOTE CALL MAKE WHOLE1.50000% 03/15/2026</t>
  </si>
  <si>
    <t>LAM RESEARCH CORP   NOTE CALL MAKE WHOLE3.75000% 03/15/2026</t>
  </si>
  <si>
    <t>LEGG MASON INC      NOTE CALL MAKE WHOLE4.75000% 03/15/2026</t>
  </si>
  <si>
    <t>PUBLIC SVC ELEC &amp;GASCO SER N MTN        0.95000% 03/15/2026 CALL MAKE WHOLE</t>
  </si>
  <si>
    <t>800(2)</t>
  </si>
  <si>
    <t>REALTY INCOME CORP  NOTE CALL MAKE WHOLE0.75000% 03/15/2026</t>
  </si>
  <si>
    <t>209(2)</t>
  </si>
  <si>
    <t>THE CIGNA GROUP     NOTE CALL MAKE WHOLE1.25000% 03/15/2026</t>
  </si>
  <si>
    <t>166(2)</t>
  </si>
  <si>
    <t>UNITEDHEALTH GROUP  INC NOTE            3.10000% 03/15/2026 CALL MAKE WHOLE</t>
  </si>
  <si>
    <t>CANADIAN IMPERIAL BKCOMM MTN            5.55000% 03/16/2026</t>
  </si>
  <si>
    <t>ISRAEL(STATE OF)    NOTE                2.87500% 03/16/2026 ISIN #US46513CXR23  SEDOL #BDCN342</t>
  </si>
  <si>
    <t>DEUTSCHE BK AG N Y  NOTE                1.68600% 03/19/2026</t>
  </si>
  <si>
    <t>525(150)</t>
  </si>
  <si>
    <t>625(150)</t>
  </si>
  <si>
    <t>KENVUE INC          SER B NOTE          5.35000% 03/22/2026 CALL MAKE WHOLE</t>
  </si>
  <si>
    <t>BANCO SANTANDER S.A.SER 106 NOTE        1.84900% 03/25/2026</t>
  </si>
  <si>
    <t>725(200)</t>
  </si>
  <si>
    <t>TOYOTA MOTOR CORP   NOTE CALL MAKE WHOLE1.33900% 03/25/2026</t>
  </si>
  <si>
    <t>11(2)</t>
  </si>
  <si>
    <t>PIONEER NAT RES CO  NOTE CALL MAKE WHOLE5.10000% 03/29/2026</t>
  </si>
  <si>
    <t>AMPHENOL CORP       NOTE CALL MAKE WHOLE4.75000% 03/30/2026</t>
  </si>
  <si>
    <t>PACCAR FINANCIAL    CORP SER Q MTN      4.45000% 03/30/2026</t>
  </si>
  <si>
    <t>21(1)</t>
  </si>
  <si>
    <t>ENTERGY ARKANSAS LLCBOND CALL MAKE WHOLE3.50000% 04/01/2026</t>
  </si>
  <si>
    <t>3,896(50)</t>
  </si>
  <si>
    <t>GEORGIA PWR CO      SER 2016A NOTE      3.25000% 04/01/2026 CALL MAKE WHOLE</t>
  </si>
  <si>
    <t>HOME DEPOT INC      NOTE CALL MAKE WHOLE3.00000% 04/01/2026</t>
  </si>
  <si>
    <t>JPMORGAN CHASE &amp;CO  NOTE                3.30000% 04/01/2026</t>
  </si>
  <si>
    <t>1,000(100)</t>
  </si>
  <si>
    <t>205(2)</t>
  </si>
  <si>
    <t>KELLANOVA           NOTE CALL MAKE WHOLE3.25000% 04/01/2026</t>
  </si>
  <si>
    <t>LOEWS CORP          NOTE CALL MAKE WHOLE3.75000% 04/01/2026</t>
  </si>
  <si>
    <t>66(2)</t>
  </si>
  <si>
    <t>POLAND(REPUBLIC OF) NOTE                3.25000% 04/06/2026 ISIN #US731011AU68  SEDOL #BYZWM02</t>
  </si>
  <si>
    <t>150(1)</t>
  </si>
  <si>
    <t>225(1)</t>
  </si>
  <si>
    <t>ASTRAZENECA PLC     NOTE CALL MAKE WHOLE0.70000% 04/08/2026</t>
  </si>
  <si>
    <t>TARGET CORP         NOTE CALL MAKE WHOLE2.50000% 04/15/2026</t>
  </si>
  <si>
    <t>249(2)</t>
  </si>
  <si>
    <t>TRAVELERS INS GROUP HLDGS INC NOTE      7.75000% 04/15/2026</t>
  </si>
  <si>
    <t>1,380(1)</t>
  </si>
  <si>
    <t>WALMART INC         NOTE CALL MAKE WHOLE4.00000% 04/15/2026</t>
  </si>
  <si>
    <t>WESTPAC BKG CORP    MTN                 5.20000% 04/16/2026 ISIN #US961214FR90</t>
  </si>
  <si>
    <t>UBS GROUP AG        SER B NOTE          4.55000% 04/17/2026</t>
  </si>
  <si>
    <t>BANK AMERICA CORP   SER L MTN           3.50000% 04/19/2026 CALL MAKE WHOLE</t>
  </si>
  <si>
    <t>14(14)</t>
  </si>
  <si>
    <t>MORGAN STANLEY BK N A SER A NOTE        4.75400% 04/21/2026 CALL MAKE WHOLE</t>
  </si>
  <si>
    <t>4,725(250)</t>
  </si>
  <si>
    <t>PROCTER &amp;GAMBLE CO  NOTE CALL MAKE WHOLE1.00000% 04/23/2026</t>
  </si>
  <si>
    <t>ROYAL BANK OF CANADAMTN                 1.20000% 04/27/2026 ISIN #US78016EZQ33</t>
  </si>
  <si>
    <t>75(2)</t>
  </si>
  <si>
    <t>US BANCORP          MTN                 3.10000% 04/27/2026</t>
  </si>
  <si>
    <t>29(5)</t>
  </si>
  <si>
    <t>JD.COM INC          NOTE CALL MAKE WHOLE3.87500% 04/29/2026</t>
  </si>
  <si>
    <t>PHILIP MORRIS INTL  INC NOTE            0.87500% 05/01/2026 CALL MAKE WHOLE</t>
  </si>
  <si>
    <t>320(2)</t>
  </si>
  <si>
    <t>SIERRA PAC PWR CO   SER V NOTE          2.60000% 05/01/2026 CALL MAKE WHOLE</t>
  </si>
  <si>
    <t>1,294(2)</t>
  </si>
  <si>
    <t>CHUBB INA HLDGS INC NOTE CALL MAKE WHOLE3.35000% 05/03/2026</t>
  </si>
  <si>
    <t>BANK NEW YORK MELLONCORP SER SERIES I   2.80000% 05/04/2026 MTN CALL MAKE WHOLE</t>
  </si>
  <si>
    <t>360(1)</t>
  </si>
  <si>
    <t>BP CAP MKTS AMER INCSER B NOTE          3.11900% 05/04/2026 CALL MAKE WHOLE</t>
  </si>
  <si>
    <t>123(5)</t>
  </si>
  <si>
    <t>SHELL INTERNATIONAL FIN BV NOTE         2.87500% 05/10/2026 CALL MAKE WHOLE</t>
  </si>
  <si>
    <t>3,950(500)</t>
  </si>
  <si>
    <t>AVALONBAY CMNTYS INCMTN CALL MAKE WHOLE 2.95000% 05/11/2026</t>
  </si>
  <si>
    <t>432(10)</t>
  </si>
  <si>
    <t>PACCAR FINANCIAL    CORP SER P MTN      1.10000% 05/11/2026</t>
  </si>
  <si>
    <t>2,495(250)</t>
  </si>
  <si>
    <t>AMAZON COM INC      NOTE CALL MAKE WHOLE1.00000% 05/12/2026</t>
  </si>
  <si>
    <t>SCHWAB CHARLES CORP NOTE CALL MAKE WHOLE1.15000% 05/13/2026</t>
  </si>
  <si>
    <t>WESTPAC BANKING     CORPORATION NOTE    2.85000% 05/13/2026</t>
  </si>
  <si>
    <t>502(2)</t>
  </si>
  <si>
    <t>ABBVIE INC          NOTE CALL MAKE WHOLE3.20000% 05/14/2026</t>
  </si>
  <si>
    <t>BANK AMERICA CORP   SER N MTN           1.40000% 05/14/2026</t>
  </si>
  <si>
    <t>CATERPILLAR FINL    SVCS MTNS BE SER K  4.35000% 05/15/2026 CALL MAKE WHOLE</t>
  </si>
  <si>
    <t>EIDP INC            NOTE CALL MAKE WHOLE4.50000% 05/15/2026</t>
  </si>
  <si>
    <t>FLORIDA PWR &amp;LT CO  NOTE CALL MAKE WHOLE4.45000% 05/15/2026</t>
  </si>
  <si>
    <t>20(15)</t>
  </si>
  <si>
    <t>INTERNATIONAL       BUSINESS MACHS NOTE 3.30000% 05/15/2026 CALL MAKE WHOLE</t>
  </si>
  <si>
    <t>200(100)</t>
  </si>
  <si>
    <t>SAN DIEGO GAS &amp;ELEC CO SER QQQ BOND     2.50000% 05/15/2026 CALL MAKE WHOLE</t>
  </si>
  <si>
    <t>488(5)</t>
  </si>
  <si>
    <t>TOYOTA MTR CR CORP  MTN                 5.20000% 05/15/2026</t>
  </si>
  <si>
    <t>459(2)</t>
  </si>
  <si>
    <t>UNITEDHEALTH GROUP  INC NOTE            1.15000% 05/15/2026 CALL MAKE WHOLE</t>
  </si>
  <si>
    <t>CHEVRON CORPORATION NOTE CALL MAKE WHOLE2.95400% 05/16/2026</t>
  </si>
  <si>
    <t>TOYOTA MTR CR CORP  MTN                 4.45000% 05/18/2026</t>
  </si>
  <si>
    <t>PFIZER INVT         ENTERPRISES NOTE    4.45000% 05/19/2026 CALL MAKE WHOLE</t>
  </si>
  <si>
    <t>STATE STR CORP      NOTE                2.65000% 05/19/2026</t>
  </si>
  <si>
    <t>808(2)</t>
  </si>
  <si>
    <t>AMERICAN EXPRESS CO NOTE                3.12500% 05/20/2026</t>
  </si>
  <si>
    <t>326(2)</t>
  </si>
  <si>
    <t>HSBC HLDGS PLC      NOTE                3.90000% 05/25/2026</t>
  </si>
  <si>
    <t>EXPORT-IMPORT BANK  OF KOREA NOTE       2.62500% 05/26/2026 ISIN #US302154CC16  SEDOL #BYMWWZ0</t>
  </si>
  <si>
    <t>ASTRAZENECA FINANCE LLC NOTE            1.20000% 05/28/2026 CALL MAKE WHOLE</t>
  </si>
  <si>
    <t>BANK AMERICA CORP   SER N MTN           1.25000% 05/28/2026</t>
  </si>
  <si>
    <t>535(15)</t>
  </si>
  <si>
    <t>BOOKING HOLDINGS INCNOTE CALL MAKE WHOLE3.60000% 06/01/2026</t>
  </si>
  <si>
    <t>GENERAL DYNAMICS    CORP NOTE           1.15000% 06/01/2026 CALL MAKE WHOLE</t>
  </si>
  <si>
    <t>NSTAR ELEC CO       BOND CALL MAKE WHOLE2.70000% 06/01/2026</t>
  </si>
  <si>
    <t>REALTY INCOME CORP  NOTE CALL MAKE WHOLE4.87500% 06/01/2026</t>
  </si>
  <si>
    <t>SAN DIEGO GAS &amp;ELEC CO BOND             6.00000% 06/01/2026 CALL MAKE WHOLE</t>
  </si>
  <si>
    <t>50(1)</t>
  </si>
  <si>
    <t>1,200(1)</t>
  </si>
  <si>
    <t>SOUTHERN CALIF      EDISON CO SER 2023C 4.90000% 06/01/2026 BOND CALL MAKE WHOLE</t>
  </si>
  <si>
    <t>UBS AG LONDON BRANCHSER B NOTE          1.25000% 06/01/2026</t>
  </si>
  <si>
    <t>BROOKFIELD FIN INC  NOTE CALL MAKE WHOLE4.25000% 06/02/2026</t>
  </si>
  <si>
    <t>250( 10)</t>
  </si>
  <si>
    <t>PFIZER INC          NOTE CALL MAKE WHOLE2.75000% 06/03/2026</t>
  </si>
  <si>
    <t>TORONTO DOMINION BK ONT MTN             1.20000% 06/03/2026 CALL MAKE WHOLE</t>
  </si>
  <si>
    <t>WESTPAC BKG CORP    NOTE                1.15000% 06/03/2026</t>
  </si>
  <si>
    <t>BANK MONTREAL MEDIUMSER H MTN           5.30000% 06/05/2026 CALL MAKE WHOLE</t>
  </si>
  <si>
    <t>JOHN DEERE CAPITAL  CORPORATION SER I   4.75000% 06/08/2026 MTN</t>
  </si>
  <si>
    <t>JOHN DEERE CAPITAL  CORPORATION MTN     2.65000% 06/10/2026</t>
  </si>
  <si>
    <t>200(1)</t>
  </si>
  <si>
    <t>BRISTOL-MYERS SQUIBBCO SER C NOTE       3.20000% 06/15/2026 CALL MAKE WHOLE</t>
  </si>
  <si>
    <t>COMMONWEALTH EDISON CO SER 120 BOND     2.55000% 06/15/2026 CALL MAKE WHOLE</t>
  </si>
  <si>
    <t>JPMORGAN CHASE &amp;CO  NOTE CALL MAKE WHOLE3.20000% 06/15/2026</t>
  </si>
  <si>
    <t>506(2)</t>
  </si>
  <si>
    <t>NATIONAL RURAL UTILSCOOP FIN SER D MTN  1.00000% 06/15/2026 CALL MAKE WHOLE</t>
  </si>
  <si>
    <t>SOUTHERN CALIF GAS  CO SER TT BOND      2.60000% 06/15/2026 CALL MAKE WHOLE</t>
  </si>
  <si>
    <t>400(1)</t>
  </si>
  <si>
    <t>SOUTHERN CO GAS CAP NOTE CALL MAKE WHOLE3.25000% 06/15/2026</t>
  </si>
  <si>
    <t>450(10)</t>
  </si>
  <si>
    <t>JOHN DEERE CAPITAL  CORPORATION SER H   1.05000% 06/17/2026 MTN CALL MAKE WHOLE</t>
  </si>
  <si>
    <t>TOYOTA MTR CR CORP  SER B MTN           1.12500% 06/18/2026 CALL MAKE WHOLE</t>
  </si>
  <si>
    <t>CANADIAN IMPERIAL BKCOMM NOTE           1.25000% 06/22/2026 CALL MAKE WHOLE</t>
  </si>
  <si>
    <t>BANK NOVA SCOTIA B CNOTE CALL MAKE WHOLE1.35000% 06/24/2026</t>
  </si>
  <si>
    <t>HOME DEPOT INC      NOTE CALL MAKE WHOLE5.15000% 06/25/2026</t>
  </si>
  <si>
    <t>65(2)</t>
  </si>
  <si>
    <t>PROLOGIS L P        NOTE CALL MAKE WHOLE3.25000% 06/30/2026</t>
  </si>
  <si>
    <t>EVERGY KANS CENT INCBOND CALL MAKE WHOLE2.55000% 07/01/2026</t>
  </si>
  <si>
    <t>AMERICAN HONDA FIN  CORP  SER A MTN     5.25000% 07/07/2026 CALL MAKE WHOLE</t>
  </si>
  <si>
    <t>WALMART INC         NOTE CALL MAKE WHOLE3.05000% 07/08/2026</t>
  </si>
  <si>
    <t>92(2)</t>
  </si>
  <si>
    <t>SUMITOMO MITSUI FIN GRP INC NOTE        5.88000% 07/13/2026</t>
  </si>
  <si>
    <t>555(200)</t>
  </si>
  <si>
    <t>TOYOTA MOTOR CORP   NOTE CALL MAKE WHOLE5.27500% 07/13/2026 ISIN #US892331AP43</t>
  </si>
  <si>
    <t>ROYAL BK CDA        MTN CALL MAKE WHOLE 1.15000% 07/14/2026</t>
  </si>
  <si>
    <t>SUMITOMO MITSUI FIN GRP INC NOTE        2.63200% 07/14/2026</t>
  </si>
  <si>
    <t>UNITEDHEALTH GROUP  INC NOTE            4.75000% 07/15/2026 CALL MAKE WHOLE</t>
  </si>
  <si>
    <t>CANADIAN IMPERIAL BKCOMM NOTE           5.61500% 07/17/2026 CALL MAKE WHOLE</t>
  </si>
  <si>
    <t>575(2)</t>
  </si>
  <si>
    <t>TORONTO DOMINION BK ONT SER C MTN       5.53200% 07/17/2026 CALL MAKE WHOLE</t>
  </si>
  <si>
    <t>ROYAL BK CDA        SER I MTN           5.20000% 07/20/2026</t>
  </si>
  <si>
    <t>US BANCORP          SER V MTN           2.37500% 07/22/2026</t>
  </si>
  <si>
    <t>101(1)</t>
  </si>
  <si>
    <t>PNC FINL SVCS GROUP INC NOTE            2.60000% 07/23/2026 CALL MAKE WHOLE</t>
  </si>
  <si>
    <t>BARCLAYS BANK PLC   SER A MTN           1.60000% 07/27/2026</t>
  </si>
  <si>
    <t>MORGAN STANLEY      SER F MTN           3.12500% 07/27/2026 CALL MAKE WHOLE</t>
  </si>
  <si>
    <t>UNILEVER CAP CORP   NOTE CALL MAKE WHOLE2.00000% 07/28/2026</t>
  </si>
  <si>
    <t>BANK AMERICA CORP   MTN                 1.20000% 07/30/2026</t>
  </si>
  <si>
    <t>DISNEY WALT CO      SER F MTN           1.85000% 07/30/2026 CALL MAKE WHOLE</t>
  </si>
  <si>
    <t>31(2)</t>
  </si>
  <si>
    <t>WASTE MGMT INC DEL  NOTE                7.10000% 08/01/2026</t>
  </si>
  <si>
    <t>500(20)</t>
  </si>
  <si>
    <t>BANK NOVA SCOTIA B CNOTE                2.70000% 08/03/2026 ISIN #US064159QE92  SEDOL #BK6S8Q9</t>
  </si>
  <si>
    <t>STATE STR CORP      NOTE                5.27200% 08/03/2026</t>
  </si>
  <si>
    <t>APPLE INC           NOTE CALL MAKE WHOLE2.45000% 08/04/2026</t>
  </si>
  <si>
    <t>CITIBANK N A        NOTE CALL MAKE WHOLE4.92900% 08/06/2026</t>
  </si>
  <si>
    <t>TOYOTA MTR CR CORP  MTN                 4.55000% 08/07/2026</t>
  </si>
  <si>
    <t>UBS AG N Y BRH      MTN                 1.25000% 08/07/2026</t>
  </si>
  <si>
    <t>600(250)</t>
  </si>
  <si>
    <t>MICROSOFT CORP      NOTE CALL MAKE WHOLE2.40000% 08/08/2026</t>
  </si>
  <si>
    <t>CATERPILLAR FINL    SVCS MTNS BE SER H  2.40000% 08/09/2026 CALL MAKE WHOLE</t>
  </si>
  <si>
    <t>1,000(5)</t>
  </si>
  <si>
    <t>MORGAN STANLEY      MTN CALL MAKE WHOLE 6.25000% 08/09/2026</t>
  </si>
  <si>
    <t>PACCAR FINANCIAL    CORP SER Q MTN      5.05000% 08/10/2026</t>
  </si>
  <si>
    <t>80(25)</t>
  </si>
  <si>
    <t>THERMO FISHER       SCIENTIFIC INC NOTE 4.95300% 08/10/2026 CALL MAKE WHOLE</t>
  </si>
  <si>
    <t>ARCHER DANIELS      MIDLAND CO NOTE     2.50000% 08/11/2026 CALL MAKE WHOLE</t>
  </si>
  <si>
    <t>PNC FINL SVCS GROUP INC NOTE            1.15000% 08/13/2026</t>
  </si>
  <si>
    <t>TOYOTA MTR CR CORP  SER B MTN           5.00000% 08/14/2026</t>
  </si>
  <si>
    <t>885(50)</t>
  </si>
  <si>
    <t>ALPHABET INC        NOTE CALL MAKE WHOLE1.99800% 08/15/2026</t>
  </si>
  <si>
    <t>BALTIMORE GAS &amp;ELEC CO NOTE             2.40000% 08/15/2026 CALL MAKE WHOLE</t>
  </si>
  <si>
    <t>1,990(500)</t>
  </si>
  <si>
    <t>GENERAL DYNAMICS    CORP NOTE           2.12500% 08/15/2026 CALL MAKE WHOLE</t>
  </si>
  <si>
    <t>137(2)</t>
  </si>
  <si>
    <t>EXXON MOBIL CORP    NOTE CALL MAKE WHOLE2.27500% 08/16/2026</t>
  </si>
  <si>
    <t>12(5)</t>
  </si>
  <si>
    <t>BANK NEW YORK MELLONCORP SER I MTN      2.45000% 08/17/2026</t>
  </si>
  <si>
    <t>BANK OF AMERICA NA  NOTE CALL MAKE WHOLE5.52600% 08/18/2026</t>
  </si>
  <si>
    <t>WESTPAC BKG CORP    NOTE                2.70000% 08/19/2026</t>
  </si>
  <si>
    <t>SCHWAB CHARLES CORP NOTE CALL MAKE WHOLE5.87500% 08/24/2026</t>
  </si>
  <si>
    <t>574(2)</t>
  </si>
  <si>
    <t>CENTERPOINT ENERGY  HOUSTON ELE SER Z   2.40000% 09/01/2026 BOND CALL MAKE WHOLE</t>
  </si>
  <si>
    <t>575(1)</t>
  </si>
  <si>
    <t>BANK AMERICA CORP   MTN                 4.55000% 09/04/2026</t>
  </si>
  <si>
    <t>6,000(20)</t>
  </si>
  <si>
    <t>SOUTHERN CALIF      EDISON CO BOND      4.40000% 09/06/2026 CALL MAKE WHOLE</t>
  </si>
  <si>
    <t>BHP BILLITON FIN USALTD NOTE            5.25000% 09/08/2026 CALL MAKE WHOLE     ISIN #US055451BB38</t>
  </si>
  <si>
    <t>JOHN DEERE CAPITAL  CORPORATION SER I   5.15000% 09/08/2026 MTN</t>
  </si>
  <si>
    <t>AMERICAN HONDA FIN  CORP  SER A MTN     2.30000% 09/09/2026 CALL MAKE WHOLE</t>
  </si>
  <si>
    <t>AMERICAN HONDA FIN  CORP  SER A MTN     1.30000% 09/09/2026 CALL MAKE WHOLE</t>
  </si>
  <si>
    <t>BANK AMERICA CORP   SER N MTN           1.15000% 09/10/2026</t>
  </si>
  <si>
    <t>TORONTO DOMINION BK ONT MTN             1.25000% 09/10/2026 CALL MAKE WHOLE</t>
  </si>
  <si>
    <t>APPLE INC           NOTE CALL MAKE WHOLE2.05000% 09/11/2026</t>
  </si>
  <si>
    <t>SHELL INTERNATIONAL FIN BV NOTE         2.50000% 09/12/2026 CALL MAKE WHOLE</t>
  </si>
  <si>
    <t>425(1)</t>
  </si>
  <si>
    <t>186(1)</t>
  </si>
  <si>
    <t>MITSUBISHI UFJ      FINANCIAL GROUP NOTE2.75700% 09/13/2026</t>
  </si>
  <si>
    <t>575(200)</t>
  </si>
  <si>
    <t>MIZUHO FINANCIAL    GROUP INC NOTE      2.83900% 09/13/2026</t>
  </si>
  <si>
    <t>CATERPILLAR FINL    SVCS MTNS BE SER J  1.15000% 09/14/2026 CALL MAKE WHOLE</t>
  </si>
  <si>
    <t>JOHN DEERE CAPITAL  CORPORATION SER G   2.25000% 09/14/2026 MTN</t>
  </si>
  <si>
    <t>AMERIPRISE FINL INC NOTE CALL MAKE WHOLE2.87500% 09/15/2026</t>
  </si>
  <si>
    <t>BANK MONTREAL MEDIUMSER F MTN           1.25000% 09/15/2026 CALL MAKE WHOLE</t>
  </si>
  <si>
    <t>BANK NOVA SCOTIA B CNOTE CALL MAKE WHOLE1.30000% 09/15/2026</t>
  </si>
  <si>
    <t>HOME DEPOT INC      NOTE CALL MAKE WHOLE2.12500% 09/15/2026</t>
  </si>
  <si>
    <t>INTUIT              NOTE CALL MAKE WHOLE5.25000% 09/15/2026</t>
  </si>
  <si>
    <t>510(250)</t>
  </si>
  <si>
    <t>MICROSOFT CORP      NOTE CALL MAKE WHOLE3.40000% 09/15/2026</t>
  </si>
  <si>
    <t>MID-AMERICA APTS LP NOTE CALL MAKE WHOLE1.10000% 09/15/2026</t>
  </si>
  <si>
    <t>PUBLIC SVC ELEC &amp;GASCO SER L MTN        2.25000% 09/15/2026 CALL MAKE WHOLE</t>
  </si>
  <si>
    <t>REALTY INCOME CORP  NOTE CALL MAKE WHOLE4.45000% 09/15/2026</t>
  </si>
  <si>
    <t>REINSURANCE GROUP   AMER INC NOTE       3.95000% 09/15/2026 CALL MAKE WHOLE</t>
  </si>
  <si>
    <t>400(2)</t>
  </si>
  <si>
    <t>TEXAS INSTRS INC    NOTE CALL MAKE WHOLE1.12500% 09/15/2026</t>
  </si>
  <si>
    <t>TJX COS INC NEW     NOTE CALL MAKE WHOLE2.25000% 09/15/2026</t>
  </si>
  <si>
    <t>NVIDIA CORPORATION  NOTE CALL MAKE WHOLE3.20000% 09/16/2026</t>
  </si>
  <si>
    <t>SUMITOMO MITSUI FIN GRP INC NOTE        1.40200% 09/17/2026</t>
  </si>
  <si>
    <t>WALMART INC         NOTE CALL MAKE WHOLE1.05000% 09/17/2026</t>
  </si>
  <si>
    <t>CISCO SYS INC       NOTE CALL MAKE WHOLE2.50000% 09/20/2026</t>
  </si>
  <si>
    <t>CANADIAN IMPERIAL BKCOMM MTN            1.34000% 09/22/2026</t>
  </si>
  <si>
    <t>HOME DEPOT INC      NOTE CALL MAKE WHOLE4.95000% 09/30/2026</t>
  </si>
  <si>
    <t>COCA-COLA           REFRESHMENTS USA    7.00000% 10/01/2026 BOND</t>
  </si>
  <si>
    <t>DISNEY WALT CO      SER C NOTE          7.43000% 10/01/2026</t>
  </si>
  <si>
    <t>235(10)</t>
  </si>
  <si>
    <t>ENTERGY LA LLC      BOND CALL MAKE WHOLE2.40000% 10/01/2026</t>
  </si>
  <si>
    <t>600(1)</t>
  </si>
  <si>
    <t>JPMORGAN CHASE &amp;CO  NOTE CALL MAKE WHOLE2.95000% 10/01/2026</t>
  </si>
  <si>
    <t>74(5)</t>
  </si>
  <si>
    <t>PAYPAL HLDGS INC    NOTE CALL MAKE WHOLE2.65000% 10/01/2026</t>
  </si>
  <si>
    <t>PROLOGIS L P        SER B NOTE          3.25000% 10/01/2026 CALL MAKE WHOLE</t>
  </si>
  <si>
    <t>CANADIAN IMPERIAL BKCOMM NOTE           5.92600% 10/02/2026 CALL MAKE WHOLE     ISIN #US13607LWT69</t>
  </si>
  <si>
    <t>AMERICAN HONDA FIN  CORP  MTN           4.40000% 10/05/2026 CALL MAKE WHOLE</t>
  </si>
  <si>
    <t>345(2)</t>
  </si>
  <si>
    <t>DIAGEO CAP PLC      NOTE CALL MAKE WHOLE5.37500% 10/05/2026</t>
  </si>
  <si>
    <t>410(200)</t>
  </si>
  <si>
    <t>PEPSICO INC         NOTE CALL MAKE WHOLE2.37500% 10/06/2026</t>
  </si>
  <si>
    <t>JOHN DEERE CAPITAL  CORPORATION SER H   1.30000% 10/13/2026 MTN</t>
  </si>
  <si>
    <t>AFLAC INC           NOTE CALL MAKE WHOLE2.87500% 10/15/2026</t>
  </si>
  <si>
    <t>AVALONBAY CMNTYS INCMTN CALL MAKE WHOLE 2.90000% 10/15/2026</t>
  </si>
  <si>
    <t>BANK NEW YORK MELLONCORP SER J MTN      1.05000% 10/15/2026 CALL MAKE WHOLE</t>
  </si>
  <si>
    <t>450(1)</t>
  </si>
  <si>
    <t>EMERSON ELEC CO     NOTE                0.87500% 10/15/2026</t>
  </si>
  <si>
    <t>JPMORGAN CHASE &amp;CO  BOND                7.62500% 10/15/2026</t>
  </si>
  <si>
    <t>NATIONAL RURAL UTILSCOOP FIN MTN        3.50000% 10/15/2026</t>
  </si>
  <si>
    <t>REALTY INCOME CORP  NOTE CALL MAKE WHOLE4.12500% 10/15/2026</t>
  </si>
  <si>
    <t>CATERPILLAR FINL    SVCS S BE MTN       4.45000% 10/16/2026 CALL MAKE WHOLE</t>
  </si>
  <si>
    <t>SUMITOMO MITSUI FIN GRP INC NOTE        3.01000% 10/19/2026</t>
  </si>
  <si>
    <t>340(2)</t>
  </si>
  <si>
    <t>KOREA DEVELOPMENT   BANK NOTE           5.37500% 10/23/2026 ISIN #US500630DZ86  SEDOL #BQ83S64</t>
  </si>
  <si>
    <t>TSMC ARIZ CORP      NOTE CALL MAKE WHOLE1.75000% 10/25/2026</t>
  </si>
  <si>
    <t>ELEVANCE HEALTH INC NOTE CALL MAKE WHOLE4.50000% 10/30/2026</t>
  </si>
  <si>
    <t>ECOLAB INC          NOTE CALL MAKE WHOLE2.70000% 11/01/2026</t>
  </si>
  <si>
    <t>ERP OPER LTD        PARTNERSHIP NOTE    2.85000% 11/01/2026 CALL MAKE WHOLE</t>
  </si>
  <si>
    <t>122(10)</t>
  </si>
  <si>
    <t>HONEYWELL INTL INC  NOTE CALL MAKE WHOLE2.50000% 11/01/2026</t>
  </si>
  <si>
    <t>NIKE INC            NOTE CALL MAKE WHOLE2.37500% 11/01/2026</t>
  </si>
  <si>
    <t>30(2)</t>
  </si>
  <si>
    <t>ROYAL BK CDA        SER I MTN           1.40000% 11/02/2026 CALL MAKE WHOLE     ISIN #US78016EZZ32</t>
  </si>
  <si>
    <t>214(2)</t>
  </si>
  <si>
    <t>CAMDEN PPTY TR      NOTE CALL MAKE WHOLE5.85000% 11/03/2026</t>
  </si>
  <si>
    <t>PROCTER &amp;GAMBLE CO  NOTE CALL MAKE WHOLE2.45000% 11/03/2026</t>
  </si>
  <si>
    <t>AMERICAN EXPRESS CO NOTE                1.65000% 11/04/2026</t>
  </si>
  <si>
    <t>PACCAR FINANCIAL    CORP SER Q MTN      5.20000% 11/09/2026</t>
  </si>
  <si>
    <t>PUBLIC STORAGE OPER CO NOTE             1.50000% 11/09/2026 CALL MAKE WHOLE</t>
  </si>
  <si>
    <t>PEPSICO INC         NOTE CALL MAKE WHOLE5.12500% 11/10/2026</t>
  </si>
  <si>
    <t>NATIONAL RURAL UTILSCOOP FIN SER D MTN  5.60000% 11/13/2026 CALL MAKE WHOLE</t>
  </si>
  <si>
    <t>BRISTOL-MYERS SQUIBBCO BOND             6.80000% 11/15/2026</t>
  </si>
  <si>
    <t>340(15)</t>
  </si>
  <si>
    <t>DISNEY WALT CO      SER D NOTE          3.37500% 11/15/2026 CALL MAKE WHOLE</t>
  </si>
  <si>
    <t>ILLINOIS TOOL WKS   INC NOTE            2.65000% 11/15/2026 CALL MAKE WHOLE</t>
  </si>
  <si>
    <t>NATIONAL RURAL UTILSCOOP FIN MTN        3.50000% 11/15/2026</t>
  </si>
  <si>
    <t xml:space="preserve"> 100(5)</t>
  </si>
  <si>
    <t>NETFLIX INC.        NOTE CALL MAKE WHOLE4.37500% 11/15/2026</t>
  </si>
  <si>
    <t>1,500(2)</t>
  </si>
  <si>
    <t>PRINCIPAL FINANCIAL GROUP INC NOTE      3.10000% 11/15/2026 CALL MAKE WHOLE</t>
  </si>
  <si>
    <t>450(2)</t>
  </si>
  <si>
    <t>UNITED PARCEL SVCS  INC NOTE            2.40000% 11/15/2026 CALL MAKE WHOLE</t>
  </si>
  <si>
    <t>MORGAN STANLEY FIN  LLC MTN             1.50000% 11/18/2026</t>
  </si>
  <si>
    <t>TOYOTA MTR CR CORP  SER B MTN           5.40000% 11/20/2026</t>
  </si>
  <si>
    <t>1,850(250)</t>
  </si>
  <si>
    <t>ABBVIE INC          SER B NOTE          2.95000% 11/21/2026 CALL MAKE WHOLE</t>
  </si>
  <si>
    <t>MASTERCARD          INCORPORATED NOTE   2.95000% 11/21/2026 CALL MAKE WHOLE</t>
  </si>
  <si>
    <t>PACCAR FINANCIAL    CORP SER R MTN      4.50000% 11/25/2026</t>
  </si>
  <si>
    <t>STATE STREET BANK &amp;TRUST NOTE         4.59400% 11/25/2026</t>
  </si>
  <si>
    <t>1,500(250)</t>
  </si>
  <si>
    <t>SIMON PPTY GROUP LP NOTE CALL MAKE WHOLE3.25000% 11/30/2026</t>
  </si>
  <si>
    <t>91(10)</t>
  </si>
  <si>
    <t>AMERICAN WTR CAP    CORP NOTE           3.00000% 12/01/2026 CALL MAKE WHOLE</t>
  </si>
  <si>
    <t>CONSOLIDATED EDISON CO N Y INC          2.90000% 12/01/2026 SER 2016 B BOND     CALL MAKE WHOLE</t>
  </si>
  <si>
    <t>DTE ELEC CO         SER B BOND          4.85000% 12/01/2026 CALL MAKE WHOLE</t>
  </si>
  <si>
    <t>DUKE ENERGY         CAROLINAS LLC BOND  2.95000% 12/01/2026 CALL MAKE WHOLE</t>
  </si>
  <si>
    <t>2,680(500)</t>
  </si>
  <si>
    <t>ANALOG DEVICES INC  NOTE CALL MAKE WHOLE3.50000% 12/05/2026</t>
  </si>
  <si>
    <t>THERMO FISHER       SCIENTIFIC INC NOTE 5.00000% 12/05/2026 CALL MAKE WHOLE</t>
  </si>
  <si>
    <t>BANK NOVA SCOTIA B CSER I MTN           5.35000% 12/07/2026 CALL MAKE WHOLE     ISIN #US06418JAA97</t>
  </si>
  <si>
    <t>JPMORGAN CHASE BK N A NOTE              5.11000% 12/08/2026 CALL MAKE WHOLE</t>
  </si>
  <si>
    <t>BANK MONTREAL MEDIUMSER H MTN           5.26600% 12/11/2026 CALL MAKE WHOLE</t>
  </si>
  <si>
    <t>TORONTO DOMINION BK ONT MTN             5.26400% 12/11/2026 CALL MAKE WHOLE</t>
  </si>
  <si>
    <t>WELLS FARGO BANK    NATL ASSN NOTE      5.25400% 12/11/2026 CALL MAKE WHOLE</t>
  </si>
  <si>
    <t>ARCH CAPITAL FINANCELLC NOTE            4.01100% 12/15/2026 CALL MAKE WHOLE</t>
  </si>
  <si>
    <t>JPMORGAN CHASE &amp;CO  NOTE                4.12500% 12/15/2026</t>
  </si>
  <si>
    <t>PFIZER INC          NOTE CALL MAKE WHOLE3.00000% 12/15/2026</t>
  </si>
  <si>
    <t>TORONTO DOMINION BK ONT SER C MTN       4.56800% 12/17/2026 CALL MAKE WHOLE</t>
  </si>
  <si>
    <t>BARCLAYS BANK PLC   SER A MTN           2.00000% 12/22/2026</t>
  </si>
  <si>
    <t>7(7)</t>
  </si>
  <si>
    <t>CATERPILLAR FINL    SVCS S BE MTN       4.50000% 01/07/2027 CALL MAKE WHOLE</t>
  </si>
  <si>
    <t>AMERICAN HONDA FIN  CORP  SER A MTN     2.35000% 01/08/2027 CALL MAKE WHOLE</t>
  </si>
  <si>
    <t>CATERPILLAR FINL    SVCS MTNS BE SER J  1.70000% 01/08/2027 CALL MAKE WHOLE</t>
  </si>
  <si>
    <t>CATERPILLAR FINL    SVCS MTNS BE SER K  4.50000% 01/08/2027 CALL MAKE WHOLE</t>
  </si>
  <si>
    <t>JOHN DEERE CAPITAL  CORPORATION SER I   4.50000% 01/08/2027 MTN</t>
  </si>
  <si>
    <t xml:space="preserve"> 500(1)</t>
  </si>
  <si>
    <t>TOYOTA MTR CR CORP  SER B MTN           4.60000% 01/08/2027</t>
  </si>
  <si>
    <t>1,000(15)</t>
  </si>
  <si>
    <t>ENTERPRISE PRODS    OPER LLC NOTE       4.60000% 01/11/2027 CALL MAKE WHOLE</t>
  </si>
  <si>
    <t>71(5)</t>
  </si>
  <si>
    <t>JOHN DEERE CAPITAL  CORPORATION MTN     1.70000% 01/11/2027</t>
  </si>
  <si>
    <t>2,500(1)</t>
  </si>
  <si>
    <t>SUMITOMO MITSUI     FINANCIAL GROUP INC 3.44600% 01/11/2027 NOTE                ISIN #US86562MAN02</t>
  </si>
  <si>
    <t>240(2)</t>
  </si>
  <si>
    <t>TOYOTA MTR CR CORP  SER B MTN           3.20000% 01/11/2027 CALL MAKE WHOLE</t>
  </si>
  <si>
    <t>CBOE GLOBAL MKTS INCNOTE CALL MAKE WHOLE3.65000% 01/12/2027</t>
  </si>
  <si>
    <t>TORONTO DOMINION BK ONT MTN             1.95000% 01/12/2027 CALL MAKE WHOLE     ISIN #US89114TZN52</t>
  </si>
  <si>
    <t>INTER-AMERICAN DEV  BK SER 817 NOTE     1.50000% 01/13/2027</t>
  </si>
  <si>
    <t>20,000(100)</t>
  </si>
  <si>
    <t>TOYOTA MTR CR CORP  MTN CALL MAKE WHOLE 1.90000% 01/13/2027</t>
  </si>
  <si>
    <t>SUMITOMO MITSUI FIN GRP INC NOTE        2.17400% 01/14/2027</t>
  </si>
  <si>
    <t>600(200)</t>
  </si>
  <si>
    <t>COMCAST CORP NEW    NOTE CALL MAKE WHOLE2.35000% 01/15/2027</t>
  </si>
  <si>
    <t>DUKE ENERGY FLA LLC BOND CALL MAKE WHOLE3.20000% 01/15/2027</t>
  </si>
  <si>
    <t>HYDRO-QUEBEC        BOND                8.25000% 01/15/2027 ISIN #US448814CT85  SEDOL #BBHXCS0</t>
  </si>
  <si>
    <t>9(9)</t>
  </si>
  <si>
    <t>HYDRO-QUEBEC        BOND                8.25000% 01/15/2027</t>
  </si>
  <si>
    <t>6(6)</t>
  </si>
  <si>
    <t>PROGRESSIVE CORP    NOTE CALL MAKE WHOLE2.45000% 01/15/2027</t>
  </si>
  <si>
    <t>23(2)</t>
  </si>
  <si>
    <t>REALTY INCOME CORP  NOTE CALL MAKE WHOLE3.00000% 01/15/2027</t>
  </si>
  <si>
    <t>REALTY INCOME CORP  NOTE CALL MAKE WHOLE3.20000% 01/15/2027</t>
  </si>
  <si>
    <t>SIMON PPTY GROUP LP NOTE CALL MAKE WHOLE1.37500% 01/15/2027</t>
  </si>
  <si>
    <t>49(2)</t>
  </si>
  <si>
    <t>TARGET CORP         NOTE CALL MAKE WHOLE1.95000% 01/15/2027</t>
  </si>
  <si>
    <t>338(2)</t>
  </si>
  <si>
    <t>UNITEDHEALTH GROUP  INC NOTE            3.45000% 01/15/2027 CALL MAKE WHOLE</t>
  </si>
  <si>
    <t>BP CAP MKTS AMER INCSER B NOTE          3.01700% 01/16/2027 CALL MAKE WHOLE</t>
  </si>
  <si>
    <t>ROYAL BK CDA        MTN CALL MAKE WHOLE 4.87500% 01/19/2027 ISIN #US78016HZT03</t>
  </si>
  <si>
    <t>MORGAN STANLEY      SER I MTN           3.62500% 01/20/2027 CALL MAKE WHOLE</t>
  </si>
  <si>
    <t>ROYAL BK CDA        SER I MTN           2.05000% 01/21/2027 CALL MAKE WHOLE</t>
  </si>
  <si>
    <t>60(9)</t>
  </si>
  <si>
    <t>BANK NEW YORK MELLONCORP SER J MTN      2.05000% 01/26/2027</t>
  </si>
  <si>
    <t>INTERNATIONAL       BUSINESS MACHS NOTE 3.30000% 01/27/2027 CALL MAKE WHOLE</t>
  </si>
  <si>
    <t>220(100)</t>
  </si>
  <si>
    <t>TORONTO DOMINION BK ONT SER D MTN       1.20000% 01/30/2027</t>
  </si>
  <si>
    <t>CHILE REP           NOTE CALL MAKE WHOLE2.75000% 01/31/2027</t>
  </si>
  <si>
    <t>ADOBE INC           NOTE CALL MAKE WHOLE2.15000% 02/01/2027</t>
  </si>
  <si>
    <t>CENTERPOINT ENERGY  HOUSTON ELE SER AA  3.00000% 02/01/2027 BOND CALL MAKE WHOLE</t>
  </si>
  <si>
    <t>COMCAST CORP NEW    NOTE CALL MAKE WHOLE3.30000% 02/01/2027</t>
  </si>
  <si>
    <t>ECOLAB INC          NOTE CALL MAKE WHOLE1.65000% 02/01/2027</t>
  </si>
  <si>
    <t>PROCTER &amp;GAMBLE CO  NOTE CALL MAKE WHOLE1.90000% 02/01/2027</t>
  </si>
  <si>
    <t>REGENCY CTRS L P    NOTE CALL MAKE WHOLE3.60000% 02/01/2027</t>
  </si>
  <si>
    <t>SOUTHERN CALIF      EDISON CO SER 2024A 4.87500% 02/01/2027 BOND CALL MAKE WHOLE</t>
  </si>
  <si>
    <t>BANK NOVA SCOTIA B CSER I MTN           1.95000% 02/02/2027 CALL MAKE WHOLE</t>
  </si>
  <si>
    <t>PACCAR FINANCIAL    CORP MTN            2.00000% 02/04/2027</t>
  </si>
  <si>
    <t>IBM INTL CAP PTE LTDNOTE CALL MAKE WHOLE4.60000% 02/05/2027 ISIN #US449276AB03</t>
  </si>
  <si>
    <t>550(100)</t>
  </si>
  <si>
    <t>NATIONAL RUATAL UTILCOOP NOTE           4.80000% 02/05/2027 CALL MAKE WHOLE</t>
  </si>
  <si>
    <t>UNION PAC CORP      NOTE CALL MAKE WHOLE2.15000% 02/05/2027</t>
  </si>
  <si>
    <t>MICROSOFT CORP      NOTE CALL MAKE WHOLE3.30000% 02/06/2027</t>
  </si>
  <si>
    <t>PEPSICO INC         NOTE CALL MAKE WHOLE4.40000% 02/07/2027</t>
  </si>
  <si>
    <t>TEXAS INSTRS INC    NOTE CALL MAKE WHOLE4.60000% 02/08/2027</t>
  </si>
  <si>
    <t>APPLE INC           NOTE CALL MAKE WHOLE3.35000% 02/09/2027</t>
  </si>
  <si>
    <t>ELI LILLY &amp;CO       NOTE CALL MAKE WHOLE4.50000% 02/09/2027</t>
  </si>
  <si>
    <t>INTERNATIONAL       BUSINESS MACHS NOTE 2.20000% 02/09/2027 CALL MAKE WHOLE</t>
  </si>
  <si>
    <t>PHILIP MORRIS INTL  INC NOTE            4.75000% 02/12/2027 CALL MAKE WHOLE</t>
  </si>
  <si>
    <t>NOVARTIS CAPITAL    CORP NOTE           2.00000% 02/14/2027 CALL MAKE WHOLE</t>
  </si>
  <si>
    <t>CUMMINS INC         BOND CALL MAKE WHOLE6.75000% 02/15/2027</t>
  </si>
  <si>
    <t>ENTERPRISE PRODS    OPER LLC NOTE       3.95000% 02/15/2027 CALL MAKE WHOLE</t>
  </si>
  <si>
    <t>NATIONAL RURAL UTILSCOOP FIN MTN        3.50000% 02/15/2027</t>
  </si>
  <si>
    <t>TORONTO DOMINION BK ONT SER D MTN       5.10000% 02/15/2027 ISIN #US89114XDV29</t>
  </si>
  <si>
    <t>75(25)</t>
  </si>
  <si>
    <t>PEPSICO SINGAPORE   FING I PTE L NOTE   4.65000% 02/16/2027 CALL MAKE WHOLE     ISIN #US713466AA86</t>
  </si>
  <si>
    <t>BRISTOL-MYERS SQUIBBCO NOTE             4.90000% 02/22/2027 CALL MAKE WHOLE</t>
  </si>
  <si>
    <t>255(10)</t>
  </si>
  <si>
    <t>MITSUBISHI UFJ      FINANCIAL GROUP INC 3.67700% 02/22/2027 NOTE</t>
  </si>
  <si>
    <t xml:space="preserve"> 625(2)</t>
  </si>
  <si>
    <t>GEORGIA PWR CO      SER 2024A NOTE      5.00400% 02/23/2027 CALL MAKE WHOLE</t>
  </si>
  <si>
    <t>ASTRAZENECA FINANCE LLC NOTE            4.80000% 02/26/2027 CALL MAKE WHOLE</t>
  </si>
  <si>
    <t>CHEVRON USA INC     NOTE CALL MAKE WHOLE4.40500% 02/26/2027</t>
  </si>
  <si>
    <t>500( 2)</t>
  </si>
  <si>
    <t>CISCO SYS INC       NOTE CALL MAKE WHOLE4.80000% 02/26/2027</t>
  </si>
  <si>
    <t>BRISTOL-MYERS SQUIBBCO NOTE             3.25000% 02/27/2027 CALL MAKE WHOLE</t>
  </si>
  <si>
    <t>MIZUHO FINANCIAL    GROUP NOTE          3.66300% 02/28/2027</t>
  </si>
  <si>
    <t>450(200)</t>
  </si>
  <si>
    <t>AON NORTH AMERICA   INC. NOTE           5.12500% 03/01/2027 CALL MAKE WHOLE</t>
  </si>
  <si>
    <t>EXPRESS SCRIPTS HLDGCO NOTE             3.40000% 03/01/2027 CALL MAKE WHOLE</t>
  </si>
  <si>
    <t>HONEYWELL INTL INC  NOTE CALL MAKE WHOLE1.10000% 03/01/2027</t>
  </si>
  <si>
    <t>JOHNSON &amp;JOHNSON    NOTE CALL MAKE WHOLE4.50000% 03/01/2027</t>
  </si>
  <si>
    <t>SNAP ON INC         NOTE CALL MAKE WHOLE3.25000% 03/01/2027</t>
  </si>
  <si>
    <t>THE CIGNA GROUP     SER C NOTE          3.40000% 03/01/2027 CALL MAKE WHOLE</t>
  </si>
  <si>
    <t>BANK AMERICA CORP   SER N MTN           2.75000% 03/02/2027</t>
  </si>
  <si>
    <t>13(5)</t>
  </si>
  <si>
    <t>SCHWAB CHARLES CORP NOTE CALL MAKE WHOLE3.20000% 03/02/2027</t>
  </si>
  <si>
    <t>48(10)</t>
  </si>
  <si>
    <t>JOHNSON &amp;JOHNSON    NOTE CALL MAKE WHOLE2.95000% 03/03/2027</t>
  </si>
  <si>
    <t>SCHWAB CHARLES CORP NOTE CALL MAKE WHOLE2.45000% 03/03/2027</t>
  </si>
  <si>
    <t>AMERICAN EXPRESS CO NOTE                2.55000% 03/04/2027</t>
  </si>
  <si>
    <t>HSBC USA INC NEW    NOTE                5.29400% 03/04/2027</t>
  </si>
  <si>
    <t>JOHN DEERE CAPITAL  CORPORATION MTN     4.85000% 03/05/2027</t>
  </si>
  <si>
    <t>DUKE ENERGY PROGRESSLLC BOND            4.35000% 03/06/2027 CALL MAKE WHOLE</t>
  </si>
  <si>
    <t>BANK MONTREAL MEDIUMSER F MTN           2.65000% 03/08/2027 CALL MAKE WHOLE</t>
  </si>
  <si>
    <t>JOHN DEERE CAPITAL  CORPORATION SER H   2.35000% 03/08/2027 MTN</t>
  </si>
  <si>
    <t>WESTPAC BANKING     CORPORATION BOND    3.35000% 03/08/2027</t>
  </si>
  <si>
    <t>JOHN DEERE CAPITAL  CORPORATION SER G   1.75000% 03/09/2027 MTN</t>
  </si>
  <si>
    <t>HONDA MOTOR CO LTD  NOTE CALL MAKE WHOLE2.53400% 03/10/2027 ISIN #US438127AB80</t>
  </si>
  <si>
    <t>TORONTO DOMINION BK ONT MTN             2.80000% 03/10/2027 CALL MAKE WHOLE</t>
  </si>
  <si>
    <t>BANK NOVA SCOTIA B CMTN CALL MAKE WHOLE 2.95100% 03/11/2027</t>
  </si>
  <si>
    <t>AMERICAN HONDA FIN  CORP  SER A MTN     4.90000% 03/12/2027 CALL MAKE WHOLE</t>
  </si>
  <si>
    <t>ABBVIE INC          NOTE CALL MAKE WHOLE4.80000% 03/15/2027</t>
  </si>
  <si>
    <t>BERKSHIRE HATHAWAY  FIN CORP NOTE       2.30000% 03/15/2027 CALL MAKE WHOLE</t>
  </si>
  <si>
    <t>2,000(2)</t>
  </si>
  <si>
    <t>BLACKROCK INC       NOTE CALL MAKE WHOLE3.20000% 03/15/2027</t>
  </si>
  <si>
    <t>CONNECTICUT LT &amp;PWR CO SER A BOND       3.20000% 03/15/2027 CALL MAKE WHOLE</t>
  </si>
  <si>
    <t>100(15)</t>
  </si>
  <si>
    <t>ELI LILLY &amp;CO       NOTE CALL MAKE WHOLE5.50000% 03/15/2027</t>
  </si>
  <si>
    <t>LAUDER ESTEE COS INCNOTE CALL MAKE WHOLE3.15000% 03/15/2027</t>
  </si>
  <si>
    <t>PROGRESSIVE CORP    NOTE CALL MAKE WHOLE2.50000% 03/15/2027</t>
  </si>
  <si>
    <t>STATE STR CORP      NOTE                4.99300% 03/18/2027</t>
  </si>
  <si>
    <t>EXXON MOBIL CORP    NOTE CALL MAKE WHOLE3.29400% 03/19/2027</t>
  </si>
  <si>
    <t>22(5)</t>
  </si>
  <si>
    <t>PEPSICO INC         NOTE CALL MAKE WHOLE2.62500% 03/19/2027</t>
  </si>
  <si>
    <t>TOYOTA MTR CR CORP  SER B MTN           5.00000% 03/19/2027</t>
  </si>
  <si>
    <t>TOYOTA MTR CR CORP  MTN CALL MAKE WHOLE 3.05000% 03/22/2027</t>
  </si>
  <si>
    <t>DISNEY WALT CO      NOTE CALL MAKE WHOLE3.70000% 03/23/2027</t>
  </si>
  <si>
    <t>COCA COLA CO        NOTE CALL MAKE WHOLE3.37500% 03/25/2027</t>
  </si>
  <si>
    <t>PROCTER &amp;GAMBLE CO  NOTE CALL MAKE WHOLE2.80000% 03/25/2027</t>
  </si>
  <si>
    <t>80( 9)</t>
  </si>
  <si>
    <t>MASTERCARD          INCORPORATED NOTE   3.30000% 03/26/2027 CALL MAKE WHOLE</t>
  </si>
  <si>
    <t>467(2)</t>
  </si>
  <si>
    <t>NIKE INC            NOTE CALL MAKE WHOLE2.75000% 03/27/2027</t>
  </si>
  <si>
    <t>ING GROEP N.V.      NOTE                3.95000% 03/29/2027</t>
  </si>
  <si>
    <t>GEORGIA PWR CO      SER 2017B NOTE      3.25000% 03/30/2027 CALL MAKE WHOLE</t>
  </si>
  <si>
    <t>HORMEL FOODS CORP   NOTE CALL MAKE WHOLE4.80000% 03/30/2027</t>
  </si>
  <si>
    <t>50(9)</t>
  </si>
  <si>
    <t>APPLIED MATLS INC   NOTE CALL MAKE WHOLE3.30000% 04/01/2027</t>
  </si>
  <si>
    <t>CINTAS CORP NO 2    NOTE CALL MAKE WHOLE3.70000% 04/01/2027</t>
  </si>
  <si>
    <t>COMCAST CORP NEW    NOTE CALL MAKE WHOLE3.30000% 04/01/2027</t>
  </si>
  <si>
    <t>EVERGY KANS CENT INCBOND CALL MAKE WHOLE3.10000% 04/01/2027</t>
  </si>
  <si>
    <t>425(2)</t>
  </si>
  <si>
    <t>GENERAL DYNAMICS    CORP NOTE           3.50000% 04/01/2027</t>
  </si>
  <si>
    <t>SCHWAB CHARLES CORP SER A NOTE          3.30000% 04/01/2027 CALL MAKE WHOLE</t>
  </si>
  <si>
    <t>690(10)</t>
  </si>
  <si>
    <t>ADOBE INC           NOTE CALL MAKE WHOLE4.85000% 04/04/2027</t>
  </si>
  <si>
    <t>AMPHENOL CORP       NOTE CALL MAKE WHOLE5.05000% 04/05/2027</t>
  </si>
  <si>
    <t>TORONTO DOMINION BK ONT SER C MTN       4.98000% 04/05/2027 CALL MAKE WHOLE</t>
  </si>
  <si>
    <t>BP CAP MKTS AMER INCNOTE CALL MAKE WHOLE3.54300% 04/06/2027</t>
  </si>
  <si>
    <t>372(5)</t>
  </si>
  <si>
    <t>EATON VANCE CORP    NOTE CALL MAKE WHOLE3.50000% 04/06/2027</t>
  </si>
  <si>
    <t>EQUINOR ASA         NOTE CALL MAKE WHOLE3.00000% 04/06/2027</t>
  </si>
  <si>
    <t>CANADIAN IMPERIAL BKCOMM NOTE           3.45000% 04/07/2027 CALL MAKE WHOLE     ISIN #US13607HR618</t>
  </si>
  <si>
    <t>BANCO SANTANDER SA  SER 6 NOTE          4.25000% 04/11/2027</t>
  </si>
  <si>
    <t>400(200)</t>
  </si>
  <si>
    <t>AMAZON COM INC      NOTE CALL MAKE WHOLE3.30000% 04/13/2027</t>
  </si>
  <si>
    <t>BP CAP MKTS AMER INCSER B NOTE          3.58800% 04/14/2027 CALL MAKE WHOLE</t>
  </si>
  <si>
    <t>HOME DEPOT INC      NOTE CALL MAKE WHOLE2.50000% 04/15/2027</t>
  </si>
  <si>
    <t>125( 2)</t>
  </si>
  <si>
    <t>HOME DEPOT INC      NOTE CALL MAKE WHOLE2.87500% 04/15/2027</t>
  </si>
  <si>
    <t>NATIONAL RURAL UTILSCOOP FIN MTN        3.00000% 04/15/2027</t>
  </si>
  <si>
    <t>PROLOGIS L P        NOTE CALL MAKE WHOLE2.12500% 04/15/2027</t>
  </si>
  <si>
    <t>87(2)</t>
  </si>
  <si>
    <t>SOUTHERN CALIF GAS  CO NOTE             2.95000% 04/15/2027 CALL MAKE WHOLE</t>
  </si>
  <si>
    <t>UNION PAC CORP      NOTE CALL MAKE WHOLE3.00000% 04/15/2027</t>
  </si>
  <si>
    <t>UNITEDHEALTH GROUP  INC NOTE            3.37500% 04/15/2027 CALL MAKE WHOLE</t>
  </si>
  <si>
    <t>UNITEDHEALTH GROUP  INC NOTE            4.60000% 04/15/2027 CALL MAKE WHOLE</t>
  </si>
  <si>
    <t>VISA INC            NOTE CALL MAKE WHOLE1.90000% 04/15/2027</t>
  </si>
  <si>
    <t>TSMC ARIZ CORP      NOTE CALL MAKE WHOLE3.87500% 04/22/2027</t>
  </si>
  <si>
    <t>NATIONAL RURAL UTILSCOOP FIN BOND       3.05000% 04/25/2027 CALL MAKE WHOLE</t>
  </si>
  <si>
    <t>130(15)</t>
  </si>
  <si>
    <t>CORPORACION ANDINA  DE FOMENTO NOTE     6.00000% 04/26/2027 ISIN #US219868CH71</t>
  </si>
  <si>
    <t>3,499(1)</t>
  </si>
  <si>
    <t xml:space="preserve">SFP </t>
  </si>
  <si>
    <t>US BANCORP          MTN                 3.15000% 04/27/2027</t>
  </si>
  <si>
    <t>BANK AMERICA CORP   SER N MTN           4.10000% 04/29/2027</t>
  </si>
  <si>
    <t>6(5)</t>
  </si>
  <si>
    <t>JPMORGAN CHASE &amp;CO  BOND                8.00000% 04/29/2027</t>
  </si>
  <si>
    <t>COMCAST CABLE       COMMUNICATIONS      8.500%  05/01/2027  MAKE WHOLE          EXCH NT</t>
  </si>
  <si>
    <t>96(1)</t>
  </si>
  <si>
    <t>523(10)</t>
  </si>
  <si>
    <t>MIDAMERICAN ENERGY  COMPANY BOND        3.10000% 05/01/2027 CALL MAKE WHOLE</t>
  </si>
  <si>
    <t>AMERICAN EXPRESS CO SER B NOTE          3.30000% 05/03/2027</t>
  </si>
  <si>
    <t>ROYAL BK CDA        SER I MTN           3.62500% 05/04/2027 CALL MAKE WHOLE</t>
  </si>
  <si>
    <t>UNILEVER CAP CORP   NOTE CALL MAKE WHOLE2.90000% 05/05/2027</t>
  </si>
  <si>
    <t>NATIONAL RURAL UTILSCOOP FIN MTN        5.10000% 05/06/2027 CALL MAKE WHOLE</t>
  </si>
  <si>
    <t>NORTHERN TR CORP    NOTE                4.00000% 05/10/2027</t>
  </si>
  <si>
    <t>APPLE INC           NOTE CALL MAKE WHOLE3.20000% 05/11/2027</t>
  </si>
  <si>
    <t>CHEVRON CORPORATION NOTE CALL MAKE WHOLE1.99500% 05/11/2027</t>
  </si>
  <si>
    <t>6(2)</t>
  </si>
  <si>
    <t>PACCAR FINANCIAL    CORP SER Q MTN      5.00000% 05/13/2027</t>
  </si>
  <si>
    <t>180(1)</t>
  </si>
  <si>
    <t>CATERPILLAR FINL    SVCS MTNS BE SER K  5.00000% 05/14/2027 CALL MAKE WHOLE</t>
  </si>
  <si>
    <t>AIR PRODUCTS AND    CHEMICALS INC NOTE  1.85000% 05/15/2027 CALL MAKE WHOLE</t>
  </si>
  <si>
    <t>AVALONBAY CMNTYS INCMTN CALL MAKE WHOLE 3.35000% 05/15/2027</t>
  </si>
  <si>
    <t>CIGNA CORP          BOND                7.87500% 05/15/2027</t>
  </si>
  <si>
    <t>ELI LILLY &amp;CO       NOTE CALL MAKE WHOLE3.10000% 05/15/2027</t>
  </si>
  <si>
    <t>INTERNATIONAL       BUSINESS MACHS NOTE 1.70000% 05/15/2027 CALL MAKE WHOLE</t>
  </si>
  <si>
    <t>400(100)</t>
  </si>
  <si>
    <t>250(100)</t>
  </si>
  <si>
    <t>NSTAR ELEC CO       BOND CALL MAKE WHOLE3.20000% 05/15/2027</t>
  </si>
  <si>
    <t>PUBLIC SVC ELEC &amp;GASCO SER L MTN        3.00000% 05/15/2027 CALL MAKE WHOLE</t>
  </si>
  <si>
    <t>THE CIGNA GROUP     SER C NOTE          7.87500% 05/15/2027</t>
  </si>
  <si>
    <t>365(5)</t>
  </si>
  <si>
    <t>UNITEDHEALTH GROUP  INC NOTE            3.70000% 05/15/2027 CALL MAKE WHOLE</t>
  </si>
  <si>
    <t>BANK NEW YORK MELLONCORP SER J MTN      3.25000% 05/16/2027</t>
  </si>
  <si>
    <t>NOVARTIS CAPITAL    CORP NOTE           3.10000% 05/17/2027 CALL MAKE WHOLE</t>
  </si>
  <si>
    <t>COSTCO WHOLESALE    CORPORATION NOTE    3.00000% 05/18/2027 CALL MAKE</t>
  </si>
  <si>
    <t>MANULIFE FINL CORP  NOTE CALL MAKE WHOLE2.48400% 05/19/2027</t>
  </si>
  <si>
    <t>PNC FINL SVCS GROUP INC NOTE            3.15000% 05/19/2027</t>
  </si>
  <si>
    <t>QUALCOMM INC        NOTE CALL MAKE WHOLE3.25000% 05/20/2027</t>
  </si>
  <si>
    <t>15(2)</t>
  </si>
  <si>
    <t>NUCOR CORP          NOTE CALL MAKE WHOLE4.30000% 05/23/2027</t>
  </si>
  <si>
    <t>COCA COLA CO        NOTE CALL MAKE WHOLE2.90000% 05/25/2027</t>
  </si>
  <si>
    <t>AON CORP / AON      GLOBAL HLDGS NOTE   2.85000% 05/28/2027 CALL MAKE WHOLE</t>
  </si>
  <si>
    <t>COCA COLA CO        NOTE CALL MAKE WHOLE1.45000% 06/01/2027</t>
  </si>
  <si>
    <t>MID-AMERICA APTS LP NOTE CALL MAKE WHOLE3.60000% 06/01/2027</t>
  </si>
  <si>
    <t>PAYPAL HLDGS INC    NOTE CALL MAKE WHOLE3.90000% 06/01/2027</t>
  </si>
  <si>
    <t>SOUTHERN CALIFORNIA EDISON CO SER 2022D 4.70000% 06/01/2027 BOND CALL MAKE WHOLE</t>
  </si>
  <si>
    <t>AMAZON COM INC      NOTE CALL MAKE WHOLE1.20000% 06/03/2027</t>
  </si>
  <si>
    <t>BANK MONTREAL MEDIUMSER H MTN           5.37000% 06/04/2027 CALL MAKE WHOLE</t>
  </si>
  <si>
    <t>BANK NOVA SCOTIA B CMTN CALL MAKE WHOLE 5.40000% 06/04/2027</t>
  </si>
  <si>
    <t>TORONTO DOMINION BK ONT MTN             4.10800% 06/08/2027 CALL MAKE WHOLE     ISIN #US89115A2C54</t>
  </si>
  <si>
    <t>500(50)</t>
  </si>
  <si>
    <t>MERCK &amp;CO INC       NOTE CALL MAKE WHOLE1.70000% 06/10/2027</t>
  </si>
  <si>
    <t>JOHN DEERE CAPITAL  CORPORATION MTN     4.90000% 06/11/2027</t>
  </si>
  <si>
    <t>ASTRAZENECA PLC     NOTE CALL MAKE WHOLE3.12500% 06/12/2027</t>
  </si>
  <si>
    <t>ATMOS ENERGY CORP   NOTE CALL MAKE WHOLE3.00000% 06/15/2027</t>
  </si>
  <si>
    <t>BURLINGTON NORTHN   SANTA FE CP BOND    3.25000% 06/15/2027 CALL MAKE WHOLE</t>
  </si>
  <si>
    <t>DISNEY WALT CO      MTN CALL MAKE WHOLE 2.95000% 06/15/2027</t>
  </si>
  <si>
    <t>MICROSOFT CORP      NOTE CALL MAKE WHOLE3.40000% 06/15/2027</t>
  </si>
  <si>
    <t>SIMON PPTY GROUP LP NOTE CALL MAKE WHOLE3.37500% 06/15/2027</t>
  </si>
  <si>
    <t>UNION ELEC CO       NOTE CALL MAKE WHOLE2.95000% 06/15/2027</t>
  </si>
  <si>
    <t>230(9)</t>
  </si>
  <si>
    <t>APPLE INC           NOTE CALL MAKE WHOLE3.00000% 06/20/2027</t>
  </si>
  <si>
    <t>COSTCO WHOLESALE    CORPORATION NOTE    1.37500% 06/20/2027 CALL MAKE</t>
  </si>
  <si>
    <t>BANK AMERICA CORP   SER N MTN           2.00000% 06/22/2027</t>
  </si>
  <si>
    <t>HOME DEPOT INC      NOTE CALL MAKE WHOLE4.87500% 06/25/2027</t>
  </si>
  <si>
    <t>CANADIAN IMPERIAL BKCOMM NOTE           5.23700% 06/28/2027 CALL MAKE WHOLE</t>
  </si>
  <si>
    <t>RENAISSANCERE FIN   INC NOTE            3.45000% 07/01/2027 CALL MAKE WHOLE</t>
  </si>
  <si>
    <t>40(15)</t>
  </si>
  <si>
    <t>WASTE MGMT INC DEL  NOTE CALL MAKE WHOLE4.95000% 07/03/2027</t>
  </si>
  <si>
    <t>AMERICAN HONDA FIN  CORP  SER A MTN     4.90000% 07/09/2027 CALL MAKE WHOLE</t>
  </si>
  <si>
    <t>UBS AG N Y BRH      MTN                 5.00000% 07/09/2027</t>
  </si>
  <si>
    <t>SUMITOMO MITSUI     FINANCIAL GROUP INC 3.36400% 07/12/2027 NOTE                ISIN #US86562MAR16</t>
  </si>
  <si>
    <t>INTUIT              NOTE CALL MAKE WHOLE1.35000% 07/15/2027</t>
  </si>
  <si>
    <t>JOHN DEERE CAPITAL  CORPORATION SER I   4.20000% 07/15/2027 MTN</t>
  </si>
  <si>
    <t>MITSUBISHI UFJ      FINANCIAL GROUP INC 3.28700% 07/25/2027 NOTE</t>
  </si>
  <si>
    <t>BLACKROCK INC       NOTE CALL MAKE WHOLE4.60000% 07/26/2027</t>
  </si>
  <si>
    <t>100( 10)</t>
  </si>
  <si>
    <t>INTERNATIONAL       BUSINESS MACHS NOTE 4.15000% 07/27/2027 CALL MAKE WHOLE</t>
  </si>
  <si>
    <t>490(100)</t>
  </si>
  <si>
    <t>HONEYWELL INTL INC  NOTE CALL MAKE WHOLE4.65000% 07/30/2027</t>
  </si>
  <si>
    <t>MORGAN STANLEY FIN  LLC MTN             2.00000% 07/31/2027</t>
  </si>
  <si>
    <t>ERP OPER LTD        PARTNERSHIP NOTE    3.25000% 08/01/2027 CALL MAKE WHOLE</t>
  </si>
  <si>
    <t>INTERNATIONAL       BUSINESS MACHS BOND 6.22000% 08/01/2027 CALL MAKE WHOLE</t>
  </si>
  <si>
    <t>ROYAL BK CDA        SER I MTN           4.24000% 08/03/2027 CALL MAKE WHOLE     ISIN #US78016FZS63</t>
  </si>
  <si>
    <t>TRUIST FINL CORP    SER G MTN           1.12500% 08/03/2027</t>
  </si>
  <si>
    <t>489(2)</t>
  </si>
  <si>
    <t>PACCAR FINANCIAL    CORP SER Q MTN      4.45000% 08/06/2027</t>
  </si>
  <si>
    <t>PROCTER &amp;GAMBLE CO  NOTE CALL MAKE WHOLE2.85000% 08/11/2027</t>
  </si>
  <si>
    <t>CATERPILLAR FINL    SVCS MTNS BE SER J  3.60000% 08/12/2027 CALL MAKE WHOLE</t>
  </si>
  <si>
    <t>CHEVRON USA INC     NOTE CALL MAKE WHOLE1.01800% 08/12/2027</t>
  </si>
  <si>
    <t>UNILEVER CAP CORP   NOTE CALL MAKE WHOLE4.25000% 08/12/2027</t>
  </si>
  <si>
    <t>TOYOTA MTR CR CORP  SER B MTN           1.15000% 08/13/2027 CALL MAKE WHOLE</t>
  </si>
  <si>
    <t>ELI LILLY &amp;CO       NOTE CALL MAKE WHOLE4.15000% 08/14/2027</t>
  </si>
  <si>
    <t>425( 2)</t>
  </si>
  <si>
    <t>ALPHABET INC        NOTE CALL MAKE WHOLE0.80000% 08/15/2027</t>
  </si>
  <si>
    <t>CNA FINL CORP       NOTE CALL MAKE WHOLE3.45000% 08/15/2027</t>
  </si>
  <si>
    <t>COLGATE PALMOLIVE CONOTE CALL MAKE WHOLE3.10000% 08/15/2027</t>
  </si>
  <si>
    <t>COMMONWEALTH EDISON CO SER 122 BOND     2.95000% 08/15/2027 CALL MAKE WHOLE</t>
  </si>
  <si>
    <t>150(2)</t>
  </si>
  <si>
    <t>HERSHEY CO          BOND                7.20000% 08/15/2027</t>
  </si>
  <si>
    <t>META PLATFORMS INC  SER B NOTE          3.50000% 08/15/2027 CALL MAKE WHOLE</t>
  </si>
  <si>
    <t>NATIONAL RURAL UTILSCOOP FIN            2.75000% 08/15/2027 SER INTERNOTES MTN</t>
  </si>
  <si>
    <t>NATIONAL RURAL UTILSCOOP FIN MTN        3.50000% 08/15/2027</t>
  </si>
  <si>
    <t>REALTY INCOME CORP  NOTE CALL MAKE WHOLE3.95000% 08/15/2027</t>
  </si>
  <si>
    <t>58(2)</t>
  </si>
  <si>
    <t>TYCO ELECTRONICS    GROUP S A NOTE      3.12500% 08/15/2027 CALL MAKE WHOLE</t>
  </si>
  <si>
    <t>VISA INC            NOTE CALL MAKE WHOLE0.75000% 08/15/2027</t>
  </si>
  <si>
    <t>PHILIP MORRIS INTL  INC NOTE            3.12500% 08/17/2027 CALL MAKE WHOLE</t>
  </si>
  <si>
    <t>19(19)</t>
  </si>
  <si>
    <t>BANCO SANTANDER S.A.SER 164 NOTE        5.29400% 08/18/2027 ISIN #US05964HAS40</t>
  </si>
  <si>
    <t>AMAZON COM INC      SER B NOTE          3.15000% 08/22/2027 CALL MAKE WHOLE</t>
  </si>
  <si>
    <t>WESTPAC BKG CORP    NOTE                4.04300% 08/26/2027</t>
  </si>
  <si>
    <t>JPMORGAN CHASE &amp;CO  SER SERIES E MTN    2.25000% 08/28/2027</t>
  </si>
  <si>
    <t>14(5)</t>
  </si>
  <si>
    <t>CITIGROUP GLOBAL    MKTS HLDGS IN SER N 4.60000% 08/30/2027 MTN</t>
  </si>
  <si>
    <t>TORONTO DOMINION BK ONT SER D MTN       4.60000% 08/30/2027</t>
  </si>
  <si>
    <t>ALABAMA PWR CO      SER 2022B NOTE      3.75000% 09/01/2027 CALL MAKE WHOLE</t>
  </si>
  <si>
    <t>182(2)</t>
  </si>
  <si>
    <t>AMERICAN WTR CAP    CORP NOTE           2.95000% 09/01/2027 CALL MAKE WHOLE</t>
  </si>
  <si>
    <t>ENTERGY LA LLC      BOND CALL MAKE WHOLE3.12000% 09/01/2027</t>
  </si>
  <si>
    <t>JOHNSON &amp;JOHNSON    NOTE CALL MAKE WHOLE0.95000% 09/01/2027</t>
  </si>
  <si>
    <t>JOHN DEERE CAPITAL  CORPORATION SER G   2.80000% 09/08/2027 MTN</t>
  </si>
  <si>
    <t>DEUTSCHE BK AG N Y  NOTE                5.37100% 09/09/2027</t>
  </si>
  <si>
    <t>500(150)</t>
  </si>
  <si>
    <t>550(150)</t>
  </si>
  <si>
    <t>WALMART INC         NOTE CALL MAKE WHOLE3.95000% 09/09/2027</t>
  </si>
  <si>
    <t>235(2)</t>
  </si>
  <si>
    <t>MIZUHO FINANCIAL    GROUP NOTE          3.17000% 09/11/2027</t>
  </si>
  <si>
    <t>APPLE INC           NOTE CALL MAKE WHOLE2.90000% 09/12/2027</t>
  </si>
  <si>
    <t>BANK MONTREAL MEDIUMSER H MTN           4.70000% 09/14/2027 CALL MAKE WHOLE     ISIN #US06368LAQ95</t>
  </si>
  <si>
    <t>CATERPILLAR FINL    SVCS MTNS BE SER J  1.10000% 09/14/2027 CALL MAKE WHOLE</t>
  </si>
  <si>
    <t>HOME DEPOT INC      NOTE CALL MAKE WHOLE2.80000% 09/14/2027</t>
  </si>
  <si>
    <t>BANK AMERICA CORP   SER N MTN           2.75000% 09/15/2027</t>
  </si>
  <si>
    <t>EATON CORP OHIO     NOTE CALL MAKE WHOLE3.10300% 09/15/2027</t>
  </si>
  <si>
    <t>EXPORT-IMPORT BANK  OF KOREA NOTE       4.25000% 09/15/2027 ISIN #US302154DR75  SEDOL #BMTPQ89</t>
  </si>
  <si>
    <t>INTERCONTINENTAL    EXCHANGE INC NOTE   3.10000% 09/15/2027 CALL MAKE WHOLE</t>
  </si>
  <si>
    <t>INTERCONTINENTAL    EXCHANGE INC NOTE   4.00000% 09/15/2027 CALL MAKE WHOLE</t>
  </si>
  <si>
    <t>JOHN DEERE CAPITAL  CORPORATION SER H   4.15000% 09/15/2027 MTN</t>
  </si>
  <si>
    <t>JPMORGAN CHASE FINL CO LLC SER A MTN    4.60000% 09/15/2027</t>
  </si>
  <si>
    <t>KIMBERLY-CLARK CORP NOTE CALL MAKE WHOLE1.05000% 09/15/2027</t>
  </si>
  <si>
    <t>PUBLIC STORAGE OPER CO NOTE             3.09400% 09/15/2027 CALL MAKE WHOLE</t>
  </si>
  <si>
    <t>TORONTO DOMINION BK ONT SER C MTN       4.69300% 09/15/2027 CALL MAKE WHOLE</t>
  </si>
  <si>
    <t>VISA INC            NOTE CALL MAKE WHOLE2.75000% 09/15/2027</t>
  </si>
  <si>
    <t>NATIONAL RURAL UTILSCOOP FIN SER D MTN  4.12000% 09/16/2027 CALL MAKE WHOLE</t>
  </si>
  <si>
    <t>BP CAP MKTS P L C   NOTE CALL MAKE WHOLE3.27900% 09/19/2027 ISIN #US05565QDN51  SEDOL #BF97NH4</t>
  </si>
  <si>
    <t>TOYOTA MTR CR CORP  MTN CALL MAKE WHOLE 4.55000% 09/20/2027</t>
  </si>
  <si>
    <t>EQUINOR ASA         BOND                7.25000% 09/23/2027</t>
  </si>
  <si>
    <t>72(5)</t>
  </si>
  <si>
    <t>JPMORGAN CHASE &amp;CO  SER E MTN           1.50000% 09/24/2027</t>
  </si>
  <si>
    <t>215(1)</t>
  </si>
  <si>
    <t>CITIGROUP GLOBAL    MKTS HLDGS IN SER N 3.75000% 09/30/2027 MTN</t>
  </si>
  <si>
    <t>786(1)</t>
  </si>
  <si>
    <t>CONOCOPHILLIPS      NOTE CALL MAKE WHOLE3.75000% 10/01/2027</t>
  </si>
  <si>
    <t>1,281(5)</t>
  </si>
  <si>
    <t>JPMORGAN CHASE &amp;CO  NOTE                4.25000% 10/01/2027</t>
  </si>
  <si>
    <t>789(2)</t>
  </si>
  <si>
    <t>216(5)</t>
  </si>
  <si>
    <t>ACCENTURE CAPITAL   INC NOTE            3.90000% 10/04/2027 CALL MAKE WHOLE</t>
  </si>
  <si>
    <t>TOYOTA MTR CR CORP  MTN                 4.35000% 10/08/2027</t>
  </si>
  <si>
    <t>21(10)</t>
  </si>
  <si>
    <t>CATERPILLAR FINL    SVCS MTNS BE SER K  4.40000% 10/15/2027 CALL MAKE WHOLE</t>
  </si>
  <si>
    <t>272(1)</t>
  </si>
  <si>
    <t>CIGNA CORP          NOTE CALL MAKE WHOLE3.05000% 10/15/2027</t>
  </si>
  <si>
    <t>28(3)</t>
  </si>
  <si>
    <t>EMERSON ELEC CO     NOTE CALL MAKE WHOLE1.80000% 10/15/2027</t>
  </si>
  <si>
    <t>NATIONAL RURAL UTILSCOOP FIN            3.50000% 10/15/2027 SER INTERNOTES MTN</t>
  </si>
  <si>
    <t>NATIONAL RURAL UTILSCOOP FIN            3.00000% 10/15/2027 SER INTERNOTES MTN</t>
  </si>
  <si>
    <t>PEPSICO INC         NOTE CALL MAKE WHOLE3.00000% 10/15/2027</t>
  </si>
  <si>
    <t>THE CIGNA GROUP     SER C NOTE          3.05000% 10/15/2027 CALL MAKE WHOLE</t>
  </si>
  <si>
    <t>UNITEDHEALTH GROUP  INC NOTE            2.95000% 10/15/2027 CALL MAKE WHOLE</t>
  </si>
  <si>
    <t>WISCONSIN PWR &amp;LT COBOND                3.05000% 10/15/2027</t>
  </si>
  <si>
    <t>SUMITOMO MITSUI     FINANCIAL GROUP INC 3.35200% 10/18/2027 NOTE</t>
  </si>
  <si>
    <t>BANK AMERICA CORP   SER L MTN           3.24800% 10/21/2027 CALL MAKE WHOLE</t>
  </si>
  <si>
    <t>AMERICAN HONDA FIN  CORP  SER A MTN     4.45000% 10/22/2027 CALL MAKE WHOLE</t>
  </si>
  <si>
    <t>292(10)</t>
  </si>
  <si>
    <t>STATE STR CORP      NOTE                4.33000% 10/22/2027</t>
  </si>
  <si>
    <t>10,000(2)</t>
  </si>
  <si>
    <t>DIAGEO CAP PLC      NOTE CALL MAKE WHOLE5.30000% 10/24/2027</t>
  </si>
  <si>
    <t>PNC BK N A          PITTSBURGH PA DISC  3.10000% 10/25/2027 MTN</t>
  </si>
  <si>
    <t xml:space="preserve"> 520(250)</t>
  </si>
  <si>
    <t>TOYOTA MTR CR CORP  SER B MTN           4.55000% 10/29/2027</t>
  </si>
  <si>
    <t>409(10)</t>
  </si>
  <si>
    <t>PHILIP MORRIS       INTERNATIONAL INC   4.37500% 11/01/2027 NOTE CALL MAKE WHOLE</t>
  </si>
  <si>
    <t>ROYAL BK CDA        SER I MTN           6.00000% 11/01/2027 CALL MAKE WHOLE</t>
  </si>
  <si>
    <t>SOUTHERN CALIF      EDISON CO SER 2022F 5.85000% 11/01/2027 BOND CALL MAKE WHOLE</t>
  </si>
  <si>
    <t>TEXAS INSTRS INC    NOTE CALL MAKE WHOLE2.90000% 11/03/2027</t>
  </si>
  <si>
    <t>AMERICAN EXPRESS CO NOTE                5.85000% 11/05/2027</t>
  </si>
  <si>
    <t>1,143(2)</t>
  </si>
  <si>
    <t>MARSH &amp;MCLENNAN COS INC NOTE            4.55000% 11/08/2027 CALL MAKE WHOLE</t>
  </si>
  <si>
    <t>TOYOTA MTR CR CORP  SER B MTN           5.45000% 11/10/2027 CALL MAKE WHOLE</t>
  </si>
  <si>
    <t>APPLE INC           NOTE CALL MAKE WHOLE3.00000% 11/13/2027</t>
  </si>
  <si>
    <t>BRISTOL-MYERS SQUIBBCO NOTE             1.12500% 11/13/2027 CALL MAKE WHOLE</t>
  </si>
  <si>
    <t>BRISTOL-MYERS SQUIBBCO SER C NOTE       3.45000% 11/15/2027 CALL MAKE WHOLE</t>
  </si>
  <si>
    <t xml:space="preserve"> 500(2)</t>
  </si>
  <si>
    <t>CATERPILLAR FINL    SVCS MTNS BE SER K  4.60000% 11/15/2027 CALL MAKE WHOLE</t>
  </si>
  <si>
    <t>COMCAST CORP NEW    NOTE CALL MAKE WHOLE5.35000% 11/15/2027</t>
  </si>
  <si>
    <t>CONSOLIDATED EDISON CO N Y INC          3.12500% 11/15/2027 SER 2017 B BOND     CALL MAKE WHOLE</t>
  </si>
  <si>
    <t>GENERAL DYNAMICS    CORP NOTE           2.62500% 11/15/2027 CALL MAKE WHOLE</t>
  </si>
  <si>
    <t>JOHN HANCOCK LIFE   INSURANCE CO MTN    6.00000% 11/15/2027</t>
  </si>
  <si>
    <t>27(27)</t>
  </si>
  <si>
    <t xml:space="preserve">IE SFP D SO </t>
  </si>
  <si>
    <t>KELLANOVA           NOTE CALL MAKE WHOLE3.40000% 11/15/2027</t>
  </si>
  <si>
    <t>LOCKHEED MARTIN CORPNOTE CALL MAKE WHOLE5.10000% 11/15/2027</t>
  </si>
  <si>
    <t>NATIONAL RURAL UTILSCOOP FIN            3.50000% 11/15/2027 SER INTERNOTES MTN</t>
  </si>
  <si>
    <t>NATIONAL RURAL UTILSCOOP FIN            3.00000% 11/15/2027 SER INTERNOTES MTN</t>
  </si>
  <si>
    <t>UNITED PARCEL SVCS  INC NOTE            3.05000% 11/15/2027 CALL MAKE WHOLE</t>
  </si>
  <si>
    <t>WASTE MGMT INC DEL  NOTE CALL MAKE WHOLE3.15000% 11/15/2027</t>
  </si>
  <si>
    <t>POLAND REP          NOTE                5.50000% 11/16/2027</t>
  </si>
  <si>
    <t>BP CAP MKTS AMER INCNOTE CALL MAKE WHOLE5.01700% 11/17/2027</t>
  </si>
  <si>
    <t>PHILIP MORRIS INTL  INC NOTE            5.12500% 11/17/2027 CALL MAKE WHOLE</t>
  </si>
  <si>
    <t>WESTPAC BKG CORP NOTE                5.45700% 11/18/2027</t>
  </si>
  <si>
    <t>THERMO FISHER       SCIENTIFIC INC NOTE 4.80000% 11/21/2027 CALL MAKE WHOLE</t>
  </si>
  <si>
    <t>BARCLAYS BANK PLC   SER A MTN           1.75000% 11/23/2027</t>
  </si>
  <si>
    <t>AMAZON COM INC      NOTE CALL MAKE WHOLE4.55000% 12/01/2027</t>
  </si>
  <si>
    <t>BURLINGTON NORTHN   SANTA FE CP BOND    6.87500% 12/01/2027 CALL MAKE WHOLE</t>
  </si>
  <si>
    <t>990(1)</t>
  </si>
  <si>
    <t>ECOLAB INC          SER B NOTE          3.25000% 12/01/2027 CALL MAKE WHOLE</t>
  </si>
  <si>
    <t>ELEVANCE HEALTH INC NOTE CALL MAKE WHOLE3.65000% 12/01/2027</t>
  </si>
  <si>
    <t>ENTERGY MISSISSIPPI LLC BOND            3.25000% 12/01/2027 CALL MAKE WHOLE</t>
  </si>
  <si>
    <t>JPMORGAN CHASE &amp;CO  NOTE                3.62500% 12/01/2027</t>
  </si>
  <si>
    <t>SIMON PPTY GROUP LP NOTE CALL MAKE WHOLE3.37500% 12/01/2027</t>
  </si>
  <si>
    <t>ALIBABA GROUP       HOLDING LTD NOTE    3.40000% 12/06/2027 CALL MAKE WHOLE</t>
  </si>
  <si>
    <t>AXIS SPECIALTY      FINANCE PLC NOTE    4.00000% 12/06/2027 CALL MAKE WHOLE</t>
  </si>
  <si>
    <t>JPMORGAN CHASE &amp;CO  SER E MTN           2.00000% 12/09/2027</t>
  </si>
  <si>
    <t>ANHEUSER BUSCH COS  INC BOND            6.75000% 12/15/2027 CALL MAKE WHOLE</t>
  </si>
  <si>
    <t xml:space="preserve"> 110(1)</t>
  </si>
  <si>
    <t>ARCHER DANIELS      MIDLAND CO BOND     6.75000% 12/15/2027</t>
  </si>
  <si>
    <t>99(5)</t>
  </si>
  <si>
    <t>BAKER HUGHES A GE COLLC / BA SER B NOTE 3.33700% 12/15/2027 CALL MAKE WHOLE</t>
  </si>
  <si>
    <t>5,000(2)</t>
  </si>
  <si>
    <t>NATIONAL RURAL UTILSCOOP FIN            3.00000% 12/15/2027 SER INTERNOTES MTN</t>
  </si>
  <si>
    <t>PFIZER INC          BOND                6.75000% 12/15/2027</t>
  </si>
  <si>
    <t>PROLOGIS L P        NOTE CALL MAKE WHOLE3.37500% 12/15/2027</t>
  </si>
  <si>
    <t>ANHEUSER BUSCH COS  INC BOND            6.50000% 01/01/2028 CALL MAKE WHOLE</t>
  </si>
  <si>
    <t>120(1)</t>
  </si>
  <si>
    <t>KIMBERLY-CLARK CORP BOND CALL MAKE WHOLE6.37500% 01/01/2028</t>
  </si>
  <si>
    <t>190(1)</t>
  </si>
  <si>
    <t>TORONTO DOMINION BK ONT SER D MTN       5.30000% 01/03/2028</t>
  </si>
  <si>
    <t>490(10)</t>
  </si>
  <si>
    <t>15(1)</t>
  </si>
  <si>
    <t>JOHN DEERE CAPITAL  CORPORATION SER G   3.05000% 01/06/2028 MTN</t>
  </si>
  <si>
    <t>JOHN DEERE CAPITAL  CORPORATION SER I   4.65000% 01/07/2028 MTN</t>
  </si>
  <si>
    <t>PACCAR FINANCIAL    CORP MTN            4.60000% 01/10/2028</t>
  </si>
  <si>
    <t>TORONTO DOMINION BK ONT SER C MTN       5.15600% 01/10/2028 CALL MAKE WHOLE</t>
  </si>
  <si>
    <t>EXPORT-IMPORT BANK  OF KOREA NOTE       5.00000% 01/11/2028 ISIN #US302154DV87  SEDOL #BNNT2H5</t>
  </si>
  <si>
    <t>TOYOTA MTR CR CORP  SER B MTN           3.05000% 01/11/2028 CALL MAKE WHOLE</t>
  </si>
  <si>
    <t>AMERICAN HONDA FIN  CORP  MTN           4.70000% 01/12/2028 CALL MAKE WHOLE</t>
  </si>
  <si>
    <t>ATHENE HOLDING LTD  NOTE CALL MAKE WHOLE4.12500% 01/12/2028</t>
  </si>
  <si>
    <t>ROYAL BK CDA        SER I MTN           4.90000% 01/12/2028 CALL MAKE WHOLE</t>
  </si>
  <si>
    <t>TOYOTA MTR CR CORP  SER B MTN           4.62500% 01/12/2028 CALL MAKE WHOLE</t>
  </si>
  <si>
    <t>DISNEY WALT CO      NOTE CALL MAKE WHOLE2.20000% 01/13/2028</t>
  </si>
  <si>
    <t>SUMITOMO MITSUI FIN GRP INC NOTE        5.52000% 01/13/2028</t>
  </si>
  <si>
    <t>AVALONBAY CMNTYS INCMTN CALL MAKE WHOLE 3.20000% 01/15/2028</t>
  </si>
  <si>
    <t>CHEVRON USA INC     NOTE CALL MAKE WHOLE3.85000% 01/15/2028</t>
  </si>
  <si>
    <t>ECOLAB INC          NOTE CALL MAKE WHOLE5.25000% 01/15/2028</t>
  </si>
  <si>
    <t>INTERNATIONAL       BUSINESS MACHS BOND 6.50000% 01/15/2028 CALL MAKE WHOLE</t>
  </si>
  <si>
    <t>JOHNSON &amp;JOHNSON    NOTE CALL MAKE WHOLE2.90000% 01/15/2028</t>
  </si>
  <si>
    <t>MASTERCARD          INCORPORATED NOTE   4.10000% 01/15/2028 CALL MAKE WHOLE</t>
  </si>
  <si>
    <t>NATIONAL RURAL UTILSCOOP FIN            3.50000% 01/15/2028 SER INTERNOTES MTN</t>
  </si>
  <si>
    <t>41(5)</t>
  </si>
  <si>
    <t>PIONEER NAT RES CO  NOTE CALL MAKE WHOLE7.20000% 01/15/2028</t>
  </si>
  <si>
    <t>REALTY INCOME CORP  NOTE CALL MAKE WHOLE3.65000% 01/15/2028</t>
  </si>
  <si>
    <t>REALTY INCOME CORP  NOTE CALL MAKE WHOLE3.40000% 01/15/2028</t>
  </si>
  <si>
    <t>ROCKWELL AUTOMATION INC BOND            6.70000% 01/15/2028 CALL MAKE WHOLE</t>
  </si>
  <si>
    <t>ADOBE INC           NOTE CALL MAKE WHOLE4.75000% 01/17/2028</t>
  </si>
  <si>
    <t>ISRAEL(STATE OF)    NOTE                3.25000% 01/17/2028</t>
  </si>
  <si>
    <t>MORGAN STANLEY      MTN                 4.00000% 01/17/2028</t>
  </si>
  <si>
    <t>SUMITOMO MITSUI     FINANCIAL GROUP INC 3.54400% 01/17/2028 NOTE</t>
  </si>
  <si>
    <t>JOHN DEERE CAPITAL  CORPORATION MTN     4.75000% 01/20/2028</t>
  </si>
  <si>
    <t>30(1)</t>
  </si>
  <si>
    <t>BROOKFIELD FIN INC  NOTE CALL MAKE WHOLE3.90000% 01/25/2028</t>
  </si>
  <si>
    <t>204(10)</t>
  </si>
  <si>
    <t>SCHWAB CHARLES CORP NOTE CALL MAKE WHOLE3.20000% 01/25/2028</t>
  </si>
  <si>
    <t>WESTPAC BANKING     CORPORATION NOTE    3.40000% 01/25/2028</t>
  </si>
  <si>
    <t>PROCTER &amp;GAMBLE CO  NOTE CALL MAKE WHOLE3.95000% 01/26/2028</t>
  </si>
  <si>
    <t>MANUFACTURERS &amp;TRADERS TR CO NOTE 4.70000% 01/27/2028 CALL MAKE WHOLE</t>
  </si>
  <si>
    <t>BANK NEW YORK MELLONCORP SER J MTN      3.40000% 01/29/2028</t>
  </si>
  <si>
    <t>ABBOTT LABORATORIES NOTE CALL MAKE WHOLE1.15000% 01/30/2028</t>
  </si>
  <si>
    <t>TORONTO DOMINION BK ONT SER C MTN       4.86100% 01/31/2028 CALL MAKE WHOLE     ISIN #US89115A3E02</t>
  </si>
  <si>
    <t>BANK MONTREAL MEDIUMSER H NOTE          5.20300% 02/01/2028 CALL MAKE WHOLE</t>
  </si>
  <si>
    <t>SIMON PPTY GROUP LP NOTE CALL MAKE WHOLE1.75000% 02/01/2028</t>
  </si>
  <si>
    <t>KOREA DEV BK        NOTE                4.62500% 02/03/2028</t>
  </si>
  <si>
    <t>CHILE(REPUBLIC OF)  NOTE                3.24000% 02/06/2028 ISIN #US168863CF36  SEDOL #BFYTTF5</t>
  </si>
  <si>
    <t>INTERNATIONAL       BUSINESS MACHS NOTE 4.50000% 02/06/2028 CALL MAKE WHOLE</t>
  </si>
  <si>
    <t>625(100)</t>
  </si>
  <si>
    <t>NATIONAL RURAL UTILSCOOP FIN BOND       3.40000% 02/07/2028 CALL MAKE WHOLE</t>
  </si>
  <si>
    <t>PEPSICO INC         NOTE CALL MAKE WHOLE4.45000% 02/07/2028</t>
  </si>
  <si>
    <t>APPLE INC           NOTE CALL MAKE WHOLE1.20000% 02/08/2028</t>
  </si>
  <si>
    <t>BANK NOVA SCOTIA B CSER B NOTE          1.12500% 02/10/2028</t>
  </si>
  <si>
    <t>185(15)</t>
  </si>
  <si>
    <t>INTERNATIONAL       BUSINESS MACHS NOTE 4.65000% 02/10/2028 CALL MAKE WHOLE</t>
  </si>
  <si>
    <t>ELI LILLY &amp;CO       NOTE CALL MAKE WHOLE4.55000% 02/12/2028</t>
  </si>
  <si>
    <t>AMERICAN HONDA FIN  CORP  SER A MTN     3.50000% 02/15/2028 CALL MAKE WHOLE</t>
  </si>
  <si>
    <t>COMCAST CORP NEW    NOTE CALL MAKE WHOLE3.15000% 02/15/2028</t>
  </si>
  <si>
    <t>HONEYWELL INTL INC  NOTE CALL MAKE WHOLE4.95000% 02/15/2028</t>
  </si>
  <si>
    <t>KOREA DEVELOPMENT   BANK NOTE           4.37500% 02/15/2028 ISIN #US500630DW55  SEDOL #BMZLML6</t>
  </si>
  <si>
    <t>NORTHERN ILL GAS CO BOND                6.58000% 02/15/2028</t>
  </si>
  <si>
    <t>PHILIP MORRIS INTL  INC NOTE            4.87500% 02/15/2028 CALL MAKE WHOLE</t>
  </si>
  <si>
    <t>TELE COMMUNICATIONS INC NEW NOTE        7.12500% 02/15/2028</t>
  </si>
  <si>
    <t>TEXAS INSTRS INC    NOTE CALL MAKE WHOLE4.60000% 02/15/2028</t>
  </si>
  <si>
    <t>UBS AG N Y BRH      MTN                 7.50000% 02/15/2028</t>
  </si>
  <si>
    <t>UNITEDHEALTH GROUP  INC NOTE            5.25000% 02/15/2028 CALL MAKE WHOLE</t>
  </si>
  <si>
    <t>PEPSICO INC         NOTE CALL MAKE WHOLE3.60000% 02/18/2028</t>
  </si>
  <si>
    <t>BRISTOL-MYERS SQUIBBCO SER C NOTE       3.90000% 02/20/2028 CALL MAKE WHOLE</t>
  </si>
  <si>
    <t>BANCO SANTANDER SA  BOND                3.80000% 02/23/2028</t>
  </si>
  <si>
    <t>CISCO SYS INC       NOTE CALL MAKE WHOLE4.55000% 02/24/2028</t>
  </si>
  <si>
    <t>HERSHEY CO          NOTE CALL MAKE WHOLE4.55000% 02/24/2028</t>
  </si>
  <si>
    <t>CHEVRON USA INC     NOTE CALL MAKE WHOLE4.47500% 02/26/2028</t>
  </si>
  <si>
    <t>MASTERCARD          INCORPORATED NOTE   3.50000% 02/26/2028 CALL MAKE WHOLE</t>
  </si>
  <si>
    <t>TORONTO DOMINION BK ONT SER D MTN       5.00000% 02/27/2028</t>
  </si>
  <si>
    <t>798(1)</t>
  </si>
  <si>
    <t>BHP BILLITON FIN USALTD NOTE            4.75000% 02/28/2028 CALL MAKE WHOLE</t>
  </si>
  <si>
    <t>STATE STR CORP      NOTE                4.53600% 02/28/2028</t>
  </si>
  <si>
    <t>BOSTON SCIENTIFIC   CORP NOTE           4.00000% 03/01/2028 CALL MAKE WHOLE</t>
  </si>
  <si>
    <t>COLGATE PALMOLIVE CONOTE CALL MAKE WHOLE4.60000% 03/01/2028</t>
  </si>
  <si>
    <t>CONSUMERS ENERGY CO BOND CALL MAKE WHOLE4.65000% 03/01/2028</t>
  </si>
  <si>
    <t>CUMMINS INC         BOND CALL MAKE WHOLE7.12500% 03/01/2028</t>
  </si>
  <si>
    <t>241(5)</t>
  </si>
  <si>
    <t>ELEVANCE HEALTH INC NOTE CALL MAKE WHOLE4.10100% 03/01/2028</t>
  </si>
  <si>
    <t>ERP OPER LTD        PARTNERSHIP NOTE    3.50000% 03/01/2028 CALL MAKE WHOLE</t>
  </si>
  <si>
    <t>JOHNSON &amp;JOHNSON    NOTE CALL MAKE WHOLE4.55000% 03/01/2028</t>
  </si>
  <si>
    <t>MERCK &amp;CO INC       BOND CALL MAKE WHOLE6.40000% 03/01/2028</t>
  </si>
  <si>
    <t xml:space="preserve"> 225(1)</t>
  </si>
  <si>
    <t>SOUTHERN CALIF      EDISON CO SER 2018B 3.65000% 03/01/2028 BOND CALL MAKE WHOLE</t>
  </si>
  <si>
    <t>SOUTHERN CALIF      EDISON CO SER 2023A 5.30000% 03/01/2028 BOND CALL MAKE WHOLE</t>
  </si>
  <si>
    <t>MITSUBISHI UFJ      FINANCIAL GROUP INC 3.96100% 03/02/2028 NOTE                ISIN #US606822AV60</t>
  </si>
  <si>
    <t>PHILIP MORRIS INTL  INC NOTE            3.12500% 03/02/2028 CALL MAKE WHOLE</t>
  </si>
  <si>
    <t>AMERICAN HONDA FIN  CORP  SER A MTN     4.55000% 03/03/2028 CALL MAKE WHOLE</t>
  </si>
  <si>
    <t>ASTRAZENECA FINANCE LLC NOTE            4.87500% 03/03/2028 CALL MAKE WHOLE</t>
  </si>
  <si>
    <t>JOHN DEERE CAPITAL  CORPORATION SER H   4.90000% 03/03/2028 MTN</t>
  </si>
  <si>
    <t>PACCAR FINANCIAL    CORP SER R MTN      4.55000% 03/03/2028</t>
  </si>
  <si>
    <t>COCA COLA CO        NOTE CALL MAKE WHOLE1.50000% 03/05/2028</t>
  </si>
  <si>
    <t>MIZUHO FINANCIAL    GROUP NOTE          4.01800% 03/05/2028</t>
  </si>
  <si>
    <t>JOHN DEERE CAPITAL  CORPORATION SER H   1.50000% 03/06/2028 MTN</t>
  </si>
  <si>
    <t>460(1)</t>
  </si>
  <si>
    <t>PAYPAL HLDGS INC    NOTE CALL MAKE WHOLE4.45000% 03/06/2028</t>
  </si>
  <si>
    <t>1,205(2)</t>
  </si>
  <si>
    <t>STANLEY BLACK &amp;DECKER INC NOTE    6.00000% 03/06/2028 CALL MAKE WHOLE</t>
  </si>
  <si>
    <t>MASTERCARD          INCORPORATED NOTE   4.87500% 03/09/2028 CALL MAKE WHOLE</t>
  </si>
  <si>
    <t>ABBVIE INC          NOTE CALL MAKE WHOLE4.65000% 03/15/2028</t>
  </si>
  <si>
    <t>BOOKING HOLDINGS INCNOTE CALL MAKE WHOLE3.55000% 03/15/2028</t>
  </si>
  <si>
    <t>COCA COLA CO        NOTE CALL MAKE WHOLE1.00000% 03/15/2028</t>
  </si>
  <si>
    <t>HOME DEPOT INC      NOTE CALL MAKE WHOLE0.90000% 03/15/2028</t>
  </si>
  <si>
    <t>MASTERCARD          INCORPORATED NOTE   4.55000% 03/15/2028 CALL MAKE WHOLE</t>
  </si>
  <si>
    <t>NATIONAL RURAL UTILSCOOP FIN MTN        3.50000% 03/15/2028</t>
  </si>
  <si>
    <t>NATIONAL RURAL UTILSCOOP FIN MTN        4.45000% 03/15/2028</t>
  </si>
  <si>
    <t>NATIONAL RURAL UTILSCOOP FIN MTN        4.80000% 03/15/2028 CALL MAKE WHOLE</t>
  </si>
  <si>
    <t>REALTY INCOME CORP  NOTE CALL MAKE WHOLE2.10000% 03/15/2028</t>
  </si>
  <si>
    <t>REGENCY CTRS L P    SER 7 NOTE          4.12500% 03/15/2028 CALL MAKE WHOLE</t>
  </si>
  <si>
    <t>210(15)</t>
  </si>
  <si>
    <t>WASTE MGMT INC DEL  NOTE CALL MAKE WHOLE1.15000% 03/15/2028</t>
  </si>
  <si>
    <t>WASTE MGMT INC DEL  NOTE CALL MAKE WHOLE4.50000% 03/15/2028</t>
  </si>
  <si>
    <t>SCHWAB CHARLES CORP NOTE CALL MAKE WHOLE2.00000% 03/20/2028</t>
  </si>
  <si>
    <t xml:space="preserve"> 100(2)</t>
  </si>
  <si>
    <t>KENVUE INC          SER B NOTE          5.05000% 03/22/2028 CALL MAKE WHOLE</t>
  </si>
  <si>
    <t>UNILEVER CAP CORP   NOTE CALL MAKE WHOLE3.50000% 03/22/2028</t>
  </si>
  <si>
    <t>AMERICAN HONDA FIN  CORP  SER A MTN     2.00000% 03/24/2028 CALL MAKE WHOLE</t>
  </si>
  <si>
    <t>MEDTRONIC GLOBAL    HLDGS S C A NOTE    4.25000% 03/30/2028 CALL MAKE WHOLE</t>
  </si>
  <si>
    <t>MISSISSIPPI POWER COSER 2018B NOTE      3.95000% 03/30/2028 CALL MAKE WHOLE</t>
  </si>
  <si>
    <t>AXA FINL INC        BOND CALL MAKE WHOLE7.00000% 04/01/2028</t>
  </si>
  <si>
    <t>20(9)</t>
  </si>
  <si>
    <t>DTE ELEC CO         SER A BOND          1.90000% 04/01/2028 CALL MAKE WHOLE</t>
  </si>
  <si>
    <t>ENTERGY LA LLC      BOND CALL MAKE WHOLE3.25000% 04/01/2028</t>
  </si>
  <si>
    <t>170(1)</t>
  </si>
  <si>
    <t>FLORIDA PWR &amp;LT CO  BOND CALL MAKE WHOLE5.05000% 04/01/2028</t>
  </si>
  <si>
    <t>TOYOTA MTR CR CORP  SER B MTN           1.90000% 04/06/2028 CALL MAKE WHOLE</t>
  </si>
  <si>
    <t>DISNEY WALT CO      SER B NOTE          7.12500% 04/08/2028</t>
  </si>
  <si>
    <t>SALESFORCE INC      NOTE CALL MAKE WHOLE3.70000% 04/11/2028</t>
  </si>
  <si>
    <t>BANCO SANTANDER SA  SER 38 NOTE         4.37900% 04/12/2028</t>
  </si>
  <si>
    <t>ANHEUSER-BUSCH INBEVWLDW INC MTN        4.00000% 04/13/2028 CALL MAKE WHOLE</t>
  </si>
  <si>
    <t>BERKSHIRE HATHAWAY  ENERGY CO SER B NOTE3.25000% 04/15/2028 CALL MAKE WHOLE</t>
  </si>
  <si>
    <t>NATIONAL RURAL UTILSCOOP FIN MTN        3.50000% 04/15/2028</t>
  </si>
  <si>
    <t>NATIONAL RURAL UTILSCOOP FIN            3.00000% 04/15/2028 SER INTERNOTES MTN</t>
  </si>
  <si>
    <t>NATIONAL RURAL UTILSCOOP FIN MTN        4.55000% 04/15/2028</t>
  </si>
  <si>
    <t>NETFLIX INC.        SER B NOTE          4.87500% 04/15/2028 CALL MAKE WHOLE</t>
  </si>
  <si>
    <t>OKLAHOMA GAS &amp;ELEC  CO NOTE             6.50000% 04/15/2028 CALL MAKE WHOLE</t>
  </si>
  <si>
    <t>WALMART INC         NOTE CALL MAKE WHOLE3.90000% 04/15/2028</t>
  </si>
  <si>
    <t xml:space="preserve"> 250(10)</t>
  </si>
  <si>
    <t>EQUITABLE HLDGS INC SER B NOTE          4.35000% 04/20/2028 CALL MAKE WHOLE</t>
  </si>
  <si>
    <t>US BANCORP          SER X MTN           3.90000% 04/26/2028</t>
  </si>
  <si>
    <t>BANK NEW YORK MELLONCORP SER J MTN      3.85000% 04/28/2028</t>
  </si>
  <si>
    <t>CANADIAN IMPERIAL BKCOMM NOTE           5.00100% 04/28/2028 CALL MAKE WHOLE</t>
  </si>
  <si>
    <t>DISNEY WALT CO      SER E NOTE          7.30000% 04/30/2028</t>
  </si>
  <si>
    <t>1,350(2)</t>
  </si>
  <si>
    <t>COMCAST CORP NEW    NOTE CALL MAKE WHOLE3.55000% 05/01/2028</t>
  </si>
  <si>
    <t>NUCOR CORP          NOTE CALL MAKE WHOLE3.95000% 05/01/2028</t>
  </si>
  <si>
    <t>PUBLIC STORAGE OPER CO NOTE             1.85000% 05/01/2028 CALL MAKE WHOLE</t>
  </si>
  <si>
    <t>PUBLIC SVC ELEC &amp;GASCO SER M MTN        3.70000% 05/01/2028 CALL MAKE WHOLE</t>
  </si>
  <si>
    <t>HERSHEY CO          NOTE CALL MAKE WHOLE4.25000% 05/04/2028</t>
  </si>
  <si>
    <t>324(10)</t>
  </si>
  <si>
    <t>APPLE INC           NOTE CALL MAKE WHOLE4.00000% 05/10/2028</t>
  </si>
  <si>
    <t xml:space="preserve"> 200(2)</t>
  </si>
  <si>
    <t>AMAZON COM INC      NOTE CALL MAKE WHOLE1.65000% 05/12/2028</t>
  </si>
  <si>
    <t>AMEREN ILL CO       BOND CALL MAKE WHOLE3.80000% 05/15/2028</t>
  </si>
  <si>
    <t>AUTOMATIC DATA      PROCESSING INC NOTE 1.70000% 05/15/2028 CALL MAKE WHOLE</t>
  </si>
  <si>
    <t>CONSOLIDATED EDISON CO N Y INC          3.80000% 05/15/2028 SER 2018 A BOND     CALL MAKE WHOLE</t>
  </si>
  <si>
    <t>FLORIDA PWR &amp;LT CO  BOND CALL MAKE WHOLE4.40000% 05/15/2028</t>
  </si>
  <si>
    <t>3,000(2)</t>
  </si>
  <si>
    <t>GENERAL DYNAMICS    CORP NOTE           3.75000% 05/15/2028 CALL MAKE WHOLE</t>
  </si>
  <si>
    <t>GLAXOSMITHKLINE CAP INC NOTE            3.87500% 05/15/2028 CALL MAKE WHOLE</t>
  </si>
  <si>
    <t>KELLANOVA           NOTE CALL MAKE WHOLE4.30000% 05/15/2028</t>
  </si>
  <si>
    <t>LAUDER ESTEE COS INCNOTE CALL MAKE WHOLE4.37500% 05/15/2028</t>
  </si>
  <si>
    <t>580(2)</t>
  </si>
  <si>
    <t>LOCKHEED MARTIN CORPNOTE CALL MAKE WHOLE4.45000% 05/15/2028</t>
  </si>
  <si>
    <t>META PLATFORMS INC  NOTE CALL MAKE WHOLE4.60000% 05/15/2028</t>
  </si>
  <si>
    <t>NATIONAL RURAL UTILSCOOP FIN            3.00000% 05/15/2028 SER INTERNOTES MTN</t>
  </si>
  <si>
    <t>ONCOR ELEC DELIVERY CO LLC SER B NOTE   4.30000% 05/15/2028 CALL MAKE WHOLE</t>
  </si>
  <si>
    <t>PEPSICO INC         NOTE CALL MAKE WHOLE4.45000% 05/15/2028</t>
  </si>
  <si>
    <t>SCHLUMBERGER INVT SANOTE CALL MAKE WHOLE4.50000% 05/15/2028</t>
  </si>
  <si>
    <t>TJX COS INC NEW     NOTE CALL MAKE WHOLE1.15000% 05/15/2028</t>
  </si>
  <si>
    <t>GEORGIA PWR CO      SER 2023 A NOTE     4.65000% 05/16/2028 CALL MAKE WHOLE</t>
  </si>
  <si>
    <t>MERCK &amp;CO INC       NOTE CALL MAKE WHOLE4.05000% 05/17/2028</t>
  </si>
  <si>
    <t>DIAGEO CAPITAL      NOTE CALL MAKE WHOLE3.87500% 05/18/2028</t>
  </si>
  <si>
    <t>EATON CORP OHIO     NOTE CALL MAKE WHOLE4.35000% 05/18/2028</t>
  </si>
  <si>
    <t>PFIZER INVT         ENTERPRISES NOTE    4.45000% 05/19/2028 CALL MAKE WHOLE</t>
  </si>
  <si>
    <t>QUALCOMM INC        SER B NOTE          1.30000% 05/20/2028 CALL MAKE WHOLE</t>
  </si>
  <si>
    <t>ASTRAZENECA FINANCE LLC NOTE            1.75000% 05/28/2028 CALL MAKE WHOLE</t>
  </si>
  <si>
    <t>BANK AMERICA CORP   NOTE                6.75000% 06/01/2028</t>
  </si>
  <si>
    <t>11(11)</t>
  </si>
  <si>
    <t>ENTERGY ARKANSAS LLCBOND CALL MAKE WHOLE4.00000% 06/01/2028</t>
  </si>
  <si>
    <t>ENTERGY MISSISSIPPI LLC BOND            2.85000% 06/01/2028 CALL MAKE WHOLE</t>
  </si>
  <si>
    <t>WISCONSIN ELEC PWR  CO BOND             6.50000% 06/01/2028</t>
  </si>
  <si>
    <t>HORMEL FOODS CORP   NOTE CALL MAKE WHOLE1.70000% 06/03/2028</t>
  </si>
  <si>
    <t>BANK NOVA SCOTIA B CSER I MTN           5.25000% 06/12/2028 CALL MAKE WHOLE     ISIN #US06418GAD97</t>
  </si>
  <si>
    <t>CME GROUP INC       NOTE CALL MAKE WHOLE3.75000% 06/15/2028</t>
  </si>
  <si>
    <t>HONEYWELL INTL INC  BOND                6.62500% 06/15/2028</t>
  </si>
  <si>
    <t>JOHN HANCOCK LIFE   INSURANCE CO MTN    5.05000% 06/15/2028</t>
  </si>
  <si>
    <t>JOHN HANCOCK LIFE   INSURANCE CO MTN    5.10000% 06/15/2028</t>
  </si>
  <si>
    <t>JOHN HANCOCK LIFE   INSURANCE CO MTN    5.00000% 06/15/2028</t>
  </si>
  <si>
    <t>22(22)</t>
  </si>
  <si>
    <t>MID-AMERICA APTS LP NOTE CALL MAKE WHOLE4.20000% 06/15/2028</t>
  </si>
  <si>
    <t>33(10)</t>
  </si>
  <si>
    <t>NATIONAL RURAL UTILSCOOP FIN MTN        3.50000% 06/15/2028</t>
  </si>
  <si>
    <t>NVIDIA CORPORATION  NOTE CALL MAKE WHOLE1.55000% 06/15/2028</t>
  </si>
  <si>
    <t>PROLOGIS L P        NOTE CALL MAKE WHOLE4.87500% 06/15/2028</t>
  </si>
  <si>
    <t>325(2)</t>
  </si>
  <si>
    <t>PUBLIC SERVICE CO   COLO SER NO. 31 BOND3.70000% 06/15/2028 CALL MAKE WHOLE</t>
  </si>
  <si>
    <t>REALTY INCOME CORP  NOTE CALL MAKE WHOLE2.20000% 06/15/2028</t>
  </si>
  <si>
    <t>UNITEDHEALTH GROUP  INC NOTE            3.85000% 06/15/2028 CALL MAKE WHOLE</t>
  </si>
  <si>
    <t>WISCONSIN ELEC PWR  CO BOND             1.70000% 06/15/2028 CALL MAKE WHOLE</t>
  </si>
  <si>
    <t>SANOFI              NOTE CALL MAKE WHOLE3.62500% 06/19/2028 ISIN #US801060AD60  SEDOL #BFMDHS8</t>
  </si>
  <si>
    <t>350(2)</t>
  </si>
  <si>
    <t>BARCLAYS BANK PLC   MTN                  3.00000% 06/20/2028</t>
  </si>
  <si>
    <t>WALMART INC         NOTE CALL MAKE WHOLE3.70000% 06/26/2028</t>
  </si>
  <si>
    <t>DISNEY WALT CO      NOTE                7.28000% 06/30/2028</t>
  </si>
  <si>
    <t>AMERICAN HONDA FIN  CORP  MTN           5.12500% 07/07/2028 CALL MAKE WHOLE</t>
  </si>
  <si>
    <t>228(5)</t>
  </si>
  <si>
    <t>SUMITOMO MITSUI FIN GRP INC NOTE        5.80000% 07/13/2028</t>
  </si>
  <si>
    <t>375(200)</t>
  </si>
  <si>
    <t>TOYOTA MOTOR CORP   NOTE CALL MAKE WHOLE5.11800% 07/13/2028 ISIN #US892331AQ26</t>
  </si>
  <si>
    <t>BANK NEW YORK MELLONCORP SER J MTN      1.65000% 07/14/2028</t>
  </si>
  <si>
    <t>JOHN DEERE CAPITAL  CORPORATION SER I   4.95000% 07/14/2028 MTN</t>
  </si>
  <si>
    <t>CANADIAN NATL RY CO NOTE CALL MAKE WHOLE6.90000% 07/15/2028</t>
  </si>
  <si>
    <t>CATERPILLAR INC     BOND CALL MAKE WHOLE6.62500% 07/15/2028</t>
  </si>
  <si>
    <t>DUKE ENERGY FLA LLC BOND CALL MAKE WHOLE3.80000% 07/15/2028</t>
  </si>
  <si>
    <t>171(2)</t>
  </si>
  <si>
    <t>RIO TINTO FINANCE   (USA) LIMITED BOND  7.12500% 07/15/2028 CALL MAKE WHOLE</t>
  </si>
  <si>
    <t>SALESFORCE INC      NOTE CALL MAKE WHOLE1.50000% 07/15/2028</t>
  </si>
  <si>
    <t>WASTE MGMT INC DEL  NOTE CALL MAKE WHOLE7.00000% 07/15/2028</t>
  </si>
  <si>
    <t>TORONTO DOMINION BK ONT SER C MTN       5.52300% 07/17/2028 CALL MAKE WHOLE     ISIN #US89115A2U52</t>
  </si>
  <si>
    <t>SUMITOMO MITSUI     FINANCIAL GROUP INC 3.94400% 07/19/2028 NOTE</t>
  </si>
  <si>
    <t>TOYOTA MOTOR CORP   NOTE                3.66900% 07/20/2028 ISIN #US892331AD13  SEDOL #BDG0747</t>
  </si>
  <si>
    <t>MORGAN STANLEY      MTN CALL MAKE WHOLE 3.59100% 07/22/2028</t>
  </si>
  <si>
    <t>BURLINGTON NORTHN   SANTA FE CP BOND    6.70000% 08/01/2028 CALL MAKE WHOLE</t>
  </si>
  <si>
    <t>5(3)</t>
  </si>
  <si>
    <t>ROYAL BK CDA        SER I MTN           5.20000% 08/01/2028 CALL MAKE WHOLE</t>
  </si>
  <si>
    <t>TARGET CORP         BOND                6.65000% 08/01/2028</t>
  </si>
  <si>
    <t>NORTHERN TR CORP    NOTE                3.65000% 08/03/2028</t>
  </si>
  <si>
    <t>APPLE INC           NOTE CALL MAKE WHOLE1.40000% 08/05/2028</t>
  </si>
  <si>
    <t>BANCO SANTANDER S.A.SER SP-179 NOTE     5.58800% 08/08/2028</t>
  </si>
  <si>
    <t>NATL BANK OF CANADA MTN                 5.05000% 08/10/2028</t>
  </si>
  <si>
    <t>531(1)</t>
  </si>
  <si>
    <t>895(1)</t>
  </si>
  <si>
    <t>PACCAR FINANCIAL    CORP SER Q MTN      4.95000% 08/10/2028</t>
  </si>
  <si>
    <t>91(5)</t>
  </si>
  <si>
    <t>ADVOCATE HEALTH &amp;HOSPS CORP SER 20183.82900% 08/15/2028 BOND CALL MAKE WHOLE</t>
  </si>
  <si>
    <t>COMMONWEALTH EDISON CO SER 125 BOND     3.70000% 08/15/2028 CALL MAKE WHOLE</t>
  </si>
  <si>
    <t>375(2)</t>
  </si>
  <si>
    <t>CONOCOPHILLIPS      NOTE CALL MAKE WHOLE4.30000% 08/15/2028</t>
  </si>
  <si>
    <t>OKLAHOMA GAS &amp;ELEC  CO NOTE             3.80000% 08/15/2028 CALL MAKE WHOLE</t>
  </si>
  <si>
    <t>SAN DIEGO GAS &amp;ELEC CO SER AAAA BOND    4.95000% 08/15/2028 CALL MAKE WHOLE</t>
  </si>
  <si>
    <t>350(1)</t>
  </si>
  <si>
    <t>BANK MONTREAL MEDIUMSER I MTN           5.00000% 08/24/2028</t>
  </si>
  <si>
    <t>940(1)</t>
  </si>
  <si>
    <t>NATL BANK OF CANADA NOTE                5.00000% 08/28/2028</t>
  </si>
  <si>
    <t>25(1)</t>
  </si>
  <si>
    <t>725(100)</t>
  </si>
  <si>
    <t>AMERICAN WTR CAP    CORP NOTE           3.75000% 09/01/2028 CALL MAKE WHOLE</t>
  </si>
  <si>
    <t>DUKE ENERGY PROGRESSLLC BOND            3.70000% 09/01/2028 CALL MAKE WHOLE</t>
  </si>
  <si>
    <t>325(10)</t>
  </si>
  <si>
    <t>INTERCONTINENTAL    EXCHANGE INC SER B  3.62500% 09/01/2028 NOTE CALL MAKE WHOLE</t>
  </si>
  <si>
    <t>PUBLIC SVC ELEC &amp;GASCO BOND             3.65000% 09/01/2028 CALL MAKE WHOLE</t>
  </si>
  <si>
    <t>PHILIP MORRIS INTL  INC NOTE            5.25000% 09/07/2028 CALL MAKE WHOLE</t>
  </si>
  <si>
    <t>BHP BILLITON FIN USALTD NOTE            5.10000% 09/08/2028 CALL MAKE WHOLE     ISIN #US055451BC11</t>
  </si>
  <si>
    <t>UNILEVER CAP CORP   NOTE CALL MAKE WHOLE4.87500% 09/08/2028</t>
  </si>
  <si>
    <t>EQUINOR ASA         NOTE CALL MAKE WHOLE3.62500% 09/10/2028</t>
  </si>
  <si>
    <t>325(1)</t>
  </si>
  <si>
    <t>UNION PAC CORP      NOTE CALL MAKE WHOLE3.95000% 09/10/2028</t>
  </si>
  <si>
    <t>MITSUBISHI UFJ      FINANCIAL GROUP INC 4.05000% 09/11/2028 NOTE                ISIN #US606822BC70</t>
  </si>
  <si>
    <t>TOYOTA MTR CR CORP  SER B MTN           5.25000% 09/11/2028 CALL MAKE WHOLE</t>
  </si>
  <si>
    <t>100(50)</t>
  </si>
  <si>
    <t>UBS AG LONDON BRANCHNOTE                5.65000% 09/11/2028 ISIN #US902674ZW39  SEDOL #BNSP5W4</t>
  </si>
  <si>
    <t>325(200)</t>
  </si>
  <si>
    <t>INTERNATIONAL BK FORRECON&amp;DEV NOTE      1.12500% 09/13/2028</t>
  </si>
  <si>
    <t>30(15)</t>
  </si>
  <si>
    <t>SUMITOMO MITSUI FIN GRP INC NOTE        5.71600% 09/14/2028</t>
  </si>
  <si>
    <t>ASSURED GTY US HLDGSINC NOTE            6.12500% 09/15/2028 CALL MAKE WHOLE</t>
  </si>
  <si>
    <t>COCA-COLA           REFRESHMENTS USA    6.75000% 09/15/2028 BOND CALL MAKE WHOLE</t>
  </si>
  <si>
    <t>60(3)</t>
  </si>
  <si>
    <t>GLOBE LIFE INC      NOTE CALL MAKE WHOLE4.55000% 09/15/2028</t>
  </si>
  <si>
    <t>HOME DEPOT INC NOTE CALL MAKE WHOLE1.50000% 09/15/2028</t>
  </si>
  <si>
    <t>INTUIT              NOTE CALL MAKE WHOLE5.12500% 09/15/2028</t>
  </si>
  <si>
    <t>NATIONAL RURAL UTILSCOOP FIN MTN        3.00000% 09/15/2028</t>
  </si>
  <si>
    <t>NATIONAL RURAL UTILSCOOP FIN            3.00000% 09/15/2028 SER INTERNOTES MTN</t>
  </si>
  <si>
    <t>NATIONAL RURAL UTILSCOOP FIN            3.50000% 09/15/2028 SER INTERNOTES MTN</t>
  </si>
  <si>
    <t>NATIONAL RURAL UTILSCOOP FIN SER D MTN  5.05000% 09/15/2028 CALL MAKE WHOLE</t>
  </si>
  <si>
    <t>250(9)</t>
  </si>
  <si>
    <t>PFIZER INC          NOTE CALL MAKE WHOLE3.60000% 09/15/2028</t>
  </si>
  <si>
    <t>PROLOGIS L P        NOTE CALL MAKE WHOLE3.87500% 09/15/2028</t>
  </si>
  <si>
    <t>PROLOGIS L P        NOTE CALL MAKE WHOLE4.00000% 09/15/2028</t>
  </si>
  <si>
    <t>SUMITOMO MITSUI FIN GRP INC NOTE        1.90200% 09/17/2028 ISIN #US86562MCG33</t>
  </si>
  <si>
    <t>EXPORT-IMPORT BANK  OF KOREA NOTE       5.12500% 09/18/2028 ISIN #US302154DY27  SEDOL #BN4JPN1</t>
  </si>
  <si>
    <t>BP CAP MKTS AMER INCNOTE CALL MAKE WHOLE3.93700% 09/21/2028</t>
  </si>
  <si>
    <t>INTERCONTINENTAL    EXCHANGE INC NOTE   3.75000% 09/21/2028 CALL MAKE WHOLE</t>
  </si>
  <si>
    <t>WALMART INC         NOTE CALL MAKE WHOLE1.50000% 09/22/2028</t>
  </si>
  <si>
    <t>BANK MONTREAL MEDIUMSER H MTN           5.71700% 09/25/2028 CALL MAKE WHOLE</t>
  </si>
  <si>
    <t>TOYOTA MTR CR CORP  SER B MTN           1.00000% 09/25/2028</t>
  </si>
  <si>
    <t>CITIBANK N A        NOTE                5.80300% 09/29/2028</t>
  </si>
  <si>
    <t>325(325)</t>
  </si>
  <si>
    <t>ANALOG DEVICES INC  NOTE CALL MAKE WHOLE1.70000% 10/01/2028</t>
  </si>
  <si>
    <t>CENTERPOINT ENERGY  HOUSTON ELE SER AM  5.20000% 10/01/2028 BOND CALL MAKE WHOLE</t>
  </si>
  <si>
    <t>DEERE &amp;CO           BOND                6.55000% 10/01/2028</t>
  </si>
  <si>
    <t>40(1)</t>
  </si>
  <si>
    <t>NSTAR ELEC CO       NOTE CALL MAKE WHOLE5.60000% 10/01/2028</t>
  </si>
  <si>
    <t>250(50)</t>
  </si>
  <si>
    <t>SOUTHERN CALIF      EDISON CO SER 2023E 5.65000% 10/01/2028 BOND CALL MAKE WHOLE</t>
  </si>
  <si>
    <t>ING GROEP N.V.      NOTE                4.55000% 10/02/2028</t>
  </si>
  <si>
    <t>750(200)</t>
  </si>
  <si>
    <t>CANADIAN IMPERIAL BKCOMM NOTE           5.98600% 10/03/2028 CALL MAKE WHOLE     ISIN #US13607LWV16</t>
  </si>
  <si>
    <t>ATLANTIC CITY ELEC  CO BOND             4.00000% 10/15/2028 CALL MAKE WHOLE</t>
  </si>
  <si>
    <t>310(9)</t>
  </si>
  <si>
    <t>CAMDEN PPTY TR      NOTE CALL MAKE WHOLE4.10000% 10/15/2028</t>
  </si>
  <si>
    <t>COMCAST CORP NEW    NOTE CALL MAKE WHOLE4.15000% 10/15/2028</t>
  </si>
  <si>
    <t>NATIONAL RURAL UTILSCOOP FIN MTN        3.50000% 10/15/2028</t>
  </si>
  <si>
    <t>THE CIGNA GROUP     SER B NOTE          4.37500% 10/15/2028 CALL MAKE WHOLE</t>
  </si>
  <si>
    <t>THERMO FISHER       SCIENTIFIC INC NOTE 1.75000% 10/15/2028 CALL MAKE WHOLE</t>
  </si>
  <si>
    <t>ENTERPRISE PRODS    OPER LLC NOTE       4.15000% 10/16/2028 CALL MAKE WHOLE</t>
  </si>
  <si>
    <t>SUMITOMO MITSUI     FINANCIAL GROUP INC 4.30600% 10/16/2028 MTN</t>
  </si>
  <si>
    <t>780(2)</t>
  </si>
  <si>
    <t>BANK NEW YORK MELLONCORP SER J MTN      3.00000% 10/30/2028</t>
  </si>
  <si>
    <t>JPMORGAN CHASE &amp;CO  SER E MTN           1.50000% 10/31/2028</t>
  </si>
  <si>
    <t>ALCAN INC           BOND CALL MAKE WHOLE7.25000% 11/01/2028</t>
  </si>
  <si>
    <t>1,998(1)</t>
  </si>
  <si>
    <t>KIMBERLY-CLARK CORP NOTE CALL MAKE WHOLE3.95000% 11/01/2028</t>
  </si>
  <si>
    <t>NATIONAL RURAL UTILSCOOP FIN BOND       3.90000% 11/01/2028 CALL MAKE WHOLE</t>
  </si>
  <si>
    <t>170(2)</t>
  </si>
  <si>
    <t>BARCLAYS BANK PLC   SER A MTN           6.25000% 11/03/2028</t>
  </si>
  <si>
    <t>BP CAP MKTS AMER INCNOTE CALL MAKE WHOLE4.23400% 11/06/2028</t>
  </si>
  <si>
    <t>BANCO SANTANDER S.A.NOTE                6.60700% 11/07/2028</t>
  </si>
  <si>
    <t>PUBLIC STORAGE OPER CO NOTE             1.95000% 11/09/2028 CALL MAKE WHOLE</t>
  </si>
  <si>
    <t>AFRICAN DEV BK MTN  SB NTS BE NOTE      5.50000% 11/10/2028</t>
  </si>
  <si>
    <t>316(100)</t>
  </si>
  <si>
    <t>SHELL INTL.FIN.BV   NOTE CALL MAKE WHOLE3.87500% 11/13/2028</t>
  </si>
  <si>
    <t>750(5)</t>
  </si>
  <si>
    <t>ABBVIE INC          NOTE CALL MAKE WHOLE4.25000% 11/14/2028</t>
  </si>
  <si>
    <t>AMERICAN HONDA FIN  CORP  SER A MTN     5.65000% 11/15/2028 CALL MAKE WHOLE</t>
  </si>
  <si>
    <t xml:space="preserve"> 350(2)</t>
  </si>
  <si>
    <t>CONSUMERS ENERGY CO BOND CALL MAKE WHOLE3.80000% 11/15/2028</t>
  </si>
  <si>
    <t>DUKE ENERGY         CAROLINAS LLC BOND  3.95000% 11/15/2028 CALL MAKE WHOLE</t>
  </si>
  <si>
    <t>MORGAN STANLEY      MTN                 4.37500% 11/15/2028</t>
  </si>
  <si>
    <t>NETFLIX INC.        SER B NOTE          5.87500% 11/15/2028 CALL MAKE WHOLE</t>
  </si>
  <si>
    <t>ONCOR ELEC DELIVERY CO LLC SER B NOTE   3.70000% 11/15/2028 CALL MAKE WHOLE</t>
  </si>
  <si>
    <t>STANLEY BLACK &amp;DECKER INC NOTE    4.25000% 11/15/2028 CALL MAKE WHOLE</t>
  </si>
  <si>
    <t>WESTPAC BANKING     CORPORATION NOTE    5.53500% 11/17/2028 ISIN #US961214FN86  SEDOL #BMGC1Y4</t>
  </si>
  <si>
    <t>WESTPAC BKG CORP    NOTE                1.95300% 11/20/2028 ISIN #US961214EW94  SEDOL #BLD8TQ6</t>
  </si>
  <si>
    <t>BP CAP MKTS P L C   NOTE CALL MAKE WHOLE3.72300% 11/28/2028</t>
  </si>
  <si>
    <t>DISNEY WALT CO      NOTE                7.62500% 11/30/2028</t>
  </si>
  <si>
    <t>AVALONBAY CMNTYS INCNOTE CALL MAKE WHOLE1.90000% 12/01/2028</t>
  </si>
  <si>
    <t>CONSOLIDATED EDISON CO N Y INC          4.00000% 12/01/2028 SER 2018 D BOND     CALL MAKE WHOLE</t>
  </si>
  <si>
    <t>ERP OPER LTD        PARTNERSHIP NOTE    4.15000% 12/01/2028 CALL MAKE WHOLE</t>
  </si>
  <si>
    <t>MERCK &amp;CO INC       BOND CALL MAKE WHOLE5.95000% 12/01/2028</t>
  </si>
  <si>
    <t>69(5)</t>
  </si>
  <si>
    <t>PFIZER INC          BOND CALL MAKE WHOLE6.60000% 12/01/2028</t>
  </si>
  <si>
    <t>150(150)</t>
  </si>
  <si>
    <t>HOME DEPOT INC      NOTE CALL MAKE WHOLE3.90000% 12/06/2028</t>
  </si>
  <si>
    <t>MERCK &amp;CO INC       NOTE CALL MAKE WHOLE1.90000% 12/10/2028</t>
  </si>
  <si>
    <t>AMERIPRISE FINL INC NOTE CALL MAKE WHOLE5.70000% 12/15/2028</t>
  </si>
  <si>
    <t>AON CORP            NOTE CALL MAKE WHOLE4.50000% 12/15/2028</t>
  </si>
  <si>
    <t>NATIONAL RURAL UTILSCOOP FIN            3.00000% 12/15/2028 SER INTERNOTES MTN</t>
  </si>
  <si>
    <t>18(5)</t>
  </si>
  <si>
    <t>REALTY INCOME CORP  NOTE CALL MAKE WHOLE4.70000% 12/15/2028</t>
  </si>
  <si>
    <t>UNITEDHEALTH GROUP  INC NOTE            3.87500% 12/15/2028 CALL MAKE WHOLE</t>
  </si>
  <si>
    <t>EMERSON ELEC CO     NOTE CALL MAKE WHOLE2.00000% 12/21/2028</t>
  </si>
  <si>
    <t>JPMORGAN CHASE &amp;CO  MTN                 2.00000% 12/23/2028</t>
  </si>
  <si>
    <t>CONNECTICUT LT &amp;PWR CO SER 2024A BOND   4.65000% 01/01/2029 CALL MAKE WHOLE</t>
  </si>
  <si>
    <t>TOYOTA MTR CR CORP  SER B MTN           4.65000% 01/05/2029 CALL MAKE WHOLE</t>
  </si>
  <si>
    <t>TOYOTA MTR CR CORP  MTN CALL MAKE WHOLE 3.65000% 01/08/2029</t>
  </si>
  <si>
    <t>AMERICAN HONDA FIN  CORP  SER A MTN     2.25000% 01/12/2029 CALL MAKE WHOLE</t>
  </si>
  <si>
    <t>SUMITOMO MITSUI FIN GRP INC NOTE        2.47200% 01/14/2029</t>
  </si>
  <si>
    <t>COMCAST CORP NEW    NOTE CALL MAKE WHOLE4.55000% 01/15/2029</t>
  </si>
  <si>
    <t>HONEYWELL INTL INC  NOTE CALL MAKE WHOLE4.25000% 01/15/2029</t>
  </si>
  <si>
    <t>NATIONAL RURAL UTILSCOOP FIN MTN        3.60000% 01/15/2029</t>
  </si>
  <si>
    <t>NATIONAL RURAL UTILSCOOP FIN MTN        3.50000% 01/15/2029</t>
  </si>
  <si>
    <t>PUBLIC STORAGE OPER CO NOTE             5.12500% 01/15/2029 CALL MAKE WHOLE</t>
  </si>
  <si>
    <t>UNITEDHEALTH GROUP  INC NOTE            4.25000% 01/15/2029 CALL MAKE WHOLE</t>
  </si>
  <si>
    <t>JOHN DEERE CAPITAL  CORPORATION MTN     4.50000% 01/16/2029</t>
  </si>
  <si>
    <t>ASTRAZENECA PLC     BOND CALL MAKE WHOLE4.00000% 01/17/2029</t>
  </si>
  <si>
    <t>CHILE REP           NOTE CALL MAKE WHOLE4.85000% 01/22/2029</t>
  </si>
  <si>
    <t>ANHEUSER-BUSCH INBEVWLDW INC NOTE       4.75000% 01/23/2029 CALL MAKE WHOLE</t>
  </si>
  <si>
    <t>BANK NEW YORK MELLONCORP SER J MTN      1.90000% 01/25/2029</t>
  </si>
  <si>
    <t>PROCTER &amp;GAMBLE CO  NOTE CALL MAKE WHOLE4.35000% 01/29/2029</t>
  </si>
  <si>
    <t>TORONTO DOMINION BK ONT SER D MTN       5.25000% 01/30/2029</t>
  </si>
  <si>
    <t>41(25)</t>
  </si>
  <si>
    <t>PACCAR FINANCIAL    CORP MTN            4.60000% 01/31/2029</t>
  </si>
  <si>
    <t>THERMO FISHER       SCIENTIFIC INC NOTE 5.00000% 01/31/2029 CALL MAKE WHOLE</t>
  </si>
  <si>
    <t>DUKE ENERGY OHIO INCBOND CALL MAKE WHOLE3.65000% 02/01/2029</t>
  </si>
  <si>
    <t>PROLOGIS L P        SER B NOTE          4.37500% 02/01/2029 CALL MAKE WHOLE</t>
  </si>
  <si>
    <t>ROYAL BK CDA        MTN CALL MAKE WHOLE 4.95000% 02/01/2029 ISIN #US78016HZV58</t>
  </si>
  <si>
    <t>SCHWAB CHARLES CORP NOTE CALL MAKE WHOLE4.00000% 02/01/2029</t>
  </si>
  <si>
    <t>UNION PAC CORP      BOND CALL MAKE WHOLE6.62500% 02/01/2029</t>
  </si>
  <si>
    <t>80(15)</t>
  </si>
  <si>
    <t>IBM INTL CAP PTE LTDNOTE CALL MAKE WHOLE4.60000% 02/05/2029 ISIN #US449276AC85</t>
  </si>
  <si>
    <t>NATIONAL RURAL UTILSCOOP FIN SER D MTN  4.85000% 02/07/2029 CALL MAKE WHOLE</t>
  </si>
  <si>
    <t>AIR PRODUCTS AND    CHEMICALS INC NOTE  4.60000% 02/08/2029 CALL MAKE WHOLE</t>
  </si>
  <si>
    <t>TEXAS INSTRS INC    NOTE CALL MAKE WHOLE4.60000% 02/08/2029</t>
  </si>
  <si>
    <t>ELI LILLY &amp;CO       NOTE CALL MAKE WHOLE4.50000% 02/09/2029</t>
  </si>
  <si>
    <t>PHILIP MORRIS INTL  INC NOTE            4.87500% 02/13/2029 CALL MAKE WHOLE</t>
  </si>
  <si>
    <t>CONSUMERS ENERGY CO BOND CALL MAKE WHOLE4.90000% 02/15/2029</t>
  </si>
  <si>
    <t>JPMORGAN CHASE &amp;CO  SER E MTN           5.00000% 02/15/2029</t>
  </si>
  <si>
    <t>LOCKHEED MARTIN CORPNOTE CALL MAKE WHOLE4.50000% 02/15/2029</t>
  </si>
  <si>
    <t>NATIONAL RURAL UTILSCOOP FIN            3.50000% 02/15/2029 SER INTERNOTES MTN</t>
  </si>
  <si>
    <t>PACIFICORP          BOND CALL MAKE WHOLE5.10000% 02/15/2029</t>
  </si>
  <si>
    <t>REALTY INCOME CORP  NOTE CALL MAKE WHOLE4.75000% 02/15/2029</t>
  </si>
  <si>
    <t>WASTE MGMT INC DEL  NOTE CALL MAKE WHOLE4.87500% 02/15/2029</t>
  </si>
  <si>
    <t>37(2)</t>
  </si>
  <si>
    <t>PEPSICO SINGAPORE   FING I PTE L NOTE   4.55000% 02/16/2029 CALL MAKE WHOLE     ISIN #US713466AB69</t>
  </si>
  <si>
    <t>TOTAL CAP INTL      NOTE CALL MAKE WHOLE3.45500% 02/19/2029 ISIN #US89153VAQ23  SEDOL #BHQ3T37</t>
  </si>
  <si>
    <t>68(5)</t>
  </si>
  <si>
    <t>CUMMINS INC         NOTE CALL MAKE WHOLE4.90000% 02/20/2029</t>
  </si>
  <si>
    <t>BRISTOL-MYERS SQUIBBCO NOTE             4.90000% 02/22/2029 CALL MAKE WHOLE</t>
  </si>
  <si>
    <t>ASTRAZENECA FINANCE LLC NOTE            4.85000% 02/26/2029 CALL MAKE WHOLE</t>
  </si>
  <si>
    <t>CISCO SYS INC       NOTE CALL MAKE WHOLE4.85000% 02/26/2029</t>
  </si>
  <si>
    <t>CATERPILLAR FINL    SVCS MTNS BE SER K  4.85000% 02/27/2029 CALL MAKE WHOLE</t>
  </si>
  <si>
    <t xml:space="preserve"> 500(50)</t>
  </si>
  <si>
    <t>BANK NOVA SCOTIA B CSER B NOTE          5.00000% 02/28/2029</t>
  </si>
  <si>
    <t>871(1)</t>
  </si>
  <si>
    <t>BARCLAYS BANK PLC   SER A MTN           5.00000% 02/28/2029</t>
  </si>
  <si>
    <t>AON NORTH AMERICA   INC. NOTE           5.15000% 03/01/2029 CALL MAKE WHOLE</t>
  </si>
  <si>
    <t>BOSTON SCIENTIFIC   CORP NOTE           4.00000% 03/01/2029 CALL MAKE WHOLE</t>
  </si>
  <si>
    <t>BURLINGTON RES INC  BOND CALL MAKE WHOLE7.37500% 03/01/2029</t>
  </si>
  <si>
    <t>PEPSICO INC         SER C NOTE          7.00000% 03/01/2029 CALL MAKE WHOLE</t>
  </si>
  <si>
    <t>PROGRESSIVE CORP    NOTE CALL MAKE WHOLE6.62500% 03/01/2029</t>
  </si>
  <si>
    <t>300(15)</t>
  </si>
  <si>
    <t>PROGRESSIVE CORP    NOTE CALL MAKE WHOLE4.00000% 03/01/2029</t>
  </si>
  <si>
    <t>ROCKWELL AUTOMATION INC NOTE            3.50000% 03/01/2029 CALL MAKE WHOLE</t>
  </si>
  <si>
    <t>SOUTHERN CALIF      EDISON CO SER 2019A 4.20000% 03/01/2029 BOND CALL MAKE WHOLE</t>
  </si>
  <si>
    <t>UNION PAC CORP      NOTE CALL MAKE WHOLE3.70000% 03/01/2029</t>
  </si>
  <si>
    <t>JOHN DEERE CAPITAL  CORPORATION SER G   3.45000% 03/07/2029 MTN</t>
  </si>
  <si>
    <t>MERCK &amp;CO INC       NOTE CALL MAKE WHOLE3.40000% 03/07/2029</t>
  </si>
  <si>
    <t>MITSUBISHI UFJ      FINANCIAL GROUP NOTE3.74100% 03/07/2029</t>
  </si>
  <si>
    <t>220(9)</t>
  </si>
  <si>
    <t>AMERICAN HONDA FIN  CORP  SER A MTN     4.90000% 03/13/2029 CALL MAKE WHOLE</t>
  </si>
  <si>
    <t>BANCO BILBAO VIZCAYAARGENTARI NOTE      5.38100% 03/13/2029</t>
  </si>
  <si>
    <t>BLACKROCK INC       NOTE CALL MAKE WHOLE4.70000% 03/14/2029</t>
  </si>
  <si>
    <t>MAGNA INTL INC      NOTE CALL MAKE WHOLE5.05000% 03/14/2029 ISIN #US559222BA12</t>
  </si>
  <si>
    <t>ABBVIE INC          NOTE CALL MAKE WHOLE4.80000% 03/15/2029</t>
  </si>
  <si>
    <t>BURLINGTON NORTHN   SANTA FE CP BOND    6.75000% 03/15/2029 CALL MAKE WHOLE</t>
  </si>
  <si>
    <t>DUKE ENERGY PROGRESSLLC BOND            3.45000% 03/15/2029 CALL MAKE WHOLE</t>
  </si>
  <si>
    <t>375(10)</t>
  </si>
  <si>
    <t>ELI LILLY &amp;CO       NOTE CALL MAKE WHOLE3.37500% 03/15/2029</t>
  </si>
  <si>
    <t>KLA CORP            NOTE CALL MAKE WHOLE4.10000% 03/15/2029</t>
  </si>
  <si>
    <t>LAM RESEARCH CORP   NOTE CALL MAKE WHOLE4.00000% 03/15/2029</t>
  </si>
  <si>
    <t>920(250)</t>
  </si>
  <si>
    <t>MARSH &amp;MCLENNAN COS INC NOTE            4.37500% 03/15/2029 CALL MAKE WHOLE</t>
  </si>
  <si>
    <t>MID-AMERICA APTS LP NOTE CALL MAKE WHOLE3.95000% 03/15/2029</t>
  </si>
  <si>
    <t>NATIONAL RURAL UTILSCOOP FIN MTN        3.00000% 03/15/2029</t>
  </si>
  <si>
    <t>NATIONAL RURAL UTILSCOOP FIN            3.00000% 03/15/2029 SER INTERNOTES MTN</t>
  </si>
  <si>
    <t>NATIONAL RURAL UTILSCOOP FIN MTN        3.50000% 03/15/2029</t>
  </si>
  <si>
    <t>NATIONAL RURAL UTILSCOOP FIN BOND       3.70000% 03/15/2029 CALL MAKE WHOLE</t>
  </si>
  <si>
    <t>ONCOR ELEC DELIVERY CO LLC SER B NOTE   5.75000% 03/15/2029 CALL MAKE WHOLE</t>
  </si>
  <si>
    <t>PFIZER INC          NOTE CALL MAKE WHOLE3.45000% 03/15/2029</t>
  </si>
  <si>
    <t>UNION ELEC CO       BOND CALL MAKE WHOLE3.50000% 03/15/2029</t>
  </si>
  <si>
    <t>UNITED PARCEL SVCS  INC NOTE            3.40000% 03/15/2029 CALL MAKE WHOLE</t>
  </si>
  <si>
    <t>POLAND REP          NOTE                4.62500% 03/18/2029</t>
  </si>
  <si>
    <t>BANK AMERICA CORP   SER N MTN           3.45000% 03/28/2029</t>
  </si>
  <si>
    <t>BROOKFIELD FIN INC  NOTE CALL MAKE WHOLE4.85000% 03/29/2029</t>
  </si>
  <si>
    <t>CONOCOPHILLIPS      BOND CALL MAKE WHOLE7.00000% 03/30/2029</t>
  </si>
  <si>
    <t>29(1)</t>
  </si>
  <si>
    <t>ENTERGY TEXAS INC   BOND CALL MAKE WHOLE4.00000% 03/30/2029</t>
  </si>
  <si>
    <t>ONE GAS INC         NOTE CALL MAKE WHOLE5.10000% 04/01/2029</t>
  </si>
  <si>
    <t>270(15)</t>
  </si>
  <si>
    <t>ADOBE INC           NOTE CALL MAKE WHOLE4.80000% 04/04/2029</t>
  </si>
  <si>
    <t>AMPHENOL CORP       NOTE CALL MAKE WHOLE5.05000% 04/05/2029</t>
  </si>
  <si>
    <t>810(2)</t>
  </si>
  <si>
    <t>TORONTO DOMINION BK ONT SER C MTN       4.99400% 04/05/2029 CALL MAKE WHOLE</t>
  </si>
  <si>
    <t>CANADIAN IMPERIAL BKCOMM NOTE           5.26000% 04/08/2029 CALL MAKE WHOLE</t>
  </si>
  <si>
    <t>ING GROEP N.V.      NOTE                4.05000% 04/09/2029</t>
  </si>
  <si>
    <t>BP CAP MKTS AMER INCNOTE CALL MAKE WHOLE4.69900% 04/10/2029</t>
  </si>
  <si>
    <t>AMAZON COM INC      NOTE CALL MAKE WHOLE3.45000% 04/13/2029</t>
  </si>
  <si>
    <t>HOME DEPOT INC      NOTE CALL MAKE WHOLE4.90000% 04/15/2029</t>
  </si>
  <si>
    <t>MIDAMERICAN ENERGY  COMPANY BOND        3.65000% 04/15/2029 CALL MAKE WHOLE</t>
  </si>
  <si>
    <t>NATIONAL RURAL UTILSCOOP FIN MTN        3.00000% 04/15/2029</t>
  </si>
  <si>
    <t>NATIONAL RURAL UTILSCOOP FIN            3.00000% 04/15/2029 SER INTERNOTES MTN</t>
  </si>
  <si>
    <t>56(10)</t>
  </si>
  <si>
    <t>RENAISSANCERE HLDGS LTD NOTE            3.60000% 04/15/2029 CALL MAKE WHOLE</t>
  </si>
  <si>
    <t>TARGET CORP         NOTE CALL MAKE WHOLE3.37500% 04/15/2029</t>
  </si>
  <si>
    <t>UNITEDHEALTH GROUP  INC NOTE            4.70000% 04/15/2029 CALL MAKE WHOLE</t>
  </si>
  <si>
    <t>JOHN DEERE CAPITAL  CORPORATION SER H   3.35000% 04/18/2029 MTN</t>
  </si>
  <si>
    <t>AMERICA MOVIL SAB DECV NOTE             3.62500% 04/22/2029 CALL MAKE WHOLE</t>
  </si>
  <si>
    <t>350(200)</t>
  </si>
  <si>
    <t>TSMC ARIZ CORP      NOTE CALL MAKE WHOLE4.12500% 04/22/2029</t>
  </si>
  <si>
    <t>PNC FINL SVCS GROUP INC NOTE            3.45000% 04/23/2029</t>
  </si>
  <si>
    <t>KIMBERLY-CLARK CORP NOTE CALL MAKE WHOLE3.20000% 04/25/2029</t>
  </si>
  <si>
    <t>BANK NEW YORK MELLONCORP MTN            3.85000% 04/26/2029</t>
  </si>
  <si>
    <t>BLACKROCK INC       NOTE CALL MAKE WHOLE3.25000% 04/30/2029</t>
  </si>
  <si>
    <t>ARCHER DANIELS      MIDLAND CO NOTE     6.62500% 05/01/2029</t>
  </si>
  <si>
    <t>1,065(1)</t>
  </si>
  <si>
    <t>CNA FINL CORP       NOTE CALL MAKE WHOLE3.90000% 05/01/2029</t>
  </si>
  <si>
    <t>NEVADA POWER CO     SER CC NOTE         3.70000% 05/01/2029 CALL MAKE WHOLE</t>
  </si>
  <si>
    <t>PUBLIC STORAGE OPER CO NOTE             3.38500% 05/01/2029 CALL MAKE WHOLE</t>
  </si>
  <si>
    <t>AON CORP            NOTE CALL MAKE WHOLE3.75000% 05/02/2029</t>
  </si>
  <si>
    <t>AMERICAN EXPRESS CO NOTE                4.05000% 05/03/2029</t>
  </si>
  <si>
    <t>NORTHERN TR CORP    NOTE CALL MAKE WHOLE3.15000% 05/03/2029</t>
  </si>
  <si>
    <t>DEUTSCHE BK AG N Y  NOTE                5.41400% 05/10/2029</t>
  </si>
  <si>
    <t>200(150)</t>
  </si>
  <si>
    <t>BURLINGTON NORTHN   SANTA FE CP BOND    7.08200% 05/13/2029</t>
  </si>
  <si>
    <t>INTERNATIONAL       BUSINESS MACHS NOTE 3.50000% 05/15/2029 CALL MAKE WHOLE</t>
  </si>
  <si>
    <t>325(100)</t>
  </si>
  <si>
    <t>NETFLIX INC.        SER B NOTE          6.37500% 05/15/2029 CALL MAKE WHOLE</t>
  </si>
  <si>
    <t>NSTAR ELEC CO       BOND CALL MAKE WHOLE3.25000% 05/15/2029</t>
  </si>
  <si>
    <t>PRINCIPAL FINANCIAL GROUP INC NOTE      3.70000% 05/15/2029 CALL MAKE WHOLE</t>
  </si>
  <si>
    <t>PUBLIC SVC ELEC &amp;GASCO MTN              3.20000% 05/15/2029 CALL MAKE WHOLE</t>
  </si>
  <si>
    <t>REINSURANCE GROUP   AMER INC SER 6.45   3.90000% 05/15/2029 NOTE CALL MAKE WHOLE</t>
  </si>
  <si>
    <t>THE CIGNA GROUP     NOTE CALL MAKE WHOLE5.00000% 05/15/2029</t>
  </si>
  <si>
    <t>UNITEDHEALTH GROUP  INC NOTE            4.00000% 05/15/2029 CALL MAKE WHOLE</t>
  </si>
  <si>
    <t>WISCONSIN ELEC PWR  CO BOND             5.00000% 05/15/2029 CALL MAKE WHOLE</t>
  </si>
  <si>
    <t>TOYOTA MTR CR CORP  SER B MTN           5.05000% 05/16/2029 CALL MAKE WHOLE</t>
  </si>
  <si>
    <t>SCHWAB CHARLES CORP NOTE CALL MAKE WHOLE3.25000% 05/22/2029</t>
  </si>
  <si>
    <t>73(10)</t>
  </si>
  <si>
    <t>CONSUMERS ENERGY CO BOND CALL MAKE WHOLE4.60000% 05/30/2029</t>
  </si>
  <si>
    <t>AMERICAN WTR CAP    CORP NOTE           3.45000% 06/01/2029 CALL MAKE WHOLE</t>
  </si>
  <si>
    <t>AMPHENOL CORP       NOTE CALL MAKE WHOLE4.35000% 06/01/2029</t>
  </si>
  <si>
    <t>AVALONBAY CMNTYS INCMTN CALL MAKE WHOLE 3.30000% 06/01/2029</t>
  </si>
  <si>
    <t>COMCAST CORP NEW    NOTE CALL MAKE WHOLE5.10000% 06/01/2029</t>
  </si>
  <si>
    <t>GLAXOSMITHKLINE CAP PLC NOTE            3.37500% 06/01/2029 CALL MAKE WHOLE</t>
  </si>
  <si>
    <t>JOHNSON &amp;JOHNSON    NOTE CALL MAKE WHOLE4.80000% 06/01/2029</t>
  </si>
  <si>
    <t>424(2)</t>
  </si>
  <si>
    <t>MASTERCARD          INCORPORATED NOTE   2.95000% 06/01/2029 CALL MAKE WHOLE</t>
  </si>
  <si>
    <t>SOUTHERN CALIF      EDISON CO SER 2024D 5.15000% 06/01/2029 BOND CALL MAKE WHOLE</t>
  </si>
  <si>
    <t>WASTE MGMT INC DEL  NOTE CALL MAKE WHOLE2.00000% 06/01/2029</t>
  </si>
  <si>
    <t>JOHN DEERE CAPITAL  CORPORATION MTN     4.85000% 06/11/2029</t>
  </si>
  <si>
    <t>APPLIED MATLS INC   NOTE CALL MAKE WHOLE4.80000% 06/15/2029</t>
  </si>
  <si>
    <t>ELEVANCE HEALTH INC NOTE CALL MAKE WHOLE5.15000% 06/15/2029</t>
  </si>
  <si>
    <t>FLORIDA PWR &amp;LT CO  BOND CALL MAKE WHOLE5.15000% 06/15/2029</t>
  </si>
  <si>
    <t>HOME DEPOT INC      NOTE CALL MAKE WHOLE2.95000% 06/15/2029</t>
  </si>
  <si>
    <t>INTERCONTINENTAL    EXCHANGE INC NOTE   4.35000% 06/15/2029 CALL MAKE WHOLE</t>
  </si>
  <si>
    <t>NATIONAL RURAL UTILSCOOP FIN SER D MTN  5.15000% 06/15/2029 CALL MAKE WHOLE</t>
  </si>
  <si>
    <t>PACIFICORP          BOND CALL MAKE WHOLE3.50000% 06/15/2029</t>
  </si>
  <si>
    <t>1,000(9)</t>
  </si>
  <si>
    <t>REALTY INCOME CORP  NOTE CALL MAKE WHOLE3.25000% 06/15/2029</t>
  </si>
  <si>
    <t>HOME DEPOT INC      NOTE CALL MAKE WHOLE4.75000% 06/25/2029</t>
  </si>
  <si>
    <t>BANCO SANTANDER S.A.NOTE                3.30600% 06/27/2029</t>
  </si>
  <si>
    <t>TOYOTA MTR CR CORP  SER B MTN           4.45000% 06/29/2029 CALL MAKE WHOLE</t>
  </si>
  <si>
    <t>CAMDEN PPTY TR      NOTE CALL MAKE WHOLE3.15000% 07/01/2029</t>
  </si>
  <si>
    <t>ERP OPER LTD        PARTNERSHIP NOTE    3.00000% 07/01/2029 CALL MAKE WHOLE</t>
  </si>
  <si>
    <t>WISCONSIN PWR &amp;LT COBOND CALL MAKE WHOLE3.00000% 07/01/2029</t>
  </si>
  <si>
    <t>TOYOTA MOTOR CORP   NOTE                2.76000% 07/02/2029</t>
  </si>
  <si>
    <t>KOREA(REPUBLIC OF)  NOTE                4.50000% 07/03/2029 ISIN #US50064FAX24  SEDOL #BT3JYM6</t>
  </si>
  <si>
    <t>WALMART INC         NOTE CALL MAKE WHOLE3.25000% 07/08/2029</t>
  </si>
  <si>
    <t>SUMITOMO MITSUI FIN GRP INC NOTE        5.31600% 07/09/2029</t>
  </si>
  <si>
    <t>AXIS SPECIALTY      FINANCE LLC NOTE    3.90000% 07/15/2029 CALL MAKE WHOLE</t>
  </si>
  <si>
    <t>NATIONAL RURAL UTILSCOOP FIN MTN        1.75000% 07/15/2029</t>
  </si>
  <si>
    <t>NATIONAL RURAL UTILSCOOP FIN NOTE       3.00000% 07/15/2029</t>
  </si>
  <si>
    <t>49(10)</t>
  </si>
  <si>
    <t>REALTY INCOME CORP  NOTE CALL MAKE WHOLE4.00000% 07/15/2029</t>
  </si>
  <si>
    <t>SUMITOMO MITSUI FIN GRP INC NOTE        3.04000% 07/16/2029</t>
  </si>
  <si>
    <t>PEPSICO INC         NOTE CALL MAKE WHOLE4.50000% 07/17/2029</t>
  </si>
  <si>
    <t>JOHN DEERE CAPITAL  CORPORATION SER G   2.80000% 07/18/2029 MTN</t>
  </si>
  <si>
    <t>MITSUBISHI UFJ      FINANCIAL GROUP NOTE3.19500% 07/18/2029</t>
  </si>
  <si>
    <t>BANK AMERICA CORP   SER P MTN           5.50000% 07/23/2029</t>
  </si>
  <si>
    <t>BRISTOL-MYERS SQUIBBCO NOTE             3.40000% 07/26/2029 CALL MAKE WHOLE</t>
  </si>
  <si>
    <t>PEPSICO INC         NOTE CALL MAKE WHOLE2.62500% 07/29/2029</t>
  </si>
  <si>
    <t>US BANCORP          SER Y MTN           3.00000% 07/30/2029</t>
  </si>
  <si>
    <t>ENTERPRISE PRODS    OPER LLC NOTE       3.12500% 07/31/2029 CALL MAKE WHOLE</t>
  </si>
  <si>
    <t>BANK NOVA SCOTIA B CSER I MTN           5.45000% 08/01/2029 CALL MAKE WHOLE</t>
  </si>
  <si>
    <t>SOUTHERN CALIF      EDISON CO SER 2019C 2.85000% 08/01/2029 BOND CALL MAKE WHOLE</t>
  </si>
  <si>
    <t>375(1)</t>
  </si>
  <si>
    <t>CITIBANK N A        NOTE CALL MAKE WHOLE4.83800% 08/06/2029</t>
  </si>
  <si>
    <t>APPLE INC           NOTE CALL MAKE WHOLE3.25000% 08/08/2029</t>
  </si>
  <si>
    <t>325(15)</t>
  </si>
  <si>
    <t>TOYOTA MTR CR CORP  SER B MTN           4.55000% 08/09/2029 CALL MAKE WHOLE</t>
  </si>
  <si>
    <t>ELI LILLY &amp;CO       NOTE CALL MAKE WHOLE4.20000% 08/14/2029</t>
  </si>
  <si>
    <t>CHUBB INA HLDGS INC NOTE CALL MAKE WHOLE4.65000% 08/15/2029</t>
  </si>
  <si>
    <t>DUKE ENERGY         CAROLINAS LLC BOND  2.45000% 08/15/2029 CALL MAKE WHOLE</t>
  </si>
  <si>
    <t>HONEYWELL INTL INC  NOTE CALL MAKE WHOLE2.70000% 08/15/2029</t>
  </si>
  <si>
    <t>META PLATFORMS INC  NOTE CALL MAKE WHOLE4.30000% 08/15/2029</t>
  </si>
  <si>
    <t>NATIONAL RURAL UTILSCOOP FIN MTN        3.00000% 08/15/2029</t>
  </si>
  <si>
    <t>NATIONAL RURAL UTILSCOOP FIN MTN        3.65000% 08/15/2029</t>
  </si>
  <si>
    <t>NATIONAL RURAL UTILSCOOP FIN MTN        3.50000% 08/15/2029</t>
  </si>
  <si>
    <t>NATIONAL RURAL UTILSCOOP FIN            3.50000% 08/15/2029 SER INTERNOTES MTN</t>
  </si>
  <si>
    <t>PHILIP MORRIS INTL  INC NOTE            3.37500% 08/15/2029</t>
  </si>
  <si>
    <t>PRUDENTIAL FINL INC MTN                 4.20000% 08/15/2029</t>
  </si>
  <si>
    <t xml:space="preserve">CP SFP D SO </t>
  </si>
  <si>
    <t>UNITEDHEALTH GROUP  INC NOTE            2.87500% 08/15/2029 CALL MAKE WHOLE</t>
  </si>
  <si>
    <t>CATERPILLAR FINL    SVCS S BE MTN       4.37500% 08/16/2029 CALL MAKE WHOLE</t>
  </si>
  <si>
    <t>DEUTSCHE BK AG      SER E NOTE          5.05000% 08/16/2029</t>
  </si>
  <si>
    <t>EXXON MOBIL CORP    NOTE CALL MAKE WHOLE2.44000% 08/16/2029</t>
  </si>
  <si>
    <t>BANK NEW YORK MELLONCORP SER K MTN      3.30000% 08/23/2029</t>
  </si>
  <si>
    <t>CITIGROUP GLOBAL    MKTS HLDGS IN SER N 4.70000% 08/30/2029 MTN</t>
  </si>
  <si>
    <t>DISNEY WALT CO      NOTE CALL MAKE WHOLE2.00000% 09/01/2029 ISIN #US254687FL52  SEDOL #BKKKD11</t>
  </si>
  <si>
    <t>HONEYWELL INTL INC  NOTE CALL MAKE WHOLE4.87500% 09/01/2029</t>
  </si>
  <si>
    <t>JOHNSON &amp;JOHNSON    BOND                6.95000% 09/01/2029</t>
  </si>
  <si>
    <t>UNITED PARCEL SVCS  INC NOTE            2.50000% 09/01/2029 CALL MAKE WHOLE</t>
  </si>
  <si>
    <t>TEXAS INSTRS INC    NOTE CALL MAKE WHOLE2.25000% 09/04/2029</t>
  </si>
  <si>
    <t>AMERICAN HONDA FIN  CORP  MTN           4.40000% 09/05/2029 CALL MAKE WHOLE</t>
  </si>
  <si>
    <t>COCA COLA CO        NOTE CALL MAKE WHOLE2.12500% 09/06/2029</t>
  </si>
  <si>
    <t>UNILEVER CAP CORP   NOTE CALL MAKE WHOLE2.12500% 09/06/2029</t>
  </si>
  <si>
    <t>350(100)</t>
  </si>
  <si>
    <t>APPLE INC           NOTE CALL MAKE WHOLE2.20000% 09/11/2029</t>
  </si>
  <si>
    <t>SIMON PPTY GROUP LP NOTE CALL MAKE WHOLE2.45000% 09/13/2029</t>
  </si>
  <si>
    <t>ATMOS ENERGY CORP   NOTE CALL MAKE WHOLE2.62500% 09/15/2029</t>
  </si>
  <si>
    <t>ELEVANCE HEALTH INC NOTE CALL MAKE WHOLE2.87500% 09/15/2029</t>
  </si>
  <si>
    <t>GEORGIA PWR CO      SER 2019B NOTE      2.65000% 09/15/2029 CALL MAKE WHOLE</t>
  </si>
  <si>
    <t>NATIONAL RURAL UTILSCOOP FIN            3.00000% 09/15/2029 SER INTERNOTES MTN</t>
  </si>
  <si>
    <t>NATIONAL RURAL UTILSCOOP FIN MTN        1.75000% 09/15/2029</t>
  </si>
  <si>
    <t>NATIONAL RURAL UTILSCOOP FIN            3.50000% 09/15/2029 SER INTERNOTES MTN</t>
  </si>
  <si>
    <t>37(10)</t>
  </si>
  <si>
    <t>REGENCY CTRS L P    NOTE CALL MAKE WHOLE2.95000% 09/15/2029</t>
  </si>
  <si>
    <t>NOVARTIS CAPITAL    CORP NOTE           3.80000% 09/18/2029 CALL MAKE WHOLE</t>
  </si>
  <si>
    <t>CATERPILLAR INC     NOTE CALL MAKE WHOLE2.60000% 09/19/2029</t>
  </si>
  <si>
    <t>1,000( 2)</t>
  </si>
  <si>
    <t>INTERNATIONAL BK FORRECON&amp;DEV NOTE      3.62500% 09/21/2029</t>
  </si>
  <si>
    <t>2,000(50)</t>
  </si>
  <si>
    <t>WAL-MART STORES INC NOTE                2.37500% 09/24/2029 TENDER FROM CUSIP   931142CS0</t>
  </si>
  <si>
    <t>PACCAR FINANCIAL    CORP MTN            4.00000% 09/26/2029</t>
  </si>
  <si>
    <t>SUMITOMO MITSUI FIN GRP INC NOTE        2.72400% 09/27/2029</t>
  </si>
  <si>
    <t>PAYPAL HLDGS INC    NOTE CALL MAKE WHOLE2.85000% 10/01/2029</t>
  </si>
  <si>
    <t>256(10)</t>
  </si>
  <si>
    <t>SCHWAB CHARLES CORP SER A NOTE          2.75000% 10/01/2029 CALL MAKE WHOLE</t>
  </si>
  <si>
    <t>THERMO FISHER       SCIENTIFIC INC NOTE 2.60000% 10/01/2029 CALL MAKE WHOLE</t>
  </si>
  <si>
    <t>ACCENTURE CAPITAL   INC NOTE            4.05000% 10/04/2029 CALL MAKE WHOLE</t>
  </si>
  <si>
    <t>JOHN DEERE CAPITAL  CORPORATION SER H   4.85000% 10/11/2029 MTN</t>
  </si>
  <si>
    <t>CHEVRON USA INC     SER B NOTE          3.25000% 10/15/2029 CALL MAKE WHOLE</t>
  </si>
  <si>
    <t>NATIONAL RURAL UTILSCOOP FIN MTN        1.95000% 10/15/2029</t>
  </si>
  <si>
    <t xml:space="preserve">SFP D SO </t>
  </si>
  <si>
    <t>NATIONAL RURAL UTILSCOOP FIN            3.50000% 10/15/2029 SER INTERNOTES MTN</t>
  </si>
  <si>
    <t>NATIONAL RURAL UTILSCOOP FIN            3.25000% 10/15/2029 SER INTERNOTES MTN</t>
  </si>
  <si>
    <t>DEERE &amp;CO           NOTE                5.37500% 10/16/2029</t>
  </si>
  <si>
    <t>INTERNATIONAL BK FORRECON&amp;DEV NOTE      3.87500% 10/16/2029</t>
  </si>
  <si>
    <t>BP CAP MKTS AMER INCNOTE CALL MAKE WHOLE4.97000% 10/17/2029</t>
  </si>
  <si>
    <t>72(10)</t>
  </si>
  <si>
    <t>DIAGEO CAP PLC      NOTE CALL MAKE WHOLE2.37500% 10/24/2029</t>
  </si>
  <si>
    <t>PROCTER &amp;GAMBLE CO  NOTE CALL MAKE WHOLE4.15000% 10/24/2029</t>
  </si>
  <si>
    <t>PROCTER &amp;GAMBLE CO  BOND                8.00000% 10/26/2029</t>
  </si>
  <si>
    <t>943(5)</t>
  </si>
  <si>
    <t>UBS AG LONDON BRANCHMTN                 2.00000% 10/29/2029 ISIN #US22552XXR96</t>
  </si>
  <si>
    <t>ONCOR ELEC DELIVERY CO LLC SER B NOTE   4.65000% 11/01/2029 CALL MAKE WHOLE</t>
  </si>
  <si>
    <t>PHILIP MORRIS INTL  INC NOTE            4.62500% 11/01/2029 CALL MAKE WHOLE</t>
  </si>
  <si>
    <t>BAKER HUGHES A GE COLLC / BA NOTE       3.13800% 11/07/2029 CALL MAKE WHOLE</t>
  </si>
  <si>
    <t>SHELL FIN US INC    SER B NOTE          2.37500% 11/07/2029 CALL MAKE WHOLE</t>
  </si>
  <si>
    <t>SHELL INTERNATIONAL FIN BV NOTE         2.37500% 11/07/2029 CALL MAKE WHOLE</t>
  </si>
  <si>
    <t>CATERPILLAR FINL    SVCS MTNS BE SER K  4.70000% 11/15/2029 CALL MAKE WHOLE</t>
  </si>
  <si>
    <t>DH EUROPE FIN II S AR L NOTE            2.60000% 11/15/2029 CALL MAKE WHOLE</t>
  </si>
  <si>
    <t>440(2)</t>
  </si>
  <si>
    <t>DOMINION ENERGY GAS HLDGS LLC SER B NOTE3.00000% 11/15/2029 CALL MAKE WHOLE</t>
  </si>
  <si>
    <t>184(2)</t>
  </si>
  <si>
    <t>EASTERN GAS         TRANSMISSION AND S  3.00000% 11/15/2029 SER B NOTE          CALL MAKE WHOLE</t>
  </si>
  <si>
    <t>EATON CORP OHIO     BOND                7.65000% 11/15/2029</t>
  </si>
  <si>
    <t>1,600(5)</t>
  </si>
  <si>
    <t>EUROPEAN INVT BK    NOTE                3.75000% 11/15/2029</t>
  </si>
  <si>
    <t>1,250(50)</t>
  </si>
  <si>
    <t>700(50)</t>
  </si>
  <si>
    <t>HERSHEY CO          NOTE CALL MAKE WHOLE2.45000% 11/15/2029</t>
  </si>
  <si>
    <t>900(2)</t>
  </si>
  <si>
    <t>PROLOGIS L P        NOTE CALL MAKE WHOLE2.87500% 11/15/2029</t>
  </si>
  <si>
    <t>190(9)</t>
  </si>
  <si>
    <t>PHILIP MORRIS INTL  INC NOTE            5.62500% 11/17/2029 CALL MAKE WHOLE</t>
  </si>
  <si>
    <t>ABBVIE INC          SER B NOTE          3.20000% 11/21/2029 CALL MAKE WHOLE</t>
  </si>
  <si>
    <t>STATE STREET BANK &amp;TRUST NOTE         4.78200% 11/23/2029</t>
  </si>
  <si>
    <t>750(250)</t>
  </si>
  <si>
    <t>BP CAP MKTS AMER INCNOTE CALL MAKE WHOLE4.86800% 11/25/2029</t>
  </si>
  <si>
    <t>AMAZON COM INC      NOTE CALL MAKE WHOLE4.65000% 12/01/2029</t>
  </si>
  <si>
    <t>DUKE ENERGY FLA LLC BOND CALL MAKE WHOLE2.50000% 12/01/2029</t>
  </si>
  <si>
    <t>HYDRO-QUEBEC        BOND                8.50000% 12/01/2029</t>
  </si>
  <si>
    <t>11(5)</t>
  </si>
  <si>
    <t>HYDRO-QUEBEC        BOND                8.50000% 12/01/2029 ISIN #US448814ET67  SEDOL #B0LNX97</t>
  </si>
  <si>
    <t>21(5)</t>
  </si>
  <si>
    <t>LAUDER ESTEE COS INCNOTE CALL MAKE WHOLE2.37500% 12/01/2029</t>
  </si>
  <si>
    <t>LOCKHEED MARTIN CORPBOND CALL MAKE WHOLE 8.50000% 12/01/2029</t>
  </si>
  <si>
    <t>WISCONSIN PUB SVC   CORP NOTE           4.55000% 12/01/2029 CALL MAKE WHOLE</t>
  </si>
  <si>
    <t>REALTY INCOME CORP  NOTE CALL MAKE WHOLE3.10000% 12/15/2029</t>
  </si>
  <si>
    <t>TORONTO DOMINION BK ONT SER C MTN       4.78300% 12/17/2029 CALL MAKE WHOLE</t>
  </si>
  <si>
    <t>US BANCORP          SER CC MTN          5.20000% 12/26/2029</t>
  </si>
  <si>
    <t>ROYAL BK CDA        SER I MTN           4.27000% 12/28/2029</t>
  </si>
  <si>
    <t>721(1)</t>
  </si>
  <si>
    <t>CATERPILLAR FINL    SVCS S BE MTN       4.80000% 01/08/2030 CALL MAKE WHOLE</t>
  </si>
  <si>
    <t>750(1)</t>
  </si>
  <si>
    <t>JOHN DEERE CAPITAL  CORPORATION SER G   2.45000% 01/09/2030 MTN</t>
  </si>
  <si>
    <t>TOYOTA MTR CR CORP  SER B MTN           4.95000% 01/09/2030 CALL MAKE WHOLE</t>
  </si>
  <si>
    <t>HUNTINGTON NATIONAL BANK MARYL NOTE     5.65000% 01/10/2030 CALL MAKE WHOLE</t>
  </si>
  <si>
    <t>TOTALENERGIES       CAPITAL INTERNATIONA2.82900% 01/10/2030 BOND CALL MAKE WHOLE</t>
  </si>
  <si>
    <t>SUMITOMO MITSUI FIN GRP INC NOTE        5.71000% 01/13/2030</t>
  </si>
  <si>
    <t>JD.COM INC          NOTE CALL MAKE WHOLE3.37500% 01/14/2030</t>
  </si>
  <si>
    <t>CONNECTICUT LT &amp;PWR CO SER 2025 A BOND  4.95000% 01/15/2030 CALL MAKE WHOLE</t>
  </si>
  <si>
    <t>CONOCOPHILLIPS      COMPANY NOTE        4.70000% 01/15/2030 CALL MAKE WHOLE</t>
  </si>
  <si>
    <t>CONSUMERS ENERGY CO BOND CALL MAKE WHOLE4.70000% 01/15/2030</t>
  </si>
  <si>
    <t>ISRAEL(STATE OF)    NOTE                2.50000% 01/15/2030 ISIN #US46513JXM88  SEDOL #BKVGCR7</t>
  </si>
  <si>
    <t>NATIONAL RURAL UTILSCOOP FIN MTN        2.10000% 01/15/2030</t>
  </si>
  <si>
    <t>NATIONAL RURAL UTILSCOOP FIN MTN        3.50000% 01/15/2030</t>
  </si>
  <si>
    <t>PUBLIC SVC ELEC &amp;GASCO SER N BOND       2.45000% 01/15/2030 CALL MAKE WHOLE</t>
  </si>
  <si>
    <t>REALTY INCOME CORP  NOTE CALL MAKE WHOLE3.40000% 01/15/2030</t>
  </si>
  <si>
    <t>SUMITOMO MITSUI FIN GRP INC NOTE        2.75000% 01/15/2030</t>
  </si>
  <si>
    <t>UNITEDHEALTH GROUP  INC NOTE            4.80000% 01/15/2030 CALL MAKE WHOLE</t>
  </si>
  <si>
    <t>WESTPAC BKG CORP    NOTE                2.65000% 01/16/2030</t>
  </si>
  <si>
    <t>120(15)</t>
  </si>
  <si>
    <t>ADOBE INC           NOTE CALL MAKE WHOLE4.95000% 01/17/2030</t>
  </si>
  <si>
    <t>BANCO SANTANDER S.A.SER 241 NOTE        5.56500% 01/17/2030</t>
  </si>
  <si>
    <t>PNC FINL SVCS GROUP INC NOTE            2.55000% 01/22/2030</t>
  </si>
  <si>
    <t>ASIAN DEVELOPMENT   BANK ADB            1.87500% 01/24/2030 SER 1111-00-1 MTN</t>
  </si>
  <si>
    <t>OESTERREICHESCHE    KONTROLLBANK NOTE   4.50000% 01/24/2030</t>
  </si>
  <si>
    <t>STATE STR CORP      NOTE                2.40000% 01/24/2030</t>
  </si>
  <si>
    <t>CANADIAN IMPERIAL BKCOMM MTN            5.25000% 01/30/2030</t>
  </si>
  <si>
    <t>407(1)</t>
  </si>
  <si>
    <t>ENTERPRISE PRODS    OPER LLC NOTE       2.80000% 01/31/2030 CALL MAKE WHOLE</t>
  </si>
  <si>
    <t>JPMORGAN CHASE FINL CO LLC SER A MTN    5.10000% 01/31/2030</t>
  </si>
  <si>
    <t>ADOBE INC           NOTE CALL MAKE WHOLE2.30000% 02/01/2030</t>
  </si>
  <si>
    <t>BANK NOVA SCOTIA B CSER I MTN           4.85000% 02/01/2030 CALL MAKE WHOLE     ISIN #US06417XAP69</t>
  </si>
  <si>
    <t>COMCAST CORP NEW    NOTE CALL MAKE WHOLE2.65000% 02/01/2030</t>
  </si>
  <si>
    <t>DUKE ENERGY         CAROLINAS LLC BOND  2.45000% 02/01/2030 CALL MAKE WHOLE</t>
  </si>
  <si>
    <t>HONEYWELL INTL INC  NOTE CALL MAKE WHOLE4.70000% 02/01/2030</t>
  </si>
  <si>
    <t>SOUTHERN CALIF GAS  CO SER XX BOND      2.55000% 02/01/2030 CALL MAKE WHOLE</t>
  </si>
  <si>
    <t>TYCO ELECTRONICS    GROUP S A NOTE      4.62500% 02/01/2030 CALL MAKE WHOLE</t>
  </si>
  <si>
    <t>35(2)</t>
  </si>
  <si>
    <t>KOREA DEVELOPMENT   BANK NOTE           4.87500% 02/03/2030 ISIN #US500630EH79  SEDOL #BM8BMG8</t>
  </si>
  <si>
    <t>UNION PAC CORP      NOTE CALL MAKE WHOLE2.40000% 02/05/2030</t>
  </si>
  <si>
    <t>90(1)</t>
  </si>
  <si>
    <t>BANK AMERICA CORP   SER P MTN           5.15000% 02/06/2030</t>
  </si>
  <si>
    <t>PEPSICO INC         NOTE CALL MAKE WHOLE4.60000% 02/07/2030</t>
  </si>
  <si>
    <t>259(2)</t>
  </si>
  <si>
    <t>INTERNATIONAL       BUSINESS MACHS NOTE 4.80000% 02/10/2030 CALL MAKE WHOLE</t>
  </si>
  <si>
    <t>425(100)</t>
  </si>
  <si>
    <t>ELI LILLY &amp;CO       NOTE CALL MAKE WHOLE4.75000% 02/12/2030</t>
  </si>
  <si>
    <t>POLAND REP          NOTE                4.87500% 02/12/2030</t>
  </si>
  <si>
    <t>TOYOTA MTR CR CORP  SER B MTN           2.15000% 02/13/2030 CALL MAKE WHOLE</t>
  </si>
  <si>
    <t>BANK NOVA SCOTIA B CSER B NOTE          5.10000% 02/14/2030</t>
  </si>
  <si>
    <t>999(1)</t>
  </si>
  <si>
    <t>INTERNATIONAL BK FORRECON&amp;DEV SER 1016613.87500% 02/14/2030 BOND</t>
  </si>
  <si>
    <t>JPMORGAN CHASE FINL CO LLC SER A MTN    5.00000% 02/14/2030</t>
  </si>
  <si>
    <t>1,454(1)</t>
  </si>
  <si>
    <t>JPMORGAN CHASE FINL CO LLC SER A MTN    5.15000% 02/14/2030</t>
  </si>
  <si>
    <t>AMPHENOL CORP       NOTE CALL MAKE WHOLE2.80000% 02/15/2030</t>
  </si>
  <si>
    <t>DEUTSCHE BK AG      SER E NOTE          5.25000% 02/15/2030</t>
  </si>
  <si>
    <t>73(1)</t>
  </si>
  <si>
    <t>ELEVANCE HEALTH INC NOTE CALL MAKE WHOLE4.75000% 02/15/2030</t>
  </si>
  <si>
    <t>ERP OPER LTD        PARTNERSHIP NOTE    2.50000% 02/15/2030 CALL MAKE WHOLE</t>
  </si>
  <si>
    <t>PHILIP MORRIS INTL  INC NOTE            5.12500% 02/15/2030 CALL MAKE WHOLE</t>
  </si>
  <si>
    <t>TARGET CORP         NOTE CALL MAKE WHOLE2.35000% 02/15/2030</t>
  </si>
  <si>
    <t>UNITEDHEALTH GROUP  INC NOTE            5.30000% 02/15/2030 CALL MAKE WHOLE</t>
  </si>
  <si>
    <t>WALMART INC         NOTE                7.55000% 02/15/2030</t>
  </si>
  <si>
    <t>75(1)</t>
  </si>
  <si>
    <t>480(15)</t>
  </si>
  <si>
    <t>WASTE MGMT INC DEL  NOTE CALL MAKE WHOLE4.62500% 02/15/2030</t>
  </si>
  <si>
    <t>ISRAEL ST           BOND                5.37500% 02/19/2030</t>
  </si>
  <si>
    <t>CISCO SYS INC       NOTE CALL MAKE WHOLE4.75000% 02/24/2030</t>
  </si>
  <si>
    <t>HERSHEY CO          NOTE CALL MAKE WHOLE4.75000% 02/24/2030</t>
  </si>
  <si>
    <t>MITSUBISHI UFJ      FINANCIAL GROUP NOTE2.55900% 02/25/2030</t>
  </si>
  <si>
    <t>BANK AMERICA CORP   SER P MTN           5.20000% 02/26/2030</t>
  </si>
  <si>
    <t>1,135(10)</t>
  </si>
  <si>
    <t>JPMORGAN CHASE &amp;CO  SER E MTN           4.90000% 02/26/2030</t>
  </si>
  <si>
    <t>1,492(1)</t>
  </si>
  <si>
    <t>BANK NOVA SCOTIA B CSER B NOTE          5.05000% 02/28/2030</t>
  </si>
  <si>
    <t>975(1)</t>
  </si>
  <si>
    <t>JPMORGAN CHASE FINL CO LLC SER A MTN    5.10000% 02/28/2030</t>
  </si>
  <si>
    <t>626(1)</t>
  </si>
  <si>
    <t>JPMORGAN CHASE FINL CO LLC SER A MTN    5.25000% 02/28/2030</t>
  </si>
  <si>
    <t>628(1)</t>
  </si>
  <si>
    <t>JPMORGAN CHASE FINL CO LLC SER A MTN    5.00000% 02/28/2030</t>
  </si>
  <si>
    <t>723(1)</t>
  </si>
  <si>
    <t>STATE STR CORP      NOTE                4.72900% 02/28/2030</t>
  </si>
  <si>
    <t>AVALONBAY CMNTYS INCMTN CALL MAKE WHOLE 2.30000% 03/01/2030</t>
  </si>
  <si>
    <t>33(1)</t>
  </si>
  <si>
    <t>COMMONWEALTH EDISON CO SER 128 BOND     2.20000% 03/01/2030 CALL MAKE WHOLE</t>
  </si>
  <si>
    <t>DTE ELEC CO         SER 2020 A BOND     2.25000% 03/01/2030 CALL MAKE WHOLE</t>
  </si>
  <si>
    <t>JOHNSON &amp;JOHNSON    NOTE CALL MAKE WHOLE4.70000% 03/01/2030</t>
  </si>
  <si>
    <t>316(2)</t>
  </si>
  <si>
    <t>NSTAR ELEC CO       BOND CALL MAKE WHOLE4.85000% 03/01/2030</t>
  </si>
  <si>
    <t>ASTRAZENECA FINANCE LLC NOTE            4.90000% 03/03/2030 CALL MAKE WHOLE</t>
  </si>
  <si>
    <t>BARCLAYS BANK PLC   SER A MTN           5.20000% 03/04/2030</t>
  </si>
  <si>
    <t>169(1)</t>
  </si>
  <si>
    <t>AMERICAN HONDA FIN  CORP  MTN           4.80000% 03/05/2030 CALL MAKE WHOLE</t>
  </si>
  <si>
    <t>75(15)</t>
  </si>
  <si>
    <t>PRUDENTIAL FINL INC SER E MTN           2.10000% 03/10/2030 CALL MAKE WHOLE</t>
  </si>
  <si>
    <t>68(10)</t>
  </si>
  <si>
    <t>TRUIST BK           NOTE                2.25000% 03/11/2030</t>
  </si>
  <si>
    <t>BERKSHIRE HATHAWAY  FIN CORP NOTE       1.85000% 03/12/2030 CALL MAKE WHOLE</t>
  </si>
  <si>
    <t>ABBVIE INC          NOTE CALL MAKE WHOLE4.87500% 03/15/2030</t>
  </si>
  <si>
    <t>CENTERPOINT ENERGY  HOUSTON ELE SER AP  4.80000% 03/15/2030 BOND CALL MAKE WHOLE</t>
  </si>
  <si>
    <t>CME GROUP INC       NOTE CALL MAKE WHOLE4.40000% 03/15/2030</t>
  </si>
  <si>
    <t>DUKE ENERGY         CAROLINAS LLC BOND  4.85000% 03/15/2030 CALL MAKE WHOLE</t>
  </si>
  <si>
    <t>GEORGIA PWR CO      SER 2024D NOTE      4.55000% 03/15/2030 CALL MAKE WHOLE</t>
  </si>
  <si>
    <t>MARSH &amp;MCLENNAN COS INC NOTE            4.65000% 03/15/2030 CALL MAKE WHOLE</t>
  </si>
  <si>
    <t xml:space="preserve"> 30(2)</t>
  </si>
  <si>
    <t>MID-AMERICA APTS LP NOTE CALL MAKE WHOLE2.75000% 03/15/2030</t>
  </si>
  <si>
    <t>NATIONAL RURAL UTILSCOOP FIN BOND       2.40000% 03/15/2030 CALL MAKE WHOLE</t>
  </si>
  <si>
    <t>50(15)</t>
  </si>
  <si>
    <t>OKLAHOMA GAS &amp;ELEC  CO NOTE             3.30000% 03/15/2030 CALL MAKE WHOLE</t>
  </si>
  <si>
    <t>REALTY INCOME CORP  NOTE CALL MAKE WHOLE4.85000% 03/15/2030</t>
  </si>
  <si>
    <t>STANLEY BLACK &amp;DECKER INC NOTE    2.30000% 03/15/2030 CALL MAKE WHOLE</t>
  </si>
  <si>
    <t>THE CIGNA GROUP     NOTE CALL MAKE WHOLE2.40000% 03/15/2030</t>
  </si>
  <si>
    <t>UNION ELEC CO       BOND CALL MAKE WHOLE2.95000% 03/15/2030</t>
  </si>
  <si>
    <t>WASTE MGMT INC DEL  NOTE CALL MAKE WHOLE4.65000% 03/15/2030</t>
  </si>
  <si>
    <t>EXXON MOBIL CORP    NOTE CALL MAKE WHOLE3.48200% 03/19/2030</t>
  </si>
  <si>
    <t>PEPSICO INC         NOTE CALL MAKE WHOLE2.75000% 03/19/2030</t>
  </si>
  <si>
    <t>DISNEY WALT CO      NOTE CALL MAKE WHOLE3.80000% 03/22/2030</t>
  </si>
  <si>
    <t>KENVUE INC          SER B NOTE          5.00000% 03/22/2030 CALL MAKE WHOLE</t>
  </si>
  <si>
    <t>SCHWAB CHARLES CORP NOTE CALL MAKE WHOLE4.62500% 03/22/2030</t>
  </si>
  <si>
    <t>METLIFE INC         NOTE CALL MAKE WHOLE4.55000% 03/23/2030</t>
  </si>
  <si>
    <t>ECOLAB INC          NOTE CALL MAKE WHOLE4.80000% 03/24/2030</t>
  </si>
  <si>
    <t>COCA COLA CO        NOTE CALL MAKE WHOLE3.45000% 03/25/2030</t>
  </si>
  <si>
    <t>PROCTER &amp;GAMBLE CO  NOTE CALL MAKE WHOLE3.00000% 03/25/2030</t>
  </si>
  <si>
    <t>KIMBERLY-CLARK CORP NOTE CALL MAKE WHOLE3.10000% 03/26/2030</t>
  </si>
  <si>
    <t>MASTERCARD          INCORPORATED NOTE   3.35000% 03/26/2030 CALL MAKE WHOLE</t>
  </si>
  <si>
    <t>PROGRESSIVE CORP    NOTE CALL MAKE WHOLE3.20000% 03/26/2030</t>
  </si>
  <si>
    <t>ARCHER DANIELS      MIDLAND CO NOTE     3.25000% 03/27/2030 CALL MAKE WHOLE</t>
  </si>
  <si>
    <t>NIKE INC            NOTE CALL MAKE WHOLE2.85000% 03/27/2030</t>
  </si>
  <si>
    <t>HSBC HLDGS PLC      NOTE                4.95000% 03/31/2030</t>
  </si>
  <si>
    <t>AFLAC INC           NOTE CALL MAKE WHOLE3.60000% 04/01/2030</t>
  </si>
  <si>
    <t>COMCAST CORP NEW    NOTE CALL MAKE WHOLE3.40000% 04/01/2030</t>
  </si>
  <si>
    <t>CONSOLIDATED EDISON CO N Y INC SER 2020A3.35000% 04/01/2030 BOND CALL MAKE WHOLE</t>
  </si>
  <si>
    <t>190(15)</t>
  </si>
  <si>
    <t>GENERAL DYNAMICS    CORP NOTE           3.62500% 04/01/2030 CALL MAKE WHOLE</t>
  </si>
  <si>
    <t>NSTAR ELEC CO       BOND CALL MAKE WHOLE3.95000% 04/01/2030</t>
  </si>
  <si>
    <t>NVIDIA CORPORATION  NOTE CALL MAKE WHOLE2.85000% 04/01/2030 ISIN #US67066GAF19  SEDOL #BKMQMN2</t>
  </si>
  <si>
    <t>998(2)</t>
  </si>
  <si>
    <t>OKLAHOMA GAS &amp;ELEC  CO NOTE             3.25000% 04/01/2030 CALL MAKE WHOLE</t>
  </si>
  <si>
    <t>PFIZER INC          NOTE CALL MAKE WHOLE2.62500% 04/01/2030</t>
  </si>
  <si>
    <t>RAYMOND JAMES FINL  INC NOTE            4.65000% 04/01/2030 CALL MAKE WHOLE</t>
  </si>
  <si>
    <t>TOYOTA MTR CR CORP  SER B MTN           3.37500% 04/01/2030 CALL MAKE WHOLE</t>
  </si>
  <si>
    <t>UNITED PARCEL SVCS  INC NOTE            4.45000% 04/01/2030 CALL MAKE WHOLE</t>
  </si>
  <si>
    <t>ATHENE HOLDING LTD  NOTE CALL MAKE WHOLE6.15000% 04/03/2030</t>
  </si>
  <si>
    <t>180(2)</t>
  </si>
  <si>
    <t>BP CAP MKTS AMER INCNOTE CALL MAKE WHOLE3.63300% 04/06/2030</t>
  </si>
  <si>
    <t>EQUINOR ASA         NOTE CALL MAKE WHOLE3.12500% 04/06/2030</t>
  </si>
  <si>
    <t>SHELL FIN US INC    SER B NOTE          2.75000% 04/06/2030 CALL MAKE WHOLE</t>
  </si>
  <si>
    <t>SHELL INTERNATIONAL FIN BV NOTE         2.75000% 04/06/2030 CALL MAKE WHOLE</t>
  </si>
  <si>
    <t>CATERPILLAR INC     NOTE CALL MAKE WHOLE2.60000% 04/09/2030</t>
  </si>
  <si>
    <t>BOOKING HOLDINGS INCNOTE CALL MAKE WHOLE4.62500% 04/13/2030</t>
  </si>
  <si>
    <t>PRUDENTIAL FDG ASIA PLC NOTE            3.12500% 04/14/2030</t>
  </si>
  <si>
    <t>BROOKFIELD FIN INC  NOTE CALL MAKE WHOLE4.35000% 04/15/2030</t>
  </si>
  <si>
    <t>CHEVRON USA INC     NOTE CALL MAKE WHOLE4.68700% 04/15/2030</t>
  </si>
  <si>
    <t>DEERE &amp;CO           NOTE CALL MAKE WHOLE3.10000% 04/15/2030</t>
  </si>
  <si>
    <t>EOG RES INC         NOTE CALL MAKE WHOLE4.37500% 04/15/2030</t>
  </si>
  <si>
    <t>HOME DEPOT INC      NOTE CALL MAKE WHOLE2.70000% 04/15/2030</t>
  </si>
  <si>
    <t>HYDRO-QUEBEC        BOND                9.37500% 04/15/2030 ISIN #CA448814DF74  SEDOL #BDVLK46</t>
  </si>
  <si>
    <t>4,802(5)</t>
  </si>
  <si>
    <t>LAUDER ESTEE COS INCNOTE CALL MAKE WHOLE2.60000% 04/15/2030</t>
  </si>
  <si>
    <t>NATIONAL RURAL UTILSCOOP FIN MTN        3.50000% 04/15/2030</t>
  </si>
  <si>
    <t>PROLOGIS L P        NOTE CALL MAKE WHOLE2.25000% 04/15/2030</t>
  </si>
  <si>
    <t>SUMITOMO MITSUI FIN GRP INC NOTE        5.24000% 04/15/2030</t>
  </si>
  <si>
    <t>TJX COS INC NEW     NOTE CALL MAKE WHOLE3.87500% 04/15/2030</t>
  </si>
  <si>
    <t>VISA INC            NOTE CALL MAKE WHOLE2.05000% 04/15/2030</t>
  </si>
  <si>
    <t>WALMART INC         NOTE CALL MAKE WHOLE4.00000% 04/15/2030</t>
  </si>
  <si>
    <t>AMERICAN HONDA FIN  CORP  SER A MTN     4.60000% 04/17/2030 CALL MAKE WHOLE</t>
  </si>
  <si>
    <t>COSTCO WHOLESALE    CORPORATION NOTE    1.60000% 04/20/2030 CALL MAKE</t>
  </si>
  <si>
    <t>DIAGEO CAP PLC      NOTE CALL MAKE WHOLE2.00000% 04/29/2030</t>
  </si>
  <si>
    <t>BLACKROCK INC       NOTE CALL MAKE WHOLE2.40000% 04/30/2030</t>
  </si>
  <si>
    <t>AMERICAN WTR CAP    CORP SR NOTE        2.80000% 05/01/2030 CALL MAKE WHOLE</t>
  </si>
  <si>
    <t>NEVADA POWER CO     SER DD NOTE         2.40000% 05/01/2030 CALL MAKE WHOLE</t>
  </si>
  <si>
    <t>NORTHERN TR CORP    NOTE                1.95000% 05/01/2030</t>
  </si>
  <si>
    <t>PEPSICO INC         NOTE CALL MAKE WHOLE1.62500% 05/01/2030</t>
  </si>
  <si>
    <t>PHILIP MORRIS INTL  INC NOTE            2.10000% 05/01/2030 CALL MAKE WHOLE</t>
  </si>
  <si>
    <t>TEXAS INSTRS INC    NOTE CALL MAKE WHOLE1.75000% 05/04/2030</t>
  </si>
  <si>
    <t>AMERICA MOVIL SAB DECV NOTE             2.87500% 05/07/2030 CALL MAKE WHOLE</t>
  </si>
  <si>
    <t>APPLE INC           NOTE CALL MAKE WHOLE4.15000% 05/10/2030</t>
  </si>
  <si>
    <t>APPLE INC           NOTE CALL MAKE WHOLE1.65000% 05/11/2030</t>
  </si>
  <si>
    <t>CHEVRON CORPORATION NOTE CALL MAKE WHOLE2.23600% 05/11/2030</t>
  </si>
  <si>
    <t>INTERNATIONAL BK FORRECON&amp;DEV BOND      0.87500% 05/14/2030</t>
  </si>
  <si>
    <t>AIR PRODUCTS AND    CHEMICALS INC NOTE  2.05000% 05/15/2030 CALL MAKE WHOLE</t>
  </si>
  <si>
    <t>ALLEGHANY CORP MD   NOTE CALL MAKE WHOLE3.62500% 05/15/2030</t>
  </si>
  <si>
    <t>260(250)</t>
  </si>
  <si>
    <t>AON CORP            NOTE CALL MAKE WHOLE2.80000% 05/15/2030</t>
  </si>
  <si>
    <t>CAMDEN PPTY TR      NOTE CALL MAKE WHOLE2.80000% 05/15/2030</t>
  </si>
  <si>
    <t>DEERE &amp;CO           BOND                8.10000% 05/15/2030</t>
  </si>
  <si>
    <t>ELEVANCE HEALTH INC NOTE CALL MAKE WHOLE2.25000% 05/15/2030</t>
  </si>
  <si>
    <t>FLORIDA PWR &amp;LT CO  BOND CALL MAKE WHOLE4.62500% 05/15/2030</t>
  </si>
  <si>
    <t>INTERNATIONAL       BUSINESS MACHS NOTE 1.95000% 05/15/2030 CALL MAKE WHOLE</t>
  </si>
  <si>
    <t>375(100)</t>
  </si>
  <si>
    <t>LOEWS CORP          NOTE CALL MAKE WHOLE3.20000% 05/15/2030</t>
  </si>
  <si>
    <t>228(2)</t>
  </si>
  <si>
    <t>META PLATFORMS INC  NOTE CALL MAKE WHOLE4.80000% 05/15/2030</t>
  </si>
  <si>
    <t>NATIONAL RURAL UTILSCOOP FIN MTN        3.50000% 05/15/2030</t>
  </si>
  <si>
    <t>ONCOR ELEC DELIVERY CO LLC SER B NOTE   2.75000% 05/15/2030 CALL MAKE WHOLE</t>
  </si>
  <si>
    <t>ONE GAS INC         NOTE CALL MAKE WHOLE2.00000% 05/15/2030</t>
  </si>
  <si>
    <t>UNITEDHEALTH GROUP  INC NOTE            2.00000% 05/15/2030 CALL MAKE WHOLE</t>
  </si>
  <si>
    <t>MERCK &amp;CO INC       NOTE CALL MAKE WHOLE4.30000% 05/17/2030</t>
  </si>
  <si>
    <t>TOYOTA MTR CR CORP  MTN CALL MAKE WHOLE 4.55000% 05/17/2030</t>
  </si>
  <si>
    <t>PFIZER INVT         ENTERPRISES NOTE    4.65000% 05/19/2030 CALL MAKE WHOLE</t>
  </si>
  <si>
    <t>QUALCOMM INC        NOTE CALL MAKE WHOLE2.15000% 05/20/2030</t>
  </si>
  <si>
    <t>EQUINOR ASA         NOTE CALL MAKE WHOLE2.37500% 05/22/2030</t>
  </si>
  <si>
    <t>BANCO SANTANDER S.A.NOTE                3.49000% 05/28/2030</t>
  </si>
  <si>
    <t>PFIZER INC          NOTE CALL MAKE WHOLE1.70000% 05/28/2030</t>
  </si>
  <si>
    <t>PROVINCE OF QUEBEC  SER QZ NOTE         1.35000% 05/28/2030</t>
  </si>
  <si>
    <t>ANHEUSER-BUSCH INBEVWLDW INC NOTE       3.50000% 06/01/2030 CALL MAKE WHOLE</t>
  </si>
  <si>
    <t>APPLIED MATLS INC   NOTE CALL MAKE WHOLE1.75000% 06/01/2030</t>
  </si>
  <si>
    <t>480(250)</t>
  </si>
  <si>
    <t>BOSTON SCIENTIFIC   CORP NOTE           2.65000% 06/01/2030 CALL MAKE WHOLE</t>
  </si>
  <si>
    <t>COCA COLA CO        NOTE CALL MAKE WHOLE1.65000% 06/01/2030</t>
  </si>
  <si>
    <t>DUKE ENERGY OHIO INCBOND CALL MAKE WHOLE2.12500% 06/01/2030</t>
  </si>
  <si>
    <t>EVERGY METRO INC    SER 2020 BOND       2.25000% 06/01/2030 CALL MAKE WHOLE</t>
  </si>
  <si>
    <t>HERSHEY CO          NOTE CALL MAKE WHOLE1.70000% 06/01/2030</t>
  </si>
  <si>
    <t>HONEYWELL INTL INC  NOTE CALL MAKE WHOLE1.95000% 06/01/2030</t>
  </si>
  <si>
    <t>KELLANOVA           NOTE CALL MAKE WHOLE2.10000% 06/01/2030</t>
  </si>
  <si>
    <t>192(5)</t>
  </si>
  <si>
    <t>NUCOR CORP          NOTE CALL MAKE WHOLE2.70000% 06/01/2030</t>
  </si>
  <si>
    <t>PAYPAL HLDGS INC    NOTE CALL MAKE WHOLE2.30000% 06/01/2030</t>
  </si>
  <si>
    <t>SOUTHERN CALIF      EDISON CO SER 2020B 2.25000% 06/01/2030 BOND CALL MAKE WHOLE</t>
  </si>
  <si>
    <t>XILINX INC          NOTE CALL MAKE WHOLE2.37500% 06/01/2030</t>
  </si>
  <si>
    <t>435(2)</t>
  </si>
  <si>
    <t>AMAZON COM INC      NOTE CALL MAKE WHOLE1.50000% 06/03/2030</t>
  </si>
  <si>
    <t>114(2)</t>
  </si>
  <si>
    <t>TRUIST FINL CORP    SER G MTN           1.95000% 06/05/2030</t>
  </si>
  <si>
    <t>JOHN DEERE CAPITAL  CORPORATION SER I   4.70000% 06/10/2030 MTN</t>
  </si>
  <si>
    <t>HORMEL FOODS CORP   NOTE CALL MAKE WHOLE1.80000% 06/11/2030</t>
  </si>
  <si>
    <t>DUKE ENERGY FLA LLC BOND CALL MAKE WHOLE1.75000% 06/15/2030</t>
  </si>
  <si>
    <t>460(2)</t>
  </si>
  <si>
    <t>INTERCONTINENTAL    EXCHANGE INC NOTE   2.10000% 06/15/2030 CALL MAKE WHOLE</t>
  </si>
  <si>
    <t>300(2)</t>
  </si>
  <si>
    <t>LAM RESEARCH CORP   NOTE CALL MAKE WHOLE1.90000% 06/15/2030</t>
  </si>
  <si>
    <t>LOCKHEED MARTIN CORPNOTE CALL MAKE WHOLE1.85000% 06/15/2030</t>
  </si>
  <si>
    <t>MAGNA INTL INC      NOTE CALL MAKE WHOLE2.45000% 06/15/2030</t>
  </si>
  <si>
    <t>PRINCIPAL FINANCIAL GROUP INC NOTE      2.12500% 06/15/2030 CALL MAKE WHOLE</t>
  </si>
  <si>
    <t>RALPH LAUREN CORP   NOTE CALL MAKE WHOLE2.95000% 06/15/2030</t>
  </si>
  <si>
    <t>REGENCY CTRS L P    NOTE CALL MAKE WHOLE3.70000% 06/15/2030</t>
  </si>
  <si>
    <t>REINSURANCE GROUP   AMER INC NOTE       3.15000% 06/15/2030 CALL MAKE WHOLE</t>
  </si>
  <si>
    <t>MERCK &amp;CO INC       NOTE CALL MAKE WHOLE1.45000% 06/24/2030</t>
  </si>
  <si>
    <t>SCHLUMBERGER INVT SANOTE CALL MAKE WHOLE2.65000% 06/26/2030</t>
  </si>
  <si>
    <t>234(2)</t>
  </si>
  <si>
    <t>ABBOTT LABORATORIES NOTE CALL MAKE WHOLE1.40000% 06/30/2030</t>
  </si>
  <si>
    <t>PROLOGIS L P        NOTE CALL MAKE WHOLE1.75000% 07/01/2030</t>
  </si>
  <si>
    <t>ISRAEL ST           BOND                2.75000% 07/03/2030</t>
  </si>
  <si>
    <t>577(200)</t>
  </si>
  <si>
    <t>SUMITOMO MITSUI FIN GRP INC NOTE        2.13000% 07/08/2030</t>
  </si>
  <si>
    <t>SUMITOMO MITSUI FIN GRP INC NOTE        5.85200% 07/13/2030</t>
  </si>
  <si>
    <t>BERKSHIRE HATHAWAY  ENERGY CO SER B NOTE3.70000% 07/15/2030 CALL MAKE WHOLE</t>
  </si>
  <si>
    <t>310(2)</t>
  </si>
  <si>
    <t>EIDP INC            NOTE CALL MAKE WHOLE2.30000% 07/15/2030</t>
  </si>
  <si>
    <t>EUROPEAN INVT BK    NOTE                3.62500% 07/15/2030</t>
  </si>
  <si>
    <t>1,200(50)</t>
  </si>
  <si>
    <t>840(50)</t>
  </si>
  <si>
    <t>INTUIT              NOTE CALL MAKE WHOLE1.65000% 07/15/2030</t>
  </si>
  <si>
    <t>NATIONAL RURAL UTILSCOOP FIN            3.00000% 07/15/2030 SER INTERNOTES MTN</t>
  </si>
  <si>
    <t>SIMON PPTY GROUP LP NOTE CALL MAKE WHOLE2.65000% 07/15/2030</t>
  </si>
  <si>
    <t>MITSUBISHI UFJ      FINANCIAL GROUP NOTE2.04800% 07/17/2030</t>
  </si>
  <si>
    <t>300(200)</t>
  </si>
  <si>
    <t>ALBERTA PROV        BOND                1.30000% 07/22/2030</t>
  </si>
  <si>
    <t>3,962(5)</t>
  </si>
  <si>
    <t>US BANCORP          MTN                 1.37500% 07/22/2030</t>
  </si>
  <si>
    <t>300(1)</t>
  </si>
  <si>
    <t>INTERNATIONAL BK FORRECON&amp;DEV SER 1017804.00000% 07/25/2030 NOTE</t>
  </si>
  <si>
    <t>TUCSON ELEC PWR CO  NOTE CALL MAKE WHOLE1.50000% 08/01/2030</t>
  </si>
  <si>
    <t>BARCLAYS BANK PLC   SER A MTN           2.00000% 08/02/2030</t>
  </si>
  <si>
    <t>ASTRAZENECA PLC     NOTE CALL MAKE WHOLE1.37500% 08/06/2030</t>
  </si>
  <si>
    <t>BP CAP MKTS AMER INCNOTE CALL MAKE WHOLE1.74900% 08/10/2030</t>
  </si>
  <si>
    <t>LINDE INC           NOTE CALL MAKE WHOLE1.10000% 08/10/2030</t>
  </si>
  <si>
    <t>THERMO FISHER       SCIENTIFIC INC NOTE 4.97700% 08/10/2030 CALL MAKE WHOLE</t>
  </si>
  <si>
    <t>NOVARTIS CAPITAL    CORP NOTE           2.20000% 08/14/2030 CALL MAKE WHOLE</t>
  </si>
  <si>
    <t>ALPHABET INC        NOTE CALL MAKE WHOLE1.10000% 08/15/2030</t>
  </si>
  <si>
    <t>BURLINGTON NORTHN   SANTA FE CP BOND    7.95000% 08/15/2030 CALL MAKE WHOLE</t>
  </si>
  <si>
    <t>CNA FINL CORP       NOTE CALL MAKE WHOLE2.05000% 08/15/2030</t>
  </si>
  <si>
    <t>GLOBE LIFE INC NOTE CALL MAKE WHOLE2.15000% 08/15/2030</t>
  </si>
  <si>
    <t>NATIONAL RURAL UTILSCOOP FIN MTN        3.50000% 08/15/2030</t>
  </si>
  <si>
    <t>PIONEER NAT RES CO  NOTE CALL MAKE WHOLE1.90000% 08/15/2030</t>
  </si>
  <si>
    <t>APPLE INC           NOTE CALL MAKE WHOLE1.25000% 08/20/2030</t>
  </si>
  <si>
    <t>275(10)</t>
  </si>
  <si>
    <t>INTERNATIONAL BK FORRECON&amp;DEV NOTE      0.75000% 08/26/2030</t>
  </si>
  <si>
    <t>AUTOMATIC DATA      PROCESSING INC NOTE 1.25000% 09/01/2030 CALL MAKE WHOLE</t>
  </si>
  <si>
    <t>249(10)</t>
  </si>
  <si>
    <t>CUMMINS INC         NOTE CALL MAKE WHOLE1.50000% 09/01/2030</t>
  </si>
  <si>
    <t>JOHNSON &amp;JOHNSON    NOTE CALL MAKE WHOLE1.30000% 09/01/2030</t>
  </si>
  <si>
    <t>397(2)</t>
  </si>
  <si>
    <t>SERVICENOW INC      NOTE CALL MAKE WHOLE1.40000% 09/01/2030</t>
  </si>
  <si>
    <t>TENCENT MUSIC       ENTERTAINMENT GROUP 2.00000% 09/03/2030 NOTE CALL MAKE WHOLEISIN #US88034PAB58</t>
  </si>
  <si>
    <t>PHILIP MORRIS INTL  INC NOTE            5.50000% 09/07/2030 CALL MAKE WHOLE</t>
  </si>
  <si>
    <t>BHP BILLITON FIN USALTD NOTE            5.25000% 09/08/2030 CALL MAKE WHOLE     ISIN #US055451BD93</t>
  </si>
  <si>
    <t>UNILEVER CAP CORP   NOTE CALL MAKE WHOLE1.37500% 09/14/2030</t>
  </si>
  <si>
    <t>ALABAMA PWR CO      SER 2020A NOTE      1.45000% 09/15/2030 CALL MAKE WHOLE</t>
  </si>
  <si>
    <t>CHUBB INA HLDGS INC NOTE CALL MAKE WHOLE1.37500% 09/15/2030</t>
  </si>
  <si>
    <t>MICROSOFT CORP      NOTE CALL MAKE WHOLE1.35000% 09/15/2030</t>
  </si>
  <si>
    <t>401(2)</t>
  </si>
  <si>
    <t>PACIFICORP          BOND CALL MAKE WHOLE2.70000% 09/15/2030</t>
  </si>
  <si>
    <t>TARGET CORP         NOTE CALL MAKE WHOLE2.65000% 09/15/2030</t>
  </si>
  <si>
    <t>440(250)</t>
  </si>
  <si>
    <t>BANK AMERICA CORP   SER P MTN           5.00000% 09/19/2030</t>
  </si>
  <si>
    <t>ANHEUSER BUSCH COS  INC BOND            7.55000% 10/01/2030 CALL MAKE WHOLE</t>
  </si>
  <si>
    <t>84(5)</t>
  </si>
  <si>
    <t>SAN DIEGO GAS &amp;ELEC CO SER VVV BOND     1.70000% 10/01/2030 CALL MAKE WHOLE</t>
  </si>
  <si>
    <t>AMERICAN HONDA FIN  CORP  SER A MTN     5.85000% 10/04/2030 CALL MAKE WHOLE</t>
  </si>
  <si>
    <t>ASIAN DEVELOPMENT   BANK ADB MTN        0.75000% 10/08/2030</t>
  </si>
  <si>
    <t>BERKSHIRE HATHAWAY  FIN CORP NOTE       1.45000% 10/15/2030 CALL MAKE WHOLE</t>
  </si>
  <si>
    <t>COMCAST CORP NEW    NOTE CALL MAKE WHOLE4.25000% 10/15/2030</t>
  </si>
  <si>
    <t>EMERSON ELEC CO     NOTE CALL MAKE WHOLE1.95000% 10/15/2030</t>
  </si>
  <si>
    <t>EXXON MOBIL CORP    NOTE CALL MAKE WHOLE2.61000% 10/15/2030</t>
  </si>
  <si>
    <t>NATIONAL RURAL UTILSCOOP FIN            3.50000% 10/15/2030 SER INTERNOTES MTN</t>
  </si>
  <si>
    <t>PROLOGIS L P        NOTE CALL MAKE WHOLE1.25000% 10/15/2030</t>
  </si>
  <si>
    <t>PROCTER &amp;GAMBLE CO  NOTE CALL MAKE WHOLE1.20000% 10/29/2030</t>
  </si>
  <si>
    <t>FRANKLIN RESOURCES  INC NOTE            1.60000% 10/30/2030 CALL MAKE WHOLE</t>
  </si>
  <si>
    <t>PHILIP MORRIS INTL  INC NOTE            1.75000% 11/01/2030 CALL MAKE WHOLE</t>
  </si>
  <si>
    <t>BRISTOL-MYERS SQUIBBCO NOTE             1.45000% 11/13/2030 CALL MAKE WHOLE</t>
  </si>
  <si>
    <t>AMEREN ILL CO       BOND CALL MAKE WHOLE1.55000% 11/15/2030</t>
  </si>
  <si>
    <t>HYDRO-QUEBEC        BOND                9.50000% 11/15/2030</t>
  </si>
  <si>
    <t>MARSH &amp;MCLENNAN COS INC NOTE            2.25000% 11/15/2030 CALL MAKE WHOLE</t>
  </si>
  <si>
    <t>NATIONAL RURAL UTILSCOOP FIN            3.50000% 11/15/2030 SER INTERS NOTE</t>
  </si>
  <si>
    <t>TOYOTA MTR CR CORP  SER B MTN           5.55000% 11/20/2030 CALL MAKE WHOLE</t>
  </si>
  <si>
    <t>CBOE GLOBAL MKTS INCNOTE CALL MAKE WHOLE1.62500% 12/15/2030</t>
  </si>
  <si>
    <t>220(2)</t>
  </si>
  <si>
    <t>ENTERGY LA LLC      BOND CALL MAKE WHOLE1.60000% 12/15/2030</t>
  </si>
  <si>
    <t>DEUTSCHE BK AG      SER E NOTE          6.35000% 12/18/2030</t>
  </si>
  <si>
    <t>INTERNATIONAL BK FORRECON&amp;DEV SER 1018794.00000% 01/10/2031 NOTE</t>
  </si>
  <si>
    <t>TOYOTA MTR CR CORP  MTN CALL MAKE WHOLE 1.65000% 01/10/2031</t>
  </si>
  <si>
    <t>SUMITOMO MITSUI FIN GRP INC NOTE        1.71000% 01/12/2031</t>
  </si>
  <si>
    <t>AMERICAN HONDA FIN  CORP  SER A MTN     1.80000% 01/13/2031 CALL MAKE WHOLE</t>
  </si>
  <si>
    <t>DISNEY WALT CO      NOTE CALL MAKE WHOLE2.65000% 01/13/2031</t>
  </si>
  <si>
    <t>INTER-AMERICAN DEV  BK NOTE             1.12500% 01/13/2031</t>
  </si>
  <si>
    <t>ANHEUSER BUSCH COS  INC BOND            6.80000% 01/15/2031 CALL MAKE WHOLE</t>
  </si>
  <si>
    <t>ATHENE HOLDING LTD  NOTE CALL MAKE WHOLE3.50000% 01/15/2031</t>
  </si>
  <si>
    <t>ATMOS ENERGY CORP   NOTE CALL MAKE WHOLE1.50000% 01/15/2031</t>
  </si>
  <si>
    <t>AVALONBAY CMNTYS INCMTN CALL MAKE WHOLE 2.45000% 01/15/2031</t>
  </si>
  <si>
    <t>COMCAST CORP NEW    NOTE CALL MAKE WHOLE1.95000% 01/15/2031</t>
  </si>
  <si>
    <t>JOHN DEERE CAPITAL  CORPORATION SER H   1.45000% 01/15/2031 MTN</t>
  </si>
  <si>
    <t>PIONEER NAT RES CO  NOTE CALL MAKE WHOLE2.15000% 01/15/2031</t>
  </si>
  <si>
    <t>PUBLIC SERVICE CO   COLO SER 36 BOND    1.90000% 01/15/2031 CALL MAKE WHOLE</t>
  </si>
  <si>
    <t>REALTY INCOME CORP  NOTE CALL MAKE WHOLE3.25000% 01/15/2031</t>
  </si>
  <si>
    <t>SOUTHERN CO GAS CAP SER 2020A NOTE      1.75000% 01/15/2031 CALL MAKE WHOLE</t>
  </si>
  <si>
    <t>ROYAL BK CDA        SER J MTN           5.25000% 01/17/2031</t>
  </si>
  <si>
    <t>ANHEUSER-BUSCH INBEVWLDW INC NOTE       4.90000% 01/23/2031 CALL MAKE WHOLE</t>
  </si>
  <si>
    <t>ROYAL BK CDA        SER I MTN           5.50000% 01/23/2031</t>
  </si>
  <si>
    <t>12(1)</t>
  </si>
  <si>
    <t>BANK NEW YORK MELLONCORP SER J MTN      1.65000% 01/28/2031</t>
  </si>
  <si>
    <t>578(10)</t>
  </si>
  <si>
    <t>BLACKROCK INC       NOTE CALL MAKE WHOLE1.90000% 01/28/2031</t>
  </si>
  <si>
    <t>ECOLAB INC          NOTE CALL MAKE WHOLE1.30000% 01/30/2031</t>
  </si>
  <si>
    <t>CHILE REP           NOTE                2.45000% 01/31/2031</t>
  </si>
  <si>
    <t>ARCHER DANIELS      MIDLAND CO BOND     7.00000% 02/01/2031 CALL MAKE WHOLE</t>
  </si>
  <si>
    <t>465(1)</t>
  </si>
  <si>
    <t>877(5)</t>
  </si>
  <si>
    <t>BRISTOL-MYERS SQUIBBCO NOTE             5.75000% 02/01/2031 CALL MAKE WHOLE</t>
  </si>
  <si>
    <t>PROLOGIS L P        NOTE CALL MAKE WHOLE1.75000% 02/01/2031</t>
  </si>
  <si>
    <t>SIMON PPTY GROUP LP NOTE CALL MAKE WHOLE2.20000% 02/01/2031</t>
  </si>
  <si>
    <t>IBM INTL CAP PTE LTDNOTE CALL MAKE WHOLE4.75000% 02/05/2031 ISIN #US449276AD68</t>
  </si>
  <si>
    <t>300(100)</t>
  </si>
  <si>
    <t>NATIONAL RURAL UTILSCOOP FIN SER D MTN  5.00000% 02/07/2031 CALL MAKE WHOLE</t>
  </si>
  <si>
    <t>AIR PRODUCTS AND    CHEMICALS INC NOTE  4.75000% 02/08/2031 CALL MAKE WHOLE</t>
  </si>
  <si>
    <t>APPLE INC           NOTE CALL MAKE WHOLE1.65000% 02/08/2031</t>
  </si>
  <si>
    <t>ALIBABA GROUP HLDG  LTD NOTE            2.12500% 02/09/2031 CALL MAKE WHOLE</t>
  </si>
  <si>
    <t>INTERNATIONAL BK FORRECON&amp;DEV NOTE      1.25000% 02/10/2031</t>
  </si>
  <si>
    <t>PHILIP MORRIS INTL  INC NOTE            5.12500% 02/13/2031 CALL MAKE WHOLE</t>
  </si>
  <si>
    <t>EUROPEAN INVT BK    NOTE                1.25000% 02/14/2031</t>
  </si>
  <si>
    <t>COMCAST CORP NEW    NOTE CALL MAKE WHOLE1.50000% 02/15/2031</t>
  </si>
  <si>
    <t>CONOCOPHILLIPS      NOTE CALL MAKE WHOLE2.40000% 02/15/2031</t>
  </si>
  <si>
    <t>MID-AMERICA APTS LP NOTE CALL MAKE WHOLE1.70000% 02/15/2031</t>
  </si>
  <si>
    <t>545(2)</t>
  </si>
  <si>
    <t>PACIFICORP          BOND CALL MAKE WHOLE5.30000% 02/15/2031</t>
  </si>
  <si>
    <t>REALTY INCOME CORP  NOTE CALL MAKE WHOLE3.20000% 02/15/2031</t>
  </si>
  <si>
    <t>VISA INC            NOTE CALL MAKE WHOLE1.10000% 02/15/2031</t>
  </si>
  <si>
    <t>BRISTOL-MYERS SQUIBBCO NOTE             5.10000% 02/22/2031 CALL MAKE WHOLE</t>
  </si>
  <si>
    <t>120(2)</t>
  </si>
  <si>
    <t>ONTARIO PROV CDA    BOND                1.60000% 02/25/2031</t>
  </si>
  <si>
    <t>925(5)</t>
  </si>
  <si>
    <t>PEPSICO INC         NOTE CALL MAKE WHOLE1.40000% 02/25/2031</t>
  </si>
  <si>
    <t>ASTRAZENECA FINANCE LLC NOTE            4.90000% 02/26/2031 CALL MAKE WHOLE</t>
  </si>
  <si>
    <t>CISCO SYS INC       NOTE CALL MAKE WHOLE4.95000% 02/26/2031</t>
  </si>
  <si>
    <t>AON NORTH AMERICA   INC. NOTE           5.30000% 03/01/2031 CALL MAKE WHOLE</t>
  </si>
  <si>
    <t>DTE ELEC CO         SER C BOND          2.62500% 03/01/2031 CALL MAKE WHOLE</t>
  </si>
  <si>
    <t>DEERE &amp;CO           NOTE                7.12500% 03/03/2031</t>
  </si>
  <si>
    <t>STATE STR CORP      NOTE                2.20000% 03/03/2031</t>
  </si>
  <si>
    <t>ASIAN DEVELOPMENT   BANK ADB            1.50000% 03/04/2031 SER 1258-00-1 MTN</t>
  </si>
  <si>
    <t>COCA COLA CO        NOTE CALL MAKE WHOLE2.00000% 03/05/2031</t>
  </si>
  <si>
    <t>JOHN DEERE CAPITAL  CORPORATION SER I   4.90000% 03/07/2031 MTN</t>
  </si>
  <si>
    <t>SCHWAB CHARLES CORP NOTE CALL MAKE WHOLE1.65000% 03/11/2031</t>
  </si>
  <si>
    <t>CATERPILLAR INC     NOTE CALL MAKE WHOLE1.90000% 03/12/2031</t>
  </si>
  <si>
    <t>ABBVIE INC          NOTE CALL MAKE WHOLE4.95000% 03/15/2031</t>
  </si>
  <si>
    <t>ALCAN INC           BOND CALL MAKE WHOLE7.25000% 03/15/2031</t>
  </si>
  <si>
    <t>ATLANTIC CITY ELEC  CO BOND             2.30000% 03/15/2031 CALL MAKE WHOLE</t>
  </si>
  <si>
    <t>370(2)</t>
  </si>
  <si>
    <t>COCA COLA CO        NOTE CALL MAKE WHOLE1.37500% 03/15/2031</t>
  </si>
  <si>
    <t>ELEVANCE HEALTH INC NOTE CALL MAKE WHOLE2.55000% 03/15/2031</t>
  </si>
  <si>
    <t>ENTERGY TEXAS INC   BOND CALL MAKE WHOLE1.75000% 03/15/2031</t>
  </si>
  <si>
    <t>620(250)</t>
  </si>
  <si>
    <t>GEORGIA PWR CO      SER 2025B NOTE      4.85000% 03/15/2031 CALL MAKE WHOLE</t>
  </si>
  <si>
    <t>HOME DEPOT INC      NOTE CALL MAKE WHOLE1.37500% 03/15/2031</t>
  </si>
  <si>
    <t>LAUDER ESTEE COS INCNOTE CALL MAKE WHOLE1.95000% 03/15/2031</t>
  </si>
  <si>
    <t>MASTERCARD          INCORPORATED NOTE   1.90000% 03/15/2031 CALL MAKE WHOLE</t>
  </si>
  <si>
    <t>NATIONAL RURAL UTILSCOOP FIN BOND       1.35000% 03/15/2031 CALL MAKE WHOLE</t>
  </si>
  <si>
    <t>PROLOGIS L P        NOTE CALL MAKE WHOLE1.62500% 03/15/2031</t>
  </si>
  <si>
    <t>THE CIGNA GROUP     NOTE CALL MAKE WHOLE2.37500% 03/15/2031</t>
  </si>
  <si>
    <t>WASTE MGMT INC DEL  NOTE CALL MAKE WHOLE1.50000% 03/15/2031</t>
  </si>
  <si>
    <t>TOYOTA MTR CR CORP  SER B MTN           5.10000% 03/21/2031 CALL MAKE WHOLE</t>
  </si>
  <si>
    <t>BANCO SANTANDER S.A.SER 107 NOTE        2.95800% 03/25/2031</t>
  </si>
  <si>
    <t>TOYOTA MOTOR CORP   NOTE CALL MAKE WHOLE2.36200% 03/25/2031</t>
  </si>
  <si>
    <t>CENTERPOINT ENERGY  HOUSTON ELE SER AE  2.35000% 04/01/2031 BOND CALL MAKE WHOLE</t>
  </si>
  <si>
    <t>KELLANOVA           BOND CALL MAKE WHOLE7.45000% 04/01/2031</t>
  </si>
  <si>
    <t>NORTHERN STS PWR CO MINN BOND           2.25000% 04/01/2031 CALL MAKE WHOLE</t>
  </si>
  <si>
    <t>INTERNATIONAL BK FORRECON&amp;DEV NOTE      4.50000% 04/10/2031</t>
  </si>
  <si>
    <t>BROOKFIELD FIN INC  NOTE CALL MAKE WHOLE2.72400% 04/15/2031</t>
  </si>
  <si>
    <t>DUKE ENERGY         CAROLINAS LLC BOND  2.55000% 04/15/2031 CALL MAKE WHOLE</t>
  </si>
  <si>
    <t>UNITEDHEALTH GROUP  INC NOTE            4.90000% 04/15/2031 CALL MAKE WHOLE</t>
  </si>
  <si>
    <t>PROVINCE OF QUEBEC  SER RB NOTE         1.90000% 04/21/2031</t>
  </si>
  <si>
    <t>PROCTER &amp;GAMBLE CO  NOTE CALL MAKE WHOLE1.95000% 04/23/2031</t>
  </si>
  <si>
    <t>CATERPILLAR INC     BOND CALL MAKE WHOLE7.30000% 05/01/2031</t>
  </si>
  <si>
    <t>PUBLIC STORAGE OPER CO NOTE             2.30000% 05/01/2031 CALL MAKE WHOLE</t>
  </si>
  <si>
    <t>77(10)</t>
  </si>
  <si>
    <t>AMAZON COM INC      NOTE CALL MAKE WHOLE2.10000% 05/12/2031</t>
  </si>
  <si>
    <t>EUROPEAN INVT BK    NOTE                1.62500% 05/13/2031</t>
  </si>
  <si>
    <t>977(50)</t>
  </si>
  <si>
    <t>SCHWAB CHARLES CORP NOTE CALL MAKE WHOLE2.30000% 05/13/2031</t>
  </si>
  <si>
    <t>BERKSHIRE HATHAWAY  ENERGY CO SER B NOTE1.65000% 05/15/2031 CALL MAKE WHOLE</t>
  </si>
  <si>
    <t>DEUTSCHE BK AG      SER E NOTE          5.80000% 05/15/2031</t>
  </si>
  <si>
    <t>NATIONAL RURAL UTILSCOOP FIN            3.50000% 05/15/2031 SER INTERNOTES MTN</t>
  </si>
  <si>
    <t>NATIONAL RURAL UTILSCOOP FIN            3.45000% 05/15/2031 SER INTERS NOTE</t>
  </si>
  <si>
    <t>THE CIGNA GROUP     NOTE CALL MAKE WHOLE5.12500% 05/15/2031</t>
  </si>
  <si>
    <t>TJX COS INC NEW     NOTE CALL MAKE WHOLE1.60000% 05/15/2031</t>
  </si>
  <si>
    <t>UNITEDHEALTH GROUP  INC NOTE            2.30000% 05/15/2031 CALL MAKE WHOLE</t>
  </si>
  <si>
    <t>UNION PAC CORP      NOTE CALL MAKE WHOLE2.37500% 05/20/2031</t>
  </si>
  <si>
    <t>ASTRAZENECA FINANCE LLC NOTE            2.25000% 05/28/2031 CALL MAKE WHOLE</t>
  </si>
  <si>
    <t>DEUTSCHE BK AG      SER E NOTE          5.62500% 05/30/2031</t>
  </si>
  <si>
    <t>26(10)</t>
  </si>
  <si>
    <t>AMERICAN WTR CAP    CORP NOTE           2.30000% 06/01/2031 CALL MAKE WHOLE</t>
  </si>
  <si>
    <t>ENTERGY LA LLC      BOND CALL MAKE WHOLE3.05000% 06/01/2031</t>
  </si>
  <si>
    <t>GENERAL DYNAMICS    CORP NOTE           2.25000% 06/01/2031 CALL MAKE WHOLE</t>
  </si>
  <si>
    <t>JOHNSON &amp;JOHNSON    NOTE CALL MAKE WHOLE4.90000% 06/01/2031</t>
  </si>
  <si>
    <t>244(2)</t>
  </si>
  <si>
    <t>SOUTHERN CALIF      EDISON CO SER 2021 G2.50000% 06/01/2031 BOND CALL MAKE WHOLE</t>
  </si>
  <si>
    <t>SOUTHERN CALIF      EDISON CO SER 2024F 5.45000% 06/01/2031 BOND CALL MAKE WHOLE</t>
  </si>
  <si>
    <t>WESTPAC BKG CORP    NOTE                2.15000% 06/03/2031</t>
  </si>
  <si>
    <t>BANK MONTREAL MEDIUMSER H MTN           5.51100% 06/04/2031 CALL MAKE WHOLE</t>
  </si>
  <si>
    <t>DEUTSCHE BK AG      SER E NOTE          5.65000% 06/13/2031</t>
  </si>
  <si>
    <t>ASSURED GTY US HLDGSINC NOTE            3.15000% 06/15/2031 CALL MAKE WHOLE</t>
  </si>
  <si>
    <t>BALTIMORE GAS &amp;ELEC CO NOTE             2.25000% 06/15/2031 CALL MAKE WHOLE</t>
  </si>
  <si>
    <t>CONSOLIDATED EDISON CO N Y INC          2.40000% 06/15/2031 SER 2021 A BOND     CALL MAKE WHOLE</t>
  </si>
  <si>
    <t>INTERCONTINENTAL    EXCHANGE INC NOTE   5.25000% 06/15/2031 CALL MAKE WHOLE</t>
  </si>
  <si>
    <t>NATIONAL RURAL UTILSCOOP FIN BOND       1.65000% 06/15/2031 CALL MAKE WHOLE</t>
  </si>
  <si>
    <t>NVIDIA CORPORATION  NOTE CALL MAKE WHOLE2.00000% 06/15/2031</t>
  </si>
  <si>
    <t>PUBLIC SERVICE CO   COLO SER 37 BOND    1.87500% 06/15/2031 CALL MAKE WHOLE</t>
  </si>
  <si>
    <t>PUBLIC SVC CO NEW   HAMPSHIRE SER V BOND2.20000% 06/15/2031 CALL MAKE WHOLE</t>
  </si>
  <si>
    <t>JOHN DEERE CAPITAL  CORPORATION SER H   2.00000% 06/17/2031 MTN CALL MAKE WHOLE</t>
  </si>
  <si>
    <t>HOME DEPOT INC      NOTE CALL MAKE WHOLE4.85000% 06/25/2031</t>
  </si>
  <si>
    <t>CONNECTICUT LT &amp;PWR CO SER A BOND       2.05000% 07/01/2031 CALL MAKE WHOLE</t>
  </si>
  <si>
    <t>WASTE MGMT INC DEL  NOTE CALL MAKE WHOLE4.95000% 07/03/2031</t>
  </si>
  <si>
    <t>SUMITOMO MITSUI FIN GRP INC NOTE        5.42400% 07/09/2031</t>
  </si>
  <si>
    <t>AMERICAN HONDA FIN  CORP  SER A MTN     5.05000% 07/10/2031 CALL MAKE WHOLE</t>
  </si>
  <si>
    <t>BANCO SANTANDER S.A.SER SP-232 NOTE     5.43900% 07/15/2031 CALL MAKE WHOLE</t>
  </si>
  <si>
    <t>SALESFORCE INC      NOTE CALL MAKE WHOLE1.95000% 07/15/2031</t>
  </si>
  <si>
    <t>TARGET CORP         BOND CALL MAKE WHOLE7.00000% 07/15/2031 ISIN #US87612EAF34  SEDOL #2795702</t>
  </si>
  <si>
    <t>13(1)</t>
  </si>
  <si>
    <t>BANK NEW YORK MELLONCORP SER J MTN      1.80000% 07/28/2031</t>
  </si>
  <si>
    <t>BANK NOVA SCOTIA B CNOTE CALL MAKE WHOLE2.15000% 08/01/2031</t>
  </si>
  <si>
    <t>ERP OPER LTD        PARTNERSHIP NOTE    1.85000% 08/01/2031 CALL MAKE WHOLE</t>
  </si>
  <si>
    <t>APPLE INC           NOTE CALL MAKE WHOLE1.70000% 08/05/2031</t>
  </si>
  <si>
    <t>UNILEVER CAP CORP   NOTE CALL MAKE WHOLE1.75000% 08/12/2031</t>
  </si>
  <si>
    <t>BURLINGTON RES FIN  CO NOTE             7.20000% 08/15/2031 CALL MAKE WHOLE</t>
  </si>
  <si>
    <t>DUKE ENERGY PROGRESSLLC SER 2031 BOND   2.00000% 08/15/2031 CALL MAKE WHOLE</t>
  </si>
  <si>
    <t>META PLATFORMS INC  NOTE CALL MAKE WHOLE4.55000% 08/15/2031</t>
  </si>
  <si>
    <t>NSTAR ELEC CO       BOND CALL MAKE WHOLE1.95000% 08/15/2031</t>
  </si>
  <si>
    <t>PUBLIC SVC ELEC &amp;GASCO SER N MTN        1.90000% 08/15/2031 CALL MAKE WHOLE</t>
  </si>
  <si>
    <t>ROCKWELL AUTOMATION INC NOTE            1.75000% 08/15/2031 CALL MAKE WHOLE</t>
  </si>
  <si>
    <t>PFIZER INC          NOTE CALL MAKE WHOLE1.75000% 08/18/2031</t>
  </si>
  <si>
    <t>AON CORP / AON      GLOBAL HLDGS NOTE   2.05000% 08/23/2031 CALL MAKE WHOLE</t>
  </si>
  <si>
    <t>JPMORGAN CHASE &amp;CO  SER E MTN           5.00000% 08/29/2031</t>
  </si>
  <si>
    <t>HONEYWELL INTL INC  NOTE CALL MAKE WHOLE1.75000% 09/01/2031</t>
  </si>
  <si>
    <t>HONEYWELL INTL INC  NOTE CALL MAKE WHOLE4.95000% 09/01/2031</t>
  </si>
  <si>
    <t>BANK AMERICA CORP   SER N MTN           2.00000% 09/02/2031</t>
  </si>
  <si>
    <t>7(5)</t>
  </si>
  <si>
    <t>JOHN DEERE CAPITAL  CORPORATION SER I   4.40000% 09/08/2031 MTN</t>
  </si>
  <si>
    <t>TORONTO DOMINION BK ONT SER C MTN       2.00000% 09/10/2031 CALL MAKE WHOLE</t>
  </si>
  <si>
    <t>TOYOTA MTR CR CORP  MTN CALL MAKE WHOLE 1.90000% 09/12/2031</t>
  </si>
  <si>
    <t>AMPHENOL CORP       NOTE CALL MAKE WHOLE2.20000% 09/15/2031</t>
  </si>
  <si>
    <t>HOME DEPOT INC      NOTE CALL MAKE WHOLE1.87500% 09/15/2031</t>
  </si>
  <si>
    <t>TEXAS INSTRS INC    NOTE CALL MAKE WHOLE1.90000% 09/15/2031</t>
  </si>
  <si>
    <t>WISCONSIN PWR &amp;LT COBOND CALL MAKE WHOLE1.95000% 09/16/2031</t>
  </si>
  <si>
    <t>INTER-AMERICAN DEV  BK NOTE             3.62500% 09/17/2031</t>
  </si>
  <si>
    <t>SUMITOMO MITSUI FIN GRP INC NOTE        2.22200% 09/17/2031</t>
  </si>
  <si>
    <t>NOVARTIS CAPITAL    CORP NOTE           4.00000% 09/18/2031 CALL MAKE WHOLE</t>
  </si>
  <si>
    <t>WALMART INC         NOTE CALL MAKE WHOLE1.80000% 09/22/2031</t>
  </si>
  <si>
    <t>BANK AMERICA CORP   SER N MTN           2.00000% 09/23/2031</t>
  </si>
  <si>
    <t>16(5)</t>
  </si>
  <si>
    <t>ANALOG DEVICES INC  NOTE CALL MAKE WHOLE2.10000% 10/01/2031</t>
  </si>
  <si>
    <t>ACCENTURE CAPITAL   INC NOTE            4.25000% 10/04/2031 CALL MAKE WHOLE</t>
  </si>
  <si>
    <t>EUROPEAN INVT BK    NOTE                4.37500% 10/10/2031</t>
  </si>
  <si>
    <t>747(50)</t>
  </si>
  <si>
    <t>TOYOTA MTR CR CORP  MTN CALL MAKE WHOLE 4.60000% 10/10/2031</t>
  </si>
  <si>
    <t>CANADIAN NATIONAL   RAILWAYS CO BOND    7.37500% 10/15/2031 CALL MAKE WHOLE</t>
  </si>
  <si>
    <t>241(3)</t>
  </si>
  <si>
    <t>CONOCO FDG CO       NOTE CALL MAKE WHOLE7.25000% 10/15/2031</t>
  </si>
  <si>
    <t>THERMO FISHER       SCIENTIFIC INC NOTE 2.00000% 10/15/2031 CALL MAKE WHOLE</t>
  </si>
  <si>
    <t>PEPSICO INC         NOTE CALL MAKE WHOLE1.95000% 10/21/2031</t>
  </si>
  <si>
    <t>AMERICAN HONDA FIN  CORP  SER A MTN     4.85000% 10/23/2031 CALL MAKE WHOLE</t>
  </si>
  <si>
    <t>451(25)</t>
  </si>
  <si>
    <t>TSMC ARIZ CORP      NOTE CALL MAKE WHOLE2.50000% 10/25/2031</t>
  </si>
  <si>
    <t>BANK AMERICA CORP   SER P MTN           5.05000% 10/29/2031</t>
  </si>
  <si>
    <t>20(1)</t>
  </si>
  <si>
    <t>30(20)</t>
  </si>
  <si>
    <t>ELEVANCE HEALTH INC NOTE CALL MAKE WHOLE4.95000% 11/01/2031</t>
  </si>
  <si>
    <t>PHILIP MORRIS INTL  INC NOTE            4.75000% 11/01/2031 CALL MAKE WHOLE</t>
  </si>
  <si>
    <t>KIMBERLY-CLARK CORP NOTE CALL MAKE WHOLE2.00000% 11/02/2031</t>
  </si>
  <si>
    <t>INTERNATIONAL BK FORRECON&amp;DEV SER 1014261.62500% 11/03/2031 NOTE</t>
  </si>
  <si>
    <t>ROYAL BK CDA        SER I MTN           2.30000% 11/03/2031 CALL MAKE WHOLE</t>
  </si>
  <si>
    <t>PUBLIC STORAGE OPER CO NOTE             2.25000% 11/09/2031 CALL MAKE WHOLE</t>
  </si>
  <si>
    <t>CHUBB INA HLDGS INC BOND CALL MAKE WHOLE6.80000% 11/15/2031</t>
  </si>
  <si>
    <t>MARSH &amp;MCLENNAN COS INC NOTE            4.85000% 11/15/2031 CALL MAKE WHOLE</t>
  </si>
  <si>
    <t>PACIFICORP          BOND CALL MAKE WHOLE7.70000% 11/15/2031</t>
  </si>
  <si>
    <t>TEXACO CAP INC MTNS B E BOND            8.62500% 11/15/2031</t>
  </si>
  <si>
    <t>MASTERCARD          INCORPORATED NOTE   2.00000% 11/18/2031 CALL MAKE WHOLE</t>
  </si>
  <si>
    <t>430(2)</t>
  </si>
  <si>
    <t>PRIMERICA INC       NOTE CALL MAKE WHOLE2.80000% 11/19/2031</t>
  </si>
  <si>
    <t>BURLINGTON RES FIN  CO NOTE             7.40000% 12/01/2031 CALL MAKE WHOLE</t>
  </si>
  <si>
    <t>136(5)</t>
  </si>
  <si>
    <t>DOMINION ENERGY     SOUTH CAROLINA SER A2.30000% 12/01/2031 BOND CALL MAKE WHOLE</t>
  </si>
  <si>
    <t>SCHWAB CHARLES CORP NOTE CALL MAKE WHOLE1.95000% 12/01/2031</t>
  </si>
  <si>
    <t>AON CORP / AON      GLOBAL HLDGS NOTE   2.60000% 12/02/2031 CALL MAKE WHOLE</t>
  </si>
  <si>
    <t>40(9)</t>
  </si>
  <si>
    <t>MERCK &amp;CO INC       NOTE CALL MAKE WHOLE2.15000% 12/10/2031</t>
  </si>
  <si>
    <t>DUKE ENERGY FLA LLC BOND CALL MAKE WHOLE2.40000% 12/15/2031</t>
  </si>
  <si>
    <t>LOCKHEED MARTIN CORPNOTE CALL MAKE WHOLE4.70000% 12/15/2031</t>
  </si>
  <si>
    <t>MARSH &amp;MCLENNAN COS INC NOTE            2.37500% 12/15/2031 CALL MAKE WHOLE</t>
  </si>
  <si>
    <t>EMERSON ELEC CO     NOTE CALL MAKE WHOLE2.20000% 12/21/2031</t>
  </si>
  <si>
    <t>JPMORGAN CHASE &amp;CO  SER E MTN           5.00000% 12/23/2031</t>
  </si>
  <si>
    <t>477(1)</t>
  </si>
  <si>
    <t>JPMORGAN CHASE &amp;CO  SER E MTN           5.20000% 12/23/2031</t>
  </si>
  <si>
    <t>441(1)</t>
  </si>
  <si>
    <t>MIDAMERICAN ENERGY  COMPANY MTN         6.75000% 12/30/2031 CALL MAKE WHOLE</t>
  </si>
  <si>
    <t>COCA COLA CO        NOTE CALL MAKE WHOLE2.25000% 01/05/2032</t>
  </si>
  <si>
    <t>322(50)</t>
  </si>
  <si>
    <t>BP CAP MKTS AMER INCNOTE CALL MAKE WHOLE2.72100% 01/12/2032</t>
  </si>
  <si>
    <t>TORONTO DOMINION BK ONT MTN             2.45000% 01/12/2032 CALL MAKE WHOLE</t>
  </si>
  <si>
    <t>TOYOTA MTR CR CORP  MTN CALL MAKE WHOLE 2.40000% 01/13/2032</t>
  </si>
  <si>
    <t>AVALONBAY CMNTYS INCNOTE CALL MAKE WHOLE2.05000% 01/15/2032</t>
  </si>
  <si>
    <t>CONOCOPHILLIPS      COMPANY NOTE        4.85000% 01/15/2032 CALL MAKE WHOLE</t>
  </si>
  <si>
    <t>INTERNATIONAL BK FORRECON&amp;DEV SER 1022434.62500% 01/15/2032 NOTE</t>
  </si>
  <si>
    <t>2,800(50)</t>
  </si>
  <si>
    <t>MASTERCARD          INCORPORATED NOTE   4.35000% 01/15/2032 CALL MAKE WHOLE</t>
  </si>
  <si>
    <t>PROLOGIS L P        NOTE CALL MAKE WHOLE2.25000% 01/15/2032</t>
  </si>
  <si>
    <t>SIMON PPTY GROUP LP NOTE CALL MAKE WHOLE2.25000% 01/15/2032</t>
  </si>
  <si>
    <t>SUMITOMO MITSUI     FINANCIAL GROUP INC 5.45400% 01/15/2032 NOTE                ISIN #US86562MDT45</t>
  </si>
  <si>
    <t>UNITEDHEALTH GROUP  INC NOTE            4.95000% 01/15/2032 CALL MAKE WHOLE</t>
  </si>
  <si>
    <t>BANK NEW YORK MELLONCORP SER J MTN      2.50000% 01/26/2032</t>
  </si>
  <si>
    <t>CHILE REP           NOTE                2.55000% 01/27/2032</t>
  </si>
  <si>
    <t>BROOKFIELD FIN I UK PLC / BROO NOTE     2.34000% 01/30/2032 CALL MAKE WHOLE     ISIN #US11272BAA17</t>
  </si>
  <si>
    <t>MORGAN STANLEY FIN  LLC MTN             4.90000% 01/30/2032</t>
  </si>
  <si>
    <t>TORONTO DOMINION BK ONT SER C MTN       5.29800% 01/30/2032 CALL MAKE WHOLE     ISIN #US89115A3G59</t>
  </si>
  <si>
    <t>DOMINION ENERGY     SOUTH CAROLINA BOND 6.62500% 02/01/2032 CALL MAKE WHOLE</t>
  </si>
  <si>
    <t>ECOLAB INC          NOTE CALL MAKE WHOLE2.12500% 02/01/2032</t>
  </si>
  <si>
    <t>HONEYWELL INTL INC  NOTE CALL MAKE WHOLE4.75000% 02/01/2032</t>
  </si>
  <si>
    <t>PROCTER &amp;GAMBLE CO  NOTE CALL MAKE WHOLE2.30000% 02/01/2032</t>
  </si>
  <si>
    <t>SIMON PPTY GROUP LP NOTE CALL MAKE WHOLE2.65000% 02/01/2032</t>
  </si>
  <si>
    <t>24(2)</t>
  </si>
  <si>
    <t>SOUTHERN CALIF      EDISON CO SER 2022A 2.75000% 02/01/2032 BOND CALL MAKE WHOLE</t>
  </si>
  <si>
    <t>BANK NOVA SCOTIA B CSER I MTN           2.45000% 02/02/2032 CALL MAKE WHOLE</t>
  </si>
  <si>
    <t>FLORIDA PWR &amp;LT CO  BOND CALL MAKE WHOLE2.45000% 02/03/2032</t>
  </si>
  <si>
    <t>JPMORGAN CHASE &amp;CO  SER E MTN 5.15000% 02/04/2032</t>
  </si>
  <si>
    <t>14(1)</t>
  </si>
  <si>
    <t>TYCO ELECTRONICS    GROUP S A NOTE      2.50000% 02/04/2032 CALL MAKE WHOLE</t>
  </si>
  <si>
    <t>INTERNATIONAL       BUSINESS MACHS NOTE 2.72000% 02/09/2032 CALL MAKE WHOLE</t>
  </si>
  <si>
    <t>BANK AMERICA CORP   SER P MTN           5.50000% 02/10/2032</t>
  </si>
  <si>
    <t>707(1)</t>
  </si>
  <si>
    <t>5,654(1)</t>
  </si>
  <si>
    <t>INTERNATIONAL       BUSINESS MACHS NOTE 5.00000% 02/10/2032 CALL MAKE WHOLE</t>
  </si>
  <si>
    <t>160(100)</t>
  </si>
  <si>
    <t>ELI LILLY &amp;CO       NOTE CALL MAKE WHOLE4.90000% 02/12/2032</t>
  </si>
  <si>
    <t>JPMORGAN CHASE &amp;CO  SER E MTN           5.15000% 02/13/2032</t>
  </si>
  <si>
    <t>JPMORGAN CHASE &amp;CO  SER E MTN           5.35000% 02/13/2032</t>
  </si>
  <si>
    <t xml:space="preserve"> 1,000(1)</t>
  </si>
  <si>
    <t>UNION PAC CORP      NOTE CALL MAKE WHOLE2.80000% 02/14/2032</t>
  </si>
  <si>
    <t>MID-AMERICA APTS LP NOTE CALL MAKE WHOLE5.30000% 02/15/2032</t>
  </si>
  <si>
    <t>REALTY INCOME CORP  SER B NOTE          2.70000% 02/15/2032 CALL MAKE WHOLE</t>
  </si>
  <si>
    <t>DEUTSCHE BK AG      SER E NOTE          5.45000% 02/18/2032</t>
  </si>
  <si>
    <t>CISCO SYS INC       NOTE CALL MAKE WHOLE4.95000% 02/24/2032</t>
  </si>
  <si>
    <t>HERSHEY CO          NOTE CALL MAKE WHOLE4.95000% 02/24/2032</t>
  </si>
  <si>
    <t>BLACKROCK INC       NOTE CALL MAKE WHOLE2.10000% 02/25/2032</t>
  </si>
  <si>
    <t>275( 2)</t>
  </si>
  <si>
    <t>DEUTSCHE BK AG      SER E NOTE          5.55000% 02/27/2032</t>
  </si>
  <si>
    <t>JPMORGAN CHASE &amp;CO  SER E MTN           5.25000% 02/27/2032</t>
  </si>
  <si>
    <t>971(1)</t>
  </si>
  <si>
    <t>JPMORGAN CHASE &amp;CO  SER E MTN           5.35000% 02/27/2032</t>
  </si>
  <si>
    <t>ARCHER DANIELS      MIDLAND CO NOTE     2.90000% 03/01/2032 CALL MAKE WHOLE</t>
  </si>
  <si>
    <t>465(2)</t>
  </si>
  <si>
    <t>CENTERPOINT ENERGY  HOUSTON ELE SER AG  3.00000% 03/01/2032 BOND CALL MAKE WHOLE</t>
  </si>
  <si>
    <t>DISNEY WALT CO      MTN                 7.00000% 03/01/2032</t>
  </si>
  <si>
    <t>740(250)</t>
  </si>
  <si>
    <t>DTE ELEC CO         SER A BOND          3.00000% 03/01/2032 CALL MAKE WHOLE</t>
  </si>
  <si>
    <t>JOHNSON &amp;JOHNSON    NOTE CALL MAKE WHOLE4.85000% 03/01/2032</t>
  </si>
  <si>
    <t>188(2)</t>
  </si>
  <si>
    <t>NATIONAL RURAL UTILSCOOP FIN NOTE       8.00000% 03/01/2032 CALL MAKE WHOLE     ISIN #US637432CT02</t>
  </si>
  <si>
    <t>SCHWAB CHARLES CORP NOTE CALL MAKE WHOLE2.90000% 03/03/2032</t>
  </si>
  <si>
    <t>BANK AMERICA CORP   SER P MTN           5.30000% 03/10/2032</t>
  </si>
  <si>
    <t>1,157(1)</t>
  </si>
  <si>
    <t>2,707(1)</t>
  </si>
  <si>
    <t>HONDA MOTOR CO LTD  NOTE CALL MAKE WHOLE2.96700% 03/10/2032 ISIN #US438127AC63</t>
  </si>
  <si>
    <t>TORONTO DOMINION BK ONT MTN             3.20000% 03/10/2032 CALL MAKE WHOLE     ISIN #US89114TZV78</t>
  </si>
  <si>
    <t>ALABAMA PWR CO      SER 2022A NOTE      3.05000% 03/15/2032 CALL MAKE WHOLE</t>
  </si>
  <si>
    <t>BERKSHIRE HATHAWAY  FIN CORP NOTE       2.87500% 03/15/2032 CALL MAKE WHOLE</t>
  </si>
  <si>
    <t>BRISTOL-MYERS SQUIBBCO NOTE             2.95000% 03/15/2032 CALL MAKE WHOLE</t>
  </si>
  <si>
    <t>CME GROUP INC       NOTE CALL MAKE WHOLE2.65000% 03/15/2032</t>
  </si>
  <si>
    <t>COMMONWEALTH EDISON CO SER 132 BOND     3.15000% 03/15/2032 CALL MAKE WHOLE</t>
  </si>
  <si>
    <t>DUKE ENERGY         CAROLINAS LLC BOND  2.85000% 03/15/2032 CALL MAKE WHOLE</t>
  </si>
  <si>
    <t>MASTERCARD          INCORPORATED NOTE   4.95000% 03/15/2032 CALL MAKE WHOLE</t>
  </si>
  <si>
    <t>PROGRESSIVE CORP    NOTE CALL MAKE WHOLE3.00000% 03/15/2032</t>
  </si>
  <si>
    <t>PUBLIC SVC ELEC &amp;GASCO SER P MTN        3.10000% 03/15/2032 CALL MAKE WHOLE</t>
  </si>
  <si>
    <t>SAN DIEGO GAS &amp;ELEC CO SER XXX BOND     3.00000% 03/15/2032 CALL MAKE WHOLE</t>
  </si>
  <si>
    <t>UNION ELEC CO       BOND CALL MAKE WHOLE2.15000% 03/15/2032</t>
  </si>
  <si>
    <t>WASTE MGMT INC DEL  NOTE CALL MAKE WHOLE4.80000% 03/15/2032</t>
  </si>
  <si>
    <t>CBOE GLOBAL MKTS INCNOTE CALL MAKE WHOLE3.00000% 03/16/2032</t>
  </si>
  <si>
    <t>MANULIFE FINL CORP  NOTE CALL MAKE WHOLE3.70300% 03/16/2032</t>
  </si>
  <si>
    <t>PRUDENTIAL FDG ASIA PLC NOTE            3.62500% 03/24/2032 CALL MAKE WHOLE</t>
  </si>
  <si>
    <t>INTERNATIONAL BK FORRECON&amp;DEV SER 1015262.50000% 03/29/2032 NOTE</t>
  </si>
  <si>
    <t>1,669(25)</t>
  </si>
  <si>
    <t>DUKE ENERGY PROGRESSLLC BOND            3.40000% 04/01/2032 CALL MAKE WHOLE</t>
  </si>
  <si>
    <t>MORGAN STANLEY      NOTE CALL MAKE WHOLE 7.25000% 04/01/2032ISIN #US617446HD43  SEDOL #3169351</t>
  </si>
  <si>
    <t>NUCOR CORP          NOTE CALL MAKE WHOLE3.12500% 04/01/2032</t>
  </si>
  <si>
    <t>TEXACO CAP INC MTNS B E BOND            8.62500% 04/01/2032</t>
  </si>
  <si>
    <t>663(5)</t>
  </si>
  <si>
    <t>TORONTO DOMINION BK ONT SER D MTN       4.75000% 04/04/2032</t>
  </si>
  <si>
    <t>467(1)</t>
  </si>
  <si>
    <t>2,987(1)</t>
  </si>
  <si>
    <t>CANADIAN IMPERIAL BKCOMM NOTE           3.60000% 04/07/2032 CALL MAKE WHOLE</t>
  </si>
  <si>
    <t>AMAZON COM INC      NOTE CALL MAKE WHOLE3.60000% 04/13/2032</t>
  </si>
  <si>
    <t>CHEVRON USA INC     NOTE CALL MAKE WHOLE4.81900% 04/15/2032</t>
  </si>
  <si>
    <t>HOME DEPOT INC      NOTE CALL MAKE WHOLE3.25000% 04/15/2032</t>
  </si>
  <si>
    <t>NATIONAL RURAL UTILSCOOP FIN MTN        3.50000% 04/15/2032</t>
  </si>
  <si>
    <t>19(5)</t>
  </si>
  <si>
    <t>NATIONAL RURAL UTILSCOOP FIN SER D BOND 2.75000% 04/15/2032 CALL MAKE WHOLE</t>
  </si>
  <si>
    <t>130(9)</t>
  </si>
  <si>
    <t>WASTE MGMT INC DEL  NOTE CALL MAKE WHOLE4.15000% 04/15/2032</t>
  </si>
  <si>
    <t>COSTCO WHOLESALE    CORPORATION NOTE    1.75000% 04/20/2032 CALL MAKE</t>
  </si>
  <si>
    <t>TSMC ARIZ CORP      NOTE CALL MAKE WHOLE4.25000% 04/22/2032</t>
  </si>
  <si>
    <t>425(200)</t>
  </si>
  <si>
    <t>ASIAN DEVELOPMENT   BANK ADB MTN        3.12500% 04/27/2032</t>
  </si>
  <si>
    <t>DIAGEO CAP PLC      NOTE CALL MAKE WHOLE2.12500% 04/29/2032</t>
  </si>
  <si>
    <t>CINTAS CORP NO 2    NOTE CALL MAKE WHOLE4.00000% 05/01/2032</t>
  </si>
  <si>
    <t>ONCOR ELEC DELIVERY CO LLC NOTE         7.00000% 05/01/2032 CALL MAKE WHOLE</t>
  </si>
  <si>
    <t>275(1)</t>
  </si>
  <si>
    <t>ROYAL BK CDA        SER I MTN           3.87500% 05/04/2032 CALL MAKE WHOLE</t>
  </si>
  <si>
    <t>AMERIPRISE FINL INC NOTE CALL MAKE WHOLE4.50000% 05/13/2032</t>
  </si>
  <si>
    <t>ELEVANCE HEALTH INC NOTE CALL MAKE WHOLE4.10000% 05/15/2032</t>
  </si>
  <si>
    <t>GEORGIA PWR CO      SER 2022A NOTE      4.70000% 05/15/2032 CALL MAKE WHOLE</t>
  </si>
  <si>
    <t>STANLEY BLACK &amp;DECKER INC NOTE    3.00000% 05/15/2032 CALL MAKE WHOLE</t>
  </si>
  <si>
    <t>TUCSON ELEC PWR CO  NOTE CALL MAKE WHOLE3.25000% 05/15/2032</t>
  </si>
  <si>
    <t>UNITEDHEALTH GROUP  INC NOTE            4.20000% 05/15/2032 CALL MAKE WHOLE</t>
  </si>
  <si>
    <t>QUALCOMM INC        SER B NOTE          1.65000% 05/20/2032 CALL MAKE WHOLE</t>
  </si>
  <si>
    <t>QUALCOMM INC        NOTE CALL MAKE WHOLE4.25000% 05/20/2032</t>
  </si>
  <si>
    <t>ADVANCED MICRO      DEVICES INC NOTE    3.92400% 06/01/2032 CALL MAKE WHOLE</t>
  </si>
  <si>
    <t>AMERICAN WTR CAP    CORP NOTE           4.45000% 06/01/2032 CALL MAKE WHOLE</t>
  </si>
  <si>
    <t>ONCOR ELEC DELIVERY CO LLC SER B NOTE   4.15000% 06/01/2032 CALL MAKE WHOLE</t>
  </si>
  <si>
    <t>PAYPAL HLDGS INC    NOTE CALL MAKE WHOLE4.40000% 06/01/2032</t>
  </si>
  <si>
    <t>PUBLIC SERVICE CO   COLO SER 38 BOND    4.10000% 06/01/2032 CALL MAKE WHOLE</t>
  </si>
  <si>
    <t>JOHN DEERE CAPITAL  CORPORATION MTN     3.90000% 06/07/2032</t>
  </si>
  <si>
    <t>TORONTO DOMINION BK ONT MTN             4.45600% 06/08/2032 CALL MAKE WHOLE     ISIN #US89115A2E11</t>
  </si>
  <si>
    <t>ENTERGY LA LLC      BOND CALL MAKE WHOLE2.35000% 06/15/2032</t>
  </si>
  <si>
    <t>GLOBE LIFE INC      NOTE CALL MAKE WHOLE4.80000% 06/15/2032</t>
  </si>
  <si>
    <t>101(10)</t>
  </si>
  <si>
    <t>LOCKHEED MARTIN CORPNOTE CALL MAKE WHOLE3.90000% 06/15/2032</t>
  </si>
  <si>
    <t>CREDIT SUISSE USA   INC NOTE            7.12500% 07/15/2032 CALL MAKE WHOLE</t>
  </si>
  <si>
    <t>KLA CORP            NOTE CALL MAKE WHOLE4.65000% 07/15/2032</t>
  </si>
  <si>
    <t>PEPSICO INC         NOTE CALL MAKE WHOLE3.90000% 07/18/2032</t>
  </si>
  <si>
    <t>AMERICA MOVIL SAB DECV NOTE             4.70000% 07/21/2032 CALL MAKE WHOLE</t>
  </si>
  <si>
    <t>INTERNATIONAL       BUSINESS MACHS NOTE 4.40000% 07/27/2032 CALL MAKE WHOLE</t>
  </si>
  <si>
    <t>CANADIAN NATL RY CO NOTE CALL MAKE WHOLE3.85000% 08/05/2032</t>
  </si>
  <si>
    <t>APPLE INC           NOTE CALL MAKE WHOLE3.35000% 08/08/2032</t>
  </si>
  <si>
    <t>COLGATE PALMOLIVE CONOTE CALL MAKE WHOLE3.25000% 08/15/2032</t>
  </si>
  <si>
    <t>CONSUMERS ENERGY CO BOND CALL MAKE WHOLE3.60000% 08/15/2032</t>
  </si>
  <si>
    <t>980(250)</t>
  </si>
  <si>
    <t>EMERSON ELEC CO     NOTE CALL MAKE WHOLE6.00000% 08/15/2032</t>
  </si>
  <si>
    <t>META PLATFORMS INC  SER B NOTE          3.85000% 08/15/2032 CALL MAKE WHOLE</t>
  </si>
  <si>
    <t>TEXAS INSTRS INC    NOTE CALL MAKE WHOLE3.65000% 08/16/2032</t>
  </si>
  <si>
    <t>ANHEUSER BUSCH COS  INC BOND            6.80000% 08/20/2032 CALL MAKE WHOLE</t>
  </si>
  <si>
    <t>ALABAMA PWR CO      SER 2022C NOTE      3.94000% 09/01/2032 CALL MAKE WHOLE</t>
  </si>
  <si>
    <t>AMEREN ILL CO       BOND CALL MAKE WHOLE3.85000% 09/01/2032</t>
  </si>
  <si>
    <t>DUKE ENERGY IND LLC BOND CALL MAKE WHOLE8.31000% 09/01/2032</t>
  </si>
  <si>
    <t>ONE GAS INC         NOTE CALL MAKE WHOLE4.25000% 09/01/2032</t>
  </si>
  <si>
    <t>WISCONSIN PWR &amp;LT COBOND CALL MAKE WHOLE3.95000% 09/01/2032</t>
  </si>
  <si>
    <t>WALMART INC         NOTE CALL MAKE WHOLE4.15000% 09/09/2032</t>
  </si>
  <si>
    <t>AON CORP / AON      GLOBAL HLDGS NOTE   5.00000% 09/12/2032 CALL MAKE WHOLE</t>
  </si>
  <si>
    <t>HOME DEPOT INC      NOTE CALL MAKE WHOLE4.50000% 09/15/2032</t>
  </si>
  <si>
    <t>INTERCONTINENTAL    EXCHANGE INC NOTE   1.85000% 09/15/2032 CALL MAKE WHOLE</t>
  </si>
  <si>
    <t>JOHN DEERE CAPITAL  CORPORATION MTN     4.35000% 09/15/2032</t>
  </si>
  <si>
    <t>ONCOR ELEC DELIVERY CO LLC SER B NOTE   4.55000% 09/15/2032 CALL MAKE WHOLE</t>
  </si>
  <si>
    <t>SOUTHERN CO GAS CAP SER 2022A NOTE      5.15000% 09/15/2032 CALL MAKE WHOLE</t>
  </si>
  <si>
    <t>TARGET CORP         NOTE CALL MAKE WHOLE4.50000% 09/15/2032</t>
  </si>
  <si>
    <t>ASIAN DEVELOPMENT   BANK ADB            3.87500% 09/28/2032 SER 1429-00-1 MTN</t>
  </si>
  <si>
    <t>BARCLAYS BANK PLC   SER A MTN           1.75000% 09/29/2032</t>
  </si>
  <si>
    <t>WISCONSIN ELEC PWR  CO BOND             4.75000% 09/30/2032 CALL MAKE WHOLE</t>
  </si>
  <si>
    <t>ARCHER DANIELS      MIDLAND CO BOND     5.93500% 10/01/2032 CALL MAKE WHOLE</t>
  </si>
  <si>
    <t>CENTERPOINT ENERGY  HOUSTON ELE SER AI  4.45000% 10/01/2032 BOND CALL MAKE WHOLE</t>
  </si>
  <si>
    <t>REALTY INCOME CORP  NOTE CALL MAKE WHOLE5.62500% 10/13/2032</t>
  </si>
  <si>
    <t>ATMOS ENERGY CORP   NOTE CALL MAKE WHOLE5.45000% 10/15/2032</t>
  </si>
  <si>
    <t>393(2)</t>
  </si>
  <si>
    <t>CONOCOPHILLIPS      NOTE CALL MAKE WHOLE5.90000% 10/15/2032</t>
  </si>
  <si>
    <t>196(5)</t>
  </si>
  <si>
    <t>DTE ELEC CO         NOTE CALL MAKE WHOLE6.35000% 10/15/2032</t>
  </si>
  <si>
    <t>ELEVANCE HEALTH INC NOTE CALL MAKE WHOLE5.50000% 10/15/2032</t>
  </si>
  <si>
    <t>MARSH &amp;MCLENNAN COS INC NOTE            5.75000% 11/01/2032 CALL MAKE WHOLE</t>
  </si>
  <si>
    <t>NATIONAL RURAL UTILSCOOP FIN BOND       4.02300% 11/01/2032 CALL MAKE WHOLE</t>
  </si>
  <si>
    <t>SOUTHERN CALIF      EDISON CO SER 2022G 5.95000% 11/01/2032 BOND CALL MAKE WHOLE</t>
  </si>
  <si>
    <t>TARGET CORP         BOND CALL MAKE WHOLE6.35000% 11/01/2032</t>
  </si>
  <si>
    <t>EATON CORP OHIO     NOTE CALL MAKE WHOLE4.00000% 11/02/2032</t>
  </si>
  <si>
    <t>NORTHERN TR CORP    NOTE                6.12500% 11/02/2032</t>
  </si>
  <si>
    <t>COMCAST CORP NEW    NOTE CALL MAKE WHOLE5.50000% 11/15/2032</t>
  </si>
  <si>
    <t>UNILEVER CAP CORP   NOTE CALL MAKE WHOLE5.90000% 11/15/2032 ISIN #US904764AH00  SEDOL #7518926</t>
  </si>
  <si>
    <t>POLAND REP          NOTE                5.75000% 11/16/2032</t>
  </si>
  <si>
    <t>PHILIP MORRIS INTL  INC NOTE            5.75000% 11/17/2032 CALL MAKE WHOLE</t>
  </si>
  <si>
    <t>THERMO FISHER       SCIENTIFIC INC NOTE 4.95000% 11/21/2032 CALL MAKE WHOLE</t>
  </si>
  <si>
    <t>INTERNATIONAL       BUSINESS MACHS BOND 5.87500% 11/29/2032 CALL MAKE WHOLE</t>
  </si>
  <si>
    <t>JPMORGAN CHASE &amp;CO  SER A MTN           5.30000% 11/30/2032</t>
  </si>
  <si>
    <t>ROYAL BK CDA        SER I MTN           6.00000% 11/30/2032</t>
  </si>
  <si>
    <t>45(25)</t>
  </si>
  <si>
    <t>AMAZON COM INC      NOTE CALL MAKE WHOLE4.70000% 12/01/2032</t>
  </si>
  <si>
    <t>PROGRESSIVE CORP    NOTE CALL MAKE WHOLE6.25000% 12/01/2032</t>
  </si>
  <si>
    <t>METLIFE INC         NOTE CALL MAKE WHOLE6.50000% 12/15/2032 ISIN #US59156RAE80  SEDOL #2166450</t>
  </si>
  <si>
    <t>NATIONAL RURAL UTILSCOOP FIN BOND       4.15000% 12/15/2032 CALL MAKE WHOLE</t>
  </si>
  <si>
    <t>PUBLIC SVC ELEC &amp;GASCO SER P MTN        4.90000% 12/15/2032 CALL MAKE WHOLE</t>
  </si>
  <si>
    <t>640(250)</t>
  </si>
  <si>
    <t>REALTY INCOME CORP  NOTE CALL MAKE WHOLE2.85000% 12/15/2032</t>
  </si>
  <si>
    <t>ROYAL BK CDA        SER I MTN           6.00000% 12/15/2032</t>
  </si>
  <si>
    <t>EQUITABLE HLDGS INC NOTE CALL MAKE WHOLE5.59400% 01/11/2033</t>
  </si>
  <si>
    <t>EXPORT-IMPORT BANK  OF KOREA NOTE       5.12500% 01/11/2033 ISIN #US302154DW60  SEDOL #BNNT2J7</t>
  </si>
  <si>
    <t>ASIAN DEVELOPMENT   BANK ADB MTN        4.00000% 01/12/2033</t>
  </si>
  <si>
    <t>TOYOTA MTR CR CORP  SER B MTN           4.70000% 01/12/2033 CALL MAKE WHOLE</t>
  </si>
  <si>
    <t>SUMITOMO MITSUI FIN GRP INC NOTE        5.76600% 01/13/2033</t>
  </si>
  <si>
    <t xml:space="preserve"> 300(200)</t>
  </si>
  <si>
    <t>1,500(200)</t>
  </si>
  <si>
    <t>ANHEUSER BUSCH COS  INC BOND            5.95000% 01/15/2033 CALL MAKE WHOLE</t>
  </si>
  <si>
    <t>COMCAST CORP NEW    NOTE CALL MAKE WHOLE 4.25000% 01/15/2033</t>
  </si>
  <si>
    <t>DOMINION ENERGY     SOUTH CAROLINA BOND 5.80000% 01/15/2033 CALL MAKE WHOLE</t>
  </si>
  <si>
    <t>400(5)</t>
  </si>
  <si>
    <t>DUKE ENERGY         CAROLINAS LLC BOND  4.95000% 01/15/2033 CALL MAKE WHOLE</t>
  </si>
  <si>
    <t>ENTERGY ARKANSAS LLCBOND CALL MAKE WHOLE5.15000% 01/15/2033</t>
  </si>
  <si>
    <t>LOCKHEED MARTIN CORPNOTE CALL MAKE WHOLE5.25000% 01/15/2033</t>
  </si>
  <si>
    <t>NATIONAL RURAL UTILSCOOP FIN BOND       5.80000% 01/15/2033 CALL MAKE WHOLE</t>
  </si>
  <si>
    <t>OKLAHOMA GAS &amp;ELEC  CO NOTE             5.40000% 01/15/2033 CALL MAKE WHOLE</t>
  </si>
  <si>
    <t>ONCOR ELEC DELIVERY CO LLC NOTE         7.25000% 01/15/2033 CALL MAKE WHOLE</t>
  </si>
  <si>
    <t>609(1)</t>
  </si>
  <si>
    <t>PROLOGIS L P        NOTE CALL MAKE WHOLE4.62500% 01/15/2033</t>
  </si>
  <si>
    <t>TARGET CORP         NOTE CALL MAKE WHOLE4.40000% 01/15/2033</t>
  </si>
  <si>
    <t>ISRAEL ST           BOND                4.50000% 01/17/2033</t>
  </si>
  <si>
    <t>1,100(200)</t>
  </si>
  <si>
    <t>ROYAL BK CDA        SER I MTN           6.00000% 01/18/2033</t>
  </si>
  <si>
    <t>34(5)</t>
  </si>
  <si>
    <t>UNION PAC CORP      NOTE CALL MAKE WHOLE4.50000% 01/20/2033</t>
  </si>
  <si>
    <t>DIAGEO CAP PLC      NOTE CALL MAKE WHOLE5.50000% 01/24/2033</t>
  </si>
  <si>
    <t>PROCTER &amp;GAMBLE CO  NOTE CALL MAKE WHOLE4.05000% 01/26/2033</t>
  </si>
  <si>
    <t>ENTERPRISE PRODS    OPER LLC NOTE       5.35000% 01/31/2033 CALL MAKE WHOLE</t>
  </si>
  <si>
    <t>17(5)</t>
  </si>
  <si>
    <t>ROYAL BK CDA        SER I MTN           5.20000% 01/31/2033</t>
  </si>
  <si>
    <t>ATHENE HOLDING LTD  NOTE CALL MAKE WHOLE6.65000% 02/01/2033</t>
  </si>
  <si>
    <t>COMMONWEALTH EDISON CO BOND             5.87500% 02/01/2033 CALL MAKE WHOLE</t>
  </si>
  <si>
    <t>COMMONWEALTH EDISON CO SER 134 BOND     4.90000% 02/01/2033 CALL MAKE WHOLE</t>
  </si>
  <si>
    <t>ROYAL BK CDA        SER I MTN           5.00000% 02/01/2033 CALL MAKE WHOLE     ISIN #US78016FZX58</t>
  </si>
  <si>
    <t>2,000(10)</t>
  </si>
  <si>
    <t>INTERNATIONAL       BUSINESS MACHS NOTE 4.75000% 02/06/2033 CALL MAKE WHOLE</t>
  </si>
  <si>
    <t>BP CAP MKTS AMER INCNOTE CALL MAKE WHOLE4.81200% 02/13/2033</t>
  </si>
  <si>
    <t>EUROPEAN INVT BK    NOTE                3.75000% 02/14/2033</t>
  </si>
  <si>
    <t>945(50)</t>
  </si>
  <si>
    <t>ALABAMA PWR CO      NOTE CALL MAKE WHOLE5.70000% 02/15/2033</t>
  </si>
  <si>
    <t>AVALONBAY CMNTYS INCNOTE CALL MAKE WHOLE5.00000% 02/15/2033</t>
  </si>
  <si>
    <t>COMCAST CORP NEW    NOTE CALL MAKE WHOLE4.65000% 02/15/2033</t>
  </si>
  <si>
    <t>ELEVANCE HEALTH INC NOTE CALL MAKE WHOLE4.75000% 02/15/2033</t>
  </si>
  <si>
    <t>HONEYWELL INTL INC  NOTE CALL MAKE WHOLE5.00000% 02/15/2033</t>
  </si>
  <si>
    <t>PEPSICO INC         NOTE CALL MAKE WHOLE4.45000% 02/15/2033</t>
  </si>
  <si>
    <t>PHILIP MORRIS INTL  INC NOTE            5.37500% 02/15/2033 CALL MAKE WHOLE</t>
  </si>
  <si>
    <t>SPIRE MISSOURI INC  BOND CALL MAKE WHOLE4.80000% 02/15/2033</t>
  </si>
  <si>
    <t>UNITEDHEALTH GROUP  INC NOTE            5.35000% 02/15/2033 CALL MAKE WHOLE</t>
  </si>
  <si>
    <t>WASTE MGMT INC DEL  NOTE CALL MAKE WHOLE4.62500% 02/15/2033</t>
  </si>
  <si>
    <t>KIMBERLY-CLARK CORP NOTE CALL MAKE WHOLE4.50000% 02/16/2033</t>
  </si>
  <si>
    <t>ELI LILLY &amp;CO       NOTE CALL MAKE WHOLE4.70000% 02/27/2033</t>
  </si>
  <si>
    <t>AON CORP / AON      GLOBAL HLDGS NOTE   5.35000% 02/28/2033 CALL MAKE WHOLE</t>
  </si>
  <si>
    <t>BHP BILLITON FIN USALTD NOTE            4.90000% 02/28/2033 CALL MAKE WHOLE</t>
  </si>
  <si>
    <t>JPMORGAN CHASE &amp;CO  SER E MTN           5.15000% 02/28/2033</t>
  </si>
  <si>
    <t>BROOKFIELD CORP     BOND CALL MAKE WHOLE7.37500% 03/01/2033</t>
  </si>
  <si>
    <t>COLGATE PALMOLIVE CONOTE CALL MAKE WHOLE4.60000% 03/01/2033</t>
  </si>
  <si>
    <t>CONSOLIDATED EDISON CO N Y INC          5.20000% 03/01/2033 SER 2023 A BOND     CALL MAKE WHOLE</t>
  </si>
  <si>
    <t>DUKE ENERGY FLA LLC BOND CALL MAKE WHOLE5.90000% 03/01/2033</t>
  </si>
  <si>
    <t>786(5)</t>
  </si>
  <si>
    <t>ENTERPRISE PRODS    OPER LLC NOTE       6.87500% 03/01/2033 CALL MAKE WHOLE</t>
  </si>
  <si>
    <t>KELLANOVA           NOTE CALL MAKE WHOLE5.25000% 03/01/2033</t>
  </si>
  <si>
    <t>30(30)</t>
  </si>
  <si>
    <t>AIR PRODUCTS AND    CHEMICALS INC NOTE  4.80000% 03/03/2033 CALL MAKE WHOLE</t>
  </si>
  <si>
    <t>ASTRAZENECA FINANCE LLC NOTE            4.87500% 03/03/2033 CALL MAKE WHOLE</t>
  </si>
  <si>
    <t>UNITED PARCEL SVCS  INC NOTE            4.87500% 03/03/2033 CALL MAKE WHOLE</t>
  </si>
  <si>
    <t>MORGAN STANLEY FIN  LLC MTN             5.00000% 03/04/2033</t>
  </si>
  <si>
    <t>SIMON PPTY GROUP LP NOTE CALL MAKE WHOLE5.50000% 03/08/2033</t>
  </si>
  <si>
    <t>MASTERCARD          INCORPORATED NOTE   4.85000% 03/09/2033 CALL MAKE WHOLE</t>
  </si>
  <si>
    <t>RIO TINTO FIN USA   PLC NOTE            5.00000% 03/09/2033 CALL MAKE WHOLE     ISIN #US76720AAN63</t>
  </si>
  <si>
    <t>TEXAS INSTRS INC    NOTE CALL MAKE WHOLE4.90000% 03/14/2033</t>
  </si>
  <si>
    <t>CENTERPOINT ENERGY  HOUSTON ELE BOND    6.95000% 03/15/2033 CALL MAKE WHOLE</t>
  </si>
  <si>
    <t>COMCAST CORP NEW    NOTE CALL MAKE WHOLE7.05000% 03/15/2033</t>
  </si>
  <si>
    <t>DISNEY WALT CO      NOTE                6.55000% 03/15/2033</t>
  </si>
  <si>
    <t>DUKE ENERGY PROGRESSLLC BOND            5.25000% 03/15/2033 CALL MAKE WHOLE</t>
  </si>
  <si>
    <t>EATON CORP OHIO     NOTE CALL MAKE WHOLE4.15000% 03/15/2033</t>
  </si>
  <si>
    <t>ENTERGY LA LLC      BOND CALL MAKE WHOLE4.00000% 03/15/2033</t>
  </si>
  <si>
    <t>INTERCONTINENTAL    EXCHANGE INC NOTE   4.60000% 03/15/2033 CALL MAKE WHOLE</t>
  </si>
  <si>
    <t>PRINCIPAL FINANCIAL GROUP INC NOTE      5.37500% 03/15/2033 CALL MAKE WHOLE</t>
  </si>
  <si>
    <t>39(2)</t>
  </si>
  <si>
    <t>PUBLIC SVC ELEC &amp;GASCO SER P MTN        4.65000% 03/15/2033 CALL MAKE WHOLE</t>
  </si>
  <si>
    <t>276(2)</t>
  </si>
  <si>
    <t>REALTY INCOME CORP  NOTE CALL MAKE WHOLE1.80000% 03/15/2033</t>
  </si>
  <si>
    <t>THE CIGNA GROUP     NOTE CALL MAKE WHOLE5.40000% 03/15/2033</t>
  </si>
  <si>
    <t>TRAVELERS INS GROUP HLDGS INC NOTE      6.37500% 03/15/2033 CALL MAKE WHOLE</t>
  </si>
  <si>
    <t>MAGNA INTL INC      NOTE CALL MAKE WHOLE5.50000% 03/21/2033</t>
  </si>
  <si>
    <t>JPMORGAN CHASE &amp;CO  SER E MTN           6.20000% 03/22/2033</t>
  </si>
  <si>
    <t>KENVUE INC          SER B NOTE          4.90000% 03/22/2033 CALL MAKE WHOLE</t>
  </si>
  <si>
    <t>MEDTRONIC GLOBAL    HOLDINGS SCA NOTE   4.50000% 03/30/2033 CALL MAKE WHOLE</t>
  </si>
  <si>
    <t>CENTERPOINT ENERGY  HOUSTON ELE SER AK  4.95000% 04/01/2033 BOND CALL MAKE WHOLE</t>
  </si>
  <si>
    <t>CONSOLIDATED EDISON CO N Y INC NOTE     5.87500% 04/01/2033 CALL MAKE WHOLE</t>
  </si>
  <si>
    <t>DTE ELEC CO         SER A BOND          5.20000% 04/01/2033 CALL MAKE WHOLE</t>
  </si>
  <si>
    <t>DUKE ENERGY OHIO INCBOND CALL MAKE WHOLE5.25000% 04/01/2033</t>
  </si>
  <si>
    <t>FLORIDA PWR &amp;LT CO  BOND CALL MAKE WHOLE5.10000% 04/01/2033</t>
  </si>
  <si>
    <t>WISCONSIN PWR &amp;LT COBOND CALL MAKE WHOLE4.95000% 04/01/2033</t>
  </si>
  <si>
    <t>INTER-AMERICAN DEV  BK NOTE             3.50000% 04/12/2033</t>
  </si>
  <si>
    <t>967(50)</t>
  </si>
  <si>
    <t>BROWN FORMAN CORP   NOTE CALL MAKE WHOLE4.75000% 04/15/2033</t>
  </si>
  <si>
    <t>EVERGY METRO INC    SER 2033 BOND       4.95000% 04/15/2033 CALL MAKE WHOLE</t>
  </si>
  <si>
    <t>KENTUCKY UTILS CO   BOND CALL MAKE WHOLE5.45000% 04/15/2033</t>
  </si>
  <si>
    <t>LOUISVILLE GAS &amp;ELECCO BOND             5.45000% 04/15/2033 CALL MAKE WHOLE</t>
  </si>
  <si>
    <t>UNITEDHEALTH GROUP  INC NOTE            4.50000% 04/15/2033 CALL MAKE WHOLE</t>
  </si>
  <si>
    <t>WALMART INC         NOTE CALL MAKE WHOLE4.10000% 04/15/2033</t>
  </si>
  <si>
    <t>JPMORGAN CHASE &amp;CO  SER E MTN           5.00000% 04/29/2033</t>
  </si>
  <si>
    <t>ROYAL BK CDA        SER I MTN           5.00000% 05/02/2033 CALL MAKE WHOLE     ISIN #US78016HZQ63</t>
  </si>
  <si>
    <t>HERSHEY CO          NOTE CALL MAKE WHOLE4.50000% 05/04/2033</t>
  </si>
  <si>
    <t>APPLE INC           NOTE CALL MAKE WHOLE4.30000% 05/10/2033</t>
  </si>
  <si>
    <t>JPMORGAN CHASE &amp;CO  SER E MTN           6.00000% 05/11/2033</t>
  </si>
  <si>
    <t>110(1)</t>
  </si>
  <si>
    <t>AMERIPRISE FINL INC NOTE CALL MAKE WHOLE5.15000% 05/15/2033</t>
  </si>
  <si>
    <t>COMCAST CORP NEW    NOTE CALL MAKE WHOLE4.80000% 05/15/2033</t>
  </si>
  <si>
    <t>CONSUMERS ENERGY CO BOND CALL MAKE WHOLE4.62500% 05/15/2033</t>
  </si>
  <si>
    <t>DOMINION ENERGY     SOUTH CAROLINA BOND 5.30000% 05/15/2033 CALL MAKE WHOLE</t>
  </si>
  <si>
    <t>EIDP INC            NOTE CALL MAKE WHOLE4.80000% 05/15/2033</t>
  </si>
  <si>
    <t>FLORIDA PWR &amp;LT CO  BOND CALL MAKE WHOLE4.80000% 05/15/2033</t>
  </si>
  <si>
    <t>JOHNSON &amp;JOHNSON    BOND                4.95000% 05/15/2033</t>
  </si>
  <si>
    <t>199(1)</t>
  </si>
  <si>
    <t>LAUDER ESTEE COS INCNOTE CALL MAKE WHOLE4.65000% 05/15/2033</t>
  </si>
  <si>
    <t>META PLATFORMS INC  NOTE CALL MAKE WHOLE4.95000% 05/15/2033</t>
  </si>
  <si>
    <t>PPL ELEC UTILS CORP BOND CALL MAKE WHOLE5.00000% 05/15/2033</t>
  </si>
  <si>
    <t>WISCONSIN ELEC PWR  CO BOND             5.62500% 05/15/2033 CALL MAKE WHOLE</t>
  </si>
  <si>
    <t>GEORGIA PWR CO      SER 2023B NOTE      4.95000% 05/17/2033 CALL MAKE WHOLE</t>
  </si>
  <si>
    <t>MERCK &amp;CO INC       NOTE CALL MAKE WHOLE4.50000% 05/17/2033</t>
  </si>
  <si>
    <t>BANK AMERICA CORP   SER P MTN           5.50000% 05/19/2033</t>
  </si>
  <si>
    <t>39(1)</t>
  </si>
  <si>
    <t>PFIZER INVT         ENTERPRISES NOTE    4.75000% 05/19/2033 CALL MAKE WHOLE     ISIN #US716973AE24</t>
  </si>
  <si>
    <t>QUALCOMM INC        NOTE CALL MAKE WHOLE5.40000% 05/20/2033</t>
  </si>
  <si>
    <t>BLACKROCK INC       NOTE CALL MAKE WHOLE4.75000% 05/25/2033</t>
  </si>
  <si>
    <t>ROYAL BK CDA        SER I MTN           5.50000% 05/30/2033</t>
  </si>
  <si>
    <t>AMEREN ILL CO       BOND CALL MAKE WHOLE4.95000% 06/01/2033</t>
  </si>
  <si>
    <t>SOUTHERN CALIF GAS  CO SER ZZ BOND      5.20000% 06/01/2033 CALL MAKE WHOLE</t>
  </si>
  <si>
    <t>UNION PAC CORP      BOND CALL MAKE WHOLE5.37500% 06/01/2033</t>
  </si>
  <si>
    <t>BANK AMERICA CORP   SER P MTN           5.60000% 06/02/2033</t>
  </si>
  <si>
    <t>JPMORGAN CHASE &amp;CO  SER E MTN           5.60000% 06/13/2033</t>
  </si>
  <si>
    <t>448(1)</t>
  </si>
  <si>
    <t>ASIAN DEVELOPMENT   BANK ADB MTN        3.87500% 06/14/2033 ISIN #US04517PBT84</t>
  </si>
  <si>
    <t>BROOKFIELD CAP FIN  LLC NOTE            6.08700% 06/14/2033 CALL MAKE WHOLE</t>
  </si>
  <si>
    <t>BANK AMERICA CORP   SER P MTN           5.60000% 06/15/2033</t>
  </si>
  <si>
    <t>57(1)</t>
  </si>
  <si>
    <t>CNA FINL CORP       NOTE CALL MAKE WHOLE5.50000% 06/15/2033</t>
  </si>
  <si>
    <t>CONSOLIDATED EDISON CO N Y INC BOND     5.10000% 06/15/2033 CALL MAKE WHOLE</t>
  </si>
  <si>
    <t>9(1)</t>
  </si>
  <si>
    <t>PECO ENERGY CO      BOND CALL MAKE WHOLE4.90000% 06/15/2033</t>
  </si>
  <si>
    <t>PROGRESSIVE CORP    NOTE CALL MAKE WHOLE4.95000% 06/15/2033</t>
  </si>
  <si>
    <t>PROLOGIS L P        NOTE CALL MAKE WHOLE4.75000% 06/15/2033</t>
  </si>
  <si>
    <t>ROYAL BK CDA        MTN                 5.75000% 06/30/2033</t>
  </si>
  <si>
    <t>CONNECTICUT LT &amp;PWR CO SER B BOND       4.90000% 07/01/2033 CALL MAKE WHOLE</t>
  </si>
  <si>
    <t>SUMITOMO MITSUI FIN GRP INC NOTE        5.77600% 07/13/2033</t>
  </si>
  <si>
    <t>TOYOTA MOTOR CORP   NOTE CALL MAKE WHOLE5.12300% 07/13/2033 ISIN #US892331AR09</t>
  </si>
  <si>
    <t>BANK AMERICA CORP   MTN                 4.00000% 07/15/2033</t>
  </si>
  <si>
    <t>35(1)</t>
  </si>
  <si>
    <t>METLIFE INC         NOTE CALL MAKE WHOLE5.37500% 07/15/2033</t>
  </si>
  <si>
    <t>PRUDENTIAL FINL INC MTN                 5.75000% 07/15/2033</t>
  </si>
  <si>
    <t>REALTY INCOME CORP  NOTE CALL MAKE WHOLE4.90000% 07/15/2033</t>
  </si>
  <si>
    <t>CHILE REP           NOTE                2.55000% 07/27/2033</t>
  </si>
  <si>
    <t>MARSH &amp;MCLENNAN COS INC NOTE            5.87500% 08/01/2033</t>
  </si>
  <si>
    <t>PUBLIC STORAGE OPER CO NOTE             5.10000% 08/01/2033 CALL MAKE WHOLE</t>
  </si>
  <si>
    <t>PUBLIC SVC ELEC &amp;GASCO SER P BOND       5.20000% 08/01/2033 CALL MAKE WHOLE</t>
  </si>
  <si>
    <t>BANK AMERICA CORP   SER P MTN           5.75000% 08/04/2033</t>
  </si>
  <si>
    <t>THERMO FISHER       SCIENTIFIC INC NOTE 5.08600% 08/10/2033 CALL MAKE WHOLE</t>
  </si>
  <si>
    <t>MORGAN STANLEY FIN  LLC MTN             5.50000% 08/11/2033</t>
  </si>
  <si>
    <t>JPMORGAN CHASE &amp;CO  SER E MTN           5.45000% 08/12/2033</t>
  </si>
  <si>
    <t>164(1)</t>
  </si>
  <si>
    <t>ANHEUSER-BUSCH INBEVWLDW INC SER B NOTE 6.62500% 08/15/2033 CALL MAKE WHOLE</t>
  </si>
  <si>
    <t>ARCHER DANIELS      MIDLAND CO NOTE     4.50000% 08/15/2033 CALL MAKE WHOLE</t>
  </si>
  <si>
    <t>JPMORGAN CHASE &amp;CO  SER E MTN           6.00000% 08/15/2033</t>
  </si>
  <si>
    <t>SUTTER HEALTH       BOND CALL MAKE WHOLE5.16400% 08/15/2033</t>
  </si>
  <si>
    <t>BANK AMERICA CORP   SER P MTN           5.80000% 08/18/2033</t>
  </si>
  <si>
    <t>BANK AMERICA CORP   SER P MTN           6.00000% 09/01/2033</t>
  </si>
  <si>
    <t>ENTERGY MISSISSIPPI LLC BOND            5.00000% 09/01/2033 CALL MAKE WHOLE</t>
  </si>
  <si>
    <t>PHILIP MORRIS INTL  INC NOTE            5.62500% 09/07/2033 CALL MAKE WHOLE</t>
  </si>
  <si>
    <t>BHP BILLITON FIN USALTD NOTE            5.25000% 09/08/2033 CALL MAKE WHOLE</t>
  </si>
  <si>
    <t>JOHN DEERE CAPITAL  CORPORATION SER I   5.15000% 09/08/2033 MTN</t>
  </si>
  <si>
    <t>PROVINCE OF QUEBEC  SER RD NOTE         4.50000% 09/08/2033</t>
  </si>
  <si>
    <t>BP CAP MKTS AMER INCNOTE CALL MAKE WHOLE4.89300% 09/11/2033</t>
  </si>
  <si>
    <t>JPMORGAN CHASE &amp;CO  SER E MTN           6.15000% 09/12/2033</t>
  </si>
  <si>
    <t>INTER-AMERICAN DEV  BK NOTE             4.50000% 09/13/2033</t>
  </si>
  <si>
    <t>858(50)</t>
  </si>
  <si>
    <t>SUMITOMO MITSUI FIN GRP INC NOTE        5.80800% 09/14/2033</t>
  </si>
  <si>
    <t>CONOCOPHILLIPS      COMPANY NOTE        5.05000% 09/15/2033 CALL MAKE WHOLE</t>
  </si>
  <si>
    <t>DUKE ENERGY PROGRESSLLC BOND            6.12500% 09/15/2033 CALL MAKE WHOLE</t>
  </si>
  <si>
    <t>ENTERGY ARKANSAS LLCBOND CALL MAKE WHOLE5.30000% 09/15/2033</t>
  </si>
  <si>
    <t>INTUIT              NOTE CALL MAKE WHOLE5.20000% 09/15/2033</t>
  </si>
  <si>
    <t>MARSH &amp;MCLENNAN COS INC NOTE            5.40000% 09/15/2033 CALL MAKE WHOLE</t>
  </si>
  <si>
    <t>REINSURANCE GROUP   AMER INC NOTE       6.00000% 09/15/2033 CALL MAKE WHOLE</t>
  </si>
  <si>
    <t>ROYAL BK CDA        SER I MTN           6.00000% 09/15/2033 ISIN #US78014RQF00</t>
  </si>
  <si>
    <t>SOUTHERN CO GAS CAP SER 2023A NOTE      5.75000% 09/15/2033 CALL MAKE WHOLE</t>
  </si>
  <si>
    <t>ISRAEL ST           NOTE                5.50000% 09/18/2033</t>
  </si>
  <si>
    <t>1,434(1)</t>
  </si>
  <si>
    <t>BANK AMERICA CORP   SER P MTN           6.00000% 09/19/2033</t>
  </si>
  <si>
    <t>FLORIDA PWR &amp;LT CO  BOND CALL MAKE WHOLE5.95000% 10/01/2033</t>
  </si>
  <si>
    <t>PUBLIC SVC CO NEW   HAMPSHIRE SER X BOND5.35000% 10/01/2033 CALL MAKE WHOLE</t>
  </si>
  <si>
    <t>CANADIAN IMPERIAL BKCOMM NOTE           6.09200% 10/03/2033 CALL MAKE WHOLE</t>
  </si>
  <si>
    <t>POLAND REP          NOTE                4.87500% 10/04/2033</t>
  </si>
  <si>
    <t>45(1)</t>
  </si>
  <si>
    <t>DIAGEO CAP PLC      NOTE CALL MAKE WHOLE5.62500% 10/05/2033</t>
  </si>
  <si>
    <t>LAUDER ESTEE COS INCNOTE CALL MAKE WHOLE5.75000% 10/15/2033</t>
  </si>
  <si>
    <t>400(250)</t>
  </si>
  <si>
    <t>BARCLAYS BANK PLC   SER A MTN           6.30000% 10/20/2033</t>
  </si>
  <si>
    <t>7(1)</t>
  </si>
  <si>
    <t>CANADIAN NATL RY CO NOTE CALL MAKE WHOLE5.85000% 11/01/2033</t>
  </si>
  <si>
    <t>BANCO SANTANDER S.A.SER SP-202 NOTE     6.93800% 11/07/2033</t>
  </si>
  <si>
    <t>ALABAMA PWR CO      SER 2023B NOTE      5.85000% 11/15/2033 CALL MAKE WHOLE</t>
  </si>
  <si>
    <t>APOLLO GLOBAL MGMT  INC NOTE            6.37500% 11/15/2033 CALL MAKE WHOLE</t>
  </si>
  <si>
    <t>ATMOS ENERGY CORP   NOTE CALL MAKE WHOLE5.90000% 11/15/2033</t>
  </si>
  <si>
    <t>BRISTOL-MYERS SQUIBBCO NOTE             5.90000% 11/15/2033 CALL MAKE WHOLE</t>
  </si>
  <si>
    <t>DUKE ENERGY FLA LLC BOND CALL MAKE WHOLE5.87500% 11/15/2033</t>
  </si>
  <si>
    <t>EVERGY KANS CENT INCBOND CALL MAKE WHOLE5.90000% 11/15/2033</t>
  </si>
  <si>
    <t>ONCOR ELEC DELIVERY CO LLC SER B NOTE   5.65000% 11/15/2033 CALL MAKE WHOLE</t>
  </si>
  <si>
    <t>WESTPAC BANKING     CORPORATION NOTE    6.82000% 11/17/2033 ISIN #US961214FP35  SEDOL #BMGC1H7</t>
  </si>
  <si>
    <t>JPMORGAN CHASE &amp;CO  SER A MTN           6.10000% 11/30/2033</t>
  </si>
  <si>
    <t>JOHNSON &amp;JOHNSON    NOTE CALL MAKE WHOLE4.37500% 12/05/2033</t>
  </si>
  <si>
    <t>AVALONBAY CMNTYS INCNOTE CALL MAKE WHOLE5.30000% 12/07/2033</t>
  </si>
  <si>
    <t>UNILEVER CAP CORP   NOTE CALL MAKE WHOLE5.00000% 12/08/2033</t>
  </si>
  <si>
    <t>BANK AMERICA CORP   SER P MTN           6.00000% 12/12/2033</t>
  </si>
  <si>
    <t>JPMORGAN CHASE &amp;CO  SER E MTN           5.75000% 12/12/2033</t>
  </si>
  <si>
    <t>JPMORGAN CHASE &amp;CO  SER A MTN           5.60000% 12/12/2033</t>
  </si>
  <si>
    <t>ALCAN INC           NOTE CALL MAKE WHOLE 6.12500% 12/15/2033</t>
  </si>
  <si>
    <t>BARCLAYS BANK PLC   SER A MTN           6.00000% 12/19/2033</t>
  </si>
  <si>
    <t>125(25)</t>
  </si>
  <si>
    <t>JPMORGAN CHASE &amp;CO  SER E MTN           5.50000% 12/21/2033</t>
  </si>
  <si>
    <t>27(5)</t>
  </si>
  <si>
    <t>MORGAN STANLEY FIN  LLC MTN             5.50000% 12/22/2033</t>
  </si>
  <si>
    <t>310(10)</t>
  </si>
  <si>
    <t>TORONTO DOMINION BK ONT SER D MTN       5.15000% 12/28/2033</t>
  </si>
  <si>
    <t>BROOKFIELD FIN INC  NOTE CALL MAKE WHOLE6.35000% 01/05/2034</t>
  </si>
  <si>
    <t>TOYOTA MTR CR CORP  SER B MTN           4.80000% 01/05/2034 CALL MAKE WHOLE</t>
  </si>
  <si>
    <t>MORGAN STANLEY FIN  LLC SER A MTN       4.75000% 01/06/2034</t>
  </si>
  <si>
    <t>AMERICAN HONDA FIN  CORP  SER A MTN     4.90000% 01/10/2034 CALL MAKE WHOLE</t>
  </si>
  <si>
    <t>ASIAN DEVELOPMENT   BANK ADB MTN        4.12500% 01/12/2034 ISIN #US045167GB39</t>
  </si>
  <si>
    <t>ATHENE HOLDING LTD  NOTE CALL MAKE WHOLE5.87500% 01/15/2034 ISIN #US04686JAG67</t>
  </si>
  <si>
    <t>CAMDEN PPTY TR      NOTE CALL MAKE WHOLE4.90000% 01/15/2034</t>
  </si>
  <si>
    <t>DUKE ENERGY         CAROLINAS LLC BOND  4.85000% 01/15/2034 CALL MAKE WHOLE</t>
  </si>
  <si>
    <t>HONEYWELL INTL INC  NOTE CALL MAKE WHOLE4.50000% 01/15/2034</t>
  </si>
  <si>
    <t>MIDAMERICAN ENERGY  COMPANY BOND        5.35000% 01/15/2034 CALL MAKE WHOLE</t>
  </si>
  <si>
    <t>PROLOGIS L P        NOTE CALL MAKE WHOLE5.12500% 01/15/2034</t>
  </si>
  <si>
    <t>REGENCY CTRS L P    NOTE CALL MAKE WHOLE5.25000% 01/15/2034</t>
  </si>
  <si>
    <t>SIMON PPTY GROUP LP NOTE CALL MAKE WHOLE6.25000% 01/15/2034</t>
  </si>
  <si>
    <t>SOUTHERN CALIF      EDISON CO BOND      6.00000% 01/15/2034 CALL MAKE WHOLE</t>
  </si>
  <si>
    <t>BARCLAYS BANK PLC   SER A MTN           5.30000% 01/17/2034</t>
  </si>
  <si>
    <t>38(1)</t>
  </si>
  <si>
    <t>DEUTSCHE BK AG      SER E NOTE          5.50000% 01/23/2034</t>
  </si>
  <si>
    <t>62(1)</t>
  </si>
  <si>
    <t>88(1)</t>
  </si>
  <si>
    <t>PROCTER &amp;GAMBLE CO  NOTE CALL MAKE WHOLE4.55000% 01/29/2034</t>
  </si>
  <si>
    <t>CANADIAN IMPERIAL BKCOMM MTN            5.50000% 01/30/2034</t>
  </si>
  <si>
    <t>591(1)</t>
  </si>
  <si>
    <t>CHILE REP           NOTE CALL MAKE WHOLE3.50000% 01/31/2034</t>
  </si>
  <si>
    <t>ENTERPRISE PRODS    OPER LLC NOTE       4.85000% 01/31/2034 CALL MAKE WHOLE</t>
  </si>
  <si>
    <t>JPMORGAN CHASE &amp;CO  SER E MTN           5.50000% 01/31/2034</t>
  </si>
  <si>
    <t>70(1)</t>
  </si>
  <si>
    <t>THERMO FISHER       SCIENTIFIC INC NOTE 5.20000% 01/31/2034 CALL MAKE WHOLE</t>
  </si>
  <si>
    <t>BANK NOVA SCOTIA B CSER I MTN           5.65000% 02/01/2034 CALL MAKE WHOLE     ISIN #US06418JAC53</t>
  </si>
  <si>
    <t>CONSOLIDATED EDISON CO N Y INC BOND     5.70000% 02/01/2034 CALL MAKE WHOLE</t>
  </si>
  <si>
    <t>KLA CORP            NOTE CALL MAKE WHOLE4.70000% 02/01/2034</t>
  </si>
  <si>
    <t>PROCTER &amp;GAMBLE CO  NOTE CALL MAKE WHOLE5.50000% 02/01/2034</t>
  </si>
  <si>
    <t>ROYAL BK CDA        SER J MTN           5.15000% 02/01/2034 CALL MAKE WHOLE     ISIN #US78016HZW32</t>
  </si>
  <si>
    <t>IBM INTL CAP PTE LTDNOTE CALL MAKE WHOLE4.90000% 02/05/2034</t>
  </si>
  <si>
    <t>AIR PRODUCTS AND    CHEMICALS INC NOTE  4.85000% 02/08/2034 CALL MAKE WHOLE</t>
  </si>
  <si>
    <t>TEXAS INSTRS INC    NOTE CALL MAKE WHOLE4.85000% 02/08/2034</t>
  </si>
  <si>
    <t>ELI LILLY &amp;CO       NOTE CALL MAKE WHOLE4.70000% 02/09/2034</t>
  </si>
  <si>
    <t>PHILIP MORRIS INTL  INC NOTE            5.25000% 02/13/2034 CALL MAKE WHOLE</t>
  </si>
  <si>
    <t>LAUDER ESTEE COS INCNOTE CALL MAKE WHOLE5.00000% 02/14/2034</t>
  </si>
  <si>
    <t>CNA FINL CORP       NOTE CALL MAKE WHOLE5.12500% 02/15/2034</t>
  </si>
  <si>
    <t>JPMORGAN CHASE &amp;CO  SER E MTN           5.35000% 02/15/2034</t>
  </si>
  <si>
    <t>JPMORGAN CHASE &amp;CO  SER A MTN           5.25000% 02/15/2034</t>
  </si>
  <si>
    <t>LOCKHEED MARTIN CORPNOTE CALL MAKE WHOLE4.75000% 02/15/2034</t>
  </si>
  <si>
    <t>PACIFICORP          BOND CALL MAKE WHOLE5.45000% 02/15/2034</t>
  </si>
  <si>
    <t>PPL ELEC UTILS CORP BOND CALL MAKE WHOLE4.85000% 02/15/2034</t>
  </si>
  <si>
    <t>REALTY INCOME CORP  NOTE CALL MAKE WHOLE5.12500% 02/15/2034</t>
  </si>
  <si>
    <t>THE CIGNA GROUP     NOTE CALL MAKE WHOLE5.25000% 02/15/2034</t>
  </si>
  <si>
    <t>290(2)</t>
  </si>
  <si>
    <t>TORONTO DOMINION BK ONT SER D MTN       5.40000% 02/15/2034</t>
  </si>
  <si>
    <t>WASTE MGMT INC DEL  NOTE CALL MAKE WHOLE4.87500% 02/15/2034</t>
  </si>
  <si>
    <t>PEPSICO SINGAPORE   FING I PTE L NOTE   4.70000% 02/16/2034 CALL MAKE WHOLE     ISIN #US713466AD26</t>
  </si>
  <si>
    <t>CUMMINS INC         NOTE CALL MAKE WHOLE5.15000% 02/20/2034</t>
  </si>
  <si>
    <t>BRISTOL-MYERS SQUIBBCO NOTE             5.20000% 02/22/2034 CALL MAKE WHOLE</t>
  </si>
  <si>
    <t>ASTRAZENECA FINANCE LLC NOTE            5.00000% 02/26/2034 CALL MAKE WHOLE</t>
  </si>
  <si>
    <t>CISCO SYS INC       NOTE CALL MAKE WHOLE5.05000% 02/26/2034</t>
  </si>
  <si>
    <t>JPMORGAN CHASE &amp;CO  SER E MTN           5.60000% 02/27/2034</t>
  </si>
  <si>
    <t>AMERICAN WTR CAP    CORP NOTE           5.15000% 03/01/2034 CALL MAKE WHOLE</t>
  </si>
  <si>
    <t>16(16)</t>
  </si>
  <si>
    <t>AON NORTH AMERICA   INC. NOTE           5.45000% 03/01/2034 CALL MAKE WHOLE</t>
  </si>
  <si>
    <t>CENTERPOINT ENERGY  HOUSTON ELE SER AN  5.15000% 03/01/2034 BOND CALL MAKE WHOLE</t>
  </si>
  <si>
    <t>DTE ELEC CO         SER C BOND          5.20000% 03/01/2034 CALL MAKE WHOLE</t>
  </si>
  <si>
    <t>DUKE ENERGY IND LLC SER BBBB BOND       5.25000% 03/01/2034 CALL MAKE WHOLE</t>
  </si>
  <si>
    <t>PUBLIC SVC ELEC &amp;GASCO SER Q MTN        5.20000% 03/01/2034 CALL MAKE WHOLE</t>
  </si>
  <si>
    <t>BANK AMERICA CORP   SER P MTN           5.70000% 03/06/2034</t>
  </si>
  <si>
    <t>BLACKROCK INC       NOTE CALL MAKE WHOLE5.00000% 03/14/2034</t>
  </si>
  <si>
    <t>JPMORGAN CHASE &amp;CO  SER E MTN           5.35000% 03/14/2034</t>
  </si>
  <si>
    <t>ABBVIE INC          NOTE CALL MAKE WHOLE5.05000% 03/15/2034</t>
  </si>
  <si>
    <t>CHUBB INA HLDGS INC NOTE CALL MAKE WHOLE5.00000% 03/15/2034</t>
  </si>
  <si>
    <t xml:space="preserve"> 250(2)</t>
  </si>
  <si>
    <t>CONSOLIDATED EDISON CO N Y INC          5.50000% 03/15/2034 SER 2023 B BOND     CALL MAKE WHOLE</t>
  </si>
  <si>
    <t>DUKE ENERGY PROGRESSLLC BOND            5.10000% 03/15/2034 CALL MAKE WHOLE</t>
  </si>
  <si>
    <t>ENTERGY LA LLC      BOND CALL MAKE WHOLE5.35000% 03/15/2034</t>
  </si>
  <si>
    <t>GEORGIA PWR CO      SER 2024B NOTE      5.25000% 03/15/2034 CALL MAKE WHOLE</t>
  </si>
  <si>
    <t>207(10)</t>
  </si>
  <si>
    <t>MARSH &amp;MCLENNAN COS INC NOTE            5.15000% 03/15/2034 CALL MAKE WHOLE</t>
  </si>
  <si>
    <t>MID-AMERICA APTS LP NOTE CALL MAKE WHOLE5.00000% 03/15/2034</t>
  </si>
  <si>
    <t>POTOMAC ELEC PWR CO BOND CALL MAKE WHOLE5.20000% 03/15/2034</t>
  </si>
  <si>
    <t>PROLOGIS L P        NOTE CALL MAKE WHOLE5.00000% 03/15/2034</t>
  </si>
  <si>
    <t>UNION ELEC CO       NOTE CALL MAKE WHOLE5.50000% 03/15/2034</t>
  </si>
  <si>
    <t>JPMORGAN CHASE &amp;CO  SER E MTN           5.65000% 03/21/2034</t>
  </si>
  <si>
    <t>PACCAR FINANCIAL    CORP SER Q MTN      5.00000% 03/22/2034</t>
  </si>
  <si>
    <t>WISCONSIN PWR &amp;LT COBOND CALL MAKE WHOLE5.37500% 03/30/2034</t>
  </si>
  <si>
    <t>ANALOG DEVICES INC  NOTE CALL MAKE WHOLE5.05000% 04/01/2034</t>
  </si>
  <si>
    <t>EVERGY METRO INC    SER 2024 BOND       5.40000% 04/01/2034 CALL MAKE WHOLE</t>
  </si>
  <si>
    <t>FLORIDA PWR &amp;LT CO  BOND CALL MAKE WHOLE5.62500% 04/01/2034</t>
  </si>
  <si>
    <t>UNION ELEC CO       BOND CALL MAKE WHOLE5.20000% 04/01/2034</t>
  </si>
  <si>
    <t>168(10)</t>
  </si>
  <si>
    <t>ADOBE INC           NOTE CALL MAKE WHOLE4.95000% 04/04/2034</t>
  </si>
  <si>
    <t>AMPHENOL CORP       NOTE CALL MAKE WHOLE5.25000% 04/05/2034</t>
  </si>
  <si>
    <t>TOTALENERGIES CAP SANOTE CALL MAKE WHOLE5.15000% 04/05/2034 ISIN #US89157XAA90</t>
  </si>
  <si>
    <t>BP CAP MKTS AMER INCNOTE CALL MAKE WHOLE4.98900% 04/10/2034</t>
  </si>
  <si>
    <t>JOHN DEERE CAPITAL  CORPORATION SER I   5.10000% 04/11/2034 MTN</t>
  </si>
  <si>
    <t>GLAXOSMITHKLINE CAP INC NOTE             5.37500% 04/15/2034CALL MAKE WHOLE     ISIN #US377372AB33</t>
  </si>
  <si>
    <t>POTOMAC ELEC PWR CO NOTE CALL MAKE WHOLE5.75000% 04/15/2034</t>
  </si>
  <si>
    <t>UNITEDHEALTH GROUP  INC NOTE            5.00000% 04/15/2034 CALL MAKE WHOLE</t>
  </si>
  <si>
    <t>JPMORGAN CHASE &amp;CO  SER E MTN           6.00000% 04/19/2034</t>
  </si>
  <si>
    <t>DEUTSCHE BK AG      SER E NOTE          6.00000% 04/24/2034</t>
  </si>
  <si>
    <t>ARCH CAP GROUP LTD  NOTE CALL MAKE WHOLE7.35000% 05/01/2034</t>
  </si>
  <si>
    <t>UNION PAC CORP      BOND CALL MAKE WHOLE6.25000% 05/01/2034</t>
  </si>
  <si>
    <t>INTERNATIONAL BK FORRECON&amp;DEV SER 1019865.75000% 05/02/2034 NOTE</t>
  </si>
  <si>
    <t>160(50)</t>
  </si>
  <si>
    <t>MASTERCARD          INCORPORATED NOTE   4.87500% 05/09/2034 CALL MAKE WHOLE</t>
  </si>
  <si>
    <t>COCA COLA CO        NOTE CALL MAKE WHOLE5.00000% 05/13/2034</t>
  </si>
  <si>
    <t>ATLANTIC CITY ELEC  CO BOND             5.80000% 05/15/2034 CALL MAKE WHOLE</t>
  </si>
  <si>
    <t>150(50)</t>
  </si>
  <si>
    <t>81(25)</t>
  </si>
  <si>
    <t>CONSOLIDATED EDISON CO N Y INC          5.37500% 05/15/2034 SER 2024 A BOND     CALL MAKE WHOLE</t>
  </si>
  <si>
    <t>PUBLIC SERVICE CO   COLO SER 41 BOND    5.35000% 05/15/2034 CALL MAKE WHOLE</t>
  </si>
  <si>
    <t>366(10)</t>
  </si>
  <si>
    <t>DEUTSCHE BK AG      SER E NOTE          6.25000% 05/16/2034</t>
  </si>
  <si>
    <t>JPMORGAN CHASE &amp;CO  SER A MTN           5.75000% 05/17/2034</t>
  </si>
  <si>
    <t>95(1)</t>
  </si>
  <si>
    <t>UNITED PARCEL SVCS  INC NOTE            5.15000% 05/22/2034 CALL MAKE WHOLE</t>
  </si>
  <si>
    <t>DEUTSCHE BK AG      SER E NOTE          6.00000% 05/31/2034</t>
  </si>
  <si>
    <t>JPMORGAN CHASE &amp;CO  SER E MTN           5.50000% 05/31/2034</t>
  </si>
  <si>
    <t>JPMORGAN CHASE &amp;CO  SER E MTN           5.75000% 05/31/2034</t>
  </si>
  <si>
    <t>ASSURED GTY US HLDGSINC NOTE            7.00000% 06/01/2034 CALL MAKE WHOLE</t>
  </si>
  <si>
    <t>AVALONBAY CMNTYS INCNOTE CALL MAKE WHOLE5.35000% 06/01/2034</t>
  </si>
  <si>
    <t>BALTIMORE GAS &amp;ELEC CO NOTE             5.30000% 06/01/2034 CALL MAKE WHOLE</t>
  </si>
  <si>
    <t>COMCAST CORP NEW    NOTE CALL MAKE WHOLE5.30000% 06/01/2034</t>
  </si>
  <si>
    <t>COMMONWEALTH EDISON CO SER 136 BOND     5.30000% 06/01/2034 CALL MAKE WHOLE</t>
  </si>
  <si>
    <t>ENTERGY ARKANSAS LLCBOND CALL MAKE WHOLE5.45000% 06/01/2034</t>
  </si>
  <si>
    <t>JOHNSON &amp;JOHNSON    NOTE CALL MAKE WHOLE4.95000% 06/01/2034</t>
  </si>
  <si>
    <t>NSTAR ELEC CO       BOND CALL MAKE WHOLE5.40000% 06/01/2034</t>
  </si>
  <si>
    <t>PAYPAL HLDGS INC    NOTE CALL MAKE WHOLE5.15000% 06/01/2034</t>
  </si>
  <si>
    <t>SCHLUMBERGER INVT SANOTE CALL MAKE WHOLE5.00000% 06/01/2034</t>
  </si>
  <si>
    <t>1,453(2)</t>
  </si>
  <si>
    <t>SOUTHERN CALIF      EDISON CO SER 2024B 5.20000% 06/01/2034 BOND CALL MAKE WHOLE</t>
  </si>
  <si>
    <t>JOHN DEERE CAPITAL  CORPORATION MTN     5.05000% 06/12/2034</t>
  </si>
  <si>
    <t>DEUTSCHE BK AG      SER E NOTE          6.00000% 06/14/2034</t>
  </si>
  <si>
    <t>NATL BANK OF CANADA NOTE                6.00000% 06/14/2034</t>
  </si>
  <si>
    <t>ANHEUSER-BUSCH INBEVWLDW INC NOTE       5.00000% 06/15/2034 CALL MAKE WHOLE</t>
  </si>
  <si>
    <t>ELEVANCE HEALTH INC NOTE CALL MAKE WHOLE5.37500% 06/15/2034</t>
  </si>
  <si>
    <t>FLORIDA PWR &amp;LT CO  BOND CALL MAKE WHOLE5.30000% 06/15/2034</t>
  </si>
  <si>
    <t>METLIFE INC         NOTE CALL MAKE WHOLE6.37500% 06/15/2034</t>
  </si>
  <si>
    <t>NATIONAL RURAL UTILSCOOP FIN MTN        4.00000% 06/15/2034</t>
  </si>
  <si>
    <t>BANK AMERICA CORP   SER A MTN           5.80000% 06/21/2034</t>
  </si>
  <si>
    <t>HOME DEPOT INC      NOTE CALL MAKE WHOLE4.95000% 06/25/2034</t>
  </si>
  <si>
    <t>NATL BANK OF CANADA NOTE                5.75000% 06/28/2034</t>
  </si>
  <si>
    <t>SUMITOMO MITSUI FIN GRP INC NOTE        5.55800% 07/09/2034</t>
  </si>
  <si>
    <t>NATIONAL RURAL UTILSCOOP FIN MTN        4.00000% 07/15/2034</t>
  </si>
  <si>
    <t>UNITEDHEALTH GROUP  INC NOTE            5.15000% 07/15/2034 CALL MAKE WHOLE</t>
  </si>
  <si>
    <t>DEUTSCHE BK AG      SER E NOTE          5.80000% 07/17/2034</t>
  </si>
  <si>
    <t>PEPSICO INC         NOTE CALL MAKE WHOLE4.80000% 07/17/2034</t>
  </si>
  <si>
    <t>JPMORGAN CHASE &amp;CO  SER E MTN           5.50000% 07/31/2034</t>
  </si>
  <si>
    <t>CANADIAN NATL RY CO BOND CALL MAKE WHOLE6.25000% 08/01/2034</t>
  </si>
  <si>
    <t>DISNEY WALT CO      NOTE                8.45000% 08/01/2034</t>
  </si>
  <si>
    <t>FLORIDA PWR &amp;LT CO  BOND CALL MAKE WHOLE5.00000% 08/01/2034</t>
  </si>
  <si>
    <t>PUBLIC SVC ELEC &amp;GASCO SER Q MTN        4.85000% 08/01/2034 CALL MAKE WHOLE</t>
  </si>
  <si>
    <t>UNILEVER CAP CORP   NOTE CALL MAKE WHOLE4.62500% 08/12/2034</t>
  </si>
  <si>
    <t>COCA COLA CO        NOTE CALL MAKE WHOLE4.65000% 08/14/2034</t>
  </si>
  <si>
    <t>ELI LILLY &amp;CO       NOTE CALL MAKE WHOLE4.60000% 08/14/2034</t>
  </si>
  <si>
    <t>COMCAST CORP NEW    NOTE CALL MAKE WHOLE4.20000% 08/15/2034</t>
  </si>
  <si>
    <t>CONNECTICUT LT &amp;PWR CO SER 2024B BOND   4.95000% 08/15/2034 CALL MAKE WHOLE</t>
  </si>
  <si>
    <t>IDAHO PWR CO        MTN CALL MAKE WHOLE 5.87500% 08/15/2034</t>
  </si>
  <si>
    <t>IDAHO PWR CO        SER M BOND          5.20000% 08/15/2034 CALL MAKE WHOLE</t>
  </si>
  <si>
    <t>LOCKHEED MARTIN CORPNOTE CALL MAKE WHOLE4.80000% 08/15/2034</t>
  </si>
  <si>
    <t>META PLATFORMS INC  NOTE CALL MAKE WHOLE4.75000% 08/15/2034</t>
  </si>
  <si>
    <t>NATIONAL RURAL UTILSCOOP FIN BOND       5.00000% 08/15/2034 CALL MAKE WHOLE</t>
  </si>
  <si>
    <t>NETFLIX INC.        NOTE CALL MAKE WHOLE4.90000% 08/15/2034</t>
  </si>
  <si>
    <t>PROCTER &amp;GAMBLE CO  NOTE CALL MAKE WHOLE5.80000% 08/15/2034 ISIN #US742718DB20  SEDOL #B02GLW4</t>
  </si>
  <si>
    <t>SPIRE MISSOURI INC  BOND CALL MAKE WHOLE5.15000% 08/15/2034</t>
  </si>
  <si>
    <t>DEUTSCHE BK AG      SER E NOTE          6.00000% 08/16/2034</t>
  </si>
  <si>
    <t>BANK AMERICA CORP   SER P MTN           5.25000% 08/28/2034</t>
  </si>
  <si>
    <t>INTERNATIONAL BK FORRECON&amp;DEV SER 1020773.87500% 08/28/2034 NOTE</t>
  </si>
  <si>
    <t>SOUTHERN CALIF GAS  CO SER CCC BOND     5.05000% 09/01/2034 CALL MAKE WHOLE</t>
  </si>
  <si>
    <t>PROVINCE OF QUEBEC  SER RF NOTE         4.25000% 09/05/2034</t>
  </si>
  <si>
    <t>950(50)</t>
  </si>
  <si>
    <t>AUTOMATIC DATA      PROCESSING INC NOTE 4.45000% 09/09/2034 CALL MAKE WHOLE</t>
  </si>
  <si>
    <t>TOTALENERGIES CAP SANOTE CALL MAKE WHOLE4.72400% 09/10/2034</t>
  </si>
  <si>
    <t>ENTERGY LA LLC      BOND CALL MAKE WHOLE5.15000% 09/15/2034</t>
  </si>
  <si>
    <t>ERP OPER LTD        PARTNERSHIP NOTE    4.65000% 09/15/2034 CALL MAKE WHOLE</t>
  </si>
  <si>
    <t>GLOBE LIFE INC      NOTE CALL MAKE WHOLE5.85000% 09/15/2034</t>
  </si>
  <si>
    <t>GRAINGER W W INC    NOTE CALL MAKE WHOLE4.45000% 09/15/2034</t>
  </si>
  <si>
    <t>REINSURANCE GROUP   AMER INC NOTE       5.75000% 09/15/2034 CALL MAKE WHOLE</t>
  </si>
  <si>
    <t>SOUTHERN CO GAS CAP SER 2024A NOTE      4.95000% 09/15/2034 CALL MAKE WHOLE</t>
  </si>
  <si>
    <t xml:space="preserve"> 300(2)</t>
  </si>
  <si>
    <t>TARGET CORP         NOTE CALL MAKE WHOLE4.50000% 09/15/2034</t>
  </si>
  <si>
    <t>TUCSON ELEC PWR CO  NOTE CALL MAKE WHOLE5.20000% 09/15/2034</t>
  </si>
  <si>
    <t>CANADIAN NATL RY CO NOTE CALL MAKE WHOLE4.37500% 09/18/2034</t>
  </si>
  <si>
    <t>JPMORGAN CHASE &amp;CO  SER E MTN           5.35000% 09/18/2034</t>
  </si>
  <si>
    <t>52(10)</t>
  </si>
  <si>
    <t>NOVARTIS CAPITAL    CORP NOTE           4.20000% 09/18/2034 CALL MAKE WHOLE</t>
  </si>
  <si>
    <t>POLAND REP          NOTE                5.12500% 09/18/2034</t>
  </si>
  <si>
    <t>54(1)</t>
  </si>
  <si>
    <t>820(50)</t>
  </si>
  <si>
    <t>SIMON PPTY GROUP LP NOTE CALL MAKE WHOLE4.75000% 09/26/2034</t>
  </si>
  <si>
    <t>NATL BANK OF CANADA NOTE                4.65000% 09/29/2034</t>
  </si>
  <si>
    <t>SOUTHERN CO GAS CAP NOTE CALL MAKE WHOLE6.00000% 10/01/2034</t>
  </si>
  <si>
    <t>WISCONSIN ELEC PWR  CO BOND             4.60000% 10/01/2034 CALL MAKE WHOLE</t>
  </si>
  <si>
    <t>ACCENTURE CAPITAL   INC NOTE            4.50000% 10/04/2034 CALL MAKE WHOLE</t>
  </si>
  <si>
    <t>ATMOS ENERGY CORP   NOTE CALL MAKE WHOLE5.95000% 10/15/2034</t>
  </si>
  <si>
    <t>170(9)</t>
  </si>
  <si>
    <t>ENTERPRISE PRODS    OPER LLC NOTE       6.65000% 10/15/2034 CALL MAKE WHOLE</t>
  </si>
  <si>
    <t>780(9)</t>
  </si>
  <si>
    <t>MORGAN STANLEY FIN  LLC MTN             4.45000% 10/20/2034</t>
  </si>
  <si>
    <t>PROCTER &amp;GAMBLE CO  NOTE CALL MAKE WHOLE4.55000% 10/24/2034</t>
  </si>
  <si>
    <t>PHILIP MORRIS       INTERNATIONAL INC   4.90000% 11/01/2034 NOTE CALL MAKE WHOLE</t>
  </si>
  <si>
    <t>INTERNATIONAL BK FORRECON&amp;DEV SER 1021724.70000% 11/08/2034 NOTE</t>
  </si>
  <si>
    <t>3,000(100)</t>
  </si>
  <si>
    <t>CONOCOPHILLIPS      COMPANY NOTE        4.15000% 11/15/2034 CALL MAKE WHOLE</t>
  </si>
  <si>
    <t>252(5)</t>
  </si>
  <si>
    <t>PRUDENTIAL FINL INC MTN                 4.05000% 11/15/2034</t>
  </si>
  <si>
    <t>BP CAP MKTS AMER INCNOTE CALL MAKE WHOLE5.22700% 11/17/2034</t>
  </si>
  <si>
    <t>176(10)</t>
  </si>
  <si>
    <t>ALIBABA GROUP       HOLDING LTD SER B   4.50000% 11/28/2034 BOND CALL MAKE WHOLE</t>
  </si>
  <si>
    <t>JPMORGAN CHASE &amp;CO  SER E MTN           2.00000% 11/30/2034</t>
  </si>
  <si>
    <t>AMAZON COM INC      NOTE CALL MAKE WHOLE4.80000% 12/05/2034 ISIN #US023135AP19  SEDOL #BTC0L18</t>
  </si>
  <si>
    <t>BLACKSTONE REG      FINANCE CO LLC NOTE 5.00000% 12/06/2034 CALL MAKE WHOLE</t>
  </si>
  <si>
    <t>DISNEY WALT CO      NOTE                6.20000% 12/15/2034</t>
  </si>
  <si>
    <t>ELEVANCE HEALTH INC NOTE CALL MAKE WHOLE5.95000% 12/15/2034</t>
  </si>
  <si>
    <t>METLIFE INC         NOTE CALL MAKE WHOLE5.30000% 12/15/2034</t>
  </si>
  <si>
    <t>JPMORGAN CHASE &amp;CO  SER E MTN           5.10000% 12/22/2034</t>
  </si>
  <si>
    <t>JPMORGAN CHASE &amp;CO  SER E MTN           5.25000% 12/22/2034</t>
  </si>
  <si>
    <t>740(1)</t>
  </si>
  <si>
    <t>BLACKROCK INC       NOTE CALL MAKE WHOLE4.90000% 01/08/2035</t>
  </si>
  <si>
    <t>TOYOTA MTR CR CORP  SER B MTN           5.35000% 01/09/2035 CALL MAKE WHOLE</t>
  </si>
  <si>
    <t>MORGAN STANLEY      MTN                 4.75000% 01/10/2035</t>
  </si>
  <si>
    <t>AMPHENOL CORP       NOTE CALL MAKE WHOLE5.00000% 01/15/2035</t>
  </si>
  <si>
    <t>BROOKFIELD FIN INC  NOTE CALL MAKE WHOLE5.67500% 01/15/2035</t>
  </si>
  <si>
    <t>CONOCOPHILLIPS      COMPANY NOTE        5.00000% 01/15/2035 CALL MAKE WHOLE</t>
  </si>
  <si>
    <t>DOMINION ENERGY     SOUTH CAROLINA      5.30000% 01/15/2035 SER 2025 A BOND     CALL MAKE WHOLE</t>
  </si>
  <si>
    <t>DOMINION ENERGY GAS HLDGS LLC SER A NOTE5.80000% 01/15/2035 CALL MAKE WHOLE</t>
  </si>
  <si>
    <t>MASTERCARD          INCORPORATED NOTE   4.55000% 01/15/2035 CALL MAKE WHOLE</t>
  </si>
  <si>
    <t>REGENCY CTRS L P    NOTE CALL MAKE WHOLE5.10000% 01/15/2035</t>
  </si>
  <si>
    <t>SUMITOMO MITSUI FIN GRP INC NOTE        5.63200% 01/15/2035</t>
  </si>
  <si>
    <t>DEERE &amp;CO           NOTE CALL MAKE WHOLE5.45000% 01/16/2035</t>
  </si>
  <si>
    <t>ADOBE INC           NOTE CALL MAKE WHOLE5.30000% 01/17/2035</t>
  </si>
  <si>
    <t>BANCO SANTANDER S.A.SER 242 NOTE        6.03300% 01/17/2035</t>
  </si>
  <si>
    <t>DEUTSCHE BK AG      SER E NOTE          6.00000% 01/31/2035</t>
  </si>
  <si>
    <t>190(5)</t>
  </si>
  <si>
    <t>JPMORGAN CHASE &amp;CO  SER E MTN           5.50000% 01/31/2035</t>
  </si>
  <si>
    <t>80(1)</t>
  </si>
  <si>
    <t>PROLOGIS L P        NOTE CALL MAKE WHOLE5.00000% 01/31/2035</t>
  </si>
  <si>
    <t>List of States</t>
  </si>
  <si>
    <t>Federal Income Tax Bracket %</t>
  </si>
  <si>
    <t>State Income Tax Brackets</t>
  </si>
  <si>
    <t>Investment Horizon Years</t>
  </si>
  <si>
    <t>SL#</t>
  </si>
  <si>
    <t>Moody Rating</t>
  </si>
  <si>
    <t>Tier</t>
  </si>
  <si>
    <t>Alabama</t>
  </si>
  <si>
    <t>AL</t>
  </si>
  <si>
    <t>FDIC</t>
  </si>
  <si>
    <t>FDIC Insured Issue</t>
  </si>
  <si>
    <t>Alaska</t>
  </si>
  <si>
    <t>Prime. Maximum Safety</t>
  </si>
  <si>
    <t>Arizona</t>
  </si>
  <si>
    <t>AZ</t>
  </si>
  <si>
    <t>High Grade. High Quality</t>
  </si>
  <si>
    <t>Arkansas</t>
  </si>
  <si>
    <t>AR</t>
  </si>
  <si>
    <t>California</t>
  </si>
  <si>
    <t>Colorado</t>
  </si>
  <si>
    <t>CO</t>
  </si>
  <si>
    <t>Upper Medium Grade</t>
  </si>
  <si>
    <t>Connecticut</t>
  </si>
  <si>
    <t>Delaware</t>
  </si>
  <si>
    <t>DE</t>
  </si>
  <si>
    <t>Florida</t>
  </si>
  <si>
    <t>Lower Medium Grade</t>
  </si>
  <si>
    <t>Georgia</t>
  </si>
  <si>
    <t>Hawaii</t>
  </si>
  <si>
    <t>HI</t>
  </si>
  <si>
    <t>Idaho</t>
  </si>
  <si>
    <t>ID</t>
  </si>
  <si>
    <t>BA1</t>
  </si>
  <si>
    <t>BB+</t>
  </si>
  <si>
    <t>Non Investment Grade</t>
  </si>
  <si>
    <t>Illinois</t>
  </si>
  <si>
    <t>BA2</t>
  </si>
  <si>
    <t>BB</t>
  </si>
  <si>
    <t>Speculative</t>
  </si>
  <si>
    <t>Indiana</t>
  </si>
  <si>
    <t>BA3</t>
  </si>
  <si>
    <t>BB-</t>
  </si>
  <si>
    <t>Iowa</t>
  </si>
  <si>
    <t>B1</t>
  </si>
  <si>
    <t>B+</t>
  </si>
  <si>
    <t>Highly Speculative</t>
  </si>
  <si>
    <t>Kansas</t>
  </si>
  <si>
    <t>B2</t>
  </si>
  <si>
    <t>B</t>
  </si>
  <si>
    <t>Kentucky</t>
  </si>
  <si>
    <t>KY</t>
  </si>
  <si>
    <t>B3</t>
  </si>
  <si>
    <t>B-</t>
  </si>
  <si>
    <t>Louisiana</t>
  </si>
  <si>
    <t>LA</t>
  </si>
  <si>
    <t>CAA</t>
  </si>
  <si>
    <t>CCC+</t>
  </si>
  <si>
    <t>Substantial Risk</t>
  </si>
  <si>
    <t>Maine</t>
  </si>
  <si>
    <t>ME</t>
  </si>
  <si>
    <t>CAA1</t>
  </si>
  <si>
    <t>CCC</t>
  </si>
  <si>
    <t>In Poor Standing</t>
  </si>
  <si>
    <t>Maryland</t>
  </si>
  <si>
    <t>CAA2</t>
  </si>
  <si>
    <t>CCC-</t>
  </si>
  <si>
    <t>Massachusetts</t>
  </si>
  <si>
    <t>CC</t>
  </si>
  <si>
    <t>Extremely Speculative</t>
  </si>
  <si>
    <t>Michigan</t>
  </si>
  <si>
    <t>MI</t>
  </si>
  <si>
    <t>C</t>
  </si>
  <si>
    <t>May be in Default</t>
  </si>
  <si>
    <t>Minnesota</t>
  </si>
  <si>
    <t>Unknown rating or unrated bond</t>
  </si>
  <si>
    <t>Mississippi</t>
  </si>
  <si>
    <t>Missouri</t>
  </si>
  <si>
    <t>MO</t>
  </si>
  <si>
    <t>Montana</t>
  </si>
  <si>
    <t>MT</t>
  </si>
  <si>
    <t>Nebraska</t>
  </si>
  <si>
    <t>Nevada</t>
  </si>
  <si>
    <t>NV</t>
  </si>
  <si>
    <t>New Hampshire</t>
  </si>
  <si>
    <t>New Mexico</t>
  </si>
  <si>
    <t>New York</t>
  </si>
  <si>
    <t>North Carolina</t>
  </si>
  <si>
    <t>NC</t>
  </si>
  <si>
    <t>North Dakota</t>
  </si>
  <si>
    <t>ND</t>
  </si>
  <si>
    <t>Ohio</t>
  </si>
  <si>
    <t>OH</t>
  </si>
  <si>
    <t>Oklahoma</t>
  </si>
  <si>
    <t>OK</t>
  </si>
  <si>
    <t>Oregon</t>
  </si>
  <si>
    <t>OR</t>
  </si>
  <si>
    <t>Pennsylvania</t>
  </si>
  <si>
    <t>PA</t>
  </si>
  <si>
    <t>Rhode Island</t>
  </si>
  <si>
    <t>RI</t>
  </si>
  <si>
    <t>South Carolina</t>
  </si>
  <si>
    <t>South Dakota</t>
  </si>
  <si>
    <t>Tennessee</t>
  </si>
  <si>
    <t>Texas</t>
  </si>
  <si>
    <t>Utah</t>
  </si>
  <si>
    <t>UT</t>
  </si>
  <si>
    <t>Vermont</t>
  </si>
  <si>
    <t>VT</t>
  </si>
  <si>
    <t>Virginia</t>
  </si>
  <si>
    <t>VA</t>
  </si>
  <si>
    <t>Washington</t>
  </si>
  <si>
    <t>West Virginia</t>
  </si>
  <si>
    <t>WV</t>
  </si>
  <si>
    <t>Wisconsin</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</si>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</sst>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6" formatCode="&quot;$&quot;#,##0_);[Red]\(&quot;$&quot;#,##0\)"/>
    <numFmt numFmtId="44" formatCode="_(&quot;$&quot;* #,##0.00_);_(&quot;$&quot;* \(#,##0.00\);_(&quot;$&quot;* &quot;-&quot;??_);_(@_)"/>
    <numFmt numFmtId="164" formatCode="&quot;$&quot;#,##0.00"/>
    <numFmt numFmtId="165" formatCode="0.00&quot;%&quot;"/>
    <numFmt numFmtId="166" formatCode="0.00%;[Red]\(0.00%\);&quot;-&quot;"/>
    <numFmt numFmtId="167" formatCode="&quot;Year &quot;#"/>
    <numFmt numFmtId="168" formatCode="0.00&quot; years&quot;;\(0.00\)&quot; years&quot;"/>
  </numFmts>
  <fonts count="13" x14ac:knownFonts="1">
    <font>
      <sz val="11"/>
      <color theme="1"/>
      <name val="Aptos Narrow"/>
      <family val="2"/>
      <scheme val="minor"/>
    </font>
    <font>
      <sz val="11"/>
      <color theme="1"/>
      <name val="Aptos Narrow"/>
      <family val="2"/>
      <scheme val="minor"/>
    </font>
    <font>
      <sz val="9"/>
      <color indexed="81"/>
      <name val="Tahoma"/>
      <family val="2"/>
    </font>
    <font>
      <b/>
      <sz val="9"/>
      <color indexed="81"/>
      <name val="Tahoma"/>
      <family val="2"/>
    </font>
    <font>
      <b/>
      <sz val="11"/>
      <color theme="1"/>
      <name val="Aptos Narrow"/>
      <family val="2"/>
      <scheme val="minor"/>
    </font>
    <font>
      <sz val="8"/>
      <name val="Aptos Narrow"/>
      <family val="2"/>
      <scheme val="minor"/>
    </font>
    <font>
      <b/>
      <sz val="26"/>
      <color theme="1"/>
      <name val="Aptos Narrow"/>
      <family val="2"/>
      <scheme val="minor"/>
    </font>
    <font>
      <sz val="11"/>
      <color rgb="FF555555"/>
      <name val="Aptos Narrow"/>
      <family val="2"/>
      <scheme val="minor"/>
    </font>
    <font>
      <sz val="8"/>
      <color theme="1"/>
      <name val="Aptos Narrow"/>
      <family val="2"/>
      <scheme val="minor"/>
    </font>
    <font>
      <sz val="11"/>
      <name val="Aptos Narrow"/>
      <family val="2"/>
      <scheme val="minor"/>
    </font>
    <font>
      <b/>
      <sz val="11"/>
      <name val="Aptos Narrow"/>
      <family val="2"/>
      <scheme val="minor"/>
    </font>
    <font>
      <b/>
      <sz val="12"/>
      <color theme="1"/>
      <name val="Aptos Narrow"/>
      <family val="2"/>
      <scheme val="minor"/>
    </font>
    <font>
      <sz val="12"/>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99"/>
        <bgColor indexed="64"/>
      </patternFill>
    </fill>
    <fill>
      <gradientFill>
        <stop position="0">
          <color theme="0"/>
        </stop>
        <stop position="1">
          <color theme="4"/>
        </stop>
      </gradientFill>
    </fill>
  </fills>
  <borders count="19">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double">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16">
    <xf numFmtId="0" fontId="0" fillId="0" borderId="0" xfId="0"/>
    <xf numFmtId="0" fontId="4" fillId="0" borderId="0" xfId="0" applyFont="1"/>
    <xf numFmtId="14" fontId="0" fillId="0" borderId="0" xfId="0" applyNumberFormat="1"/>
    <xf numFmtId="165" fontId="0" fillId="0" borderId="0" xfId="1" applyNumberFormat="1" applyFont="1" applyAlignment="1">
      <alignment horizontal="right"/>
    </xf>
    <xf numFmtId="165" fontId="0" fillId="0" borderId="3" xfId="1" applyNumberFormat="1" applyFont="1" applyBorder="1" applyAlignment="1">
      <alignment horizontal="right"/>
    </xf>
    <xf numFmtId="0" fontId="0" fillId="0" borderId="0" xfId="0" applyAlignment="1">
      <alignment horizontal="right"/>
    </xf>
    <xf numFmtId="0" fontId="4" fillId="0" borderId="2" xfId="0" applyFont="1" applyBorder="1" applyAlignment="1">
      <alignment horizontal="centerContinuous"/>
    </xf>
    <xf numFmtId="165" fontId="4" fillId="0" borderId="2" xfId="0" applyNumberFormat="1" applyFont="1" applyBorder="1" applyAlignment="1">
      <alignment horizontal="centerContinuous"/>
    </xf>
    <xf numFmtId="14" fontId="4" fillId="0" borderId="2" xfId="0" applyNumberFormat="1" applyFont="1" applyBorder="1" applyAlignment="1">
      <alignment horizontal="centerContinuous"/>
    </xf>
    <xf numFmtId="164" fontId="4" fillId="0" borderId="2" xfId="0" applyNumberFormat="1" applyFont="1" applyBorder="1" applyAlignment="1">
      <alignment horizontal="centerContinuous"/>
    </xf>
    <xf numFmtId="165" fontId="4" fillId="0" borderId="2" xfId="1" applyNumberFormat="1" applyFont="1" applyBorder="1" applyAlignment="1">
      <alignment horizontal="centerContinuous"/>
    </xf>
    <xf numFmtId="165" fontId="4" fillId="0" borderId="4" xfId="1" applyNumberFormat="1" applyFont="1" applyBorder="1" applyAlignment="1">
      <alignment horizontal="centerContinuous"/>
    </xf>
    <xf numFmtId="6" fontId="4" fillId="0" borderId="2" xfId="0" applyNumberFormat="1" applyFont="1" applyBorder="1" applyAlignment="1">
      <alignment horizontal="centerContinuous"/>
    </xf>
    <xf numFmtId="0" fontId="4" fillId="0" borderId="4" xfId="0" applyFont="1" applyBorder="1" applyAlignment="1">
      <alignment horizontal="centerContinuous"/>
    </xf>
    <xf numFmtId="165" fontId="0" fillId="0" borderId="2" xfId="1" applyNumberFormat="1" applyFont="1" applyBorder="1" applyAlignment="1">
      <alignment horizontal="center"/>
    </xf>
    <xf numFmtId="165" fontId="0" fillId="0" borderId="4" xfId="1" applyNumberFormat="1" applyFont="1" applyBorder="1" applyAlignment="1">
      <alignment horizontal="center"/>
    </xf>
    <xf numFmtId="0" fontId="4" fillId="0" borderId="2" xfId="0" applyFont="1" applyBorder="1" applyAlignment="1">
      <alignment horizontal="center"/>
    </xf>
    <xf numFmtId="165" fontId="0" fillId="2" borderId="0" xfId="1" applyNumberFormat="1" applyFont="1" applyFill="1" applyAlignment="1">
      <alignment horizontal="right"/>
    </xf>
    <xf numFmtId="165" fontId="0" fillId="2" borderId="3" xfId="1" applyNumberFormat="1" applyFont="1" applyFill="1" applyBorder="1" applyAlignment="1">
      <alignment horizontal="right"/>
    </xf>
    <xf numFmtId="10" fontId="0" fillId="2" borderId="3" xfId="1" applyNumberFormat="1" applyFont="1" applyFill="1" applyBorder="1" applyAlignment="1">
      <alignment horizontal="right"/>
    </xf>
    <xf numFmtId="9" fontId="0" fillId="2" borderId="0" xfId="1" applyFont="1" applyFill="1" applyAlignment="1">
      <alignment horizontal="right"/>
    </xf>
    <xf numFmtId="166" fontId="0" fillId="2" borderId="3" xfId="1" applyNumberFormat="1" applyFont="1" applyFill="1" applyBorder="1" applyAlignment="1">
      <alignment horizontal="right"/>
    </xf>
    <xf numFmtId="0" fontId="4" fillId="2" borderId="6" xfId="0" applyFont="1" applyFill="1" applyBorder="1"/>
    <xf numFmtId="0" fontId="4" fillId="2" borderId="6" xfId="0" applyFont="1" applyFill="1" applyBorder="1" applyAlignment="1">
      <alignment horizontal="center"/>
    </xf>
    <xf numFmtId="165" fontId="4" fillId="2" borderId="6" xfId="0" applyNumberFormat="1" applyFont="1" applyFill="1" applyBorder="1"/>
    <xf numFmtId="14" fontId="4" fillId="2" borderId="6" xfId="0" applyNumberFormat="1" applyFont="1" applyFill="1" applyBorder="1"/>
    <xf numFmtId="164" fontId="4" fillId="2" borderId="6" xfId="0" applyNumberFormat="1" applyFont="1" applyFill="1" applyBorder="1" applyAlignment="1">
      <alignment horizontal="right"/>
    </xf>
    <xf numFmtId="165" fontId="4" fillId="2" borderId="6" xfId="1" applyNumberFormat="1" applyFont="1" applyFill="1" applyBorder="1" applyAlignment="1">
      <alignment horizontal="right"/>
    </xf>
    <xf numFmtId="165" fontId="4" fillId="2" borderId="13" xfId="1" applyNumberFormat="1" applyFont="1" applyFill="1" applyBorder="1" applyAlignment="1">
      <alignment horizontal="right"/>
    </xf>
    <xf numFmtId="0" fontId="4" fillId="0" borderId="14" xfId="0" applyFont="1" applyBorder="1" applyAlignment="1">
      <alignment horizontal="center"/>
    </xf>
    <xf numFmtId="6" fontId="4" fillId="0" borderId="6" xfId="0" applyNumberFormat="1" applyFont="1" applyBorder="1" applyAlignment="1">
      <alignment horizontal="right"/>
    </xf>
    <xf numFmtId="0" fontId="4" fillId="2" borderId="6" xfId="0" applyFont="1" applyFill="1" applyBorder="1" applyAlignment="1">
      <alignment horizontal="right"/>
    </xf>
    <xf numFmtId="9" fontId="4" fillId="0" borderId="6" xfId="0" applyNumberFormat="1" applyFont="1" applyBorder="1" applyAlignment="1">
      <alignment horizontal="right"/>
    </xf>
    <xf numFmtId="10" fontId="4" fillId="0" borderId="6" xfId="1" applyNumberFormat="1" applyFont="1" applyBorder="1" applyAlignment="1">
      <alignment horizontal="right"/>
    </xf>
    <xf numFmtId="10" fontId="4" fillId="0" borderId="13" xfId="1" applyNumberFormat="1" applyFont="1" applyBorder="1" applyAlignment="1">
      <alignment horizontal="right"/>
    </xf>
    <xf numFmtId="0" fontId="4" fillId="0" borderId="0" xfId="0" applyFont="1" applyAlignment="1">
      <alignment horizontal="centerContinuous"/>
    </xf>
    <xf numFmtId="0" fontId="7" fillId="0" borderId="0" xfId="0" applyFont="1"/>
    <xf numFmtId="9" fontId="0" fillId="0" borderId="0" xfId="0" applyNumberFormat="1"/>
    <xf numFmtId="0" fontId="6" fillId="0" borderId="1" xfId="0" applyFont="1" applyBorder="1"/>
    <xf numFmtId="0" fontId="0" fillId="0" borderId="1" xfId="0" applyBorder="1"/>
    <xf numFmtId="0" fontId="0" fillId="0" borderId="0" xfId="0" applyAlignment="1">
      <alignment horizontal="centerContinuous"/>
    </xf>
    <xf numFmtId="0" fontId="8" fillId="0" borderId="0" xfId="0" applyFont="1" applyAlignment="1">
      <alignment horizontal="centerContinuous"/>
    </xf>
    <xf numFmtId="0" fontId="4" fillId="0" borderId="1" xfId="0" applyFont="1" applyBorder="1"/>
    <xf numFmtId="9" fontId="0" fillId="0" borderId="0" xfId="1" applyFont="1"/>
    <xf numFmtId="164" fontId="0" fillId="0" borderId="0" xfId="1" applyNumberFormat="1" applyFont="1"/>
    <xf numFmtId="164" fontId="4" fillId="0" borderId="6" xfId="0" applyNumberFormat="1" applyFont="1" applyBorder="1" applyAlignment="1">
      <alignment horizontal="right"/>
    </xf>
    <xf numFmtId="166" fontId="0" fillId="2" borderId="0" xfId="1" applyNumberFormat="1" applyFont="1" applyFill="1" applyBorder="1" applyAlignment="1">
      <alignment horizontal="right"/>
    </xf>
    <xf numFmtId="5" fontId="0" fillId="0" borderId="0" xfId="2" applyNumberFormat="1" applyFont="1" applyAlignment="1">
      <alignment horizontal="center" vertical="center"/>
    </xf>
    <xf numFmtId="5" fontId="0" fillId="0" borderId="0" xfId="0" applyNumberFormat="1" applyAlignment="1">
      <alignment horizontal="center" vertical="center"/>
    </xf>
    <xf numFmtId="0" fontId="0" fillId="0" borderId="0" xfId="0" applyAlignment="1">
      <alignment vertical="center"/>
    </xf>
    <xf numFmtId="0" fontId="4" fillId="0" borderId="1" xfId="0" applyFont="1" applyBorder="1" applyAlignment="1">
      <alignment horizontal="center"/>
    </xf>
    <xf numFmtId="5" fontId="0" fillId="2" borderId="0" xfId="0" applyNumberFormat="1" applyFill="1" applyAlignment="1">
      <alignment horizontal="center" vertical="center"/>
    </xf>
    <xf numFmtId="0" fontId="0" fillId="0" borderId="7" xfId="0" applyBorder="1" applyAlignment="1">
      <alignment vertical="center"/>
    </xf>
    <xf numFmtId="0" fontId="0" fillId="0" borderId="8" xfId="0" applyBorder="1" applyAlignment="1">
      <alignment vertical="center"/>
    </xf>
    <xf numFmtId="14" fontId="0" fillId="0" borderId="8" xfId="0" applyNumberForma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14" fontId="0" fillId="0" borderId="11" xfId="0" applyNumberFormat="1" applyBorder="1" applyAlignment="1">
      <alignment vertical="center"/>
    </xf>
    <xf numFmtId="0" fontId="0" fillId="0" borderId="12" xfId="0" applyBorder="1" applyAlignment="1">
      <alignment vertical="center"/>
    </xf>
    <xf numFmtId="0" fontId="0" fillId="2" borderId="0" xfId="0" applyFill="1"/>
    <xf numFmtId="0" fontId="0" fillId="2" borderId="0" xfId="0" applyFill="1" applyAlignment="1">
      <alignment horizontal="center"/>
    </xf>
    <xf numFmtId="165" fontId="0" fillId="2" borderId="0" xfId="0" applyNumberFormat="1" applyFill="1"/>
    <xf numFmtId="14" fontId="0" fillId="2" borderId="0" xfId="0" applyNumberFormat="1" applyFill="1"/>
    <xf numFmtId="164" fontId="0" fillId="2" borderId="0" xfId="0" applyNumberFormat="1" applyFill="1" applyAlignment="1">
      <alignment horizontal="right"/>
    </xf>
    <xf numFmtId="0" fontId="9" fillId="2" borderId="0" xfId="0" applyFont="1" applyFill="1"/>
    <xf numFmtId="0" fontId="9" fillId="2" borderId="0" xfId="0" applyFont="1" applyFill="1" applyAlignment="1">
      <alignment horizontal="center"/>
    </xf>
    <xf numFmtId="165" fontId="9" fillId="2" borderId="0" xfId="0" applyNumberFormat="1" applyFont="1" applyFill="1"/>
    <xf numFmtId="14" fontId="9" fillId="2" borderId="0" xfId="0" applyNumberFormat="1" applyFont="1" applyFill="1"/>
    <xf numFmtId="164" fontId="9" fillId="2" borderId="0" xfId="0" applyNumberFormat="1" applyFont="1" applyFill="1" applyAlignment="1">
      <alignment horizontal="right"/>
    </xf>
    <xf numFmtId="165" fontId="9" fillId="2" borderId="0" xfId="1" applyNumberFormat="1" applyFont="1" applyFill="1" applyAlignment="1">
      <alignment horizontal="right"/>
    </xf>
    <xf numFmtId="165" fontId="9" fillId="2" borderId="3" xfId="1" applyNumberFormat="1" applyFont="1" applyFill="1" applyBorder="1" applyAlignment="1">
      <alignment horizontal="right"/>
    </xf>
    <xf numFmtId="0" fontId="0" fillId="0" borderId="0" xfId="0" applyAlignment="1">
      <alignment horizontal="center"/>
    </xf>
    <xf numFmtId="165" fontId="0" fillId="0" borderId="0" xfId="0" applyNumberFormat="1"/>
    <xf numFmtId="164" fontId="0" fillId="0" borderId="0" xfId="0" applyNumberFormat="1" applyAlignment="1">
      <alignment horizontal="right"/>
    </xf>
    <xf numFmtId="6" fontId="0" fillId="0" borderId="0" xfId="0" applyNumberFormat="1"/>
    <xf numFmtId="0" fontId="0" fillId="0" borderId="3" xfId="0" applyBorder="1" applyAlignment="1">
      <alignment horizontal="right"/>
    </xf>
    <xf numFmtId="0" fontId="0" fillId="0" borderId="2" xfId="0" applyBorder="1" applyAlignment="1">
      <alignment horizontal="center"/>
    </xf>
    <xf numFmtId="165" fontId="0" fillId="0" borderId="2" xfId="0" applyNumberFormat="1" applyBorder="1" applyAlignment="1">
      <alignment horizontal="center"/>
    </xf>
    <xf numFmtId="14" fontId="0" fillId="0" borderId="2" xfId="0" applyNumberFormat="1" applyBorder="1" applyAlignment="1">
      <alignment horizontal="center"/>
    </xf>
    <xf numFmtId="164" fontId="0" fillId="0" borderId="2" xfId="0" applyNumberFormat="1" applyBorder="1" applyAlignment="1">
      <alignment horizontal="center"/>
    </xf>
    <xf numFmtId="6" fontId="0" fillId="0" borderId="2" xfId="0" applyNumberFormat="1" applyBorder="1" applyAlignment="1">
      <alignment horizontal="center"/>
    </xf>
    <xf numFmtId="0" fontId="0" fillId="0" borderId="4" xfId="0" applyBorder="1" applyAlignment="1">
      <alignment horizontal="center"/>
    </xf>
    <xf numFmtId="0" fontId="0" fillId="3" borderId="5" xfId="0" applyFill="1" applyBorder="1" applyAlignment="1" applyProtection="1">
      <alignment horizontal="center"/>
      <protection locked="0"/>
    </xf>
    <xf numFmtId="6" fontId="0" fillId="2" borderId="0" xfId="0" applyNumberFormat="1" applyFill="1"/>
    <xf numFmtId="14" fontId="0" fillId="2" borderId="0" xfId="0" applyNumberFormat="1" applyFill="1" applyAlignment="1">
      <alignment horizontal="right"/>
    </xf>
    <xf numFmtId="1" fontId="0" fillId="2" borderId="0" xfId="0" applyNumberFormat="1" applyFill="1" applyAlignment="1">
      <alignment horizontal="right"/>
    </xf>
    <xf numFmtId="0" fontId="9" fillId="0" borderId="0" xfId="0" applyFont="1" applyAlignment="1">
      <alignment shrinkToFit="1"/>
    </xf>
    <xf numFmtId="0" fontId="10" fillId="0" borderId="0" xfId="0" applyFont="1"/>
    <xf numFmtId="0" fontId="4" fillId="0" borderId="1" xfId="0" applyFont="1" applyBorder="1" applyAlignment="1">
      <alignment horizontal="centerContinuous"/>
    </xf>
    <xf numFmtId="0" fontId="0" fillId="2" borderId="0" xfId="0" applyFill="1" applyAlignment="1">
      <alignment horizontal="right"/>
    </xf>
    <xf numFmtId="0" fontId="4" fillId="0" borderId="6" xfId="0" applyFont="1" applyBorder="1"/>
    <xf numFmtId="6" fontId="4" fillId="0" borderId="15" xfId="0" applyNumberFormat="1" applyFont="1" applyBorder="1" applyAlignment="1">
      <alignment horizontal="centerContinuous"/>
    </xf>
    <xf numFmtId="0" fontId="0" fillId="0" borderId="16" xfId="0" applyBorder="1" applyAlignment="1">
      <alignment horizontal="center"/>
    </xf>
    <xf numFmtId="164" fontId="0" fillId="2" borderId="16" xfId="0" applyNumberFormat="1" applyFill="1" applyBorder="1" applyAlignment="1">
      <alignment horizontal="right"/>
    </xf>
    <xf numFmtId="0" fontId="0" fillId="2" borderId="16" xfId="0" applyFill="1" applyBorder="1"/>
    <xf numFmtId="164" fontId="4" fillId="0" borderId="17" xfId="0" applyNumberFormat="1" applyFont="1" applyBorder="1" applyAlignment="1">
      <alignment horizontal="right"/>
    </xf>
    <xf numFmtId="0" fontId="4" fillId="0" borderId="18" xfId="0" applyFont="1" applyBorder="1" applyAlignment="1">
      <alignment horizontal="centerContinuous"/>
    </xf>
    <xf numFmtId="0" fontId="0" fillId="0" borderId="3" xfId="0" applyBorder="1" applyAlignment="1">
      <alignment horizontal="center"/>
    </xf>
    <xf numFmtId="0" fontId="0" fillId="2" borderId="3" xfId="0" applyFill="1" applyBorder="1"/>
    <xf numFmtId="0" fontId="4" fillId="0" borderId="13" xfId="0" applyFont="1" applyBorder="1"/>
    <xf numFmtId="10" fontId="4" fillId="0" borderId="13" xfId="0" applyNumberFormat="1" applyFont="1" applyBorder="1" applyAlignment="1">
      <alignment horizontal="right"/>
    </xf>
    <xf numFmtId="10" fontId="0" fillId="0" borderId="0" xfId="1" applyNumberFormat="1" applyFont="1"/>
    <xf numFmtId="167" fontId="4" fillId="0" borderId="1" xfId="0" applyNumberFormat="1" applyFont="1" applyBorder="1"/>
    <xf numFmtId="10" fontId="0" fillId="2" borderId="0" xfId="1" applyNumberFormat="1" applyFont="1" applyFill="1" applyBorder="1" applyAlignment="1">
      <alignment horizontal="right"/>
    </xf>
    <xf numFmtId="10" fontId="4" fillId="0" borderId="6" xfId="0" applyNumberFormat="1" applyFont="1" applyBorder="1" applyAlignment="1">
      <alignment horizontal="right"/>
    </xf>
    <xf numFmtId="10" fontId="0" fillId="2" borderId="0" xfId="0" applyNumberFormat="1" applyFill="1" applyAlignment="1">
      <alignment horizontal="center"/>
    </xf>
    <xf numFmtId="0" fontId="0" fillId="3" borderId="5" xfId="0" applyFill="1" applyBorder="1"/>
    <xf numFmtId="0" fontId="4" fillId="0" borderId="0" xfId="0" applyFont="1" applyAlignment="1">
      <alignment horizontal="right"/>
    </xf>
    <xf numFmtId="5" fontId="0" fillId="0" borderId="0" xfId="0" applyNumberFormat="1"/>
    <xf numFmtId="2" fontId="4" fillId="0" borderId="6" xfId="0" applyNumberFormat="1" applyFont="1" applyBorder="1" applyAlignment="1">
      <alignment horizontal="right"/>
    </xf>
    <xf numFmtId="168" fontId="0" fillId="0" borderId="0" xfId="0" applyNumberFormat="1" applyAlignment="1">
      <alignment horizontal="center"/>
    </xf>
    <xf numFmtId="0" fontId="4" fillId="4" borderId="1" xfId="0" applyFont="1" applyFill="1" applyBorder="1" applyAlignment="1">
      <alignment horizontal="left" vertical="center"/>
    </xf>
    <xf numFmtId="0" fontId="11" fillId="0" borderId="0" xfId="0" applyFont="1" applyAlignment="1">
      <alignment horizontal="center"/>
    </xf>
    <xf numFmtId="0" fontId="12" fillId="0" borderId="0" xfId="0" applyFont="1" applyAlignment="1">
      <alignment horizontal="center"/>
    </xf>
    <xf numFmtId="0" fontId="4" fillId="0" borderId="0" xfId="0" applyFont="1" applyAlignment="1">
      <alignment horizontal="center"/>
    </xf>
  </cellXfs>
  <cellStyles count="3">
    <cellStyle name="Currency" xfId="2" builtinId="4"/>
    <cellStyle name="Normal" xfId="0" builtinId="0"/>
    <cellStyle name="Percent" xfId="1" builtinId="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19" formatCode="m/d/yyyy"/>
    </dxf>
    <dxf>
      <font>
        <strike val="0"/>
        <outline val="0"/>
        <shadow val="0"/>
        <u val="none"/>
        <vertAlign val="baseline"/>
        <sz val="11"/>
        <color theme="1"/>
        <name val="Aptos Narrow"/>
        <family val="2"/>
        <scheme val="minor"/>
      </font>
      <numFmt numFmtId="19" formatCode="m/d/yyyy"/>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'YTM &amp; Duration Analysis'!$B$27</c:f>
              <c:strCache>
                <c:ptCount val="1"/>
                <c:pt idx="0">
                  <c:v>High Yield Scenario</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'YTM &amp; Duration Analysis'!$C$26:$G$26</c:f>
              <c:numCache>
                <c:formatCode>"Year "#</c:formatCode>
                <c:ptCount val="5"/>
                <c:pt idx="0">
                  <c:v>1</c:v>
                </c:pt>
                <c:pt idx="1">
                  <c:v>2</c:v>
                </c:pt>
                <c:pt idx="2">
                  <c:v>3</c:v>
                </c:pt>
                <c:pt idx="3">
                  <c:v>4</c:v>
                </c:pt>
                <c:pt idx="4">
                  <c:v>5</c:v>
                </c:pt>
              </c:numCache>
            </c:numRef>
          </c:cat>
          <c:val>
            <c:numRef>
              <c:f>'YTM &amp; Duration Analysis'!$C$27:$G$27</c:f>
              <c:numCache>
                <c:formatCode>0.00%</c:formatCode>
                <c:ptCount val="5"/>
                <c:pt idx="0">
                  <c:v>3.4450900247063022E-2</c:v>
                </c:pt>
                <c:pt idx="1">
                  <c:v>0</c:v>
                </c:pt>
                <c:pt idx="2">
                  <c:v>4.7609998543667598E-2</c:v>
                </c:pt>
                <c:pt idx="3">
                  <c:v>5.0310633492316764E-2</c:v>
                </c:pt>
                <c:pt idx="4">
                  <c:v>3.7969136813224995E-2</c:v>
                </c:pt>
              </c:numCache>
            </c:numRef>
          </c:val>
          <c:smooth val="0"/>
          <c:extLst>
            <c:ext xmlns:c16="http://schemas.microsoft.com/office/drawing/2014/chart" uri="{C3380CC4-5D6E-409C-BE32-E72D297353CC}">
              <c16:uniqueId val="{00000000-F0D1-4CF0-8570-31C0187CC365}"/>
            </c:ext>
          </c:extLst>
        </c:ser>
        <c:ser>
          <c:idx val="1"/>
          <c:order val="1"/>
          <c:tx>
            <c:strRef>
              <c:f>'YTM &amp; Duration Analysis'!$B$28</c:f>
              <c:strCache>
                <c:ptCount val="1"/>
                <c:pt idx="0">
                  <c:v>Secure Bonds Scenario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'YTM &amp; Duration Analysis'!$C$26:$G$26</c:f>
              <c:numCache>
                <c:formatCode>"Year "#</c:formatCode>
                <c:ptCount val="5"/>
                <c:pt idx="0">
                  <c:v>1</c:v>
                </c:pt>
                <c:pt idx="1">
                  <c:v>2</c:v>
                </c:pt>
                <c:pt idx="2">
                  <c:v>3</c:v>
                </c:pt>
                <c:pt idx="3">
                  <c:v>4</c:v>
                </c:pt>
                <c:pt idx="4">
                  <c:v>5</c:v>
                </c:pt>
              </c:numCache>
            </c:numRef>
          </c:cat>
          <c:val>
            <c:numRef>
              <c:f>'YTM &amp; Duration Analysis'!$C$28:$G$28</c:f>
              <c:numCache>
                <c:formatCode>0.00%</c:formatCode>
                <c:ptCount val="5"/>
                <c:pt idx="0">
                  <c:v>0</c:v>
                </c:pt>
                <c:pt idx="1">
                  <c:v>3.7722874053644405E-2</c:v>
                </c:pt>
                <c:pt idx="2">
                  <c:v>3.7267803139544226E-2</c:v>
                </c:pt>
                <c:pt idx="3">
                  <c:v>3.0378068054482583E-2</c:v>
                </c:pt>
                <c:pt idx="4">
                  <c:v>2.5495521546848088E-2</c:v>
                </c:pt>
              </c:numCache>
            </c:numRef>
          </c:val>
          <c:smooth val="0"/>
          <c:extLst>
            <c:ext xmlns:c16="http://schemas.microsoft.com/office/drawing/2014/chart" uri="{C3380CC4-5D6E-409C-BE32-E72D297353CC}">
              <c16:uniqueId val="{00000001-F0D1-4CF0-8570-31C0187CC365}"/>
            </c:ext>
          </c:extLst>
        </c:ser>
        <c:ser>
          <c:idx val="2"/>
          <c:order val="2"/>
          <c:tx>
            <c:strRef>
              <c:f>'YTM &amp; Duration Analysis'!$B$29</c:f>
              <c:strCache>
                <c:ptCount val="1"/>
                <c:pt idx="0">
                  <c:v>Stable Income Scenario</c:v>
                </c:pt>
              </c:strCache>
            </c:strRef>
          </c:tx>
          <c:spPr>
            <a:ln w="28575" cap="rnd">
              <a:solidFill>
                <a:schemeClr val="accent4"/>
              </a:solidFill>
              <a:round/>
            </a:ln>
            <a:effectLst/>
          </c:spPr>
          <c:marker>
            <c:symbol val="none"/>
          </c:marker>
          <c:dLbls>
            <c:dLbl>
              <c:idx val="2"/>
              <c:layout>
                <c:manualLayout>
                  <c:x val="-3.7361434504659827E-2"/>
                  <c:y val="-5.961482812714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16-4107-AF77-C5C42935AFD9}"/>
                </c:ext>
              </c:extLst>
            </c:dLbl>
            <c:dLbl>
              <c:idx val="3"/>
              <c:layout>
                <c:manualLayout>
                  <c:x val="-3.7810235627995709E-2"/>
                  <c:y val="-6.2838554755123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16-4107-AF77-C5C42935AF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'YTM &amp; Duration Analysis'!$C$26:$G$26</c:f>
              <c:numCache>
                <c:formatCode>"Year "#</c:formatCode>
                <c:ptCount val="5"/>
                <c:pt idx="0">
                  <c:v>1</c:v>
                </c:pt>
                <c:pt idx="1">
                  <c:v>2</c:v>
                </c:pt>
                <c:pt idx="2">
                  <c:v>3</c:v>
                </c:pt>
                <c:pt idx="3">
                  <c:v>4</c:v>
                </c:pt>
                <c:pt idx="4">
                  <c:v>5</c:v>
                </c:pt>
              </c:numCache>
            </c:numRef>
          </c:cat>
          <c:val>
            <c:numRef>
              <c:f>'YTM &amp; Duration Analysis'!$C$29:$G$29</c:f>
              <c:numCache>
                <c:formatCode>0.00%</c:formatCode>
                <c:ptCount val="5"/>
                <c:pt idx="0">
                  <c:v>3.8480496863385963E-2</c:v>
                </c:pt>
                <c:pt idx="1">
                  <c:v>3.7943554918326697E-2</c:v>
                </c:pt>
                <c:pt idx="2">
                  <c:v>3.8779717875532742E-2</c:v>
                </c:pt>
                <c:pt idx="3">
                  <c:v>3.905254155490092E-2</c:v>
                </c:pt>
                <c:pt idx="4">
                  <c:v>3.8643834497530144E-2</c:v>
                </c:pt>
              </c:numCache>
            </c:numRef>
          </c:val>
          <c:smooth val="0"/>
          <c:extLst>
            <c:ext xmlns:c16="http://schemas.microsoft.com/office/drawing/2014/chart" uri="{C3380CC4-5D6E-409C-BE32-E72D297353CC}">
              <c16:uniqueId val="{00000002-F0D1-4CF0-8570-31C0187CC365}"/>
            </c:ext>
          </c:extLst>
        </c:ser>
        <c:dLbls>
          <c:showLegendKey val="0"/>
          <c:showVal val="0"/>
          <c:showCatName val="0"/>
          <c:showSerName val="0"/>
          <c:showPercent val="0"/>
          <c:showBubbleSize val="0"/>
        </c:dLbls>
        <c:smooth val="0"/>
        <c:axId val="1502820863"/>
        <c:axId val="1502822783"/>
      </c:lineChart>
      <c:catAx>
        <c:axId val="1502820863"/>
        <c:scaling>
          <c:orientation val="minMax"/>
        </c:scaling>
        <c:delete val="0"/>
        <c:axPos val="b"/>
        <c:numFmt formatCode="&quot;Year &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22783"/>
        <c:crosses val="autoZero"/>
        <c:auto val="1"/>
        <c:lblAlgn val="ctr"/>
        <c:lblOffset val="100"/>
        <c:noMultiLvlLbl val="0"/>
      </c:catAx>
      <c:valAx>
        <c:axId val="1502822783"/>
        <c:scaling>
          <c:orientation val="minMax"/>
        </c:scaling>
        <c:delete val="1"/>
        <c:axPos val="l"/>
        <c:numFmt formatCode="0.00%" sourceLinked="1"/>
        <c:majorTickMark val="none"/>
        <c:minorTickMark val="none"/>
        <c:tickLblPos val="nextTo"/>
        <c:crossAx val="1502820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Analysis'!$B$28</c:f>
              <c:strCache>
                <c:ptCount val="1"/>
                <c:pt idx="0">
                  <c:v>Secure Bonds Scenario</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Analysis'!$C$26:$N$26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'Cash Flow Analysis'!$C$28:$N$28</c:f>
              <c:numCache>
                <c:formatCode>"$"#,##0_);\("$"#,##0\)</c:formatCode>
                <c:ptCount val="12"/>
                <c:pt idx="0">
                  <c:v>0</c:v>
                </c:pt>
                <c:pt idx="1">
                  <c:v>7181.25</c:v>
                </c:pt>
                <c:pt idx="2">
                  <c:v>2412.5</c:v>
                </c:pt>
                <c:pt idx="3">
                  <c:v>500</c:v>
                </c:pt>
                <c:pt idx="4">
                  <c:v>4435</c:v>
                </c:pt>
                <c:pt idx="5">
                  <c:v>737.5</c:v>
                </c:pt>
                <c:pt idx="6">
                  <c:v>0</c:v>
                </c:pt>
                <c:pt idx="7">
                  <c:v>7181.25</c:v>
                </c:pt>
                <c:pt idx="8">
                  <c:v>2412.5</c:v>
                </c:pt>
                <c:pt idx="9">
                  <c:v>500</c:v>
                </c:pt>
                <c:pt idx="10">
                  <c:v>4435</c:v>
                </c:pt>
                <c:pt idx="11">
                  <c:v>737.5</c:v>
                </c:pt>
              </c:numCache>
            </c:numRef>
          </c:val>
          <c:extLst>
            <c:ext xmlns:c16="http://schemas.microsoft.com/office/drawing/2014/chart" uri="{C3380CC4-5D6E-409C-BE32-E72D297353CC}">
              <c16:uniqueId val="{00000000-1005-4A67-A930-26B1D4ABCDDB}"/>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Analysis'!$B$29</c:f>
              <c:strCache>
                <c:ptCount val="1"/>
                <c:pt idx="0">
                  <c:v>Stable Income Scenario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Analysis'!$C$26:$N$26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'Cash Flow Analysis'!$C$29:$N$29</c:f>
              <c:numCache>
                <c:formatCode>"$"#,##0_);\("$"#,##0\)</c:formatCode>
                <c:ptCount val="12"/>
                <c:pt idx="0">
                  <c:v>1781.25</c:v>
                </c:pt>
                <c:pt idx="1">
                  <c:v>1750</c:v>
                </c:pt>
                <c:pt idx="2">
                  <c:v>1725</c:v>
                </c:pt>
                <c:pt idx="3">
                  <c:v>1750</c:v>
                </c:pt>
                <c:pt idx="4">
                  <c:v>2096.875</c:v>
                </c:pt>
                <c:pt idx="5">
                  <c:v>1981.25</c:v>
                </c:pt>
                <c:pt idx="6">
                  <c:v>1781.25</c:v>
                </c:pt>
                <c:pt idx="7">
                  <c:v>1750</c:v>
                </c:pt>
                <c:pt idx="8">
                  <c:v>1725</c:v>
                </c:pt>
                <c:pt idx="9">
                  <c:v>1750</c:v>
                </c:pt>
                <c:pt idx="10">
                  <c:v>2096.875</c:v>
                </c:pt>
                <c:pt idx="11">
                  <c:v>1981.25</c:v>
                </c:pt>
              </c:numCache>
            </c:numRef>
          </c:val>
          <c:extLst>
            <c:ext xmlns:c16="http://schemas.microsoft.com/office/drawing/2014/chart" uri="{C3380CC4-5D6E-409C-BE32-E72D297353CC}">
              <c16:uniqueId val="{00000000-77D7-48B3-AA48-BCC649BA4C05}"/>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Analysis'!$B$27</c:f>
              <c:strCache>
                <c:ptCount val="1"/>
                <c:pt idx="0">
                  <c:v>High Yield Scenario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Analysis'!$C$26:$N$26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'Cash Flow Analysis'!$C$27:$N$27</c:f>
              <c:numCache>
                <c:formatCode>"$"#,##0_);\("$"#,##0\)</c:formatCode>
                <c:ptCount val="12"/>
                <c:pt idx="0">
                  <c:v>397.5</c:v>
                </c:pt>
                <c:pt idx="1">
                  <c:v>1357.5</c:v>
                </c:pt>
                <c:pt idx="2">
                  <c:v>10285</c:v>
                </c:pt>
                <c:pt idx="3">
                  <c:v>1050.5</c:v>
                </c:pt>
                <c:pt idx="4">
                  <c:v>406.05</c:v>
                </c:pt>
                <c:pt idx="5">
                  <c:v>3491.25</c:v>
                </c:pt>
                <c:pt idx="6">
                  <c:v>397.5</c:v>
                </c:pt>
                <c:pt idx="7">
                  <c:v>1357.5</c:v>
                </c:pt>
                <c:pt idx="8">
                  <c:v>10285</c:v>
                </c:pt>
                <c:pt idx="9">
                  <c:v>1050.5</c:v>
                </c:pt>
                <c:pt idx="10">
                  <c:v>406.05</c:v>
                </c:pt>
                <c:pt idx="11">
                  <c:v>3491.25</c:v>
                </c:pt>
              </c:numCache>
            </c:numRef>
          </c:val>
          <c:extLst>
            <c:ext xmlns:c16="http://schemas.microsoft.com/office/drawing/2014/chart" uri="{C3380CC4-5D6E-409C-BE32-E72D297353CC}">
              <c16:uniqueId val="{00000000-4B00-4FC9-8CEB-D9EBA03A8C3C}"/>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Analysis'!$B$27</c:f>
              <c:strCache>
                <c:ptCount val="1"/>
                <c:pt idx="0">
                  <c:v>High Yield Scenario</c:v>
                </c:pt>
              </c:strCache>
            </c:strRef>
          </c:tx>
          <c:spPr>
            <a:solidFill>
              <a:schemeClr val="accent6"/>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A7A72D85-31A5-44EC-AF53-EA883B0D8EAE}" type="VALUE">
                      <a:rPr lang="en-US" b="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2620491882959064"/>
                      <c:h val="0.13776325344952797"/>
                    </c:manualLayout>
                  </c15:layout>
                  <c15:dlblFieldTable/>
                  <c15:showDataLabelsRange val="0"/>
                </c:ext>
                <c:ext xmlns:c16="http://schemas.microsoft.com/office/drawing/2014/chart" uri="{C3380CC4-5D6E-409C-BE32-E72D297353CC}">
                  <c16:uniqueId val="{00000001-0EF4-4136-A37E-AAC114412F8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Analysis'!$O$26</c:f>
              <c:strCache>
                <c:ptCount val="1"/>
                <c:pt idx="0">
                  <c:v>12-Month Total</c:v>
                </c:pt>
              </c:strCache>
            </c:strRef>
          </c:cat>
          <c:val>
            <c:numRef>
              <c:f>'Cash Flow Analysis'!$O$27</c:f>
              <c:numCache>
                <c:formatCode>"$"#,##0_);\("$"#,##0\)</c:formatCode>
                <c:ptCount val="1"/>
                <c:pt idx="0">
                  <c:v>33975.599999999999</c:v>
                </c:pt>
              </c:numCache>
            </c:numRef>
          </c:val>
          <c:extLst>
            <c:ext xmlns:c16="http://schemas.microsoft.com/office/drawing/2014/chart" uri="{C3380CC4-5D6E-409C-BE32-E72D297353CC}">
              <c16:uniqueId val="{00000000-0EF4-4136-A37E-AAC114412F81}"/>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Analysis'!$B$28</c:f>
              <c:strCache>
                <c:ptCount val="1"/>
                <c:pt idx="0">
                  <c:v>Secure Bonds Scenario</c:v>
                </c:pt>
              </c:strCache>
            </c:strRef>
          </c:tx>
          <c:spPr>
            <a:solidFill>
              <a:schemeClr val="accent5"/>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50392156862745097"/>
                      <c:h val="0.17692307692307691"/>
                    </c:manualLayout>
                  </c15:layout>
                </c:ext>
                <c:ext xmlns:c16="http://schemas.microsoft.com/office/drawing/2014/chart" uri="{C3380CC4-5D6E-409C-BE32-E72D297353CC}">
                  <c16:uniqueId val="{00000001-F4EF-45D8-9E46-7616BDFC7881}"/>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Analysis'!$O$26</c:f>
              <c:strCache>
                <c:ptCount val="1"/>
                <c:pt idx="0">
                  <c:v>12-Month Total</c:v>
                </c:pt>
              </c:strCache>
            </c:strRef>
          </c:cat>
          <c:val>
            <c:numRef>
              <c:f>'Cash Flow Analysis'!$O$28</c:f>
              <c:numCache>
                <c:formatCode>"$"#,##0_);\("$"#,##0\)</c:formatCode>
                <c:ptCount val="1"/>
                <c:pt idx="0">
                  <c:v>30532.5</c:v>
                </c:pt>
              </c:numCache>
            </c:numRef>
          </c:val>
          <c:extLst>
            <c:ext xmlns:c16="http://schemas.microsoft.com/office/drawing/2014/chart" uri="{C3380CC4-5D6E-409C-BE32-E72D297353CC}">
              <c16:uniqueId val="{00000000-F4EF-45D8-9E46-7616BDFC7881}"/>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'Cash Flow Analysis'!$B$29</c:f>
              <c:strCache>
                <c:ptCount val="1"/>
                <c:pt idx="0">
                  <c:v>Stable Income Scenario</c:v>
                </c:pt>
              </c:strCache>
            </c:strRef>
          </c:tx>
          <c:spPr>
            <a:solidFill>
              <a:schemeClr val="accent4"/>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56541353383458637"/>
                      <c:h val="0.10788954635108479"/>
                    </c:manualLayout>
                  </c15:layout>
                </c:ext>
                <c:ext xmlns:c16="http://schemas.microsoft.com/office/drawing/2014/chart" uri="{C3380CC4-5D6E-409C-BE32-E72D297353CC}">
                  <c16:uniqueId val="{00000001-159A-4ED8-9C34-B99EBAE2DFDC}"/>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 Analysis'!$O$26</c:f>
              <c:strCache>
                <c:ptCount val="1"/>
                <c:pt idx="0">
                  <c:v>12-Month Total</c:v>
                </c:pt>
              </c:strCache>
            </c:strRef>
          </c:cat>
          <c:val>
            <c:numRef>
              <c:f>'Cash Flow Analysis'!$O$29</c:f>
              <c:numCache>
                <c:formatCode>"$"#,##0_);\("$"#,##0\)</c:formatCode>
                <c:ptCount val="1"/>
                <c:pt idx="0">
                  <c:v>22168.75</c:v>
                </c:pt>
              </c:numCache>
            </c:numRef>
          </c:val>
          <c:extLst>
            <c:ext xmlns:c16="http://schemas.microsoft.com/office/drawing/2014/chart" uri="{C3380CC4-5D6E-409C-BE32-E72D297353CC}">
              <c16:uniqueId val="{00000000-159A-4ED8-9C34-B99EBAE2DFDC}"/>
            </c:ext>
          </c:extLst>
        </c:ser>
        <c:dLbls>
          <c:dLblPos val="outEnd"/>
          <c:showLegendKey val="0"/>
          <c:showVal val="1"/>
          <c:showCatName val="0"/>
          <c:showSerName val="0"/>
          <c:showPercent val="0"/>
          <c:showBubbleSize val="0"/>
        </c:dLbls>
        <c:gapWidth val="219"/>
        <c:overlap val="-27"/>
        <c:axId val="1645935887"/>
        <c:axId val="1645934927"/>
      </c:barChart>
      <c:catAx>
        <c:axId val="164593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934927"/>
        <c:crosses val="autoZero"/>
        <c:auto val="1"/>
        <c:lblAlgn val="ctr"/>
        <c:lblOffset val="100"/>
        <c:noMultiLvlLbl val="0"/>
      </c:catAx>
      <c:valAx>
        <c:axId val="1645934927"/>
        <c:scaling>
          <c:orientation val="minMax"/>
        </c:scaling>
        <c:delete val="1"/>
        <c:axPos val="l"/>
        <c:numFmt formatCode="&quot;$&quot;#,##0_);\(&quot;$&quot;#,##0\)" sourceLinked="1"/>
        <c:majorTickMark val="out"/>
        <c:minorTickMark val="none"/>
        <c:tickLblPos val="nextTo"/>
        <c:crossAx val="1645935887"/>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15240</xdr:colOff>
      <xdr:row>2</xdr:row>
      <xdr:rowOff>83820</xdr:rowOff>
    </xdr:from>
    <xdr:to>
      <xdr:col>13</xdr:col>
      <xdr:colOff>60960</xdr:colOff>
      <xdr:row>24</xdr:row>
      <xdr:rowOff>0</xdr:rowOff>
    </xdr:to>
    <xdr:graphicFrame macro="">
      <xdr:nvGraphicFramePr>
        <xdr:cNvPr id="2" name="Chart 1">
          <a:extLst>
            <a:ext uri="{FF2B5EF4-FFF2-40B4-BE49-F238E27FC236}">
              <a16:creationId xmlns:a16="http://schemas.microsoft.com/office/drawing/2014/main" id="{8E5ACC2E-7E5C-D643-0F83-BACBF294C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1234296</xdr:colOff>
      <xdr:row>9</xdr:row>
      <xdr:rowOff>60960</xdr:rowOff>
    </xdr:from>
    <xdr:to>
      <xdr:col>14</xdr:col>
      <xdr:colOff>22860</xdr:colOff>
      <xdr:row>16</xdr:row>
      <xdr:rowOff>68580</xdr:rowOff>
    </xdr:to>
    <xdr:graphicFrame macro="">
      <xdr:nvGraphicFramePr>
        <xdr:cNvPr id="3" name="Chart 2">
          <a:extLst>
            <a:ext uri="{FF2B5EF4-FFF2-40B4-BE49-F238E27FC236}">
              <a16:creationId xmlns:a16="http://schemas.microsoft.com/office/drawing/2014/main" id="{24CBD315-DCF0-4919-8513-4857D85F2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1241916</xdr:colOff>
      <xdr:row>16</xdr:row>
      <xdr:rowOff>99060</xdr:rowOff>
    </xdr:from>
    <xdr:to>
      <xdr:col>14</xdr:col>
      <xdr:colOff>22860</xdr:colOff>
      <xdr:row>23</xdr:row>
      <xdr:rowOff>106680</xdr:rowOff>
    </xdr:to>
    <xdr:graphicFrame macro="">
      <xdr:nvGraphicFramePr>
        <xdr:cNvPr id="4" name="Chart 3">
          <a:extLst>
            <a:ext uri="{FF2B5EF4-FFF2-40B4-BE49-F238E27FC236}">
              <a16:creationId xmlns:a16="http://schemas.microsoft.com/office/drawing/2014/main" id="{9C8A4181-077E-412B-98E8-FF45EA4C1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1242060</xdr:colOff>
      <xdr:row>2</xdr:row>
      <xdr:rowOff>129540</xdr:rowOff>
    </xdr:from>
    <xdr:to>
      <xdr:col>14</xdr:col>
      <xdr:colOff>15240</xdr:colOff>
      <xdr:row>9</xdr:row>
      <xdr:rowOff>38100</xdr:rowOff>
    </xdr:to>
    <xdr:graphicFrame macro="">
      <xdr:nvGraphicFramePr>
        <xdr:cNvPr id="2" name="Chart 1">
          <a:extLst>
            <a:ext uri="{FF2B5EF4-FFF2-40B4-BE49-F238E27FC236}">
              <a16:creationId xmlns:a16="http://schemas.microsoft.com/office/drawing/2014/main" id="{17E8DFEC-EE62-52B2-ACF9-65FB0A837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22860</xdr:colOff>
      <xdr:row>2</xdr:row>
      <xdr:rowOff>137160</xdr:rowOff>
    </xdr:from>
    <xdr:to>
      <xdr:col>15</xdr:col>
      <xdr:colOff>243840</xdr:colOff>
      <xdr:row>9</xdr:row>
      <xdr:rowOff>22860</xdr:rowOff>
    </xdr:to>
    <xdr:graphicFrame macro="">
      <xdr:nvGraphicFramePr>
        <xdr:cNvPr id="5" name="Chart 4">
          <a:extLst>
            <a:ext uri="{FF2B5EF4-FFF2-40B4-BE49-F238E27FC236}">
              <a16:creationId xmlns:a16="http://schemas.microsoft.com/office/drawing/2014/main" id="{F17AB07D-F3F3-4AFB-B62B-AE15EEAC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xdr:colOff>
      <xdr:row>9</xdr:row>
      <xdr:rowOff>53340</xdr:rowOff>
    </xdr:from>
    <xdr:to>
      <xdr:col>15</xdr:col>
      <xdr:colOff>236220</xdr:colOff>
      <xdr:row>16</xdr:row>
      <xdr:rowOff>60960</xdr:rowOff>
    </xdr:to>
    <xdr:graphicFrame macro="">
      <xdr:nvGraphicFramePr>
        <xdr:cNvPr id="6" name="Chart 5">
          <a:extLst>
            <a:ext uri="{FF2B5EF4-FFF2-40B4-BE49-F238E27FC236}">
              <a16:creationId xmlns:a16="http://schemas.microsoft.com/office/drawing/2014/main" id="{E3A8FD53-E293-4262-A7EA-1EEABA5B8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45720</xdr:colOff>
      <xdr:row>16</xdr:row>
      <xdr:rowOff>83820</xdr:rowOff>
    </xdr:from>
    <xdr:to>
      <xdr:col>15</xdr:col>
      <xdr:colOff>239989</xdr:colOff>
      <xdr:row>23</xdr:row>
      <xdr:rowOff>91440</xdr:rowOff>
    </xdr:to>
    <xdr:graphicFrame macro="">
      <xdr:nvGraphicFramePr>
        <xdr:cNvPr id="7" name="Chart 6">
          <a:extLst>
            <a:ext uri="{FF2B5EF4-FFF2-40B4-BE49-F238E27FC236}">
              <a16:creationId xmlns:a16="http://schemas.microsoft.com/office/drawing/2014/main" id="{74D051D5-D01B-4B87-A6C9-1D3DEAA54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36F948-7D57-4F6B-84C9-91F2C9ECD4E7}" name="Master_Bond_List" displayName="Master_Bond_List" ref="A1:R4488" totalsRowShown="0" headerRowDxfId="22" dataDxfId="21">
  <autoFilter ref="A1:R4488" xr:uid="{1836F948-7D57-4F6B-84C9-91F2C9ECD4E7}"/>
  <sortState xmlns:xlrd2="http://schemas.microsoft.com/office/spreadsheetml/2017/richdata2" ref="A2:R248">
    <sortCondition descending="1" ref="N1:N2057"/>
  </sortState>
  <tableColumns count="18">
    <tableColumn id="1" xr3:uid="{F7FE27F9-7EDB-4F3A-904E-CA86A0B1AB93}" name="Cusip" dataDxfId="20"/>
    <tableColumn id="2" xr3:uid="{72D8DC81-60C2-408F-8D9F-5FCA0A22A017}" name="State" dataDxfId="19"/>
    <tableColumn id="3" xr3:uid="{1FABA53F-E3FB-4FF9-B52B-4C0A61184245}" name="Description" dataDxfId="18"/>
    <tableColumn id="17" xr3:uid="{00E0A652-B736-4546-A7F2-764EDAC9C776}" name="Type" dataDxfId="17"/>
    <tableColumn id="4" xr3:uid="{6B7AF41E-FE52-4737-8F39-F1EFEFB2BF4F}" name="Coupon" dataDxfId="16"/>
    <tableColumn id="5" xr3:uid="{8B0D8B17-C404-4E54-B461-D6580F8A05B2}" name="Maturity Date" dataDxfId="15"/>
    <tableColumn id="18" xr3:uid="{46BEC2A5-FDB2-4492-A2F7-8A2CC5A9AF13}" name="Next Call Date" dataDxfId="14"/>
    <tableColumn id="6" xr3:uid="{F0F3DE01-66BC-49C4-9A78-921E1FEEFD21}" name="Moody's Rating" dataDxfId="13"/>
    <tableColumn id="7" xr3:uid="{303126E0-DC45-4895-A2B4-45A4B956222E}" name="S&amp;P Rating" dataDxfId="12"/>
    <tableColumn id="8" xr3:uid="{F9AE80EE-6A95-48CC-B825-58E91FE1F8ED}" name="Price Bid" dataDxfId="11"/>
    <tableColumn id="9" xr3:uid="{14533046-E208-4538-B80D-5D3E934EFDDA}" name="Price Ask" dataDxfId="10"/>
    <tableColumn id="10" xr3:uid="{22DA37C6-5558-435E-9BF7-958DC20E3492}" name="Yield Bid" dataDxfId="9"/>
    <tableColumn id="11" xr3:uid="{C3293039-4D55-46DD-8470-8D084372413A}" name="Ask Yield to Worst" dataDxfId="8"/>
    <tableColumn id="12" xr3:uid="{39344E67-6A0B-4E87-BD97-252701785F5A}" name="Ask Yield to Maturity" dataDxfId="7"/>
    <tableColumn id="13" xr3:uid="{78884E3C-3C32-4951-814E-B3F22B3B557B}" name="Inflation Factor" dataDxfId="6"/>
    <tableColumn id="14" xr3:uid="{46FE47E5-2520-42E4-877E-6AA81959D30C}" name="Quantity Bid(min)" dataDxfId="5"/>
    <tableColumn id="15" xr3:uid="{FC9E28D3-7EEA-41B7-8C65-A470C4BA1638}" name="Quantity Ask(min)" dataDxfId="4"/>
    <tableColumn id="16" xr3:uid="{6F549048-A25A-4AB0-A998-5BF02802E830}" name="Attribut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0F5D-7A56-47CF-A798-48730EB7323E}">
  <dimension ref="B2:F31"/>
  <sheetViews>
    <sheetView showGridLines="0" workbookViewId="0">
      <selection activeCell="C3" sqref="C3"/>
    </sheetView>
  </sheetViews>
  <sheetFormatPr defaultRowHeight="14.35" x14ac:dyDescent="0.5"/>
  <cols>
    <col min="1" max="1" width="2.703125" customWidth="1"/>
    <col min="2" max="2" width="7.234375" customWidth="1"/>
  </cols>
  <sheetData>
    <row r="2" spans="2:6" ht="34" x14ac:dyDescent="1.1499999999999999">
      <c r="B2" s="38" t="s">
        <v>0</v>
      </c>
      <c r="C2" s="39"/>
      <c r="D2" s="39"/>
      <c r="E2" s="39"/>
      <c r="F2" s="39"/>
    </row>
    <row r="3" spans="2:6" ht="16.95" customHeight="1" x14ac:dyDescent="0.5">
      <c r="B3" s="40" t="s">
        <v>1</v>
      </c>
      <c r="C3" s="40"/>
      <c r="D3" s="41"/>
      <c r="E3" s="40"/>
      <c r="F3" s="40"/>
    </row>
    <row r="5" spans="2:6" x14ac:dyDescent="0.5">
      <c r="B5" s="1" t="s">
        <v>2</v>
      </c>
    </row>
    <row r="6" spans="2:6" x14ac:dyDescent="0.5">
      <c r="C6" t="s">
        <v>3</v>
      </c>
    </row>
    <row r="7" spans="2:6" x14ac:dyDescent="0.5">
      <c r="C7" t="s">
        <v>4</v>
      </c>
    </row>
    <row r="9" spans="2:6" x14ac:dyDescent="0.5">
      <c r="B9" s="1" t="s">
        <v>5</v>
      </c>
    </row>
    <row r="10" spans="2:6" x14ac:dyDescent="0.5">
      <c r="C10" t="s">
        <v>6</v>
      </c>
    </row>
    <row r="12" spans="2:6" x14ac:dyDescent="0.5">
      <c r="B12" s="1" t="s">
        <v>7</v>
      </c>
    </row>
    <row r="13" spans="2:6" x14ac:dyDescent="0.5">
      <c r="C13" t="s">
        <v>8</v>
      </c>
    </row>
    <row r="14" spans="2:6" x14ac:dyDescent="0.5">
      <c r="C14" t="s">
        <v>9</v>
      </c>
    </row>
    <row r="15" spans="2:6" x14ac:dyDescent="0.5">
      <c r="C15" t="s">
        <v>10</v>
      </c>
    </row>
    <row r="16" spans="2:6" x14ac:dyDescent="0.5">
      <c r="C16" t="s">
        <v>11</v>
      </c>
    </row>
    <row r="18" spans="2:3" x14ac:dyDescent="0.5">
      <c r="B18" s="1" t="s">
        <v>12</v>
      </c>
    </row>
    <row r="19" spans="2:3" x14ac:dyDescent="0.5">
      <c r="C19" t="s">
        <v>13</v>
      </c>
    </row>
    <row r="20" spans="2:3" x14ac:dyDescent="0.5">
      <c r="C20" t="s">
        <v>14</v>
      </c>
    </row>
    <row r="22" spans="2:3" x14ac:dyDescent="0.5">
      <c r="B22" s="1" t="s">
        <v>15</v>
      </c>
    </row>
    <row r="23" spans="2:3" x14ac:dyDescent="0.5">
      <c r="C23" t="s">
        <v>16</v>
      </c>
    </row>
    <row r="24" spans="2:3" x14ac:dyDescent="0.5">
      <c r="C24" t="s">
        <v>17</v>
      </c>
    </row>
    <row r="25" spans="2:3" x14ac:dyDescent="0.5">
      <c r="C25" t="s">
        <v>18</v>
      </c>
    </row>
    <row r="27" spans="2:3" x14ac:dyDescent="0.5">
      <c r="B27" s="1" t="s">
        <v>19</v>
      </c>
    </row>
    <row r="28" spans="2:3" x14ac:dyDescent="0.5">
      <c r="C28" t="s">
        <v>20</v>
      </c>
    </row>
    <row r="30" spans="2:3" x14ac:dyDescent="0.5">
      <c r="B30" s="1" t="s">
        <v>21</v>
      </c>
    </row>
    <row r="31" spans="2:3" x14ac:dyDescent="0.5">
      <c r="C3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646C-DA98-4351-8DFC-29BF35C8B014}">
  <dimension ref="B2:E7"/>
  <sheetViews>
    <sheetView showGridLines="0" topLeftCell="A2" workbookViewId="0">
      <selection activeCell="C3" sqref="C3"/>
    </sheetView>
  </sheetViews>
  <sheetFormatPr defaultRowHeight="14.35" outlineLevelCol="1" x14ac:dyDescent="0.5"/>
  <cols>
    <col min="1" max="1" width="2.703125" customWidth="1"/>
    <col min="2" max="2" width="25.9375" bestFit="1" customWidth="1"/>
    <col min="3" max="3" width="15.3515625" bestFit="1" customWidth="1"/>
    <col min="4" max="4" width="5.64453125" hidden="1" customWidth="1" outlineLevel="1"/>
    <col min="5" max="5" width="8.87890625" collapsed="1"/>
  </cols>
  <sheetData>
    <row r="2" spans="2:4" ht="21.6" customHeight="1" x14ac:dyDescent="0.5">
      <c r="B2" s="112" t="s">
        <v>5</v>
      </c>
      <c r="C2" s="112"/>
      <c r="D2" s="39"/>
    </row>
    <row r="3" spans="2:4" ht="20.45" customHeight="1" x14ac:dyDescent="0.5">
      <c r="B3" t="s">
        <v>23</v>
      </c>
      <c r="C3" s="5" t="s">
        <v>24</v>
      </c>
      <c r="D3" t="str">
        <f>VLOOKUP('Investor Input'!C3,'Misc Lists'!A2:B51,2,TRUE)</f>
        <v>NJ</v>
      </c>
    </row>
    <row r="4" spans="2:4" ht="20.45" customHeight="1" x14ac:dyDescent="0.5">
      <c r="B4" t="s">
        <v>25</v>
      </c>
      <c r="C4" s="43">
        <v>0.37</v>
      </c>
    </row>
    <row r="5" spans="2:4" ht="20.45" customHeight="1" x14ac:dyDescent="0.5">
      <c r="B5" t="s">
        <v>26</v>
      </c>
      <c r="C5" s="43">
        <v>0.09</v>
      </c>
    </row>
    <row r="6" spans="2:4" ht="20.45" customHeight="1" x14ac:dyDescent="0.5">
      <c r="B6" t="s">
        <v>27</v>
      </c>
      <c r="C6" s="44">
        <v>1000000</v>
      </c>
    </row>
    <row r="7" spans="2:4" ht="20.45" customHeight="1" x14ac:dyDescent="0.5">
      <c r="B7" t="s">
        <v>28</v>
      </c>
      <c r="C7">
        <v>5</v>
      </c>
    </row>
  </sheetData>
  <mergeCells count="1">
    <mergeCell ref="B2:C2"/>
  </mergeCells>
  <dataValidations count="1">
    <dataValidation type="decimal" operator="greaterThanOrEqual" allowBlank="1" showInputMessage="1" showErrorMessage="1" errorTitle="Invalid Amount " error="Amount to invest must be at least $1000" sqref="C6" xr:uid="{C7BB6A48-5F74-4254-B2A2-BEE42C4ADBC9}">
      <formula1>1000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77DF48F-3455-4347-A1DF-4B4830C357F6}">
          <x14:formula1>
            <xm:f>'Misc Lists'!$A$2:$A$51</xm:f>
          </x14:formula1>
          <xm:sqref>C3</xm:sqref>
        </x14:dataValidation>
        <x14:dataValidation type="list" allowBlank="1" showInputMessage="1" showErrorMessage="1" xr:uid="{A80AEB8A-ECE0-4B19-883A-A3941A7E8B14}">
          <x14:formula1>
            <xm:f>'Misc Lists'!$H$2:$H$6</xm:f>
          </x14:formula1>
          <xm:sqref>C7</xm:sqref>
        </x14:dataValidation>
        <x14:dataValidation type="list" allowBlank="1" showInputMessage="1" showErrorMessage="1" xr:uid="{E5C94427-784E-463D-87EE-CDCB2559BD0A}">
          <x14:formula1>
            <xm:f>'Misc Lists'!$D$2:$D$8</xm:f>
          </x14:formula1>
          <xm:sqref>C4</xm:sqref>
        </x14:dataValidation>
        <x14:dataValidation type="list" allowBlank="1" showInputMessage="1" showErrorMessage="1" xr:uid="{D111E59E-B51E-4121-ABC1-3ABDAB60EB31}">
          <x14:formula1>
            <xm:f>'Misc Lists'!$F$2:$F$15</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8BF0B-6EB1-48EB-8F11-32BFE7928852}">
  <sheetPr filterMode="1"/>
  <dimension ref="A1:AF506"/>
  <sheetViews>
    <sheetView showGridLines="0" tabSelected="1" workbookViewId="0">
      <pane xSplit="14" ySplit="3" topLeftCell="AA4" activePane="bottomRight" state="frozen"/>
      <selection pane="topRight" activeCell="O1" sqref="O1"/>
      <selection pane="bottomLeft" activeCell="A4" sqref="A4"/>
      <selection pane="bottomRight" activeCell="P512" sqref="P512"/>
    </sheetView>
  </sheetViews>
  <sheetFormatPr defaultRowHeight="14.35" outlineLevelRow="1" x14ac:dyDescent="0.5"/>
  <cols>
    <col min="1" max="1" width="2.703125" customWidth="1"/>
    <col min="2" max="2" width="14.1171875" customWidth="1"/>
    <col min="3" max="3" width="8.87890625" style="72"/>
    <col min="4" max="4" width="18.17578125" customWidth="1"/>
    <col min="5" max="5" width="9.703125" style="72" customWidth="1"/>
    <col min="6" max="6" width="8.87890625" style="73"/>
    <col min="7" max="7" width="12.9375" style="2" bestFit="1" customWidth="1"/>
    <col min="8" max="9" width="8.87890625" style="72"/>
    <col min="10" max="10" width="8.87890625" style="74"/>
    <col min="11" max="11" width="8.87890625" style="3"/>
    <col min="12" max="12" width="12.9375" style="3" bestFit="1" customWidth="1"/>
    <col min="13" max="13" width="16.29296875" bestFit="1" customWidth="1"/>
    <col min="14" max="14" width="12.234375" style="75" customWidth="1"/>
    <col min="15" max="15" width="15.3515625" style="5" bestFit="1" customWidth="1"/>
    <col min="16" max="16" width="14.64453125" style="5" bestFit="1" customWidth="1"/>
    <col min="17" max="17" width="14.64453125" style="5" customWidth="1"/>
    <col min="18" max="18" width="14" style="5" bestFit="1" customWidth="1"/>
    <col min="19" max="19" width="15.3515625" style="5" bestFit="1" customWidth="1"/>
    <col min="20" max="20" width="14" style="5" bestFit="1" customWidth="1"/>
    <col min="21" max="21" width="16.29296875" style="5" bestFit="1" customWidth="1"/>
    <col min="22" max="22" width="12.64453125" style="5" bestFit="1" customWidth="1"/>
    <col min="23" max="23" width="17.76171875" style="5" bestFit="1" customWidth="1"/>
    <col min="24" max="24" width="14.9375" style="5" bestFit="1" customWidth="1"/>
    <col min="25" max="25" width="19.76171875" bestFit="1" customWidth="1"/>
    <col min="26" max="26" width="19.76171875" customWidth="1"/>
    <col min="27" max="27" width="16.29296875" bestFit="1" customWidth="1"/>
    <col min="28" max="28" width="23" bestFit="1" customWidth="1"/>
    <col min="29" max="29" width="14" bestFit="1" customWidth="1"/>
    <col min="30" max="30" width="13.703125" bestFit="1" customWidth="1"/>
    <col min="31" max="31" width="14.1171875" bestFit="1" customWidth="1"/>
    <col min="32" max="32" width="13.703125" bestFit="1" customWidth="1"/>
  </cols>
  <sheetData>
    <row r="1" spans="1:32" hidden="1" x14ac:dyDescent="0.5">
      <c r="A1" t="str" cm="1">
        <f t="array" aca="1" ref="A1" ca="1">MID(CELL("filename",A1),FIND("]",CELL("filename",A1))+1,255)</f>
        <v>High Yield Scenario</v>
      </c>
      <c r="L1" s="4"/>
      <c r="X1" s="76"/>
    </row>
    <row r="2" spans="1:32" x14ac:dyDescent="0.5">
      <c r="B2" s="6" t="s">
        <v>29</v>
      </c>
      <c r="C2" s="6"/>
      <c r="D2" s="6"/>
      <c r="E2" s="6"/>
      <c r="F2" s="7"/>
      <c r="G2" s="8"/>
      <c r="H2" s="6"/>
      <c r="I2" s="6"/>
      <c r="J2" s="9"/>
      <c r="K2" s="10"/>
      <c r="L2" s="11"/>
      <c r="M2" s="6" t="s">
        <v>30</v>
      </c>
      <c r="N2" s="12"/>
      <c r="O2" s="6"/>
      <c r="P2" s="6"/>
      <c r="Q2" s="6"/>
      <c r="R2" s="6"/>
      <c r="S2" s="6"/>
      <c r="T2" s="6"/>
      <c r="U2" s="13"/>
      <c r="V2" s="6" t="s">
        <v>31</v>
      </c>
      <c r="W2" s="6"/>
      <c r="X2" s="13"/>
      <c r="Y2" s="6" t="s">
        <v>32</v>
      </c>
      <c r="Z2" s="6"/>
      <c r="AA2" s="12"/>
      <c r="AB2" s="12"/>
      <c r="AC2" s="92" t="s">
        <v>33</v>
      </c>
      <c r="AD2" s="89"/>
      <c r="AE2" s="89"/>
      <c r="AF2" s="97"/>
    </row>
    <row r="3" spans="1:32" s="72" customFormat="1" x14ac:dyDescent="0.5">
      <c r="B3" s="77" t="s">
        <v>34</v>
      </c>
      <c r="C3" s="77" t="s">
        <v>35</v>
      </c>
      <c r="D3" s="77" t="s">
        <v>36</v>
      </c>
      <c r="E3" s="77" t="s">
        <v>37</v>
      </c>
      <c r="F3" s="78" t="s">
        <v>38</v>
      </c>
      <c r="G3" s="79" t="s">
        <v>39</v>
      </c>
      <c r="H3" s="77" t="s">
        <v>40</v>
      </c>
      <c r="I3" s="77" t="s">
        <v>41</v>
      </c>
      <c r="J3" s="80" t="s">
        <v>42</v>
      </c>
      <c r="K3" s="14" t="s">
        <v>43</v>
      </c>
      <c r="L3" s="15" t="s">
        <v>44</v>
      </c>
      <c r="M3" s="16" t="s">
        <v>45</v>
      </c>
      <c r="N3" s="81" t="s">
        <v>46</v>
      </c>
      <c r="O3" s="77" t="s">
        <v>47</v>
      </c>
      <c r="P3" s="77" t="s">
        <v>48</v>
      </c>
      <c r="Q3" s="77" t="s">
        <v>49</v>
      </c>
      <c r="R3" s="77" t="s">
        <v>50</v>
      </c>
      <c r="S3" s="77" t="s">
        <v>51</v>
      </c>
      <c r="T3" s="77" t="s">
        <v>52</v>
      </c>
      <c r="U3" s="82" t="s">
        <v>53</v>
      </c>
      <c r="V3" s="77" t="s">
        <v>42</v>
      </c>
      <c r="W3" s="77" t="s">
        <v>54</v>
      </c>
      <c r="X3" s="82" t="s">
        <v>55</v>
      </c>
      <c r="Y3" s="72" t="s">
        <v>56</v>
      </c>
      <c r="Z3" s="72" t="s">
        <v>57</v>
      </c>
      <c r="AA3" s="72" t="s">
        <v>58</v>
      </c>
      <c r="AB3" s="72" t="s">
        <v>59</v>
      </c>
      <c r="AC3" s="93" t="s">
        <v>60</v>
      </c>
      <c r="AD3" s="72" t="s">
        <v>61</v>
      </c>
      <c r="AE3" s="72" t="s">
        <v>62</v>
      </c>
      <c r="AF3" s="98" t="s">
        <v>63</v>
      </c>
    </row>
    <row r="4" spans="1:32" hidden="1" x14ac:dyDescent="0.5">
      <c r="B4" s="60" t="str" cm="1">
        <f t="array" aca="1" ref="B4:L503" ca="1" xml:space="preserve"> _xlfn.TAKE(_xlfn._xlws.SORT(_xlfn._xlws.FILTER(_xlfn._xlws.FILTER(Master_Bond_List[], ('Investor Input'!C6 &gt;= IFERROR(VALUE(MID(Master_Bond_List[Quantity Ask(min)], FIND("(", Master_Bond_List[Quantity Ask(min)]) + 1, LEN(Master_Bond_List[Quantity Ask(min)]) - FIND("(", Master_Bond_List[Quantity Ask(min)])-1)), 1)*1000)*((Master_Bond_List[Maturity Date]-TODAY()) &lt; 'Investor Input'!C7*365)*(Master_Bond_List[Type] = "Muni")*(Master_Bond_List[State]='Investor Input'!D3) + ('Investor Input'!C6 &gt;= IFERROR(VALUE(MID(Master_Bond_List[Quantity Ask(min)], FIND("(", Master_Bond_List[Quantity Ask(min)]) + 1, LEN(Master_Bond_List[Quantity Ask(min)]) - FIND("(", Master_Bond_List[Quantity Ask(min)])-1)), 1)*1000)*((Master_Bond_List[Maturity Date]-TODAY()) &lt; 'Investor Input'!C7*365)*(Master_Bond_List[Type] = "Corp")), {1,1,1,1,1,1,0,1,1,0,1,0,0,1,0,0,1,0}), {4,10}, {1,-1}),500)</f>
        <v>06745NUM6</v>
      </c>
      <c r="C4" s="61" t="str">
        <f ca="1"/>
        <v>N/A</v>
      </c>
      <c r="D4" s="60" t="str">
        <f ca="1"/>
        <v>BARCLAYS BANK PLC   SER A MTN           6.25000% 11/03/2028</v>
      </c>
      <c r="E4" s="61" t="str">
        <f ca="1"/>
        <v>Corp</v>
      </c>
      <c r="F4" s="62">
        <f ca="1"/>
        <v>6.25</v>
      </c>
      <c r="G4" s="63">
        <f ca="1"/>
        <v>47060</v>
      </c>
      <c r="H4" s="61" t="str">
        <f ca="1"/>
        <v>A1</v>
      </c>
      <c r="I4" s="61" t="str">
        <f ca="1"/>
        <v>A+</v>
      </c>
      <c r="J4" s="64">
        <f ca="1"/>
        <v>100.88800000000001</v>
      </c>
      <c r="K4" s="17">
        <f ca="1"/>
        <v>5.9720000000000004</v>
      </c>
      <c r="L4" s="18" t="str">
        <f ca="1"/>
        <v>1(1)</v>
      </c>
      <c r="M4" s="83"/>
      <c r="N4" s="84" t="str">
        <f>IF(AND(M4&lt;&gt;"", M4&lt;&gt;0), IF(L4 &lt;&gt; "N/A", IF(M4&gt;=VALUE(LEFT(L4, FIND("(", L4)-1)), J4*10*M4, 1000*M4), 1000*M4), "")</f>
        <v/>
      </c>
      <c r="O4" s="20" t="str">
        <f>IF(AND(M4&lt;&gt;"",M4&lt;&gt;0),N4/$N$505, "")</f>
        <v/>
      </c>
      <c r="P4" s="64" t="str">
        <f>IF(AND(M4&lt;&gt;"", M4&lt;&gt;0), F4*1000/100, "")</f>
        <v/>
      </c>
      <c r="Q4" s="85" t="str">
        <f ca="1">IF(AND(M4&lt;&gt;"", M4&lt;&gt;0), NOW(), "")</f>
        <v/>
      </c>
      <c r="R4" s="86" t="str">
        <f>IF(AND(M4&lt;&gt;"", M4&lt;&gt;0), ROUND((G4 - Q4)/365, 0), "")</f>
        <v/>
      </c>
      <c r="S4" s="86" t="str">
        <f>IF(AND(M4&lt;&gt;"",M4&lt;&gt;0),MDURATION(Q4,G4,F4/100,K4/100,2), "")</f>
        <v/>
      </c>
      <c r="T4" s="104" t="str">
        <f>IF(AND(M4&lt;&gt;"",M4&lt;&gt;0),YIELD(Q4,G4,F4/100,N4/(M4*10),100,2),"")</f>
        <v/>
      </c>
      <c r="U4" s="19" t="str">
        <f>IF(AND(M4&lt;&gt;"",M4&lt;&gt;0), IF(E4 = "Muni", T4, IF(E4="Corp", T4*(1 -'Investor Input'!$C$4-'Investor Input'!$C$5), T4*(1 -'Investor Input'!$C$4))), T4)</f>
        <v/>
      </c>
      <c r="V4" s="84" t="str">
        <f>IF(AND(M4&lt;&gt;"",M4&lt;&gt;0),(FV(K4/(2*100),(G4-Q4)*2/365, F4*1000/(2*100), -N4/M4))*M4, "")</f>
        <v/>
      </c>
      <c r="W4" s="84" t="str">
        <f t="shared" ref="W4:W67" si="0">IF(AND(M4&lt;&gt;"",M4&lt;&gt;0),V4-N4,"")</f>
        <v/>
      </c>
      <c r="X4" s="21" t="str">
        <f t="shared" ref="X4:X67" si="1">IF(AND(M4&lt;&gt;"",M4&lt;&gt;0),W4/N4,"")</f>
        <v/>
      </c>
      <c r="Y4" s="60" t="str">
        <f t="shared" ref="Y4:Y67" si="2">IF(AND(M4&lt;&gt;"", M4&lt;&gt;0), MONTH(G4), "")</f>
        <v/>
      </c>
      <c r="Z4" s="60" t="str">
        <f t="shared" ref="Z4:Z67" si="3">IF(AND(M4&lt;&gt;"", M4&lt;&gt;0), MONTH(EDATE(G4, 6)), "")</f>
        <v/>
      </c>
      <c r="AA4" s="64" t="str">
        <f t="shared" ref="AA4:AA67" si="4">IF(AND(M4&lt;&gt;"", M4&lt;&gt;0), F4*1000*M4/(100*2), "")</f>
        <v/>
      </c>
      <c r="AB4" s="64" t="str">
        <f>IF(AND(AA4&lt;&gt;"",AA4&lt;&gt;0), IF(E4="Muni", AA4, IF(E4 = "Corp", (1-'Investor Input'!$C$4-'Investor Input'!$C$5)*AA4, (1-'Investor Input'!$C$4)*AA4)), AA4)</f>
        <v/>
      </c>
      <c r="AC4" s="94" t="str">
        <f t="shared" ref="AC4:AC67" si="5">IF(AND(M4&lt;&gt;"", M4&lt;&gt;0), H4, "")</f>
        <v/>
      </c>
      <c r="AD4" s="60" t="str">
        <f>IF(AND(M4&lt;&gt;"", M4&lt;&gt;0), N4/$N$505*MATCH(AC4,'Misc Lists'!$K$2:$K$25,0), "")</f>
        <v/>
      </c>
      <c r="AE4" s="90" t="str">
        <f t="shared" ref="AE4:AE67" si="6">IF(AND(M4&lt;&gt;"", M4&lt;&gt;0), I4, "")</f>
        <v/>
      </c>
      <c r="AF4" s="99" t="str">
        <f>IF(AND(M4&lt;&gt;"", M4&lt;&gt;0), N4/$N$505*MATCH(AE4,'Misc Lists'!$L$2:$L$25,0), "")</f>
        <v/>
      </c>
    </row>
    <row r="5" spans="1:32" hidden="1" x14ac:dyDescent="0.5">
      <c r="B5" s="60" t="str">
        <f ca="1"/>
        <v>06055JFF1</v>
      </c>
      <c r="C5" s="61" t="str">
        <f ca="1"/>
        <v>N/A</v>
      </c>
      <c r="D5" s="60" t="str">
        <f ca="1"/>
        <v>BANK AMERICA CORP   SER P MTN           5.50000% 07/23/2029</v>
      </c>
      <c r="E5" s="61" t="str">
        <f ca="1"/>
        <v>Corp</v>
      </c>
      <c r="F5" s="62">
        <f ca="1"/>
        <v>5.5</v>
      </c>
      <c r="G5" s="63">
        <f ca="1"/>
        <v>47322</v>
      </c>
      <c r="H5" s="61" t="str">
        <f ca="1"/>
        <v>A1</v>
      </c>
      <c r="I5" s="61" t="str">
        <f ca="1"/>
        <v>A-</v>
      </c>
      <c r="J5" s="64">
        <f ca="1"/>
        <v>100.407</v>
      </c>
      <c r="K5" s="17">
        <f ca="1"/>
        <v>5.3920000000000003</v>
      </c>
      <c r="L5" s="18" t="str">
        <f ca="1"/>
        <v>3(3)</v>
      </c>
      <c r="M5" s="83"/>
      <c r="N5" s="84" t="str">
        <f t="shared" ref="N5:N68" si="7">IF(AND(M5&lt;&gt;"", M5&lt;&gt;0), IF(L5 &lt;&gt; "N/A", IF(M5&gt;=VALUE(LEFT(L5, FIND("(", L5)-1)), J5*10*M5, 1000*M5), 1000*M5), "")</f>
        <v/>
      </c>
      <c r="O5" s="20" t="str">
        <f t="shared" ref="O5:O68" si="8">IF(AND(M5&lt;&gt;"",M5&lt;&gt;0),N5/$N$505, "")</f>
        <v/>
      </c>
      <c r="P5" s="64" t="str">
        <f t="shared" ref="P5:P68" si="9">IF(AND(M5&lt;&gt;"", M5&lt;&gt;0), F5*1000/100, "")</f>
        <v/>
      </c>
      <c r="Q5" s="85" t="str">
        <f t="shared" ref="Q5:Q68" ca="1" si="10">IF(AND(M5&lt;&gt;"", M5&lt;&gt;0), NOW(), "")</f>
        <v/>
      </c>
      <c r="R5" s="86" t="str">
        <f t="shared" ref="R5:R68" si="11">IF(AND(M5&lt;&gt;"", M5&lt;&gt;0), ROUND((G5 - Q5)/365, 0), "")</f>
        <v/>
      </c>
      <c r="S5" s="86" t="str">
        <f t="shared" ref="S5:S68" si="12">IF(AND(M5&lt;&gt;"",M5&lt;&gt;0),MDURATION(Q5,G5,F5/100,K5/100,2), "")</f>
        <v/>
      </c>
      <c r="T5" s="104" t="str">
        <f t="shared" ref="T5:T68" si="13">IF(AND(M5&lt;&gt;"",M5&lt;&gt;0),YIELD(Q5,G5,F5/100,N5/(M5*10),100,2),"")</f>
        <v/>
      </c>
      <c r="U5" s="19" t="str">
        <f>IF(AND(M5&lt;&gt;"",M5&lt;&gt;0), IF(E5 = "Muni", T5, IF(E5="Corp", T5*(1 -'Investor Input'!$C$4-'Investor Input'!$C$5), T5*(1 -'Investor Input'!$C$4))), T5)</f>
        <v/>
      </c>
      <c r="V5" s="84" t="str">
        <f t="shared" ref="V5:V68" si="14">IF(AND(M5&lt;&gt;"",M5&lt;&gt;0),(FV(K5/(2*100),(G5-Q5)*2/365, F5*1000/(2*100), -N5/M5))*M5, "")</f>
        <v/>
      </c>
      <c r="W5" s="84" t="str">
        <f t="shared" si="0"/>
        <v/>
      </c>
      <c r="X5" s="21" t="str">
        <f t="shared" si="1"/>
        <v/>
      </c>
      <c r="Y5" s="60" t="str">
        <f t="shared" si="2"/>
        <v/>
      </c>
      <c r="Z5" s="60" t="str">
        <f t="shared" si="3"/>
        <v/>
      </c>
      <c r="AA5" s="64" t="str">
        <f t="shared" si="4"/>
        <v/>
      </c>
      <c r="AB5" s="64" t="str">
        <f>IF(AND(AA5&lt;&gt;"",AA5&lt;&gt;0), IF(E5="Muni", AA5, IF(E5 = "Corp", (1-'Investor Input'!$C$4-'Investor Input'!$C$5)*AA5, (1-'Investor Input'!$C$4)*AA5)), AA5)</f>
        <v/>
      </c>
      <c r="AC5" s="94" t="str">
        <f t="shared" si="5"/>
        <v/>
      </c>
      <c r="AD5" s="60" t="str">
        <f>IF(AND(M5&lt;&gt;"", M5&lt;&gt;0), N5/$N$505*MATCH(AC5,'Misc Lists'!$K$2:$K$25,0), "")</f>
        <v/>
      </c>
      <c r="AE5" s="90" t="str">
        <f t="shared" si="6"/>
        <v/>
      </c>
      <c r="AF5" s="99" t="str">
        <f>IF(AND(M5&lt;&gt;"", M5&lt;&gt;0), N5/$N$505*MATCH(AE5,'Misc Lists'!$L$2:$L$25,0), "")</f>
        <v/>
      </c>
    </row>
    <row r="6" spans="1:32" x14ac:dyDescent="0.5">
      <c r="B6" s="60" t="str">
        <f ca="1"/>
        <v>89114XD67</v>
      </c>
      <c r="C6" s="61" t="str">
        <f ca="1"/>
        <v>N/A</v>
      </c>
      <c r="D6" s="60" t="str">
        <f ca="1"/>
        <v>TORONTO DOMINION BK ONT SER D MTN       5.30000% 01/03/2028</v>
      </c>
      <c r="E6" s="61" t="str">
        <f ca="1"/>
        <v>Corp</v>
      </c>
      <c r="F6" s="62">
        <f ca="1"/>
        <v>5.3</v>
      </c>
      <c r="G6" s="63">
        <f ca="1"/>
        <v>46755</v>
      </c>
      <c r="H6" s="61" t="str">
        <f ca="1"/>
        <v>A2</v>
      </c>
      <c r="I6" s="61" t="str">
        <f ca="1"/>
        <v>A-</v>
      </c>
      <c r="J6" s="64">
        <f ca="1"/>
        <v>99.936999999999998</v>
      </c>
      <c r="K6" s="17">
        <f ca="1"/>
        <v>5.3239999999999998</v>
      </c>
      <c r="L6" s="18" t="str">
        <f ca="1"/>
        <v>15(1)</v>
      </c>
      <c r="M6" s="83">
        <v>15</v>
      </c>
      <c r="N6" s="84">
        <f t="shared" ca="1" si="7"/>
        <v>14990.55</v>
      </c>
      <c r="O6" s="20">
        <f t="shared" ca="1" si="8"/>
        <v>1.4989934663182075E-2</v>
      </c>
      <c r="P6" s="64">
        <f t="shared" ca="1" si="9"/>
        <v>53</v>
      </c>
      <c r="Q6" s="85">
        <f t="shared" ca="1" si="10"/>
        <v>45791.491364930553</v>
      </c>
      <c r="R6" s="86">
        <f t="shared" ca="1" si="11"/>
        <v>3</v>
      </c>
      <c r="S6" s="86">
        <f t="shared" ca="1" si="12"/>
        <v>2.3854551842774701</v>
      </c>
      <c r="T6" s="104">
        <f t="shared" ca="1" si="13"/>
        <v>5.3230871850694174E-2</v>
      </c>
      <c r="U6" s="19">
        <f ca="1">IF(AND(M6&lt;&gt;"",M6&lt;&gt;0), IF(E6 = "Muni", T6, IF(E6="Corp", T6*(1 -'Investor Input'!$C$4-'Investor Input'!$C$5), T6*(1 -'Investor Input'!$C$4))), T6)</f>
        <v>2.8744670799374854E-2</v>
      </c>
      <c r="V6" s="84">
        <f t="shared" ca="1" si="14"/>
        <v>14999.204399402095</v>
      </c>
      <c r="W6" s="84">
        <f t="shared" ca="1" si="0"/>
        <v>8.6543994020958053</v>
      </c>
      <c r="X6" s="21">
        <f t="shared" ca="1" si="1"/>
        <v>5.7732367405437463E-4</v>
      </c>
      <c r="Y6" s="60">
        <f t="shared" ca="1" si="2"/>
        <v>1</v>
      </c>
      <c r="Z6" s="60">
        <f t="shared" ca="1" si="3"/>
        <v>7</v>
      </c>
      <c r="AA6" s="64">
        <f t="shared" ca="1" si="4"/>
        <v>397.5</v>
      </c>
      <c r="AB6" s="64">
        <f ca="1">IF(AND(AA6&lt;&gt;"",AA6&lt;&gt;0), IF(E6="Muni", AA6, IF(E6 = "Corp", (1-'Investor Input'!$C$4-'Investor Input'!$C$5)*AA6, (1-'Investor Input'!$C$4)*AA6)), AA6)</f>
        <v>214.65</v>
      </c>
      <c r="AC6" s="94" t="str">
        <f t="shared" ca="1" si="5"/>
        <v>A2</v>
      </c>
      <c r="AD6" s="60">
        <f ca="1">IF(AND(M6&lt;&gt;"", M6&lt;&gt;0), N6/$N$505*MATCH(AC6,'Misc Lists'!$K$2:$K$25,0), "")</f>
        <v>0.10492954264227453</v>
      </c>
      <c r="AE6" s="90" t="str">
        <f t="shared" ca="1" si="6"/>
        <v>A-</v>
      </c>
      <c r="AF6" s="99">
        <f ca="1">IF(AND(M6&lt;&gt;"", M6&lt;&gt;0), N6/$N$505*MATCH(AE6,'Misc Lists'!$L$2:$L$25,0), "")</f>
        <v>0.1199194773054566</v>
      </c>
    </row>
    <row r="7" spans="1:32" hidden="1" x14ac:dyDescent="0.5">
      <c r="B7" s="60" t="str">
        <f ca="1"/>
        <v>89114XDN0</v>
      </c>
      <c r="C7" s="61" t="str">
        <f ca="1"/>
        <v>N/A</v>
      </c>
      <c r="D7" s="60" t="str">
        <f ca="1"/>
        <v>TORONTO DOMINION BK ONT SER D MTN       5.25000% 01/30/2029</v>
      </c>
      <c r="E7" s="61" t="str">
        <f ca="1"/>
        <v>Corp</v>
      </c>
      <c r="F7" s="62">
        <f ca="1"/>
        <v>5.25</v>
      </c>
      <c r="G7" s="63">
        <f ca="1"/>
        <v>47148</v>
      </c>
      <c r="H7" s="61" t="str">
        <f ca="1"/>
        <v>A2</v>
      </c>
      <c r="I7" s="61" t="str">
        <f ca="1"/>
        <v>A-</v>
      </c>
      <c r="J7" s="64">
        <f ca="1"/>
        <v>99.995000000000005</v>
      </c>
      <c r="K7" s="17">
        <f ca="1"/>
        <v>5.2510000000000003</v>
      </c>
      <c r="L7" s="18" t="str">
        <f ca="1"/>
        <v>41(25)</v>
      </c>
      <c r="M7" s="83"/>
      <c r="N7" s="84" t="str">
        <f t="shared" si="7"/>
        <v/>
      </c>
      <c r="O7" s="20" t="str">
        <f t="shared" si="8"/>
        <v/>
      </c>
      <c r="P7" s="64" t="str">
        <f t="shared" si="9"/>
        <v/>
      </c>
      <c r="Q7" s="85" t="str">
        <f t="shared" ca="1" si="10"/>
        <v/>
      </c>
      <c r="R7" s="86" t="str">
        <f t="shared" si="11"/>
        <v/>
      </c>
      <c r="S7" s="86" t="str">
        <f t="shared" si="12"/>
        <v/>
      </c>
      <c r="T7" s="104" t="str">
        <f t="shared" si="13"/>
        <v/>
      </c>
      <c r="U7" s="19" t="str">
        <f>IF(AND(M7&lt;&gt;"",M7&lt;&gt;0), IF(E7 = "Muni", T7, IF(E7="Corp", T7*(1 -'Investor Input'!$C$4-'Investor Input'!$C$5), T7*(1 -'Investor Input'!$C$4))), T7)</f>
        <v/>
      </c>
      <c r="V7" s="84" t="str">
        <f t="shared" si="14"/>
        <v/>
      </c>
      <c r="W7" s="84" t="str">
        <f t="shared" si="0"/>
        <v/>
      </c>
      <c r="X7" s="21" t="str">
        <f t="shared" si="1"/>
        <v/>
      </c>
      <c r="Y7" s="60" t="str">
        <f t="shared" si="2"/>
        <v/>
      </c>
      <c r="Z7" s="60" t="str">
        <f t="shared" si="3"/>
        <v/>
      </c>
      <c r="AA7" s="64" t="str">
        <f t="shared" si="4"/>
        <v/>
      </c>
      <c r="AB7" s="64" t="str">
        <f>IF(AND(AA7&lt;&gt;"",AA7&lt;&gt;0), IF(E7="Muni", AA7, IF(E7 = "Corp", (1-'Investor Input'!$C$4-'Investor Input'!$C$5)*AA7, (1-'Investor Input'!$C$4)*AA7)), AA7)</f>
        <v/>
      </c>
      <c r="AC7" s="94" t="str">
        <f t="shared" si="5"/>
        <v/>
      </c>
      <c r="AD7" s="60" t="str">
        <f>IF(AND(M7&lt;&gt;"", M7&lt;&gt;0), N7/$N$505*MATCH(AC7,'Misc Lists'!$K$2:$K$25,0), "")</f>
        <v/>
      </c>
      <c r="AE7" s="90" t="str">
        <f t="shared" si="6"/>
        <v/>
      </c>
      <c r="AF7" s="99" t="str">
        <f>IF(AND(M7&lt;&gt;"", M7&lt;&gt;0), N7/$N$505*MATCH(AE7,'Misc Lists'!$L$2:$L$25,0), "")</f>
        <v/>
      </c>
    </row>
    <row r="8" spans="1:32" hidden="1" x14ac:dyDescent="0.5">
      <c r="B8" s="60" t="str">
        <f ca="1"/>
        <v>00828EEX3</v>
      </c>
      <c r="C8" s="61" t="str">
        <f ca="1"/>
        <v>N/A</v>
      </c>
      <c r="D8" s="60" t="str">
        <f ca="1"/>
        <v>AFRICAN DEV BK MTN  SB NTS BE NOTE      5.50000% 11/10/2028</v>
      </c>
      <c r="E8" s="61" t="str">
        <f ca="1"/>
        <v>Corp</v>
      </c>
      <c r="F8" s="62">
        <f ca="1"/>
        <v>5.5</v>
      </c>
      <c r="G8" s="63">
        <f ca="1"/>
        <v>47067</v>
      </c>
      <c r="H8" s="61" t="str">
        <f ca="1"/>
        <v>AAA</v>
      </c>
      <c r="I8" s="61" t="str">
        <f ca="1"/>
        <v>AAA</v>
      </c>
      <c r="J8" s="64">
        <f ca="1"/>
        <v>100.91800000000001</v>
      </c>
      <c r="K8" s="17">
        <f ca="1"/>
        <v>5.2089999999999996</v>
      </c>
      <c r="L8" s="18" t="str">
        <f ca="1"/>
        <v>316(100)</v>
      </c>
      <c r="M8" s="83"/>
      <c r="N8" s="84" t="str">
        <f t="shared" si="7"/>
        <v/>
      </c>
      <c r="O8" s="20" t="str">
        <f t="shared" si="8"/>
        <v/>
      </c>
      <c r="P8" s="64" t="str">
        <f t="shared" si="9"/>
        <v/>
      </c>
      <c r="Q8" s="85" t="str">
        <f t="shared" ca="1" si="10"/>
        <v/>
      </c>
      <c r="R8" s="86" t="str">
        <f t="shared" si="11"/>
        <v/>
      </c>
      <c r="S8" s="86" t="str">
        <f t="shared" si="12"/>
        <v/>
      </c>
      <c r="T8" s="104" t="str">
        <f t="shared" si="13"/>
        <v/>
      </c>
      <c r="U8" s="19" t="str">
        <f>IF(AND(M8&lt;&gt;"",M8&lt;&gt;0), IF(E8 = "Muni", T8, IF(E8="Corp", T8*(1 -'Investor Input'!$C$4-'Investor Input'!$C$5), T8*(1 -'Investor Input'!$C$4))), T8)</f>
        <v/>
      </c>
      <c r="V8" s="84" t="str">
        <f t="shared" si="14"/>
        <v/>
      </c>
      <c r="W8" s="84" t="str">
        <f t="shared" si="0"/>
        <v/>
      </c>
      <c r="X8" s="21" t="str">
        <f t="shared" si="1"/>
        <v/>
      </c>
      <c r="Y8" s="60" t="str">
        <f t="shared" si="2"/>
        <v/>
      </c>
      <c r="Z8" s="60" t="str">
        <f t="shared" si="3"/>
        <v/>
      </c>
      <c r="AA8" s="64" t="str">
        <f t="shared" si="4"/>
        <v/>
      </c>
      <c r="AB8" s="64" t="str">
        <f>IF(AND(AA8&lt;&gt;"",AA8&lt;&gt;0), IF(E8="Muni", AA8, IF(E8 = "Corp", (1-'Investor Input'!$C$4-'Investor Input'!$C$5)*AA8, (1-'Investor Input'!$C$4)*AA8)), AA8)</f>
        <v/>
      </c>
      <c r="AC8" s="94" t="str">
        <f t="shared" si="5"/>
        <v/>
      </c>
      <c r="AD8" s="60" t="str">
        <f>IF(AND(M8&lt;&gt;"", M8&lt;&gt;0), N8/$N$505*MATCH(AC8,'Misc Lists'!$K$2:$K$25,0), "")</f>
        <v/>
      </c>
      <c r="AE8" s="90" t="str">
        <f t="shared" si="6"/>
        <v/>
      </c>
      <c r="AF8" s="99" t="str">
        <f>IF(AND(M8&lt;&gt;"", M8&lt;&gt;0), N8/$N$505*MATCH(AE8,'Misc Lists'!$L$2:$L$25,0), "")</f>
        <v/>
      </c>
    </row>
    <row r="9" spans="1:32" x14ac:dyDescent="0.5">
      <c r="B9" s="60" t="str">
        <f ca="1"/>
        <v>22552XXR9</v>
      </c>
      <c r="C9" s="61" t="str">
        <f ca="1"/>
        <v>N/A</v>
      </c>
      <c r="D9" s="60" t="str">
        <f ca="1"/>
        <v>UBS AG LONDON BRANCHMTN                 2.00000% 10/29/2029 ISIN #US22552XXR96</v>
      </c>
      <c r="E9" s="61" t="str">
        <f ca="1"/>
        <v>Corp</v>
      </c>
      <c r="F9" s="62">
        <f ca="1"/>
        <v>2</v>
      </c>
      <c r="G9" s="63">
        <f ca="1"/>
        <v>47420</v>
      </c>
      <c r="H9" s="61" t="str">
        <f ca="1"/>
        <v>AA2</v>
      </c>
      <c r="I9" s="61" t="str">
        <f ca="1"/>
        <v>--</v>
      </c>
      <c r="J9" s="64">
        <f ca="1"/>
        <v>86.968000000000004</v>
      </c>
      <c r="K9" s="17">
        <f ca="1"/>
        <v>5.2030000000000003</v>
      </c>
      <c r="L9" s="18" t="str">
        <f ca="1"/>
        <v>75(5)</v>
      </c>
      <c r="M9" s="83">
        <v>100</v>
      </c>
      <c r="N9" s="84">
        <f t="shared" ca="1" si="7"/>
        <v>86968</v>
      </c>
      <c r="O9" s="20">
        <f t="shared" ca="1" si="8"/>
        <v>8.6964430110143973E-2</v>
      </c>
      <c r="P9" s="64">
        <f t="shared" ca="1" si="9"/>
        <v>20</v>
      </c>
      <c r="Q9" s="85">
        <f t="shared" ca="1" si="10"/>
        <v>45791.491364930553</v>
      </c>
      <c r="R9" s="86">
        <f t="shared" ca="1" si="11"/>
        <v>4</v>
      </c>
      <c r="S9" s="86">
        <f t="shared" ca="1" si="12"/>
        <v>4.1605769057545654</v>
      </c>
      <c r="T9" s="104">
        <f t="shared" ca="1" si="13"/>
        <v>5.3218214989040558E-2</v>
      </c>
      <c r="U9" s="19">
        <f ca="1">IF(AND(M9&lt;&gt;"",M9&lt;&gt;0), IF(E9 = "Muni", T9, IF(E9="Corp", T9*(1 -'Investor Input'!$C$4-'Investor Input'!$C$5), T9*(1 -'Investor Input'!$C$4))), T9)</f>
        <v>2.8737836094081905E-2</v>
      </c>
      <c r="V9" s="84">
        <f t="shared" ca="1" si="14"/>
        <v>99466.97647533573</v>
      </c>
      <c r="W9" s="84">
        <f t="shared" ca="1" si="0"/>
        <v>12498.97647533573</v>
      </c>
      <c r="X9" s="21">
        <f t="shared" ca="1" si="1"/>
        <v>0.1437192585242357</v>
      </c>
      <c r="Y9" s="60">
        <f t="shared" ca="1" si="2"/>
        <v>10</v>
      </c>
      <c r="Z9" s="60">
        <f t="shared" ca="1" si="3"/>
        <v>4</v>
      </c>
      <c r="AA9" s="64">
        <f t="shared" ca="1" si="4"/>
        <v>1000</v>
      </c>
      <c r="AB9" s="64">
        <f ca="1">IF(AND(AA9&lt;&gt;"",AA9&lt;&gt;0), IF(E9="Muni", AA9, IF(E9 = "Corp", (1-'Investor Input'!$C$4-'Investor Input'!$C$5)*AA9, (1-'Investor Input'!$C$4)*AA9)), AA9)</f>
        <v>540</v>
      </c>
      <c r="AC9" s="94" t="str">
        <f t="shared" ca="1" si="5"/>
        <v>AA2</v>
      </c>
      <c r="AD9" s="60">
        <f ca="1">IF(AND(M9&lt;&gt;"", M9&lt;&gt;0), N9/$N$505*MATCH(AC9,'Misc Lists'!$K$2:$K$25,0), "")</f>
        <v>0.34785772044057589</v>
      </c>
      <c r="AE9" s="90" t="str">
        <f t="shared" ca="1" si="6"/>
        <v>--</v>
      </c>
      <c r="AF9" s="99">
        <f ca="1">IF(AND(M9&lt;&gt;"", M9&lt;&gt;0), N9/$N$505*MATCH(AE9,'Misc Lists'!$L$2:$L$25,0), "")</f>
        <v>2.0001818925333112</v>
      </c>
    </row>
    <row r="10" spans="1:32" hidden="1" x14ac:dyDescent="0.5">
      <c r="B10" s="60" t="str">
        <f ca="1"/>
        <v>13607XVD6</v>
      </c>
      <c r="C10" s="61" t="str">
        <f ca="1"/>
        <v>N/A</v>
      </c>
      <c r="D10" s="60" t="str">
        <f ca="1"/>
        <v>CANADIAN IMPERIAL BKCOMM MTN            5.25000% 01/30/2030</v>
      </c>
      <c r="E10" s="61" t="str">
        <f ca="1"/>
        <v>Corp</v>
      </c>
      <c r="F10" s="62">
        <f ca="1"/>
        <v>5.25</v>
      </c>
      <c r="G10" s="63">
        <f ca="1"/>
        <v>47513</v>
      </c>
      <c r="H10" s="61" t="str">
        <f ca="1"/>
        <v>A2</v>
      </c>
      <c r="I10" s="61" t="str">
        <f ca="1"/>
        <v>A-</v>
      </c>
      <c r="J10" s="64">
        <f ca="1"/>
        <v>100.379</v>
      </c>
      <c r="K10" s="17">
        <f ca="1"/>
        <v>5.16</v>
      </c>
      <c r="L10" s="18" t="str">
        <f ca="1"/>
        <v>407(1)</v>
      </c>
      <c r="M10" s="83"/>
      <c r="N10" s="84" t="str">
        <f t="shared" si="7"/>
        <v/>
      </c>
      <c r="O10" s="20" t="str">
        <f t="shared" si="8"/>
        <v/>
      </c>
      <c r="P10" s="64" t="str">
        <f t="shared" si="9"/>
        <v/>
      </c>
      <c r="Q10" s="85" t="str">
        <f t="shared" ca="1" si="10"/>
        <v/>
      </c>
      <c r="R10" s="86" t="str">
        <f t="shared" si="11"/>
        <v/>
      </c>
      <c r="S10" s="86" t="str">
        <f t="shared" si="12"/>
        <v/>
      </c>
      <c r="T10" s="104" t="str">
        <f t="shared" si="13"/>
        <v/>
      </c>
      <c r="U10" s="19" t="str">
        <f>IF(AND(M10&lt;&gt;"",M10&lt;&gt;0), IF(E10 = "Muni", T10, IF(E10="Corp", T10*(1 -'Investor Input'!$C$4-'Investor Input'!$C$5), T10*(1 -'Investor Input'!$C$4))), T10)</f>
        <v/>
      </c>
      <c r="V10" s="84" t="str">
        <f t="shared" si="14"/>
        <v/>
      </c>
      <c r="W10" s="84" t="str">
        <f t="shared" si="0"/>
        <v/>
      </c>
      <c r="X10" s="21" t="str">
        <f t="shared" si="1"/>
        <v/>
      </c>
      <c r="Y10" s="60" t="str">
        <f t="shared" si="2"/>
        <v/>
      </c>
      <c r="Z10" s="60" t="str">
        <f t="shared" si="3"/>
        <v/>
      </c>
      <c r="AA10" s="64" t="str">
        <f t="shared" si="4"/>
        <v/>
      </c>
      <c r="AB10" s="64" t="str">
        <f>IF(AND(AA10&lt;&gt;"",AA10&lt;&gt;0), IF(E10="Muni", AA10, IF(E10 = "Corp", (1-'Investor Input'!$C$4-'Investor Input'!$C$5)*AA10, (1-'Investor Input'!$C$4)*AA10)), AA10)</f>
        <v/>
      </c>
      <c r="AC10" s="94" t="str">
        <f t="shared" si="5"/>
        <v/>
      </c>
      <c r="AD10" s="60" t="str">
        <f>IF(AND(M10&lt;&gt;"", M10&lt;&gt;0), N10/$N$505*MATCH(AC10,'Misc Lists'!$K$2:$K$25,0), "")</f>
        <v/>
      </c>
      <c r="AE10" s="90" t="str">
        <f t="shared" si="6"/>
        <v/>
      </c>
      <c r="AF10" s="99" t="str">
        <f>IF(AND(M10&lt;&gt;"", M10&lt;&gt;0), N10/$N$505*MATCH(AE10,'Misc Lists'!$L$2:$L$25,0), "")</f>
        <v/>
      </c>
    </row>
    <row r="11" spans="1:32" hidden="1" x14ac:dyDescent="0.5">
      <c r="B11" s="60" t="str">
        <f ca="1"/>
        <v>46514Y8A8</v>
      </c>
      <c r="C11" s="61" t="str">
        <f ca="1"/>
        <v>N/A</v>
      </c>
      <c r="D11" s="60" t="str">
        <f ca="1"/>
        <v>ISRAEL ST           BOND                5.37500% 02/19/2030</v>
      </c>
      <c r="E11" s="61" t="str">
        <f ca="1"/>
        <v>Corp</v>
      </c>
      <c r="F11" s="62">
        <f ca="1"/>
        <v>5.375</v>
      </c>
      <c r="G11" s="63">
        <f ca="1"/>
        <v>47533</v>
      </c>
      <c r="H11" s="61" t="str">
        <f ca="1"/>
        <v>BAA1</v>
      </c>
      <c r="I11" s="61" t="str">
        <f ca="1"/>
        <v>A</v>
      </c>
      <c r="J11" s="64">
        <f ca="1"/>
        <v>100.958</v>
      </c>
      <c r="K11" s="17">
        <f ca="1"/>
        <v>5.1520000000000001</v>
      </c>
      <c r="L11" s="18" t="str">
        <f ca="1"/>
        <v>1,000(200)</v>
      </c>
      <c r="M11" s="83"/>
      <c r="N11" s="84" t="str">
        <f t="shared" si="7"/>
        <v/>
      </c>
      <c r="O11" s="20" t="str">
        <f t="shared" si="8"/>
        <v/>
      </c>
      <c r="P11" s="64" t="str">
        <f t="shared" si="9"/>
        <v/>
      </c>
      <c r="Q11" s="85" t="str">
        <f t="shared" ca="1" si="10"/>
        <v/>
      </c>
      <c r="R11" s="86" t="str">
        <f t="shared" si="11"/>
        <v/>
      </c>
      <c r="S11" s="86" t="str">
        <f t="shared" si="12"/>
        <v/>
      </c>
      <c r="T11" s="104" t="str">
        <f t="shared" si="13"/>
        <v/>
      </c>
      <c r="U11" s="19" t="str">
        <f>IF(AND(M11&lt;&gt;"",M11&lt;&gt;0), IF(E11 = "Muni", T11, IF(E11="Corp", T11*(1 -'Investor Input'!$C$4-'Investor Input'!$C$5), T11*(1 -'Investor Input'!$C$4))), T11)</f>
        <v/>
      </c>
      <c r="V11" s="84" t="str">
        <f t="shared" si="14"/>
        <v/>
      </c>
      <c r="W11" s="84" t="str">
        <f t="shared" si="0"/>
        <v/>
      </c>
      <c r="X11" s="21" t="str">
        <f t="shared" si="1"/>
        <v/>
      </c>
      <c r="Y11" s="60" t="str">
        <f t="shared" si="2"/>
        <v/>
      </c>
      <c r="Z11" s="60" t="str">
        <f t="shared" si="3"/>
        <v/>
      </c>
      <c r="AA11" s="64" t="str">
        <f t="shared" si="4"/>
        <v/>
      </c>
      <c r="AB11" s="64" t="str">
        <f>IF(AND(AA11&lt;&gt;"",AA11&lt;&gt;0), IF(E11="Muni", AA11, IF(E11 = "Corp", (1-'Investor Input'!$C$4-'Investor Input'!$C$5)*AA11, (1-'Investor Input'!$C$4)*AA11)), AA11)</f>
        <v/>
      </c>
      <c r="AC11" s="94" t="str">
        <f t="shared" si="5"/>
        <v/>
      </c>
      <c r="AD11" s="60" t="str">
        <f>IF(AND(M11&lt;&gt;"", M11&lt;&gt;0), N11/$N$505*MATCH(AC11,'Misc Lists'!$K$2:$K$25,0), "")</f>
        <v/>
      </c>
      <c r="AE11" s="90" t="str">
        <f t="shared" si="6"/>
        <v/>
      </c>
      <c r="AF11" s="99" t="str">
        <f>IF(AND(M11&lt;&gt;"", M11&lt;&gt;0), N11/$N$505*MATCH(AE11,'Misc Lists'!$L$2:$L$25,0), "")</f>
        <v/>
      </c>
    </row>
    <row r="12" spans="1:32" hidden="1" x14ac:dyDescent="0.5">
      <c r="B12" s="60" t="str">
        <f ca="1"/>
        <v>25161FKM9</v>
      </c>
      <c r="C12" s="61" t="str">
        <f ca="1"/>
        <v>N/A</v>
      </c>
      <c r="D12" s="60" t="str">
        <f ca="1"/>
        <v>DEUTSCHE BK AG      SER E NOTE          5.25000% 02/15/2030</v>
      </c>
      <c r="E12" s="61" t="str">
        <f ca="1"/>
        <v>Corp</v>
      </c>
      <c r="F12" s="62">
        <f ca="1"/>
        <v>5.25</v>
      </c>
      <c r="G12" s="63">
        <f ca="1"/>
        <v>47529</v>
      </c>
      <c r="H12" s="61" t="str">
        <f ca="1"/>
        <v>A1</v>
      </c>
      <c r="I12" s="61" t="str">
        <f ca="1"/>
        <v>A</v>
      </c>
      <c r="J12" s="64">
        <f ca="1"/>
        <v>100.5</v>
      </c>
      <c r="K12" s="17">
        <f ca="1"/>
        <v>5.1310000000000002</v>
      </c>
      <c r="L12" s="18" t="str">
        <f ca="1"/>
        <v>73(1)</v>
      </c>
      <c r="M12" s="83"/>
      <c r="N12" s="84" t="str">
        <f t="shared" si="7"/>
        <v/>
      </c>
      <c r="O12" s="20" t="str">
        <f t="shared" si="8"/>
        <v/>
      </c>
      <c r="P12" s="64" t="str">
        <f t="shared" si="9"/>
        <v/>
      </c>
      <c r="Q12" s="85" t="str">
        <f t="shared" ca="1" si="10"/>
        <v/>
      </c>
      <c r="R12" s="86" t="str">
        <f t="shared" si="11"/>
        <v/>
      </c>
      <c r="S12" s="86" t="str">
        <f t="shared" si="12"/>
        <v/>
      </c>
      <c r="T12" s="104" t="str">
        <f t="shared" si="13"/>
        <v/>
      </c>
      <c r="U12" s="19" t="str">
        <f>IF(AND(M12&lt;&gt;"",M12&lt;&gt;0), IF(E12 = "Muni", T12, IF(E12="Corp", T12*(1 -'Investor Input'!$C$4-'Investor Input'!$C$5), T12*(1 -'Investor Input'!$C$4))), T12)</f>
        <v/>
      </c>
      <c r="V12" s="84" t="str">
        <f t="shared" si="14"/>
        <v/>
      </c>
      <c r="W12" s="84" t="str">
        <f t="shared" si="0"/>
        <v/>
      </c>
      <c r="X12" s="21" t="str">
        <f t="shared" si="1"/>
        <v/>
      </c>
      <c r="Y12" s="60" t="str">
        <f t="shared" si="2"/>
        <v/>
      </c>
      <c r="Z12" s="60" t="str">
        <f t="shared" si="3"/>
        <v/>
      </c>
      <c r="AA12" s="64" t="str">
        <f t="shared" si="4"/>
        <v/>
      </c>
      <c r="AB12" s="64" t="str">
        <f>IF(AND(AA12&lt;&gt;"",AA12&lt;&gt;0), IF(E12="Muni", AA12, IF(E12 = "Corp", (1-'Investor Input'!$C$4-'Investor Input'!$C$5)*AA12, (1-'Investor Input'!$C$4)*AA12)), AA12)</f>
        <v/>
      </c>
      <c r="AC12" s="94" t="str">
        <f t="shared" si="5"/>
        <v/>
      </c>
      <c r="AD12" s="60" t="str">
        <f>IF(AND(M12&lt;&gt;"", M12&lt;&gt;0), N12/$N$505*MATCH(AC12,'Misc Lists'!$K$2:$K$25,0), "")</f>
        <v/>
      </c>
      <c r="AE12" s="90" t="str">
        <f t="shared" si="6"/>
        <v/>
      </c>
      <c r="AF12" s="99" t="str">
        <f>IF(AND(M12&lt;&gt;"", M12&lt;&gt;0), N12/$N$505*MATCH(AE12,'Misc Lists'!$L$2:$L$25,0), "")</f>
        <v/>
      </c>
    </row>
    <row r="13" spans="1:32" x14ac:dyDescent="0.5">
      <c r="B13" s="60" t="str">
        <f ca="1"/>
        <v>842400GQ0</v>
      </c>
      <c r="C13" s="61" t="str">
        <f ca="1"/>
        <v>N/A</v>
      </c>
      <c r="D13" s="60" t="str">
        <f ca="1"/>
        <v>SOUTHERN CALIF      EDISON CO SER 2019A 4.20000% 03/01/2029 BOND CALL MAKE WHOLE</v>
      </c>
      <c r="E13" s="61" t="str">
        <f ca="1"/>
        <v>Corp</v>
      </c>
      <c r="F13" s="62">
        <f ca="1"/>
        <v>4.2</v>
      </c>
      <c r="G13" s="63">
        <f ca="1"/>
        <v>47178</v>
      </c>
      <c r="H13" s="61" t="str">
        <f ca="1"/>
        <v>A2</v>
      </c>
      <c r="I13" s="61" t="str">
        <f ca="1"/>
        <v>A-</v>
      </c>
      <c r="J13" s="64">
        <f ca="1"/>
        <v>96.697000000000003</v>
      </c>
      <c r="K13" s="17">
        <f ca="1"/>
        <v>5.13</v>
      </c>
      <c r="L13" s="18" t="str">
        <f ca="1"/>
        <v>200(1)</v>
      </c>
      <c r="M13" s="83">
        <v>200</v>
      </c>
      <c r="N13" s="84">
        <f t="shared" ca="1" si="7"/>
        <v>193394</v>
      </c>
      <c r="O13" s="20">
        <f t="shared" ca="1" si="8"/>
        <v>0.19338606150217533</v>
      </c>
      <c r="P13" s="64">
        <f t="shared" ca="1" si="9"/>
        <v>42</v>
      </c>
      <c r="Q13" s="85">
        <f t="shared" ca="1" si="10"/>
        <v>45791.491364930553</v>
      </c>
      <c r="R13" s="86">
        <f t="shared" ca="1" si="11"/>
        <v>4</v>
      </c>
      <c r="S13" s="86">
        <f t="shared" ca="1" si="12"/>
        <v>3.4271848457063072</v>
      </c>
      <c r="T13" s="104">
        <f t="shared" ca="1" si="13"/>
        <v>5.1672327404679537E-2</v>
      </c>
      <c r="U13" s="19">
        <f ca="1">IF(AND(M13&lt;&gt;"",M13&lt;&gt;0), IF(E13 = "Muni", T13, IF(E13="Corp", T13*(1 -'Investor Input'!$C$4-'Investor Input'!$C$5), T13*(1 -'Investor Input'!$C$4))), T13)</f>
        <v>2.7903056798526952E-2</v>
      </c>
      <c r="V13" s="84">
        <f t="shared" ca="1" si="14"/>
        <v>199685.17266960326</v>
      </c>
      <c r="W13" s="84">
        <f t="shared" ca="1" si="0"/>
        <v>6291.1726696032565</v>
      </c>
      <c r="X13" s="21">
        <f t="shared" ca="1" si="1"/>
        <v>3.2530340494551314E-2</v>
      </c>
      <c r="Y13" s="60">
        <f t="shared" ca="1" si="2"/>
        <v>3</v>
      </c>
      <c r="Z13" s="60">
        <f t="shared" ca="1" si="3"/>
        <v>9</v>
      </c>
      <c r="AA13" s="64">
        <f t="shared" ca="1" si="4"/>
        <v>4200</v>
      </c>
      <c r="AB13" s="64">
        <f ca="1">IF(AND(AA13&lt;&gt;"",AA13&lt;&gt;0), IF(E13="Muni", AA13, IF(E13 = "Corp", (1-'Investor Input'!$C$4-'Investor Input'!$C$5)*AA13, (1-'Investor Input'!$C$4)*AA13)), AA13)</f>
        <v>2268</v>
      </c>
      <c r="AC13" s="94" t="str">
        <f t="shared" ca="1" si="5"/>
        <v>A2</v>
      </c>
      <c r="AD13" s="60">
        <f ca="1">IF(AND(M13&lt;&gt;"", M13&lt;&gt;0), N13/$N$505*MATCH(AC13,'Misc Lists'!$K$2:$K$25,0), "")</f>
        <v>1.3537024305152272</v>
      </c>
      <c r="AE13" s="90" t="str">
        <f t="shared" ca="1" si="6"/>
        <v>A-</v>
      </c>
      <c r="AF13" s="99">
        <f ca="1">IF(AND(M13&lt;&gt;"", M13&lt;&gt;0), N13/$N$505*MATCH(AE13,'Misc Lists'!$L$2:$L$25,0), "")</f>
        <v>1.5470884920174026</v>
      </c>
    </row>
    <row r="14" spans="1:32" hidden="1" x14ac:dyDescent="0.5">
      <c r="B14" s="60" t="str">
        <f ca="1"/>
        <v>91159XBG9</v>
      </c>
      <c r="C14" s="61" t="str">
        <f ca="1"/>
        <v>N/A</v>
      </c>
      <c r="D14" s="60" t="str">
        <f ca="1"/>
        <v>US BANCORP          SER CC MTN          5.20000% 12/26/2029</v>
      </c>
      <c r="E14" s="61" t="str">
        <f ca="1"/>
        <v>Corp</v>
      </c>
      <c r="F14" s="62">
        <f ca="1"/>
        <v>5.2</v>
      </c>
      <c r="G14" s="63">
        <f ca="1"/>
        <v>47478</v>
      </c>
      <c r="H14" s="61" t="str">
        <f ca="1"/>
        <v>A3</v>
      </c>
      <c r="I14" s="61" t="str">
        <f ca="1"/>
        <v>A</v>
      </c>
      <c r="J14" s="64">
        <f ca="1"/>
        <v>100.33199999999999</v>
      </c>
      <c r="K14" s="17">
        <f ca="1"/>
        <v>5.1219999999999999</v>
      </c>
      <c r="L14" s="18" t="str">
        <f ca="1"/>
        <v>40(2)</v>
      </c>
      <c r="M14" s="83"/>
      <c r="N14" s="84" t="str">
        <f t="shared" si="7"/>
        <v/>
      </c>
      <c r="O14" s="20" t="str">
        <f t="shared" si="8"/>
        <v/>
      </c>
      <c r="P14" s="64" t="str">
        <f t="shared" si="9"/>
        <v/>
      </c>
      <c r="Q14" s="85" t="str">
        <f t="shared" ca="1" si="10"/>
        <v/>
      </c>
      <c r="R14" s="86" t="str">
        <f t="shared" si="11"/>
        <v/>
      </c>
      <c r="S14" s="86" t="str">
        <f t="shared" si="12"/>
        <v/>
      </c>
      <c r="T14" s="104" t="str">
        <f t="shared" si="13"/>
        <v/>
      </c>
      <c r="U14" s="19" t="str">
        <f>IF(AND(M14&lt;&gt;"",M14&lt;&gt;0), IF(E14 = "Muni", T14, IF(E14="Corp", T14*(1 -'Investor Input'!$C$4-'Investor Input'!$C$5), T14*(1 -'Investor Input'!$C$4))), T14)</f>
        <v/>
      </c>
      <c r="V14" s="84" t="str">
        <f t="shared" si="14"/>
        <v/>
      </c>
      <c r="W14" s="84" t="str">
        <f t="shared" si="0"/>
        <v/>
      </c>
      <c r="X14" s="21" t="str">
        <f t="shared" si="1"/>
        <v/>
      </c>
      <c r="Y14" s="60" t="str">
        <f t="shared" si="2"/>
        <v/>
      </c>
      <c r="Z14" s="60" t="str">
        <f t="shared" si="3"/>
        <v/>
      </c>
      <c r="AA14" s="64" t="str">
        <f t="shared" si="4"/>
        <v/>
      </c>
      <c r="AB14" s="64" t="str">
        <f>IF(AND(AA14&lt;&gt;"",AA14&lt;&gt;0), IF(E14="Muni", AA14, IF(E14 = "Corp", (1-'Investor Input'!$C$4-'Investor Input'!$C$5)*AA14, (1-'Investor Input'!$C$4)*AA14)), AA14)</f>
        <v/>
      </c>
      <c r="AC14" s="94" t="str">
        <f t="shared" si="5"/>
        <v/>
      </c>
      <c r="AD14" s="60" t="str">
        <f>IF(AND(M14&lt;&gt;"", M14&lt;&gt;0), N14/$N$505*MATCH(AC14,'Misc Lists'!$K$2:$K$25,0), "")</f>
        <v/>
      </c>
      <c r="AE14" s="90" t="str">
        <f t="shared" si="6"/>
        <v/>
      </c>
      <c r="AF14" s="99" t="str">
        <f>IF(AND(M14&lt;&gt;"", M14&lt;&gt;0), N14/$N$505*MATCH(AE14,'Misc Lists'!$L$2:$L$25,0), "")</f>
        <v/>
      </c>
    </row>
    <row r="15" spans="1:32" hidden="1" x14ac:dyDescent="0.5">
      <c r="B15" s="60" t="str">
        <f ca="1"/>
        <v>06055JJV2</v>
      </c>
      <c r="C15" s="61" t="str">
        <f ca="1"/>
        <v>N/A</v>
      </c>
      <c r="D15" s="60" t="str">
        <f ca="1"/>
        <v>BANK AMERICA CORP   SER P MTN           5.20000% 02/26/2030</v>
      </c>
      <c r="E15" s="61" t="str">
        <f ca="1"/>
        <v>Corp</v>
      </c>
      <c r="F15" s="62">
        <f ca="1"/>
        <v>5.2</v>
      </c>
      <c r="G15" s="63">
        <f ca="1"/>
        <v>47540</v>
      </c>
      <c r="H15" s="61" t="str">
        <f ca="1"/>
        <v>A1</v>
      </c>
      <c r="I15" s="61" t="str">
        <f ca="1"/>
        <v>A-</v>
      </c>
      <c r="J15" s="64">
        <f ca="1"/>
        <v>100.35</v>
      </c>
      <c r="K15" s="17">
        <f ca="1"/>
        <v>5.1189999999999998</v>
      </c>
      <c r="L15" s="18" t="str">
        <f ca="1"/>
        <v>1,135(10)</v>
      </c>
      <c r="M15" s="83"/>
      <c r="N15" s="84" t="str">
        <f t="shared" si="7"/>
        <v/>
      </c>
      <c r="O15" s="20" t="str">
        <f t="shared" si="8"/>
        <v/>
      </c>
      <c r="P15" s="64" t="str">
        <f t="shared" si="9"/>
        <v/>
      </c>
      <c r="Q15" s="85" t="str">
        <f t="shared" ca="1" si="10"/>
        <v/>
      </c>
      <c r="R15" s="86" t="str">
        <f t="shared" si="11"/>
        <v/>
      </c>
      <c r="S15" s="86" t="str">
        <f t="shared" si="12"/>
        <v/>
      </c>
      <c r="T15" s="104" t="str">
        <f t="shared" si="13"/>
        <v/>
      </c>
      <c r="U15" s="19" t="str">
        <f>IF(AND(M15&lt;&gt;"",M15&lt;&gt;0), IF(E15 = "Muni", T15, IF(E15="Corp", T15*(1 -'Investor Input'!$C$4-'Investor Input'!$C$5), T15*(1 -'Investor Input'!$C$4))), T15)</f>
        <v/>
      </c>
      <c r="V15" s="84" t="str">
        <f t="shared" si="14"/>
        <v/>
      </c>
      <c r="W15" s="84" t="str">
        <f t="shared" si="0"/>
        <v/>
      </c>
      <c r="X15" s="21" t="str">
        <f t="shared" si="1"/>
        <v/>
      </c>
      <c r="Y15" s="60" t="str">
        <f t="shared" si="2"/>
        <v/>
      </c>
      <c r="Z15" s="60" t="str">
        <f t="shared" si="3"/>
        <v/>
      </c>
      <c r="AA15" s="64" t="str">
        <f t="shared" si="4"/>
        <v/>
      </c>
      <c r="AB15" s="64" t="str">
        <f>IF(AND(AA15&lt;&gt;"",AA15&lt;&gt;0), IF(E15="Muni", AA15, IF(E15 = "Corp", (1-'Investor Input'!$C$4-'Investor Input'!$C$5)*AA15, (1-'Investor Input'!$C$4)*AA15)), AA15)</f>
        <v/>
      </c>
      <c r="AC15" s="94" t="str">
        <f t="shared" si="5"/>
        <v/>
      </c>
      <c r="AD15" s="60" t="str">
        <f>IF(AND(M15&lt;&gt;"", M15&lt;&gt;0), N15/$N$505*MATCH(AC15,'Misc Lists'!$K$2:$K$25,0), "")</f>
        <v/>
      </c>
      <c r="AE15" s="90" t="str">
        <f t="shared" si="6"/>
        <v/>
      </c>
      <c r="AF15" s="99" t="str">
        <f>IF(AND(M15&lt;&gt;"", M15&lt;&gt;0), N15/$N$505*MATCH(AE15,'Misc Lists'!$L$2:$L$25,0), "")</f>
        <v/>
      </c>
    </row>
    <row r="16" spans="1:32" x14ac:dyDescent="0.5">
      <c r="B16" s="60" t="str">
        <f ca="1"/>
        <v>89788KAA4</v>
      </c>
      <c r="C16" s="61" t="str">
        <f ca="1"/>
        <v>N/A</v>
      </c>
      <c r="D16" s="60" t="str">
        <f ca="1"/>
        <v>TRUIST BK           NOTE                2.25000% 03/11/2030</v>
      </c>
      <c r="E16" s="61" t="str">
        <f ca="1"/>
        <v>Corp</v>
      </c>
      <c r="F16" s="62">
        <f ca="1"/>
        <v>2.25</v>
      </c>
      <c r="G16" s="63">
        <f ca="1"/>
        <v>47553</v>
      </c>
      <c r="H16" s="61" t="str">
        <f ca="1"/>
        <v>A3</v>
      </c>
      <c r="I16" s="61" t="str">
        <f ca="1"/>
        <v>A-</v>
      </c>
      <c r="J16" s="64">
        <f ca="1"/>
        <v>87.492999999999995</v>
      </c>
      <c r="K16" s="17">
        <f ca="1"/>
        <v>5.1180000000000003</v>
      </c>
      <c r="L16" s="18" t="str">
        <f ca="1"/>
        <v>500(250)</v>
      </c>
      <c r="M16" s="83">
        <v>500</v>
      </c>
      <c r="N16" s="84">
        <f t="shared" ca="1" si="7"/>
        <v>437465</v>
      </c>
      <c r="O16" s="20">
        <f t="shared" ca="1" si="8"/>
        <v>0.43744704279889307</v>
      </c>
      <c r="P16" s="64">
        <f t="shared" ca="1" si="9"/>
        <v>22.5</v>
      </c>
      <c r="Q16" s="85">
        <f t="shared" ca="1" si="10"/>
        <v>45791.491364930553</v>
      </c>
      <c r="R16" s="86">
        <f t="shared" ca="1" si="11"/>
        <v>5</v>
      </c>
      <c r="S16" s="86">
        <f t="shared" ca="1" si="12"/>
        <v>4.4470674086007822</v>
      </c>
      <c r="T16" s="104">
        <f t="shared" ca="1" si="13"/>
        <v>5.2145698861951278E-2</v>
      </c>
      <c r="U16" s="19">
        <f ca="1">IF(AND(M16&lt;&gt;"",M16&lt;&gt;0), IF(E16 = "Muni", T16, IF(E16="Corp", T16*(1 -'Investor Input'!$C$4-'Investor Input'!$C$5), T16*(1 -'Investor Input'!$C$4))), T16)</f>
        <v>2.8158677385453693E-2</v>
      </c>
      <c r="V16" s="84">
        <f t="shared" ca="1" si="14"/>
        <v>497581.4605403014</v>
      </c>
      <c r="W16" s="84">
        <f t="shared" ca="1" si="0"/>
        <v>60116.460540301399</v>
      </c>
      <c r="X16" s="21">
        <f t="shared" ca="1" si="1"/>
        <v>0.13742004626724744</v>
      </c>
      <c r="Y16" s="60">
        <f t="shared" ca="1" si="2"/>
        <v>3</v>
      </c>
      <c r="Z16" s="60">
        <f t="shared" ca="1" si="3"/>
        <v>9</v>
      </c>
      <c r="AA16" s="64">
        <f t="shared" ca="1" si="4"/>
        <v>5625</v>
      </c>
      <c r="AB16" s="64">
        <f ca="1">IF(AND(AA16&lt;&gt;"",AA16&lt;&gt;0), IF(E16="Muni", AA16, IF(E16 = "Corp", (1-'Investor Input'!$C$4-'Investor Input'!$C$5)*AA16, (1-'Investor Input'!$C$4)*AA16)), AA16)</f>
        <v>3037.5</v>
      </c>
      <c r="AC16" s="94" t="str">
        <f t="shared" ca="1" si="5"/>
        <v>A3</v>
      </c>
      <c r="AD16" s="60">
        <f ca="1">IF(AND(M16&lt;&gt;"", M16&lt;&gt;0), N16/$N$505*MATCH(AC16,'Misc Lists'!$K$2:$K$25,0), "")</f>
        <v>3.4995763423911446</v>
      </c>
      <c r="AE16" s="90" t="str">
        <f t="shared" ca="1" si="6"/>
        <v>A-</v>
      </c>
      <c r="AF16" s="99">
        <f ca="1">IF(AND(M16&lt;&gt;"", M16&lt;&gt;0), N16/$N$505*MATCH(AE16,'Misc Lists'!$L$2:$L$25,0), "")</f>
        <v>3.4995763423911446</v>
      </c>
    </row>
    <row r="17" spans="2:32" hidden="1" x14ac:dyDescent="0.5">
      <c r="B17" s="60" t="str">
        <f ca="1"/>
        <v>46513JXM8</v>
      </c>
      <c r="C17" s="61" t="str">
        <f ca="1"/>
        <v>N/A</v>
      </c>
      <c r="D17" s="60" t="str">
        <f ca="1"/>
        <v>ISRAEL(STATE OF)    NOTE                2.50000% 01/15/2030 ISIN #US46513JXM88  SEDOL #BKVGCR7</v>
      </c>
      <c r="E17" s="61" t="str">
        <f ca="1"/>
        <v>Corp</v>
      </c>
      <c r="F17" s="62">
        <f ca="1"/>
        <v>2.5</v>
      </c>
      <c r="G17" s="63">
        <f ca="1"/>
        <v>47498</v>
      </c>
      <c r="H17" s="61" t="str">
        <f ca="1"/>
        <v>BAA1</v>
      </c>
      <c r="I17" s="61" t="str">
        <f ca="1"/>
        <v>A</v>
      </c>
      <c r="J17" s="64">
        <f ca="1"/>
        <v>88.938999999999993</v>
      </c>
      <c r="K17" s="17">
        <f ca="1"/>
        <v>5.1070000000000002</v>
      </c>
      <c r="L17" s="18" t="str">
        <f ca="1"/>
        <v>225(200)</v>
      </c>
      <c r="M17" s="83"/>
      <c r="N17" s="84" t="str">
        <f t="shared" si="7"/>
        <v/>
      </c>
      <c r="O17" s="20" t="str">
        <f t="shared" si="8"/>
        <v/>
      </c>
      <c r="P17" s="64" t="str">
        <f t="shared" si="9"/>
        <v/>
      </c>
      <c r="Q17" s="85" t="str">
        <f t="shared" ca="1" si="10"/>
        <v/>
      </c>
      <c r="R17" s="86" t="str">
        <f t="shared" si="11"/>
        <v/>
      </c>
      <c r="S17" s="86" t="str">
        <f t="shared" si="12"/>
        <v/>
      </c>
      <c r="T17" s="104" t="str">
        <f t="shared" si="13"/>
        <v/>
      </c>
      <c r="U17" s="19" t="str">
        <f>IF(AND(M17&lt;&gt;"",M17&lt;&gt;0), IF(E17 = "Muni", T17, IF(E17="Corp", T17*(1 -'Investor Input'!$C$4-'Investor Input'!$C$5), T17*(1 -'Investor Input'!$C$4))), T17)</f>
        <v/>
      </c>
      <c r="V17" s="84" t="str">
        <f t="shared" si="14"/>
        <v/>
      </c>
      <c r="W17" s="84" t="str">
        <f t="shared" si="0"/>
        <v/>
      </c>
      <c r="X17" s="21" t="str">
        <f t="shared" si="1"/>
        <v/>
      </c>
      <c r="Y17" s="60" t="str">
        <f t="shared" si="2"/>
        <v/>
      </c>
      <c r="Z17" s="60" t="str">
        <f t="shared" si="3"/>
        <v/>
      </c>
      <c r="AA17" s="64" t="str">
        <f t="shared" si="4"/>
        <v/>
      </c>
      <c r="AB17" s="64" t="str">
        <f>IF(AND(AA17&lt;&gt;"",AA17&lt;&gt;0), IF(E17="Muni", AA17, IF(E17 = "Corp", (1-'Investor Input'!$C$4-'Investor Input'!$C$5)*AA17, (1-'Investor Input'!$C$4)*AA17)), AA17)</f>
        <v/>
      </c>
      <c r="AC17" s="94" t="str">
        <f t="shared" si="5"/>
        <v/>
      </c>
      <c r="AD17" s="60" t="str">
        <f>IF(AND(M17&lt;&gt;"", M17&lt;&gt;0), N17/$N$505*MATCH(AC17,'Misc Lists'!$K$2:$K$25,0), "")</f>
        <v/>
      </c>
      <c r="AE17" s="90" t="str">
        <f t="shared" si="6"/>
        <v/>
      </c>
      <c r="AF17" s="99" t="str">
        <f>IF(AND(M17&lt;&gt;"", M17&lt;&gt;0), N17/$N$505*MATCH(AE17,'Misc Lists'!$L$2:$L$25,0), "")</f>
        <v/>
      </c>
    </row>
    <row r="18" spans="2:32" hidden="1" x14ac:dyDescent="0.5">
      <c r="B18" s="60" t="str">
        <f ca="1"/>
        <v>48135NTR7</v>
      </c>
      <c r="C18" s="61" t="str">
        <f ca="1"/>
        <v>N/A</v>
      </c>
      <c r="D18" s="60" t="str">
        <f ca="1"/>
        <v>JPMORGAN CHASE FINL CO LLC SER A MTN    5.25000% 02/28/2030</v>
      </c>
      <c r="E18" s="61" t="str">
        <f ca="1"/>
        <v>Corp</v>
      </c>
      <c r="F18" s="62">
        <f ca="1"/>
        <v>5.25</v>
      </c>
      <c r="G18" s="63">
        <f ca="1"/>
        <v>47542</v>
      </c>
      <c r="H18" s="61" t="str">
        <f ca="1"/>
        <v>A1</v>
      </c>
      <c r="I18" s="61" t="str">
        <f ca="1"/>
        <v>A</v>
      </c>
      <c r="J18" s="64">
        <f ca="1"/>
        <v>100.648</v>
      </c>
      <c r="K18" s="17">
        <f ca="1"/>
        <v>5.0999999999999996</v>
      </c>
      <c r="L18" s="18" t="str">
        <f ca="1"/>
        <v>628(1)</v>
      </c>
      <c r="M18" s="83"/>
      <c r="N18" s="84" t="str">
        <f t="shared" si="7"/>
        <v/>
      </c>
      <c r="O18" s="20" t="str">
        <f t="shared" si="8"/>
        <v/>
      </c>
      <c r="P18" s="64" t="str">
        <f t="shared" si="9"/>
        <v/>
      </c>
      <c r="Q18" s="85" t="str">
        <f t="shared" ca="1" si="10"/>
        <v/>
      </c>
      <c r="R18" s="86" t="str">
        <f t="shared" si="11"/>
        <v/>
      </c>
      <c r="S18" s="86" t="str">
        <f t="shared" si="12"/>
        <v/>
      </c>
      <c r="T18" s="104" t="str">
        <f t="shared" si="13"/>
        <v/>
      </c>
      <c r="U18" s="19" t="str">
        <f>IF(AND(M18&lt;&gt;"",M18&lt;&gt;0), IF(E18 = "Muni", T18, IF(E18="Corp", T18*(1 -'Investor Input'!$C$4-'Investor Input'!$C$5), T18*(1 -'Investor Input'!$C$4))), T18)</f>
        <v/>
      </c>
      <c r="V18" s="84" t="str">
        <f t="shared" si="14"/>
        <v/>
      </c>
      <c r="W18" s="84" t="str">
        <f t="shared" si="0"/>
        <v/>
      </c>
      <c r="X18" s="21" t="str">
        <f t="shared" si="1"/>
        <v/>
      </c>
      <c r="Y18" s="60" t="str">
        <f t="shared" si="2"/>
        <v/>
      </c>
      <c r="Z18" s="60" t="str">
        <f t="shared" si="3"/>
        <v/>
      </c>
      <c r="AA18" s="64" t="str">
        <f t="shared" si="4"/>
        <v/>
      </c>
      <c r="AB18" s="64" t="str">
        <f>IF(AND(AA18&lt;&gt;"",AA18&lt;&gt;0), IF(E18="Muni", AA18, IF(E18 = "Corp", (1-'Investor Input'!$C$4-'Investor Input'!$C$5)*AA18, (1-'Investor Input'!$C$4)*AA18)), AA18)</f>
        <v/>
      </c>
      <c r="AC18" s="94" t="str">
        <f t="shared" si="5"/>
        <v/>
      </c>
      <c r="AD18" s="60" t="str">
        <f>IF(AND(M18&lt;&gt;"", M18&lt;&gt;0), N18/$N$505*MATCH(AC18,'Misc Lists'!$K$2:$K$25,0), "")</f>
        <v/>
      </c>
      <c r="AE18" s="90" t="str">
        <f t="shared" si="6"/>
        <v/>
      </c>
      <c r="AF18" s="99" t="str">
        <f>IF(AND(M18&lt;&gt;"", M18&lt;&gt;0), N18/$N$505*MATCH(AE18,'Misc Lists'!$L$2:$L$25,0), "")</f>
        <v/>
      </c>
    </row>
    <row r="19" spans="2:32" x14ac:dyDescent="0.5">
      <c r="B19" s="60" t="str">
        <f ca="1"/>
        <v>842400JC8</v>
      </c>
      <c r="C19" s="61" t="str">
        <f ca="1"/>
        <v>N/A</v>
      </c>
      <c r="D19" s="60" t="str">
        <f ca="1"/>
        <v>SOUTHERN CALIF      EDISON CO SER 2024D 5.15000% 06/01/2029 BOND CALL MAKE WHOLE</v>
      </c>
      <c r="E19" s="61" t="str">
        <f ca="1"/>
        <v>Corp</v>
      </c>
      <c r="F19" s="62">
        <f ca="1"/>
        <v>5.15</v>
      </c>
      <c r="G19" s="63">
        <f ca="1"/>
        <v>47270</v>
      </c>
      <c r="H19" s="61" t="str">
        <f ca="1"/>
        <v>A2</v>
      </c>
      <c r="I19" s="61" t="str">
        <f ca="1"/>
        <v>A-</v>
      </c>
      <c r="J19" s="64">
        <f ca="1"/>
        <v>100.205</v>
      </c>
      <c r="K19" s="17">
        <f ca="1"/>
        <v>5.093</v>
      </c>
      <c r="L19" s="18" t="str">
        <f ca="1"/>
        <v>100(10)</v>
      </c>
      <c r="M19" s="83">
        <v>100</v>
      </c>
      <c r="N19" s="84">
        <f t="shared" ca="1" si="7"/>
        <v>100205</v>
      </c>
      <c r="O19" s="20">
        <f t="shared" ca="1" si="8"/>
        <v>0.10020088675359876</v>
      </c>
      <c r="P19" s="64">
        <f t="shared" ca="1" si="9"/>
        <v>51.5</v>
      </c>
      <c r="Q19" s="85">
        <f t="shared" ca="1" si="10"/>
        <v>45791.491364930553</v>
      </c>
      <c r="R19" s="86">
        <f t="shared" ca="1" si="11"/>
        <v>4</v>
      </c>
      <c r="S19" s="86">
        <f t="shared" ca="1" si="12"/>
        <v>3.531505378616473</v>
      </c>
      <c r="T19" s="104">
        <f t="shared" ca="1" si="13"/>
        <v>5.0925407618392537E-2</v>
      </c>
      <c r="U19" s="19">
        <f ca="1">IF(AND(M19&lt;&gt;"",M19&lt;&gt;0), IF(E19 = "Muni", T19, IF(E19="Corp", T19*(1 -'Investor Input'!$C$4-'Investor Input'!$C$5), T19*(1 -'Investor Input'!$C$4))), T19)</f>
        <v>2.7499720113931973E-2</v>
      </c>
      <c r="V19" s="84">
        <f t="shared" ca="1" si="14"/>
        <v>99998.436333662103</v>
      </c>
      <c r="W19" s="84">
        <f t="shared" ca="1" si="0"/>
        <v>-206.5636663378973</v>
      </c>
      <c r="X19" s="21">
        <f t="shared" ca="1" si="1"/>
        <v>-2.0614107712978126E-3</v>
      </c>
      <c r="Y19" s="60">
        <f t="shared" ca="1" si="2"/>
        <v>6</v>
      </c>
      <c r="Z19" s="60">
        <f t="shared" ca="1" si="3"/>
        <v>12</v>
      </c>
      <c r="AA19" s="64">
        <f t="shared" ca="1" si="4"/>
        <v>2575</v>
      </c>
      <c r="AB19" s="64">
        <f ca="1">IF(AND(AA19&lt;&gt;"",AA19&lt;&gt;0), IF(E19="Muni", AA19, IF(E19 = "Corp", (1-'Investor Input'!$C$4-'Investor Input'!$C$5)*AA19, (1-'Investor Input'!$C$4)*AA19)), AA19)</f>
        <v>1390.5</v>
      </c>
      <c r="AC19" s="94" t="str">
        <f t="shared" ca="1" si="5"/>
        <v>A2</v>
      </c>
      <c r="AD19" s="60">
        <f ca="1">IF(AND(M19&lt;&gt;"", M19&lt;&gt;0), N19/$N$505*MATCH(AC19,'Misc Lists'!$K$2:$K$25,0), "")</f>
        <v>0.70140620727519132</v>
      </c>
      <c r="AE19" s="90" t="str">
        <f t="shared" ca="1" si="6"/>
        <v>A-</v>
      </c>
      <c r="AF19" s="99">
        <f ca="1">IF(AND(M19&lt;&gt;"", M19&lt;&gt;0), N19/$N$505*MATCH(AE19,'Misc Lists'!$L$2:$L$25,0), "")</f>
        <v>0.80160709402879005</v>
      </c>
    </row>
    <row r="20" spans="2:32" hidden="1" x14ac:dyDescent="0.5">
      <c r="B20" s="60" t="str">
        <f ca="1"/>
        <v>06055JJQ3</v>
      </c>
      <c r="C20" s="61" t="str">
        <f ca="1"/>
        <v>N/A</v>
      </c>
      <c r="D20" s="60" t="str">
        <f ca="1"/>
        <v>BANK AMERICA CORP   SER P MTN           5.15000% 02/06/2030</v>
      </c>
      <c r="E20" s="61" t="str">
        <f ca="1"/>
        <v>Corp</v>
      </c>
      <c r="F20" s="62">
        <f ca="1"/>
        <v>5.15</v>
      </c>
      <c r="G20" s="63">
        <f ca="1"/>
        <v>47520</v>
      </c>
      <c r="H20" s="61" t="str">
        <f ca="1"/>
        <v>A1</v>
      </c>
      <c r="I20" s="61" t="str">
        <f ca="1"/>
        <v>A-</v>
      </c>
      <c r="J20" s="64">
        <f ca="1"/>
        <v>100.25</v>
      </c>
      <c r="K20" s="17">
        <f ca="1"/>
        <v>5.0919999999999996</v>
      </c>
      <c r="L20" s="18" t="str">
        <f ca="1"/>
        <v>35(5)</v>
      </c>
      <c r="M20" s="83"/>
      <c r="N20" s="84" t="str">
        <f t="shared" si="7"/>
        <v/>
      </c>
      <c r="O20" s="20" t="str">
        <f t="shared" si="8"/>
        <v/>
      </c>
      <c r="P20" s="64" t="str">
        <f t="shared" si="9"/>
        <v/>
      </c>
      <c r="Q20" s="85" t="str">
        <f t="shared" ca="1" si="10"/>
        <v/>
      </c>
      <c r="R20" s="86" t="str">
        <f t="shared" si="11"/>
        <v/>
      </c>
      <c r="S20" s="86" t="str">
        <f t="shared" si="12"/>
        <v/>
      </c>
      <c r="T20" s="104" t="str">
        <f t="shared" si="13"/>
        <v/>
      </c>
      <c r="U20" s="19" t="str">
        <f>IF(AND(M20&lt;&gt;"",M20&lt;&gt;0), IF(E20 = "Muni", T20, IF(E20="Corp", T20*(1 -'Investor Input'!$C$4-'Investor Input'!$C$5), T20*(1 -'Investor Input'!$C$4))), T20)</f>
        <v/>
      </c>
      <c r="V20" s="84" t="str">
        <f t="shared" si="14"/>
        <v/>
      </c>
      <c r="W20" s="84" t="str">
        <f t="shared" si="0"/>
        <v/>
      </c>
      <c r="X20" s="21" t="str">
        <f t="shared" si="1"/>
        <v/>
      </c>
      <c r="Y20" s="60" t="str">
        <f t="shared" si="2"/>
        <v/>
      </c>
      <c r="Z20" s="60" t="str">
        <f t="shared" si="3"/>
        <v/>
      </c>
      <c r="AA20" s="64" t="str">
        <f t="shared" si="4"/>
        <v/>
      </c>
      <c r="AB20" s="64" t="str">
        <f>IF(AND(AA20&lt;&gt;"",AA20&lt;&gt;0), IF(E20="Muni", AA20, IF(E20 = "Corp", (1-'Investor Input'!$C$4-'Investor Input'!$C$5)*AA20, (1-'Investor Input'!$C$4)*AA20)), AA20)</f>
        <v/>
      </c>
      <c r="AC20" s="94" t="str">
        <f t="shared" si="5"/>
        <v/>
      </c>
      <c r="AD20" s="60" t="str">
        <f>IF(AND(M20&lt;&gt;"", M20&lt;&gt;0), N20/$N$505*MATCH(AC20,'Misc Lists'!$K$2:$K$25,0), "")</f>
        <v/>
      </c>
      <c r="AE20" s="90" t="str">
        <f t="shared" si="6"/>
        <v/>
      </c>
      <c r="AF20" s="99" t="str">
        <f>IF(AND(M20&lt;&gt;"", M20&lt;&gt;0), N20/$N$505*MATCH(AE20,'Misc Lists'!$L$2:$L$25,0), "")</f>
        <v/>
      </c>
    </row>
    <row r="21" spans="2:32" hidden="1" outlineLevel="1" x14ac:dyDescent="0.5">
      <c r="B21" s="60" t="str">
        <f ca="1"/>
        <v>842400GS6</v>
      </c>
      <c r="C21" s="61" t="str">
        <f ca="1"/>
        <v>N/A</v>
      </c>
      <c r="D21" s="60" t="str">
        <f ca="1"/>
        <v>SOUTHERN CALIF      EDISON CO SER 2019C 2.85000% 08/01/2029 BOND CALL MAKE WHOLE</v>
      </c>
      <c r="E21" s="61" t="str">
        <f ca="1"/>
        <v>Corp</v>
      </c>
      <c r="F21" s="62">
        <f ca="1"/>
        <v>2.85</v>
      </c>
      <c r="G21" s="63">
        <f ca="1"/>
        <v>47331</v>
      </c>
      <c r="H21" s="61" t="str">
        <f ca="1"/>
        <v>A2</v>
      </c>
      <c r="I21" s="61" t="str">
        <f ca="1"/>
        <v>A-</v>
      </c>
      <c r="J21" s="64">
        <f ca="1"/>
        <v>91.299000000000007</v>
      </c>
      <c r="K21" s="17">
        <f ca="1"/>
        <v>5.0880000000000001</v>
      </c>
      <c r="L21" s="18" t="str">
        <f ca="1"/>
        <v>500(1)</v>
      </c>
      <c r="M21" s="83"/>
      <c r="N21" s="84" t="str">
        <f t="shared" si="7"/>
        <v/>
      </c>
      <c r="O21" s="20" t="str">
        <f t="shared" si="8"/>
        <v/>
      </c>
      <c r="P21" s="64" t="str">
        <f t="shared" si="9"/>
        <v/>
      </c>
      <c r="Q21" s="85" t="str">
        <f t="shared" ca="1" si="10"/>
        <v/>
      </c>
      <c r="R21" s="86" t="str">
        <f t="shared" si="11"/>
        <v/>
      </c>
      <c r="S21" s="86" t="str">
        <f t="shared" si="12"/>
        <v/>
      </c>
      <c r="T21" s="104" t="str">
        <f t="shared" si="13"/>
        <v/>
      </c>
      <c r="U21" s="19" t="str">
        <f>IF(AND(M21&lt;&gt;"",M21&lt;&gt;0), IF(E21 = "Muni", T21, IF(E21="Corp", T21*(1 -'Investor Input'!$C$4-'Investor Input'!$C$5), T21*(1 -'Investor Input'!$C$4))), T21)</f>
        <v/>
      </c>
      <c r="V21" s="84" t="str">
        <f t="shared" si="14"/>
        <v/>
      </c>
      <c r="W21" s="84" t="str">
        <f t="shared" si="0"/>
        <v/>
      </c>
      <c r="X21" s="21" t="str">
        <f t="shared" si="1"/>
        <v/>
      </c>
      <c r="Y21" s="60" t="str">
        <f t="shared" si="2"/>
        <v/>
      </c>
      <c r="Z21" s="60" t="str">
        <f t="shared" si="3"/>
        <v/>
      </c>
      <c r="AA21" s="64" t="str">
        <f t="shared" si="4"/>
        <v/>
      </c>
      <c r="AB21" s="64" t="str">
        <f>IF(AND(AA21&lt;&gt;"",AA21&lt;&gt;0), IF(E21="Muni", AA21, IF(E21 = "Corp", (1-'Investor Input'!$C$4-'Investor Input'!$C$5)*AA21, (1-'Investor Input'!$C$4)*AA21)), AA21)</f>
        <v/>
      </c>
      <c r="AC21" s="94" t="str">
        <f t="shared" si="5"/>
        <v/>
      </c>
      <c r="AD21" s="60" t="str">
        <f>IF(AND(M21&lt;&gt;"", M21&lt;&gt;0), N21/$N$505*MATCH(AC21,'Misc Lists'!$K$2:$K$25,0), "")</f>
        <v/>
      </c>
      <c r="AE21" s="90" t="str">
        <f t="shared" si="6"/>
        <v/>
      </c>
      <c r="AF21" s="99" t="str">
        <f>IF(AND(M21&lt;&gt;"", M21&lt;&gt;0), N21/$N$505*MATCH(AE21,'Misc Lists'!$L$2:$L$25,0), "")</f>
        <v/>
      </c>
    </row>
    <row r="22" spans="2:32" hidden="1" outlineLevel="1" x14ac:dyDescent="0.5">
      <c r="B22" s="60" t="str">
        <f ca="1"/>
        <v>06746AN33</v>
      </c>
      <c r="C22" s="61" t="str">
        <f ca="1"/>
        <v>N/A</v>
      </c>
      <c r="D22" s="60" t="str">
        <f ca="1"/>
        <v>BARCLAYS BANK PLC   SER A MTN           5.20000% 03/04/2030</v>
      </c>
      <c r="E22" s="61" t="str">
        <f ca="1"/>
        <v>Corp</v>
      </c>
      <c r="F22" s="62">
        <f ca="1"/>
        <v>5.2</v>
      </c>
      <c r="G22" s="63">
        <f ca="1"/>
        <v>47546</v>
      </c>
      <c r="H22" s="61" t="str">
        <f ca="1"/>
        <v>A1</v>
      </c>
      <c r="I22" s="61" t="str">
        <f ca="1"/>
        <v>A+</v>
      </c>
      <c r="J22" s="64">
        <f ca="1"/>
        <v>100.5</v>
      </c>
      <c r="K22" s="17">
        <f ca="1"/>
        <v>5.085</v>
      </c>
      <c r="L22" s="18" t="str">
        <f ca="1"/>
        <v>169(1)</v>
      </c>
      <c r="M22" s="83"/>
      <c r="N22" s="84" t="str">
        <f t="shared" si="7"/>
        <v/>
      </c>
      <c r="O22" s="20" t="str">
        <f t="shared" si="8"/>
        <v/>
      </c>
      <c r="P22" s="64" t="str">
        <f t="shared" si="9"/>
        <v/>
      </c>
      <c r="Q22" s="85" t="str">
        <f t="shared" ca="1" si="10"/>
        <v/>
      </c>
      <c r="R22" s="86" t="str">
        <f t="shared" si="11"/>
        <v/>
      </c>
      <c r="S22" s="86" t="str">
        <f t="shared" si="12"/>
        <v/>
      </c>
      <c r="T22" s="104" t="str">
        <f t="shared" si="13"/>
        <v/>
      </c>
      <c r="U22" s="19" t="str">
        <f>IF(AND(M22&lt;&gt;"",M22&lt;&gt;0), IF(E22 = "Muni", T22, IF(E22="Corp", T22*(1 -'Investor Input'!$C$4-'Investor Input'!$C$5), T22*(1 -'Investor Input'!$C$4))), T22)</f>
        <v/>
      </c>
      <c r="V22" s="84" t="str">
        <f t="shared" si="14"/>
        <v/>
      </c>
      <c r="W22" s="84" t="str">
        <f t="shared" si="0"/>
        <v/>
      </c>
      <c r="X22" s="21" t="str">
        <f t="shared" si="1"/>
        <v/>
      </c>
      <c r="Y22" s="60" t="str">
        <f t="shared" si="2"/>
        <v/>
      </c>
      <c r="Z22" s="60" t="str">
        <f t="shared" si="3"/>
        <v/>
      </c>
      <c r="AA22" s="64" t="str">
        <f t="shared" si="4"/>
        <v/>
      </c>
      <c r="AB22" s="64" t="str">
        <f>IF(AND(AA22&lt;&gt;"",AA22&lt;&gt;0), IF(E22="Muni", AA22, IF(E22 = "Corp", (1-'Investor Input'!$C$4-'Investor Input'!$C$5)*AA22, (1-'Investor Input'!$C$4)*AA22)), AA22)</f>
        <v/>
      </c>
      <c r="AC22" s="94" t="str">
        <f t="shared" si="5"/>
        <v/>
      </c>
      <c r="AD22" s="60" t="str">
        <f>IF(AND(M22&lt;&gt;"", M22&lt;&gt;0), N22/$N$505*MATCH(AC22,'Misc Lists'!$K$2:$K$25,0), "")</f>
        <v/>
      </c>
      <c r="AE22" s="90" t="str">
        <f t="shared" si="6"/>
        <v/>
      </c>
      <c r="AF22" s="99" t="str">
        <f>IF(AND(M22&lt;&gt;"", M22&lt;&gt;0), N22/$N$505*MATCH(AE22,'Misc Lists'!$L$2:$L$25,0), "")</f>
        <v/>
      </c>
    </row>
    <row r="23" spans="2:32" hidden="1" outlineLevel="1" x14ac:dyDescent="0.5">
      <c r="B23" s="60" t="str">
        <f ca="1"/>
        <v>03076CAK2</v>
      </c>
      <c r="C23" s="61" t="str">
        <f ca="1"/>
        <v>N/A</v>
      </c>
      <c r="D23" s="60" t="str">
        <f ca="1"/>
        <v>AMERIPRISE FINL INC NOTE                3.00000% 04/02/2025</v>
      </c>
      <c r="E23" s="61" t="str">
        <f ca="1"/>
        <v>Corp</v>
      </c>
      <c r="F23" s="62">
        <f ca="1"/>
        <v>3</v>
      </c>
      <c r="G23" s="63">
        <f ca="1"/>
        <v>45749</v>
      </c>
      <c r="H23" s="61" t="str">
        <f ca="1"/>
        <v>A3</v>
      </c>
      <c r="I23" s="61" t="str">
        <f ca="1"/>
        <v>A-</v>
      </c>
      <c r="J23" s="64">
        <f ca="1"/>
        <v>99.882000000000005</v>
      </c>
      <c r="K23" s="17">
        <f ca="1"/>
        <v>5.0620000000000003</v>
      </c>
      <c r="L23" s="18" t="str">
        <f ca="1"/>
        <v>250(10)</v>
      </c>
      <c r="M23" s="83"/>
      <c r="N23" s="84" t="str">
        <f t="shared" si="7"/>
        <v/>
      </c>
      <c r="O23" s="20" t="str">
        <f t="shared" si="8"/>
        <v/>
      </c>
      <c r="P23" s="64" t="str">
        <f t="shared" si="9"/>
        <v/>
      </c>
      <c r="Q23" s="85" t="str">
        <f t="shared" ca="1" si="10"/>
        <v/>
      </c>
      <c r="R23" s="86" t="str">
        <f t="shared" si="11"/>
        <v/>
      </c>
      <c r="S23" s="86" t="str">
        <f t="shared" si="12"/>
        <v/>
      </c>
      <c r="T23" s="104" t="str">
        <f t="shared" si="13"/>
        <v/>
      </c>
      <c r="U23" s="19" t="str">
        <f>IF(AND(M23&lt;&gt;"",M23&lt;&gt;0), IF(E23 = "Muni", T23, IF(E23="Corp", T23*(1 -'Investor Input'!$C$4-'Investor Input'!$C$5), T23*(1 -'Investor Input'!$C$4))), T23)</f>
        <v/>
      </c>
      <c r="V23" s="84" t="str">
        <f t="shared" si="14"/>
        <v/>
      </c>
      <c r="W23" s="84" t="str">
        <f t="shared" si="0"/>
        <v/>
      </c>
      <c r="X23" s="21" t="str">
        <f t="shared" si="1"/>
        <v/>
      </c>
      <c r="Y23" s="60" t="str">
        <f t="shared" si="2"/>
        <v/>
      </c>
      <c r="Z23" s="60" t="str">
        <f t="shared" si="3"/>
        <v/>
      </c>
      <c r="AA23" s="64" t="str">
        <f t="shared" si="4"/>
        <v/>
      </c>
      <c r="AB23" s="64" t="str">
        <f>IF(AND(AA23&lt;&gt;"",AA23&lt;&gt;0), IF(E23="Muni", AA23, IF(E23 = "Corp", (1-'Investor Input'!$C$4-'Investor Input'!$C$5)*AA23, (1-'Investor Input'!$C$4)*AA23)), AA23)</f>
        <v/>
      </c>
      <c r="AC23" s="94" t="str">
        <f t="shared" si="5"/>
        <v/>
      </c>
      <c r="AD23" s="60" t="str">
        <f>IF(AND(M23&lt;&gt;"", M23&lt;&gt;0), N23/$N$505*MATCH(AC23,'Misc Lists'!$K$2:$K$25,0), "")</f>
        <v/>
      </c>
      <c r="AE23" s="90" t="str">
        <f t="shared" si="6"/>
        <v/>
      </c>
      <c r="AF23" s="99" t="str">
        <f>IF(AND(M23&lt;&gt;"", M23&lt;&gt;0), N23/$N$505*MATCH(AE23,'Misc Lists'!$L$2:$L$25,0), "")</f>
        <v/>
      </c>
    </row>
    <row r="24" spans="2:32" outlineLevel="1" x14ac:dyDescent="0.5">
      <c r="B24" s="60" t="str">
        <f ca="1"/>
        <v>25161FA99</v>
      </c>
      <c r="C24" s="61" t="str">
        <f ca="1"/>
        <v>N/A</v>
      </c>
      <c r="D24" s="60" t="str">
        <f ca="1"/>
        <v>DEUTSCHE BK AG      SER E NOTE          5.05000% 08/16/2029</v>
      </c>
      <c r="E24" s="61" t="str">
        <f ca="1"/>
        <v>Corp</v>
      </c>
      <c r="F24" s="62">
        <f ca="1"/>
        <v>5.05</v>
      </c>
      <c r="G24" s="63">
        <f ca="1"/>
        <v>47346</v>
      </c>
      <c r="H24" s="61" t="str">
        <f ca="1"/>
        <v>A1</v>
      </c>
      <c r="I24" s="61" t="str">
        <f ca="1"/>
        <v>A</v>
      </c>
      <c r="J24" s="64">
        <f ca="1"/>
        <v>99.992000000000004</v>
      </c>
      <c r="K24" s="17">
        <f ca="1"/>
        <v>5.0510000000000002</v>
      </c>
      <c r="L24" s="18" t="str">
        <f ca="1"/>
        <v>20(20)</v>
      </c>
      <c r="M24" s="83">
        <v>20</v>
      </c>
      <c r="N24" s="84">
        <f t="shared" ca="1" si="7"/>
        <v>19998.400000000001</v>
      </c>
      <c r="O24" s="20">
        <f t="shared" ca="1" si="8"/>
        <v>1.9997579099377973E-2</v>
      </c>
      <c r="P24" s="64">
        <f t="shared" ca="1" si="9"/>
        <v>50.5</v>
      </c>
      <c r="Q24" s="85">
        <f t="shared" ca="1" si="10"/>
        <v>45791.491364930553</v>
      </c>
      <c r="R24" s="86">
        <f t="shared" ca="1" si="11"/>
        <v>4</v>
      </c>
      <c r="S24" s="86">
        <f t="shared" ca="1" si="12"/>
        <v>3.7422842026046683</v>
      </c>
      <c r="T24" s="104">
        <f t="shared" ca="1" si="13"/>
        <v>5.0500354090374754E-2</v>
      </c>
      <c r="U24" s="19">
        <f ca="1">IF(AND(M24&lt;&gt;"",M24&lt;&gt;0), IF(E24 = "Muni", T24, IF(E24="Corp", T24*(1 -'Investor Input'!$C$4-'Investor Input'!$C$5), T24*(1 -'Investor Input'!$C$4))), T24)</f>
        <v>2.727019120880237E-2</v>
      </c>
      <c r="V24" s="84">
        <f t="shared" ca="1" si="14"/>
        <v>19998.958521252811</v>
      </c>
      <c r="W24" s="84">
        <f t="shared" ca="1" si="0"/>
        <v>0.55852125280944165</v>
      </c>
      <c r="X24" s="21">
        <f t="shared" ca="1" si="1"/>
        <v>2.7928296904224419E-5</v>
      </c>
      <c r="Y24" s="60">
        <f t="shared" ca="1" si="2"/>
        <v>8</v>
      </c>
      <c r="Z24" s="60">
        <f t="shared" ca="1" si="3"/>
        <v>2</v>
      </c>
      <c r="AA24" s="64">
        <f t="shared" ca="1" si="4"/>
        <v>505</v>
      </c>
      <c r="AB24" s="64">
        <f ca="1">IF(AND(AA24&lt;&gt;"",AA24&lt;&gt;0), IF(E24="Muni", AA24, IF(E24 = "Corp", (1-'Investor Input'!$C$4-'Investor Input'!$C$5)*AA24, (1-'Investor Input'!$C$4)*AA24)), AA24)</f>
        <v>272.70000000000005</v>
      </c>
      <c r="AC24" s="94" t="str">
        <f t="shared" ca="1" si="5"/>
        <v>A1</v>
      </c>
      <c r="AD24" s="60">
        <f ca="1">IF(AND(M24&lt;&gt;"", M24&lt;&gt;0), N24/$N$505*MATCH(AC24,'Misc Lists'!$K$2:$K$25,0), "")</f>
        <v>0.11998547459626784</v>
      </c>
      <c r="AE24" s="90" t="str">
        <f t="shared" ca="1" si="6"/>
        <v>A</v>
      </c>
      <c r="AF24" s="99">
        <f ca="1">IF(AND(M24&lt;&gt;"", M24&lt;&gt;0), N24/$N$505*MATCH(AE24,'Misc Lists'!$L$2:$L$25,0), "")</f>
        <v>0.13998305369564581</v>
      </c>
    </row>
    <row r="25" spans="2:32" hidden="1" outlineLevel="1" x14ac:dyDescent="0.5">
      <c r="B25" s="60" t="str">
        <f ca="1"/>
        <v>48135NTG1</v>
      </c>
      <c r="C25" s="61" t="str">
        <f ca="1"/>
        <v>N/A</v>
      </c>
      <c r="D25" s="60" t="str">
        <f ca="1"/>
        <v>JPMORGAN CHASE FINL CO LLC SER A MTN    5.15000% 02/14/2030</v>
      </c>
      <c r="E25" s="61" t="str">
        <f ca="1"/>
        <v>Corp</v>
      </c>
      <c r="F25" s="62">
        <f ca="1"/>
        <v>5.15</v>
      </c>
      <c r="G25" s="63">
        <f ca="1"/>
        <v>47528</v>
      </c>
      <c r="H25" s="61" t="str">
        <f ca="1"/>
        <v>A1</v>
      </c>
      <c r="I25" s="61" t="str">
        <f ca="1"/>
        <v>A</v>
      </c>
      <c r="J25" s="64">
        <f ca="1"/>
        <v>100.44199999999999</v>
      </c>
      <c r="K25" s="17">
        <f ca="1"/>
        <v>5.0460000000000003</v>
      </c>
      <c r="L25" s="18" t="str">
        <f ca="1"/>
        <v>980(1)</v>
      </c>
      <c r="M25" s="83"/>
      <c r="N25" s="84" t="str">
        <f t="shared" si="7"/>
        <v/>
      </c>
      <c r="O25" s="20" t="str">
        <f t="shared" si="8"/>
        <v/>
      </c>
      <c r="P25" s="64" t="str">
        <f t="shared" si="9"/>
        <v/>
      </c>
      <c r="Q25" s="85" t="str">
        <f t="shared" ca="1" si="10"/>
        <v/>
      </c>
      <c r="R25" s="86" t="str">
        <f t="shared" si="11"/>
        <v/>
      </c>
      <c r="S25" s="86" t="str">
        <f t="shared" si="12"/>
        <v/>
      </c>
      <c r="T25" s="104" t="str">
        <f t="shared" si="13"/>
        <v/>
      </c>
      <c r="U25" s="19" t="str">
        <f>IF(AND(M25&lt;&gt;"",M25&lt;&gt;0), IF(E25 = "Muni", T25, IF(E25="Corp", T25*(1 -'Investor Input'!$C$4-'Investor Input'!$C$5), T25*(1 -'Investor Input'!$C$4))), T25)</f>
        <v/>
      </c>
      <c r="V25" s="84" t="str">
        <f t="shared" si="14"/>
        <v/>
      </c>
      <c r="W25" s="84" t="str">
        <f t="shared" si="0"/>
        <v/>
      </c>
      <c r="X25" s="21" t="str">
        <f t="shared" si="1"/>
        <v/>
      </c>
      <c r="Y25" s="60" t="str">
        <f t="shared" si="2"/>
        <v/>
      </c>
      <c r="Z25" s="60" t="str">
        <f t="shared" si="3"/>
        <v/>
      </c>
      <c r="AA25" s="64" t="str">
        <f t="shared" si="4"/>
        <v/>
      </c>
      <c r="AB25" s="64" t="str">
        <f>IF(AND(AA25&lt;&gt;"",AA25&lt;&gt;0), IF(E25="Muni", AA25, IF(E25 = "Corp", (1-'Investor Input'!$C$4-'Investor Input'!$C$5)*AA25, (1-'Investor Input'!$C$4)*AA25)), AA25)</f>
        <v/>
      </c>
      <c r="AC25" s="94" t="str">
        <f t="shared" si="5"/>
        <v/>
      </c>
      <c r="AD25" s="60" t="str">
        <f>IF(AND(M25&lt;&gt;"", M25&lt;&gt;0), N25/$N$505*MATCH(AC25,'Misc Lists'!$K$2:$K$25,0), "")</f>
        <v/>
      </c>
      <c r="AE25" s="90" t="str">
        <f t="shared" si="6"/>
        <v/>
      </c>
      <c r="AF25" s="99" t="str">
        <f>IF(AND(M25&lt;&gt;"", M25&lt;&gt;0), N25/$N$505*MATCH(AE25,'Misc Lists'!$L$2:$L$25,0), "")</f>
        <v/>
      </c>
    </row>
    <row r="26" spans="2:32" hidden="1" outlineLevel="1" x14ac:dyDescent="0.5">
      <c r="B26" s="60" t="str">
        <f ca="1"/>
        <v>89114XDV2</v>
      </c>
      <c r="C26" s="61" t="str">
        <f ca="1"/>
        <v>N/A</v>
      </c>
      <c r="D26" s="60" t="str">
        <f ca="1"/>
        <v>TORONTO DOMINION BK ONT SER D MTN       5.10000% 02/15/2027 ISIN #US89114XDV29</v>
      </c>
      <c r="E26" s="61" t="str">
        <f ca="1"/>
        <v>Corp</v>
      </c>
      <c r="F26" s="62">
        <f ca="1"/>
        <v>5.0999999999999996</v>
      </c>
      <c r="G26" s="63">
        <f ca="1"/>
        <v>46433</v>
      </c>
      <c r="H26" s="61" t="str">
        <f ca="1"/>
        <v>A2</v>
      </c>
      <c r="I26" s="61" t="str">
        <f ca="1"/>
        <v>A-</v>
      </c>
      <c r="J26" s="64">
        <f ca="1"/>
        <v>100.11499999999999</v>
      </c>
      <c r="K26" s="17">
        <f ca="1"/>
        <v>5.0359999999999996</v>
      </c>
      <c r="L26" s="18" t="str">
        <f ca="1"/>
        <v>75(25)</v>
      </c>
      <c r="M26" s="83"/>
      <c r="N26" s="84" t="str">
        <f t="shared" si="7"/>
        <v/>
      </c>
      <c r="O26" s="20" t="str">
        <f t="shared" si="8"/>
        <v/>
      </c>
      <c r="P26" s="64" t="str">
        <f t="shared" si="9"/>
        <v/>
      </c>
      <c r="Q26" s="85" t="str">
        <f t="shared" ca="1" si="10"/>
        <v/>
      </c>
      <c r="R26" s="86" t="str">
        <f t="shared" si="11"/>
        <v/>
      </c>
      <c r="S26" s="86" t="str">
        <f t="shared" si="12"/>
        <v/>
      </c>
      <c r="T26" s="104" t="str">
        <f t="shared" si="13"/>
        <v/>
      </c>
      <c r="U26" s="19" t="str">
        <f>IF(AND(M26&lt;&gt;"",M26&lt;&gt;0), IF(E26 = "Muni", T26, IF(E26="Corp", T26*(1 -'Investor Input'!$C$4-'Investor Input'!$C$5), T26*(1 -'Investor Input'!$C$4))), T26)</f>
        <v/>
      </c>
      <c r="V26" s="84" t="str">
        <f t="shared" si="14"/>
        <v/>
      </c>
      <c r="W26" s="84" t="str">
        <f t="shared" si="0"/>
        <v/>
      </c>
      <c r="X26" s="21" t="str">
        <f t="shared" si="1"/>
        <v/>
      </c>
      <c r="Y26" s="60" t="str">
        <f t="shared" si="2"/>
        <v/>
      </c>
      <c r="Z26" s="60" t="str">
        <f t="shared" si="3"/>
        <v/>
      </c>
      <c r="AA26" s="64" t="str">
        <f t="shared" si="4"/>
        <v/>
      </c>
      <c r="AB26" s="64" t="str">
        <f>IF(AND(AA26&lt;&gt;"",AA26&lt;&gt;0), IF(E26="Muni", AA26, IF(E26 = "Corp", (1-'Investor Input'!$C$4-'Investor Input'!$C$5)*AA26, (1-'Investor Input'!$C$4)*AA26)), AA26)</f>
        <v/>
      </c>
      <c r="AC26" s="94" t="str">
        <f t="shared" si="5"/>
        <v/>
      </c>
      <c r="AD26" s="60" t="str">
        <f>IF(AND(M26&lt;&gt;"", M26&lt;&gt;0), N26/$N$505*MATCH(AC26,'Misc Lists'!$K$2:$K$25,0), "")</f>
        <v/>
      </c>
      <c r="AE26" s="90" t="str">
        <f t="shared" si="6"/>
        <v/>
      </c>
      <c r="AF26" s="99" t="str">
        <f>IF(AND(M26&lt;&gt;"", M26&lt;&gt;0), N26/$N$505*MATCH(AE26,'Misc Lists'!$L$2:$L$25,0), "")</f>
        <v/>
      </c>
    </row>
    <row r="27" spans="2:32" hidden="1" outlineLevel="1" x14ac:dyDescent="0.5">
      <c r="B27" s="60" t="str">
        <f ca="1"/>
        <v>06418VKL7</v>
      </c>
      <c r="C27" s="61" t="str">
        <f ca="1"/>
        <v>N/A</v>
      </c>
      <c r="D27" s="60" t="str">
        <f ca="1"/>
        <v>BANK NOVA SCOTIA B CSER B NOTE          5.05000% 02/28/2030</v>
      </c>
      <c r="E27" s="61" t="str">
        <f ca="1"/>
        <v>Corp</v>
      </c>
      <c r="F27" s="62">
        <f ca="1"/>
        <v>5.05</v>
      </c>
      <c r="G27" s="63">
        <f ca="1"/>
        <v>47542</v>
      </c>
      <c r="H27" s="61" t="str">
        <f ca="1"/>
        <v>A2</v>
      </c>
      <c r="I27" s="61" t="str">
        <f ca="1"/>
        <v>A-</v>
      </c>
      <c r="J27" s="64">
        <f ca="1"/>
        <v>100.09</v>
      </c>
      <c r="K27" s="17">
        <f ca="1"/>
        <v>5.0289999999999999</v>
      </c>
      <c r="L27" s="18" t="str">
        <f ca="1"/>
        <v>975(1)</v>
      </c>
      <c r="M27" s="83"/>
      <c r="N27" s="84" t="str">
        <f t="shared" si="7"/>
        <v/>
      </c>
      <c r="O27" s="20" t="str">
        <f t="shared" si="8"/>
        <v/>
      </c>
      <c r="P27" s="64" t="str">
        <f t="shared" si="9"/>
        <v/>
      </c>
      <c r="Q27" s="85" t="str">
        <f t="shared" ca="1" si="10"/>
        <v/>
      </c>
      <c r="R27" s="86" t="str">
        <f t="shared" si="11"/>
        <v/>
      </c>
      <c r="S27" s="86" t="str">
        <f t="shared" si="12"/>
        <v/>
      </c>
      <c r="T27" s="104" t="str">
        <f t="shared" si="13"/>
        <v/>
      </c>
      <c r="U27" s="19" t="str">
        <f>IF(AND(M27&lt;&gt;"",M27&lt;&gt;0), IF(E27 = "Muni", T27, IF(E27="Corp", T27*(1 -'Investor Input'!$C$4-'Investor Input'!$C$5), T27*(1 -'Investor Input'!$C$4))), T27)</f>
        <v/>
      </c>
      <c r="V27" s="84" t="str">
        <f t="shared" si="14"/>
        <v/>
      </c>
      <c r="W27" s="84" t="str">
        <f t="shared" si="0"/>
        <v/>
      </c>
      <c r="X27" s="21" t="str">
        <f t="shared" si="1"/>
        <v/>
      </c>
      <c r="Y27" s="60" t="str">
        <f t="shared" si="2"/>
        <v/>
      </c>
      <c r="Z27" s="60" t="str">
        <f t="shared" si="3"/>
        <v/>
      </c>
      <c r="AA27" s="64" t="str">
        <f t="shared" si="4"/>
        <v/>
      </c>
      <c r="AB27" s="64" t="str">
        <f>IF(AND(AA27&lt;&gt;"",AA27&lt;&gt;0), IF(E27="Muni", AA27, IF(E27 = "Corp", (1-'Investor Input'!$C$4-'Investor Input'!$C$5)*AA27, (1-'Investor Input'!$C$4)*AA27)), AA27)</f>
        <v/>
      </c>
      <c r="AC27" s="94" t="str">
        <f t="shared" si="5"/>
        <v/>
      </c>
      <c r="AD27" s="60" t="str">
        <f>IF(AND(M27&lt;&gt;"", M27&lt;&gt;0), N27/$N$505*MATCH(AC27,'Misc Lists'!$K$2:$K$25,0), "")</f>
        <v/>
      </c>
      <c r="AE27" s="90" t="str">
        <f t="shared" si="6"/>
        <v/>
      </c>
      <c r="AF27" s="99" t="str">
        <f>IF(AND(M27&lt;&gt;"", M27&lt;&gt;0), N27/$N$505*MATCH(AE27,'Misc Lists'!$L$2:$L$25,0), "")</f>
        <v/>
      </c>
    </row>
    <row r="28" spans="2:32" hidden="1" outlineLevel="1" x14ac:dyDescent="0.5">
      <c r="B28" s="60" t="str">
        <f ca="1"/>
        <v>63305MDA6</v>
      </c>
      <c r="C28" s="61" t="str">
        <f ca="1"/>
        <v>N/A</v>
      </c>
      <c r="D28" s="60" t="str">
        <f ca="1"/>
        <v>NATL BANK OF CANADA NOTE                5.00000% 08/28/2028</v>
      </c>
      <c r="E28" s="61" t="str">
        <f ca="1"/>
        <v>Corp</v>
      </c>
      <c r="F28" s="62">
        <f ca="1"/>
        <v>5</v>
      </c>
      <c r="G28" s="63">
        <f ca="1"/>
        <v>46993</v>
      </c>
      <c r="H28" s="61" t="str">
        <f ca="1"/>
        <v>AA2</v>
      </c>
      <c r="I28" s="61" t="str">
        <f ca="1"/>
        <v>A+</v>
      </c>
      <c r="J28" s="64">
        <f ca="1"/>
        <v>99.95</v>
      </c>
      <c r="K28" s="17">
        <f ca="1"/>
        <v>5.0229999999999997</v>
      </c>
      <c r="L28" s="18" t="str">
        <f ca="1"/>
        <v>725(100)</v>
      </c>
      <c r="M28" s="83"/>
      <c r="N28" s="84" t="str">
        <f t="shared" si="7"/>
        <v/>
      </c>
      <c r="O28" s="20" t="str">
        <f t="shared" si="8"/>
        <v/>
      </c>
      <c r="P28" s="64" t="str">
        <f t="shared" si="9"/>
        <v/>
      </c>
      <c r="Q28" s="85" t="str">
        <f t="shared" ca="1" si="10"/>
        <v/>
      </c>
      <c r="R28" s="86" t="str">
        <f t="shared" si="11"/>
        <v/>
      </c>
      <c r="S28" s="86" t="str">
        <f t="shared" si="12"/>
        <v/>
      </c>
      <c r="T28" s="104" t="str">
        <f t="shared" si="13"/>
        <v/>
      </c>
      <c r="U28" s="19" t="str">
        <f>IF(AND(M28&lt;&gt;"",M28&lt;&gt;0), IF(E28 = "Muni", T28, IF(E28="Corp", T28*(1 -'Investor Input'!$C$4-'Investor Input'!$C$5), T28*(1 -'Investor Input'!$C$4))), T28)</f>
        <v/>
      </c>
      <c r="V28" s="84" t="str">
        <f t="shared" si="14"/>
        <v/>
      </c>
      <c r="W28" s="84" t="str">
        <f t="shared" si="0"/>
        <v/>
      </c>
      <c r="X28" s="21" t="str">
        <f t="shared" si="1"/>
        <v/>
      </c>
      <c r="Y28" s="60" t="str">
        <f t="shared" si="2"/>
        <v/>
      </c>
      <c r="Z28" s="60" t="str">
        <f t="shared" si="3"/>
        <v/>
      </c>
      <c r="AA28" s="64" t="str">
        <f t="shared" si="4"/>
        <v/>
      </c>
      <c r="AB28" s="64" t="str">
        <f>IF(AND(AA28&lt;&gt;"",AA28&lt;&gt;0), IF(E28="Muni", AA28, IF(E28 = "Corp", (1-'Investor Input'!$C$4-'Investor Input'!$C$5)*AA28, (1-'Investor Input'!$C$4)*AA28)), AA28)</f>
        <v/>
      </c>
      <c r="AC28" s="94" t="str">
        <f t="shared" si="5"/>
        <v/>
      </c>
      <c r="AD28" s="60" t="str">
        <f>IF(AND(M28&lt;&gt;"", M28&lt;&gt;0), N28/$N$505*MATCH(AC28,'Misc Lists'!$K$2:$K$25,0), "")</f>
        <v/>
      </c>
      <c r="AE28" s="90" t="str">
        <f t="shared" si="6"/>
        <v/>
      </c>
      <c r="AF28" s="99" t="str">
        <f>IF(AND(M28&lt;&gt;"", M28&lt;&gt;0), N28/$N$505*MATCH(AE28,'Misc Lists'!$L$2:$L$25,0), "")</f>
        <v/>
      </c>
    </row>
    <row r="29" spans="2:32" hidden="1" outlineLevel="1" x14ac:dyDescent="0.5">
      <c r="B29" s="60" t="str">
        <f ca="1"/>
        <v>854502AL5</v>
      </c>
      <c r="C29" s="61" t="str">
        <f ca="1"/>
        <v>N/A</v>
      </c>
      <c r="D29" s="60" t="str">
        <f ca="1"/>
        <v>STANLEY BLACK &amp;DECKER INC NOTE    2.30000% 03/15/2030 CALL MAKE WHOLE</v>
      </c>
      <c r="E29" s="61" t="str">
        <f ca="1"/>
        <v>Corp</v>
      </c>
      <c r="F29" s="62">
        <f ca="1"/>
        <v>2.2999999999999998</v>
      </c>
      <c r="G29" s="63">
        <f ca="1"/>
        <v>47557</v>
      </c>
      <c r="H29" s="61" t="str">
        <f ca="1"/>
        <v>BAA3</v>
      </c>
      <c r="I29" s="61" t="str">
        <f ca="1"/>
        <v>A-</v>
      </c>
      <c r="J29" s="64">
        <f ca="1"/>
        <v>88.087000000000003</v>
      </c>
      <c r="K29" s="17">
        <f ca="1"/>
        <v>5.0199999999999996</v>
      </c>
      <c r="L29" s="18" t="str">
        <f ca="1"/>
        <v>500(2)</v>
      </c>
      <c r="M29" s="83"/>
      <c r="N29" s="84" t="str">
        <f t="shared" si="7"/>
        <v/>
      </c>
      <c r="O29" s="20" t="str">
        <f t="shared" si="8"/>
        <v/>
      </c>
      <c r="P29" s="64" t="str">
        <f t="shared" si="9"/>
        <v/>
      </c>
      <c r="Q29" s="85" t="str">
        <f t="shared" ca="1" si="10"/>
        <v/>
      </c>
      <c r="R29" s="86" t="str">
        <f t="shared" si="11"/>
        <v/>
      </c>
      <c r="S29" s="86" t="str">
        <f t="shared" si="12"/>
        <v/>
      </c>
      <c r="T29" s="104" t="str">
        <f t="shared" si="13"/>
        <v/>
      </c>
      <c r="U29" s="19" t="str">
        <f>IF(AND(M29&lt;&gt;"",M29&lt;&gt;0), IF(E29 = "Muni", T29, IF(E29="Corp", T29*(1 -'Investor Input'!$C$4-'Investor Input'!$C$5), T29*(1 -'Investor Input'!$C$4))), T29)</f>
        <v/>
      </c>
      <c r="V29" s="84" t="str">
        <f t="shared" si="14"/>
        <v/>
      </c>
      <c r="W29" s="84" t="str">
        <f t="shared" si="0"/>
        <v/>
      </c>
      <c r="X29" s="21" t="str">
        <f t="shared" si="1"/>
        <v/>
      </c>
      <c r="Y29" s="60" t="str">
        <f t="shared" si="2"/>
        <v/>
      </c>
      <c r="Z29" s="60" t="str">
        <f t="shared" si="3"/>
        <v/>
      </c>
      <c r="AA29" s="64" t="str">
        <f t="shared" si="4"/>
        <v/>
      </c>
      <c r="AB29" s="64" t="str">
        <f>IF(AND(AA29&lt;&gt;"",AA29&lt;&gt;0), IF(E29="Muni", AA29, IF(E29 = "Corp", (1-'Investor Input'!$C$4-'Investor Input'!$C$5)*AA29, (1-'Investor Input'!$C$4)*AA29)), AA29)</f>
        <v/>
      </c>
      <c r="AC29" s="94" t="str">
        <f t="shared" si="5"/>
        <v/>
      </c>
      <c r="AD29" s="60" t="str">
        <f>IF(AND(M29&lt;&gt;"", M29&lt;&gt;0), N29/$N$505*MATCH(AC29,'Misc Lists'!$K$2:$K$25,0), "")</f>
        <v/>
      </c>
      <c r="AE29" s="90" t="str">
        <f t="shared" si="6"/>
        <v/>
      </c>
      <c r="AF29" s="99" t="str">
        <f>IF(AND(M29&lt;&gt;"", M29&lt;&gt;0), N29/$N$505*MATCH(AE29,'Misc Lists'!$L$2:$L$25,0), "")</f>
        <v/>
      </c>
    </row>
    <row r="30" spans="2:32" hidden="1" outlineLevel="1" x14ac:dyDescent="0.5">
      <c r="B30" s="60" t="str">
        <f ca="1"/>
        <v>842400GJ6</v>
      </c>
      <c r="C30" s="61" t="str">
        <f ca="1"/>
        <v>N/A</v>
      </c>
      <c r="D30" s="60" t="str">
        <f ca="1"/>
        <v>SOUTHERN CALIF      EDISON CO SER 2018B 3.65000% 03/01/2028 BOND CALL MAKE WHOLE</v>
      </c>
      <c r="E30" s="61" t="str">
        <f ca="1"/>
        <v>Corp</v>
      </c>
      <c r="F30" s="62">
        <f ca="1"/>
        <v>3.65</v>
      </c>
      <c r="G30" s="63">
        <f ca="1"/>
        <v>46813</v>
      </c>
      <c r="H30" s="61" t="str">
        <f ca="1"/>
        <v>A2</v>
      </c>
      <c r="I30" s="61" t="str">
        <f ca="1"/>
        <v>A-</v>
      </c>
      <c r="J30" s="64">
        <f ca="1"/>
        <v>96.263999999999996</v>
      </c>
      <c r="K30" s="17">
        <f ca="1"/>
        <v>5.0190000000000001</v>
      </c>
      <c r="L30" s="18" t="str">
        <f ca="1"/>
        <v>500(1)</v>
      </c>
      <c r="M30" s="83"/>
      <c r="N30" s="84" t="str">
        <f t="shared" si="7"/>
        <v/>
      </c>
      <c r="O30" s="20" t="str">
        <f t="shared" si="8"/>
        <v/>
      </c>
      <c r="P30" s="64" t="str">
        <f t="shared" si="9"/>
        <v/>
      </c>
      <c r="Q30" s="85" t="str">
        <f t="shared" ca="1" si="10"/>
        <v/>
      </c>
      <c r="R30" s="86" t="str">
        <f t="shared" si="11"/>
        <v/>
      </c>
      <c r="S30" s="86" t="str">
        <f t="shared" si="12"/>
        <v/>
      </c>
      <c r="T30" s="104" t="str">
        <f t="shared" si="13"/>
        <v/>
      </c>
      <c r="U30" s="19" t="str">
        <f>IF(AND(M30&lt;&gt;"",M30&lt;&gt;0), IF(E30 = "Muni", T30, IF(E30="Corp", T30*(1 -'Investor Input'!$C$4-'Investor Input'!$C$5), T30*(1 -'Investor Input'!$C$4))), T30)</f>
        <v/>
      </c>
      <c r="V30" s="84" t="str">
        <f t="shared" si="14"/>
        <v/>
      </c>
      <c r="W30" s="84" t="str">
        <f t="shared" si="0"/>
        <v/>
      </c>
      <c r="X30" s="21" t="str">
        <f t="shared" si="1"/>
        <v/>
      </c>
      <c r="Y30" s="60" t="str">
        <f t="shared" si="2"/>
        <v/>
      </c>
      <c r="Z30" s="60" t="str">
        <f t="shared" si="3"/>
        <v/>
      </c>
      <c r="AA30" s="64" t="str">
        <f t="shared" si="4"/>
        <v/>
      </c>
      <c r="AB30" s="64" t="str">
        <f>IF(AND(AA30&lt;&gt;"",AA30&lt;&gt;0), IF(E30="Muni", AA30, IF(E30 = "Corp", (1-'Investor Input'!$C$4-'Investor Input'!$C$5)*AA30, (1-'Investor Input'!$C$4)*AA30)), AA30)</f>
        <v/>
      </c>
      <c r="AC30" s="94" t="str">
        <f t="shared" si="5"/>
        <v/>
      </c>
      <c r="AD30" s="60" t="str">
        <f>IF(AND(M30&lt;&gt;"", M30&lt;&gt;0), N30/$N$505*MATCH(AC30,'Misc Lists'!$K$2:$K$25,0), "")</f>
        <v/>
      </c>
      <c r="AE30" s="90" t="str">
        <f t="shared" si="6"/>
        <v/>
      </c>
      <c r="AF30" s="99" t="str">
        <f>IF(AND(M30&lt;&gt;"", M30&lt;&gt;0), N30/$N$505*MATCH(AE30,'Misc Lists'!$L$2:$L$25,0), "")</f>
        <v/>
      </c>
    </row>
    <row r="31" spans="2:32" hidden="1" outlineLevel="1" x14ac:dyDescent="0.5">
      <c r="B31" s="60" t="str">
        <f ca="1"/>
        <v>06418VHG2</v>
      </c>
      <c r="C31" s="61" t="str">
        <f ca="1"/>
        <v>N/A</v>
      </c>
      <c r="D31" s="60" t="str">
        <f ca="1"/>
        <v>BANK NOVA SCOTIA B CSER B NOTE          5.10000% 02/14/2030</v>
      </c>
      <c r="E31" s="61" t="str">
        <f ca="1"/>
        <v>Corp</v>
      </c>
      <c r="F31" s="62">
        <f ca="1"/>
        <v>5.0999999999999996</v>
      </c>
      <c r="G31" s="63">
        <f ca="1"/>
        <v>47528</v>
      </c>
      <c r="H31" s="61" t="str">
        <f ca="1"/>
        <v>A2</v>
      </c>
      <c r="I31" s="61" t="str">
        <f ca="1"/>
        <v>A-</v>
      </c>
      <c r="J31" s="64">
        <f ca="1"/>
        <v>100.358</v>
      </c>
      <c r="K31" s="17">
        <f ca="1"/>
        <v>5.016</v>
      </c>
      <c r="L31" s="18" t="str">
        <f ca="1"/>
        <v>999(1)</v>
      </c>
      <c r="M31" s="83"/>
      <c r="N31" s="84" t="str">
        <f t="shared" si="7"/>
        <v/>
      </c>
      <c r="O31" s="20" t="str">
        <f t="shared" si="8"/>
        <v/>
      </c>
      <c r="P31" s="64" t="str">
        <f t="shared" si="9"/>
        <v/>
      </c>
      <c r="Q31" s="85" t="str">
        <f t="shared" ca="1" si="10"/>
        <v/>
      </c>
      <c r="R31" s="86" t="str">
        <f t="shared" si="11"/>
        <v/>
      </c>
      <c r="S31" s="86" t="str">
        <f t="shared" si="12"/>
        <v/>
      </c>
      <c r="T31" s="104" t="str">
        <f t="shared" si="13"/>
        <v/>
      </c>
      <c r="U31" s="19" t="str">
        <f>IF(AND(M31&lt;&gt;"",M31&lt;&gt;0), IF(E31 = "Muni", T31, IF(E31="Corp", T31*(1 -'Investor Input'!$C$4-'Investor Input'!$C$5), T31*(1 -'Investor Input'!$C$4))), T31)</f>
        <v/>
      </c>
      <c r="V31" s="84" t="str">
        <f t="shared" si="14"/>
        <v/>
      </c>
      <c r="W31" s="84" t="str">
        <f t="shared" si="0"/>
        <v/>
      </c>
      <c r="X31" s="21" t="str">
        <f t="shared" si="1"/>
        <v/>
      </c>
      <c r="Y31" s="60" t="str">
        <f t="shared" si="2"/>
        <v/>
      </c>
      <c r="Z31" s="60" t="str">
        <f t="shared" si="3"/>
        <v/>
      </c>
      <c r="AA31" s="64" t="str">
        <f t="shared" si="4"/>
        <v/>
      </c>
      <c r="AB31" s="64" t="str">
        <f>IF(AND(AA31&lt;&gt;"",AA31&lt;&gt;0), IF(E31="Muni", AA31, IF(E31 = "Corp", (1-'Investor Input'!$C$4-'Investor Input'!$C$5)*AA31, (1-'Investor Input'!$C$4)*AA31)), AA31)</f>
        <v/>
      </c>
      <c r="AC31" s="94" t="str">
        <f t="shared" si="5"/>
        <v/>
      </c>
      <c r="AD31" s="60" t="str">
        <f>IF(AND(M31&lt;&gt;"", M31&lt;&gt;0), N31/$N$505*MATCH(AC31,'Misc Lists'!$K$2:$K$25,0), "")</f>
        <v/>
      </c>
      <c r="AE31" s="90" t="str">
        <f t="shared" si="6"/>
        <v/>
      </c>
      <c r="AF31" s="99" t="str">
        <f>IF(AND(M31&lt;&gt;"", M31&lt;&gt;0), N31/$N$505*MATCH(AE31,'Misc Lists'!$L$2:$L$25,0), "")</f>
        <v/>
      </c>
    </row>
    <row r="32" spans="2:32" hidden="1" outlineLevel="1" x14ac:dyDescent="0.5">
      <c r="B32" s="60" t="str">
        <f ca="1"/>
        <v>842400HU0</v>
      </c>
      <c r="C32" s="61" t="str">
        <f ca="1"/>
        <v>N/A</v>
      </c>
      <c r="D32" s="60" t="str">
        <f ca="1"/>
        <v>SOUTHERN CALIF      EDISON CO SER 2023A 5.30000% 03/01/2028 BOND CALL MAKE WHOLE</v>
      </c>
      <c r="E32" s="61" t="str">
        <f ca="1"/>
        <v>Corp</v>
      </c>
      <c r="F32" s="62">
        <f ca="1"/>
        <v>5.3</v>
      </c>
      <c r="G32" s="63">
        <f ca="1"/>
        <v>46813</v>
      </c>
      <c r="H32" s="61" t="str">
        <f ca="1"/>
        <v>A2</v>
      </c>
      <c r="I32" s="61" t="str">
        <f ca="1"/>
        <v>A-</v>
      </c>
      <c r="J32" s="64">
        <f ca="1"/>
        <v>100.77800000000001</v>
      </c>
      <c r="K32" s="17">
        <f ca="1"/>
        <v>5.0140000000000002</v>
      </c>
      <c r="L32" s="18" t="str">
        <f ca="1"/>
        <v>500(1)</v>
      </c>
      <c r="M32" s="83"/>
      <c r="N32" s="84" t="str">
        <f t="shared" si="7"/>
        <v/>
      </c>
      <c r="O32" s="20" t="str">
        <f t="shared" si="8"/>
        <v/>
      </c>
      <c r="P32" s="64" t="str">
        <f t="shared" si="9"/>
        <v/>
      </c>
      <c r="Q32" s="85" t="str">
        <f t="shared" ca="1" si="10"/>
        <v/>
      </c>
      <c r="R32" s="86" t="str">
        <f t="shared" si="11"/>
        <v/>
      </c>
      <c r="S32" s="86" t="str">
        <f t="shared" si="12"/>
        <v/>
      </c>
      <c r="T32" s="104" t="str">
        <f t="shared" si="13"/>
        <v/>
      </c>
      <c r="U32" s="19" t="str">
        <f>IF(AND(M32&lt;&gt;"",M32&lt;&gt;0), IF(E32 = "Muni", T32, IF(E32="Corp", T32*(1 -'Investor Input'!$C$4-'Investor Input'!$C$5), T32*(1 -'Investor Input'!$C$4))), T32)</f>
        <v/>
      </c>
      <c r="V32" s="84" t="str">
        <f t="shared" si="14"/>
        <v/>
      </c>
      <c r="W32" s="84" t="str">
        <f t="shared" si="0"/>
        <v/>
      </c>
      <c r="X32" s="21" t="str">
        <f t="shared" si="1"/>
        <v/>
      </c>
      <c r="Y32" s="60" t="str">
        <f t="shared" si="2"/>
        <v/>
      </c>
      <c r="Z32" s="60" t="str">
        <f t="shared" si="3"/>
        <v/>
      </c>
      <c r="AA32" s="64" t="str">
        <f t="shared" si="4"/>
        <v/>
      </c>
      <c r="AB32" s="64" t="str">
        <f>IF(AND(AA32&lt;&gt;"",AA32&lt;&gt;0), IF(E32="Muni", AA32, IF(E32 = "Corp", (1-'Investor Input'!$C$4-'Investor Input'!$C$5)*AA32, (1-'Investor Input'!$C$4)*AA32)), AA32)</f>
        <v/>
      </c>
      <c r="AC32" s="94" t="str">
        <f t="shared" si="5"/>
        <v/>
      </c>
      <c r="AD32" s="60" t="str">
        <f>IF(AND(M32&lt;&gt;"", M32&lt;&gt;0), N32/$N$505*MATCH(AC32,'Misc Lists'!$K$2:$K$25,0), "")</f>
        <v/>
      </c>
      <c r="AE32" s="90" t="str">
        <f t="shared" si="6"/>
        <v/>
      </c>
      <c r="AF32" s="99" t="str">
        <f>IF(AND(M32&lt;&gt;"", M32&lt;&gt;0), N32/$N$505*MATCH(AE32,'Misc Lists'!$L$2:$L$25,0), "")</f>
        <v/>
      </c>
    </row>
    <row r="33" spans="2:32" hidden="1" outlineLevel="1" x14ac:dyDescent="0.5">
      <c r="B33" s="60" t="str">
        <f ca="1"/>
        <v>756109BQ6</v>
      </c>
      <c r="C33" s="61" t="str">
        <f ca="1"/>
        <v>N/A</v>
      </c>
      <c r="D33" s="60" t="str">
        <f ca="1"/>
        <v>REALTY INCOME CORP  NOTE                5.05000% 01/13/2026</v>
      </c>
      <c r="E33" s="61" t="str">
        <f ca="1"/>
        <v>Corp</v>
      </c>
      <c r="F33" s="62">
        <f ca="1"/>
        <v>5.05</v>
      </c>
      <c r="G33" s="63">
        <f ca="1"/>
        <v>46035</v>
      </c>
      <c r="H33" s="61" t="str">
        <f ca="1"/>
        <v>A3</v>
      </c>
      <c r="I33" s="61" t="str">
        <f ca="1"/>
        <v>A-</v>
      </c>
      <c r="J33" s="64">
        <f ca="1"/>
        <v>100.03</v>
      </c>
      <c r="K33" s="17">
        <f ca="1"/>
        <v>5.0039999999999996</v>
      </c>
      <c r="L33" s="18" t="str">
        <f ca="1"/>
        <v>18(18)</v>
      </c>
      <c r="M33" s="83"/>
      <c r="N33" s="84" t="str">
        <f t="shared" si="7"/>
        <v/>
      </c>
      <c r="O33" s="20" t="str">
        <f t="shared" si="8"/>
        <v/>
      </c>
      <c r="P33" s="64" t="str">
        <f t="shared" si="9"/>
        <v/>
      </c>
      <c r="Q33" s="85" t="str">
        <f t="shared" ca="1" si="10"/>
        <v/>
      </c>
      <c r="R33" s="86" t="str">
        <f t="shared" si="11"/>
        <v/>
      </c>
      <c r="S33" s="86" t="str">
        <f t="shared" si="12"/>
        <v/>
      </c>
      <c r="T33" s="104" t="str">
        <f t="shared" si="13"/>
        <v/>
      </c>
      <c r="U33" s="19" t="str">
        <f>IF(AND(M33&lt;&gt;"",M33&lt;&gt;0), IF(E33 = "Muni", T33, IF(E33="Corp", T33*(1 -'Investor Input'!$C$4-'Investor Input'!$C$5), T33*(1 -'Investor Input'!$C$4))), T33)</f>
        <v/>
      </c>
      <c r="V33" s="84" t="str">
        <f t="shared" si="14"/>
        <v/>
      </c>
      <c r="W33" s="84" t="str">
        <f t="shared" si="0"/>
        <v/>
      </c>
      <c r="X33" s="21" t="str">
        <f t="shared" si="1"/>
        <v/>
      </c>
      <c r="Y33" s="60" t="str">
        <f t="shared" si="2"/>
        <v/>
      </c>
      <c r="Z33" s="60" t="str">
        <f t="shared" si="3"/>
        <v/>
      </c>
      <c r="AA33" s="64" t="str">
        <f t="shared" si="4"/>
        <v/>
      </c>
      <c r="AB33" s="64" t="str">
        <f>IF(AND(AA33&lt;&gt;"",AA33&lt;&gt;0), IF(E33="Muni", AA33, IF(E33 = "Corp", (1-'Investor Input'!$C$4-'Investor Input'!$C$5)*AA33, (1-'Investor Input'!$C$4)*AA33)), AA33)</f>
        <v/>
      </c>
      <c r="AC33" s="94" t="str">
        <f t="shared" si="5"/>
        <v/>
      </c>
      <c r="AD33" s="60" t="str">
        <f>IF(AND(M33&lt;&gt;"", M33&lt;&gt;0), N33/$N$505*MATCH(AC33,'Misc Lists'!$K$2:$K$25,0), "")</f>
        <v/>
      </c>
      <c r="AE33" s="90" t="str">
        <f t="shared" si="6"/>
        <v/>
      </c>
      <c r="AF33" s="99" t="str">
        <f>IF(AND(M33&lt;&gt;"", M33&lt;&gt;0), N33/$N$505*MATCH(AE33,'Misc Lists'!$L$2:$L$25,0), "")</f>
        <v/>
      </c>
    </row>
    <row r="34" spans="2:32" hidden="1" outlineLevel="1" x14ac:dyDescent="0.5">
      <c r="B34" s="60" t="str">
        <f ca="1"/>
        <v>06376CHS8</v>
      </c>
      <c r="C34" s="61" t="str">
        <f ca="1"/>
        <v>N/A</v>
      </c>
      <c r="D34" s="60" t="str">
        <f ca="1"/>
        <v>BANK MONTREAL MEDIUMSER I MTN           5.00000% 08/24/2028</v>
      </c>
      <c r="E34" s="61" t="str">
        <f ca="1"/>
        <v>Corp</v>
      </c>
      <c r="F34" s="62">
        <f ca="1"/>
        <v>5</v>
      </c>
      <c r="G34" s="63">
        <f ca="1"/>
        <v>46989</v>
      </c>
      <c r="H34" s="61" t="str">
        <f ca="1"/>
        <v>A2</v>
      </c>
      <c r="I34" s="61" t="str">
        <f ca="1"/>
        <v>A-</v>
      </c>
      <c r="J34" s="64">
        <f ca="1"/>
        <v>99.99</v>
      </c>
      <c r="K34" s="17">
        <f ca="1"/>
        <v>5.0019999999999998</v>
      </c>
      <c r="L34" s="18" t="str">
        <f ca="1"/>
        <v>940(1)</v>
      </c>
      <c r="M34" s="83"/>
      <c r="N34" s="84" t="str">
        <f t="shared" si="7"/>
        <v/>
      </c>
      <c r="O34" s="20" t="str">
        <f t="shared" si="8"/>
        <v/>
      </c>
      <c r="P34" s="64" t="str">
        <f t="shared" si="9"/>
        <v/>
      </c>
      <c r="Q34" s="85" t="str">
        <f t="shared" ca="1" si="10"/>
        <v/>
      </c>
      <c r="R34" s="86" t="str">
        <f t="shared" si="11"/>
        <v/>
      </c>
      <c r="S34" s="86" t="str">
        <f t="shared" si="12"/>
        <v/>
      </c>
      <c r="T34" s="104" t="str">
        <f t="shared" si="13"/>
        <v/>
      </c>
      <c r="U34" s="19" t="str">
        <f>IF(AND(M34&lt;&gt;"",M34&lt;&gt;0), IF(E34 = "Muni", T34, IF(E34="Corp", T34*(1 -'Investor Input'!$C$4-'Investor Input'!$C$5), T34*(1 -'Investor Input'!$C$4))), T34)</f>
        <v/>
      </c>
      <c r="V34" s="84" t="str">
        <f t="shared" si="14"/>
        <v/>
      </c>
      <c r="W34" s="84" t="str">
        <f t="shared" si="0"/>
        <v/>
      </c>
      <c r="X34" s="21" t="str">
        <f t="shared" si="1"/>
        <v/>
      </c>
      <c r="Y34" s="60" t="str">
        <f t="shared" si="2"/>
        <v/>
      </c>
      <c r="Z34" s="60" t="str">
        <f t="shared" si="3"/>
        <v/>
      </c>
      <c r="AA34" s="64" t="str">
        <f t="shared" si="4"/>
        <v/>
      </c>
      <c r="AB34" s="64" t="str">
        <f>IF(AND(AA34&lt;&gt;"",AA34&lt;&gt;0), IF(E34="Muni", AA34, IF(E34 = "Corp", (1-'Investor Input'!$C$4-'Investor Input'!$C$5)*AA34, (1-'Investor Input'!$C$4)*AA34)), AA34)</f>
        <v/>
      </c>
      <c r="AC34" s="94" t="str">
        <f t="shared" si="5"/>
        <v/>
      </c>
      <c r="AD34" s="60" t="str">
        <f>IF(AND(M34&lt;&gt;"", M34&lt;&gt;0), N34/$N$505*MATCH(AC34,'Misc Lists'!$K$2:$K$25,0), "")</f>
        <v/>
      </c>
      <c r="AE34" s="90" t="str">
        <f t="shared" si="6"/>
        <v/>
      </c>
      <c r="AF34" s="99" t="str">
        <f>IF(AND(M34&lt;&gt;"", M34&lt;&gt;0), N34/$N$505*MATCH(AE34,'Misc Lists'!$L$2:$L$25,0), "")</f>
        <v/>
      </c>
    </row>
    <row r="35" spans="2:32" hidden="1" outlineLevel="1" x14ac:dyDescent="0.5">
      <c r="B35" s="60" t="str">
        <f ca="1"/>
        <v>05964HBJ3</v>
      </c>
      <c r="C35" s="61" t="str">
        <f ca="1"/>
        <v>N/A</v>
      </c>
      <c r="D35" s="60" t="str">
        <f ca="1"/>
        <v>BANCO SANTANDER S.A.SER 241 NOTE        5.56500% 01/17/2030</v>
      </c>
      <c r="E35" s="61" t="str">
        <f ca="1"/>
        <v>Corp</v>
      </c>
      <c r="F35" s="62">
        <f ca="1"/>
        <v>5.5650000000000004</v>
      </c>
      <c r="G35" s="63">
        <f ca="1"/>
        <v>47500</v>
      </c>
      <c r="H35" s="61" t="str">
        <f ca="1"/>
        <v>BAA1</v>
      </c>
      <c r="I35" s="61" t="str">
        <f ca="1"/>
        <v>A-</v>
      </c>
      <c r="J35" s="64">
        <f ca="1"/>
        <v>102.396</v>
      </c>
      <c r="K35" s="17">
        <f ca="1"/>
        <v>5.0010000000000003</v>
      </c>
      <c r="L35" s="18" t="str">
        <f ca="1"/>
        <v>500(200)</v>
      </c>
      <c r="M35" s="83"/>
      <c r="N35" s="84" t="str">
        <f t="shared" si="7"/>
        <v/>
      </c>
      <c r="O35" s="20" t="str">
        <f t="shared" si="8"/>
        <v/>
      </c>
      <c r="P35" s="64" t="str">
        <f t="shared" si="9"/>
        <v/>
      </c>
      <c r="Q35" s="85" t="str">
        <f t="shared" ca="1" si="10"/>
        <v/>
      </c>
      <c r="R35" s="86" t="str">
        <f t="shared" si="11"/>
        <v/>
      </c>
      <c r="S35" s="86" t="str">
        <f t="shared" si="12"/>
        <v/>
      </c>
      <c r="T35" s="104" t="str">
        <f t="shared" si="13"/>
        <v/>
      </c>
      <c r="U35" s="19" t="str">
        <f>IF(AND(M35&lt;&gt;"",M35&lt;&gt;0), IF(E35 = "Muni", T35, IF(E35="Corp", T35*(1 -'Investor Input'!$C$4-'Investor Input'!$C$5), T35*(1 -'Investor Input'!$C$4))), T35)</f>
        <v/>
      </c>
      <c r="V35" s="84" t="str">
        <f t="shared" si="14"/>
        <v/>
      </c>
      <c r="W35" s="84" t="str">
        <f t="shared" si="0"/>
        <v/>
      </c>
      <c r="X35" s="21" t="str">
        <f t="shared" si="1"/>
        <v/>
      </c>
      <c r="Y35" s="60" t="str">
        <f t="shared" si="2"/>
        <v/>
      </c>
      <c r="Z35" s="60" t="str">
        <f t="shared" si="3"/>
        <v/>
      </c>
      <c r="AA35" s="64" t="str">
        <f t="shared" si="4"/>
        <v/>
      </c>
      <c r="AB35" s="64" t="str">
        <f>IF(AND(AA35&lt;&gt;"",AA35&lt;&gt;0), IF(E35="Muni", AA35, IF(E35 = "Corp", (1-'Investor Input'!$C$4-'Investor Input'!$C$5)*AA35, (1-'Investor Input'!$C$4)*AA35)), AA35)</f>
        <v/>
      </c>
      <c r="AC35" s="94" t="str">
        <f t="shared" si="5"/>
        <v/>
      </c>
      <c r="AD35" s="60" t="str">
        <f>IF(AND(M35&lt;&gt;"", M35&lt;&gt;0), N35/$N$505*MATCH(AC35,'Misc Lists'!$K$2:$K$25,0), "")</f>
        <v/>
      </c>
      <c r="AE35" s="90" t="str">
        <f t="shared" si="6"/>
        <v/>
      </c>
      <c r="AF35" s="99" t="str">
        <f>IF(AND(M35&lt;&gt;"", M35&lt;&gt;0), N35/$N$505*MATCH(AE35,'Misc Lists'!$L$2:$L$25,0), "")</f>
        <v/>
      </c>
    </row>
    <row r="36" spans="2:32" hidden="1" outlineLevel="1" x14ac:dyDescent="0.5">
      <c r="B36" s="60" t="str">
        <f ca="1"/>
        <v>842400HY2</v>
      </c>
      <c r="C36" s="61" t="str">
        <f ca="1"/>
        <v>N/A</v>
      </c>
      <c r="D36" s="60" t="str">
        <f ca="1"/>
        <v>SOUTHERN CALIF      EDISON CO SER 2023E 5.65000% 10/01/2028 BOND CALL MAKE WHOLE</v>
      </c>
      <c r="E36" s="61" t="str">
        <f ca="1"/>
        <v>Corp</v>
      </c>
      <c r="F36" s="62">
        <f ca="1"/>
        <v>5.65</v>
      </c>
      <c r="G36" s="63">
        <f ca="1"/>
        <v>47027</v>
      </c>
      <c r="H36" s="61" t="str">
        <f ca="1"/>
        <v>A2</v>
      </c>
      <c r="I36" s="61" t="str">
        <f ca="1"/>
        <v>A-</v>
      </c>
      <c r="J36" s="64">
        <f ca="1"/>
        <v>102.10599999999999</v>
      </c>
      <c r="K36" s="17">
        <f ca="1"/>
        <v>4.9950000000000001</v>
      </c>
      <c r="L36" s="18" t="str">
        <f ca="1"/>
        <v>200(1)</v>
      </c>
      <c r="M36" s="83"/>
      <c r="N36" s="84" t="str">
        <f t="shared" si="7"/>
        <v/>
      </c>
      <c r="O36" s="20" t="str">
        <f t="shared" si="8"/>
        <v/>
      </c>
      <c r="P36" s="64" t="str">
        <f t="shared" si="9"/>
        <v/>
      </c>
      <c r="Q36" s="85" t="str">
        <f t="shared" ca="1" si="10"/>
        <v/>
      </c>
      <c r="R36" s="86" t="str">
        <f t="shared" si="11"/>
        <v/>
      </c>
      <c r="S36" s="86" t="str">
        <f t="shared" si="12"/>
        <v/>
      </c>
      <c r="T36" s="104" t="str">
        <f t="shared" si="13"/>
        <v/>
      </c>
      <c r="U36" s="19" t="str">
        <f>IF(AND(M36&lt;&gt;"",M36&lt;&gt;0), IF(E36 = "Muni", T36, IF(E36="Corp", T36*(1 -'Investor Input'!$C$4-'Investor Input'!$C$5), T36*(1 -'Investor Input'!$C$4))), T36)</f>
        <v/>
      </c>
      <c r="V36" s="84" t="str">
        <f t="shared" si="14"/>
        <v/>
      </c>
      <c r="W36" s="84" t="str">
        <f t="shared" si="0"/>
        <v/>
      </c>
      <c r="X36" s="21" t="str">
        <f t="shared" si="1"/>
        <v/>
      </c>
      <c r="Y36" s="60" t="str">
        <f t="shared" si="2"/>
        <v/>
      </c>
      <c r="Z36" s="60" t="str">
        <f t="shared" si="3"/>
        <v/>
      </c>
      <c r="AA36" s="64" t="str">
        <f t="shared" si="4"/>
        <v/>
      </c>
      <c r="AB36" s="64" t="str">
        <f>IF(AND(AA36&lt;&gt;"",AA36&lt;&gt;0), IF(E36="Muni", AA36, IF(E36 = "Corp", (1-'Investor Input'!$C$4-'Investor Input'!$C$5)*AA36, (1-'Investor Input'!$C$4)*AA36)), AA36)</f>
        <v/>
      </c>
      <c r="AC36" s="94" t="str">
        <f t="shared" si="5"/>
        <v/>
      </c>
      <c r="AD36" s="60" t="str">
        <f>IF(AND(M36&lt;&gt;"", M36&lt;&gt;0), N36/$N$505*MATCH(AC36,'Misc Lists'!$K$2:$K$25,0), "")</f>
        <v/>
      </c>
      <c r="AE36" s="90" t="str">
        <f t="shared" si="6"/>
        <v/>
      </c>
      <c r="AF36" s="99" t="str">
        <f>IF(AND(M36&lt;&gt;"", M36&lt;&gt;0), N36/$N$505*MATCH(AE36,'Misc Lists'!$L$2:$L$25,0), "")</f>
        <v/>
      </c>
    </row>
    <row r="37" spans="2:32" hidden="1" outlineLevel="1" x14ac:dyDescent="0.5">
      <c r="B37" s="60" t="str">
        <f ca="1"/>
        <v>44644MAJ0</v>
      </c>
      <c r="C37" s="61" t="str">
        <f ca="1"/>
        <v>N/A</v>
      </c>
      <c r="D37" s="60" t="str">
        <f ca="1"/>
        <v>HUNTINGTON NATIONAL BANK MARYL NOTE     5.65000% 01/10/2030 CALL MAKE WHOLE</v>
      </c>
      <c r="E37" s="61" t="str">
        <f ca="1"/>
        <v>Corp</v>
      </c>
      <c r="F37" s="62">
        <f ca="1"/>
        <v>5.65</v>
      </c>
      <c r="G37" s="63">
        <f ca="1"/>
        <v>47493</v>
      </c>
      <c r="H37" s="61" t="str">
        <f ca="1"/>
        <v>A3</v>
      </c>
      <c r="I37" s="61" t="str">
        <f ca="1"/>
        <v>A-</v>
      </c>
      <c r="J37" s="64">
        <f ca="1"/>
        <v>102.777</v>
      </c>
      <c r="K37" s="17">
        <f ca="1"/>
        <v>4.9939999999999998</v>
      </c>
      <c r="L37" s="18" t="str">
        <f ca="1"/>
        <v>500(250)</v>
      </c>
      <c r="M37" s="83"/>
      <c r="N37" s="84" t="str">
        <f t="shared" si="7"/>
        <v/>
      </c>
      <c r="O37" s="20" t="str">
        <f t="shared" si="8"/>
        <v/>
      </c>
      <c r="P37" s="64" t="str">
        <f t="shared" si="9"/>
        <v/>
      </c>
      <c r="Q37" s="85" t="str">
        <f t="shared" ca="1" si="10"/>
        <v/>
      </c>
      <c r="R37" s="86" t="str">
        <f t="shared" si="11"/>
        <v/>
      </c>
      <c r="S37" s="86" t="str">
        <f t="shared" si="12"/>
        <v/>
      </c>
      <c r="T37" s="104" t="str">
        <f t="shared" si="13"/>
        <v/>
      </c>
      <c r="U37" s="19" t="str">
        <f>IF(AND(M37&lt;&gt;"",M37&lt;&gt;0), IF(E37 = "Muni", T37, IF(E37="Corp", T37*(1 -'Investor Input'!$C$4-'Investor Input'!$C$5), T37*(1 -'Investor Input'!$C$4))), T37)</f>
        <v/>
      </c>
      <c r="V37" s="84" t="str">
        <f t="shared" si="14"/>
        <v/>
      </c>
      <c r="W37" s="84" t="str">
        <f t="shared" si="0"/>
        <v/>
      </c>
      <c r="X37" s="21" t="str">
        <f t="shared" si="1"/>
        <v/>
      </c>
      <c r="Y37" s="60" t="str">
        <f t="shared" si="2"/>
        <v/>
      </c>
      <c r="Z37" s="60" t="str">
        <f t="shared" si="3"/>
        <v/>
      </c>
      <c r="AA37" s="64" t="str">
        <f t="shared" si="4"/>
        <v/>
      </c>
      <c r="AB37" s="64" t="str">
        <f>IF(AND(AA37&lt;&gt;"",AA37&lt;&gt;0), IF(E37="Muni", AA37, IF(E37 = "Corp", (1-'Investor Input'!$C$4-'Investor Input'!$C$5)*AA37, (1-'Investor Input'!$C$4)*AA37)), AA37)</f>
        <v/>
      </c>
      <c r="AC37" s="94" t="str">
        <f t="shared" si="5"/>
        <v/>
      </c>
      <c r="AD37" s="60" t="str">
        <f>IF(AND(M37&lt;&gt;"", M37&lt;&gt;0), N37/$N$505*MATCH(AC37,'Misc Lists'!$K$2:$K$25,0), "")</f>
        <v/>
      </c>
      <c r="AE37" s="90" t="str">
        <f t="shared" si="6"/>
        <v/>
      </c>
      <c r="AF37" s="99" t="str">
        <f>IF(AND(M37&lt;&gt;"", M37&lt;&gt;0), N37/$N$505*MATCH(AE37,'Misc Lists'!$L$2:$L$25,0), "")</f>
        <v/>
      </c>
    </row>
    <row r="38" spans="2:32" hidden="1" outlineLevel="1" x14ac:dyDescent="0.5">
      <c r="B38" s="60" t="str">
        <f ca="1"/>
        <v>48135NSN7</v>
      </c>
      <c r="C38" s="61" t="str">
        <f ca="1"/>
        <v>N/A</v>
      </c>
      <c r="D38" s="60" t="str">
        <f ca="1"/>
        <v>JPMORGAN CHASE FINL CO LLC SER A MTN    5.10000% 01/31/2030</v>
      </c>
      <c r="E38" s="61" t="str">
        <f ca="1"/>
        <v>Corp</v>
      </c>
      <c r="F38" s="62">
        <f ca="1"/>
        <v>5.0999999999999996</v>
      </c>
      <c r="G38" s="63">
        <f ca="1"/>
        <v>47514</v>
      </c>
      <c r="H38" s="61" t="str">
        <f ca="1"/>
        <v>A1</v>
      </c>
      <c r="I38" s="61" t="str">
        <f ca="1"/>
        <v>A</v>
      </c>
      <c r="J38" s="64">
        <f ca="1"/>
        <v>100.46599999999999</v>
      </c>
      <c r="K38" s="17">
        <f ca="1"/>
        <v>4.99</v>
      </c>
      <c r="L38" s="18" t="str">
        <f ca="1"/>
        <v>8(1)</v>
      </c>
      <c r="M38" s="83"/>
      <c r="N38" s="84" t="str">
        <f t="shared" si="7"/>
        <v/>
      </c>
      <c r="O38" s="20" t="str">
        <f t="shared" si="8"/>
        <v/>
      </c>
      <c r="P38" s="64" t="str">
        <f t="shared" si="9"/>
        <v/>
      </c>
      <c r="Q38" s="85" t="str">
        <f t="shared" ca="1" si="10"/>
        <v/>
      </c>
      <c r="R38" s="86" t="str">
        <f t="shared" si="11"/>
        <v/>
      </c>
      <c r="S38" s="86" t="str">
        <f t="shared" si="12"/>
        <v/>
      </c>
      <c r="T38" s="104" t="str">
        <f t="shared" si="13"/>
        <v/>
      </c>
      <c r="U38" s="19" t="str">
        <f>IF(AND(M38&lt;&gt;"",M38&lt;&gt;0), IF(E38 = "Muni", T38, IF(E38="Corp", T38*(1 -'Investor Input'!$C$4-'Investor Input'!$C$5), T38*(1 -'Investor Input'!$C$4))), T38)</f>
        <v/>
      </c>
      <c r="V38" s="84" t="str">
        <f t="shared" si="14"/>
        <v/>
      </c>
      <c r="W38" s="84" t="str">
        <f t="shared" si="0"/>
        <v/>
      </c>
      <c r="X38" s="21" t="str">
        <f t="shared" si="1"/>
        <v/>
      </c>
      <c r="Y38" s="60" t="str">
        <f t="shared" si="2"/>
        <v/>
      </c>
      <c r="Z38" s="60" t="str">
        <f t="shared" si="3"/>
        <v/>
      </c>
      <c r="AA38" s="64" t="str">
        <f t="shared" si="4"/>
        <v/>
      </c>
      <c r="AB38" s="64" t="str">
        <f>IF(AND(AA38&lt;&gt;"",AA38&lt;&gt;0), IF(E38="Muni", AA38, IF(E38 = "Corp", (1-'Investor Input'!$C$4-'Investor Input'!$C$5)*AA38, (1-'Investor Input'!$C$4)*AA38)), AA38)</f>
        <v/>
      </c>
      <c r="AC38" s="94" t="str">
        <f t="shared" si="5"/>
        <v/>
      </c>
      <c r="AD38" s="60" t="str">
        <f>IF(AND(M38&lt;&gt;"", M38&lt;&gt;0), N38/$N$505*MATCH(AC38,'Misc Lists'!$K$2:$K$25,0), "")</f>
        <v/>
      </c>
      <c r="AE38" s="90" t="str">
        <f t="shared" si="6"/>
        <v/>
      </c>
      <c r="AF38" s="99" t="str">
        <f>IF(AND(M38&lt;&gt;"", M38&lt;&gt;0), N38/$N$505*MATCH(AE38,'Misc Lists'!$L$2:$L$25,0), "")</f>
        <v/>
      </c>
    </row>
    <row r="39" spans="2:32" hidden="1" outlineLevel="1" x14ac:dyDescent="0.5">
      <c r="B39" s="60" t="str">
        <f ca="1"/>
        <v>48135NTQ9</v>
      </c>
      <c r="C39" s="61" t="str">
        <f ca="1"/>
        <v>N/A</v>
      </c>
      <c r="D39" s="60" t="str">
        <f ca="1"/>
        <v>JPMORGAN CHASE FINL CO LLC SER A MTN    5.10000% 02/28/2030</v>
      </c>
      <c r="E39" s="61" t="str">
        <f ca="1"/>
        <v>Corp</v>
      </c>
      <c r="F39" s="62">
        <f ca="1"/>
        <v>5.0999999999999996</v>
      </c>
      <c r="G39" s="63">
        <f ca="1"/>
        <v>47542</v>
      </c>
      <c r="H39" s="61" t="str">
        <f ca="1"/>
        <v>A1</v>
      </c>
      <c r="I39" s="61" t="str">
        <f ca="1"/>
        <v>A</v>
      </c>
      <c r="J39" s="64">
        <f ca="1"/>
        <v>100.509</v>
      </c>
      <c r="K39" s="17">
        <f ca="1"/>
        <v>4.9820000000000002</v>
      </c>
      <c r="L39" s="18" t="str">
        <f ca="1"/>
        <v>626(1)</v>
      </c>
      <c r="M39" s="83"/>
      <c r="N39" s="84" t="str">
        <f t="shared" si="7"/>
        <v/>
      </c>
      <c r="O39" s="20" t="str">
        <f t="shared" si="8"/>
        <v/>
      </c>
      <c r="P39" s="64" t="str">
        <f t="shared" si="9"/>
        <v/>
      </c>
      <c r="Q39" s="85" t="str">
        <f t="shared" ca="1" si="10"/>
        <v/>
      </c>
      <c r="R39" s="86" t="str">
        <f t="shared" si="11"/>
        <v/>
      </c>
      <c r="S39" s="86" t="str">
        <f t="shared" si="12"/>
        <v/>
      </c>
      <c r="T39" s="104" t="str">
        <f t="shared" si="13"/>
        <v/>
      </c>
      <c r="U39" s="19" t="str">
        <f>IF(AND(M39&lt;&gt;"",M39&lt;&gt;0), IF(E39 = "Muni", T39, IF(E39="Corp", T39*(1 -'Investor Input'!$C$4-'Investor Input'!$C$5), T39*(1 -'Investor Input'!$C$4))), T39)</f>
        <v/>
      </c>
      <c r="V39" s="84" t="str">
        <f t="shared" si="14"/>
        <v/>
      </c>
      <c r="W39" s="84" t="str">
        <f t="shared" si="0"/>
        <v/>
      </c>
      <c r="X39" s="21" t="str">
        <f t="shared" si="1"/>
        <v/>
      </c>
      <c r="Y39" s="60" t="str">
        <f t="shared" si="2"/>
        <v/>
      </c>
      <c r="Z39" s="60" t="str">
        <f t="shared" si="3"/>
        <v/>
      </c>
      <c r="AA39" s="64" t="str">
        <f t="shared" si="4"/>
        <v/>
      </c>
      <c r="AB39" s="64" t="str">
        <f>IF(AND(AA39&lt;&gt;"",AA39&lt;&gt;0), IF(E39="Muni", AA39, IF(E39 = "Corp", (1-'Investor Input'!$C$4-'Investor Input'!$C$5)*AA39, (1-'Investor Input'!$C$4)*AA39)), AA39)</f>
        <v/>
      </c>
      <c r="AC39" s="94" t="str">
        <f t="shared" si="5"/>
        <v/>
      </c>
      <c r="AD39" s="60" t="str">
        <f>IF(AND(M39&lt;&gt;"", M39&lt;&gt;0), N39/$N$505*MATCH(AC39,'Misc Lists'!$K$2:$K$25,0), "")</f>
        <v/>
      </c>
      <c r="AE39" s="90" t="str">
        <f t="shared" si="6"/>
        <v/>
      </c>
      <c r="AF39" s="99" t="str">
        <f>IF(AND(M39&lt;&gt;"", M39&lt;&gt;0), N39/$N$505*MATCH(AE39,'Misc Lists'!$L$2:$L$25,0), "")</f>
        <v/>
      </c>
    </row>
    <row r="40" spans="2:32" hidden="1" outlineLevel="1" x14ac:dyDescent="0.5">
      <c r="B40" s="60" t="str">
        <f ca="1"/>
        <v>404280CF4</v>
      </c>
      <c r="C40" s="61" t="str">
        <f ca="1"/>
        <v>N/A</v>
      </c>
      <c r="D40" s="60" t="str">
        <f ca="1"/>
        <v>HSBC HLDGS PLC      NOTE                4.95000% 03/31/2030</v>
      </c>
      <c r="E40" s="61" t="str">
        <f ca="1"/>
        <v>Corp</v>
      </c>
      <c r="F40" s="62">
        <f ca="1"/>
        <v>4.95</v>
      </c>
      <c r="G40" s="63">
        <f ca="1"/>
        <v>47573</v>
      </c>
      <c r="H40" s="61" t="str">
        <f ca="1"/>
        <v>A3</v>
      </c>
      <c r="I40" s="61" t="str">
        <f ca="1"/>
        <v>A-</v>
      </c>
      <c r="J40" s="64">
        <f ca="1"/>
        <v>99.900999999999996</v>
      </c>
      <c r="K40" s="17">
        <f ca="1"/>
        <v>4.9720000000000004</v>
      </c>
      <c r="L40" s="18" t="str">
        <f ca="1"/>
        <v>500(200)</v>
      </c>
      <c r="M40" s="83"/>
      <c r="N40" s="84" t="str">
        <f t="shared" si="7"/>
        <v/>
      </c>
      <c r="O40" s="20" t="str">
        <f t="shared" si="8"/>
        <v/>
      </c>
      <c r="P40" s="64" t="str">
        <f t="shared" si="9"/>
        <v/>
      </c>
      <c r="Q40" s="85" t="str">
        <f t="shared" ca="1" si="10"/>
        <v/>
      </c>
      <c r="R40" s="86" t="str">
        <f t="shared" si="11"/>
        <v/>
      </c>
      <c r="S40" s="86" t="str">
        <f t="shared" si="12"/>
        <v/>
      </c>
      <c r="T40" s="104" t="str">
        <f t="shared" si="13"/>
        <v/>
      </c>
      <c r="U40" s="19" t="str">
        <f>IF(AND(M40&lt;&gt;"",M40&lt;&gt;0), IF(E40 = "Muni", T40, IF(E40="Corp", T40*(1 -'Investor Input'!$C$4-'Investor Input'!$C$5), T40*(1 -'Investor Input'!$C$4))), T40)</f>
        <v/>
      </c>
      <c r="V40" s="84" t="str">
        <f t="shared" si="14"/>
        <v/>
      </c>
      <c r="W40" s="84" t="str">
        <f t="shared" si="0"/>
        <v/>
      </c>
      <c r="X40" s="21" t="str">
        <f t="shared" si="1"/>
        <v/>
      </c>
      <c r="Y40" s="60" t="str">
        <f t="shared" si="2"/>
        <v/>
      </c>
      <c r="Z40" s="60" t="str">
        <f t="shared" si="3"/>
        <v/>
      </c>
      <c r="AA40" s="64" t="str">
        <f t="shared" si="4"/>
        <v/>
      </c>
      <c r="AB40" s="64" t="str">
        <f>IF(AND(AA40&lt;&gt;"",AA40&lt;&gt;0), IF(E40="Muni", AA40, IF(E40 = "Corp", (1-'Investor Input'!$C$4-'Investor Input'!$C$5)*AA40, (1-'Investor Input'!$C$4)*AA40)), AA40)</f>
        <v/>
      </c>
      <c r="AC40" s="94" t="str">
        <f t="shared" si="5"/>
        <v/>
      </c>
      <c r="AD40" s="60" t="str">
        <f>IF(AND(M40&lt;&gt;"", M40&lt;&gt;0), N40/$N$505*MATCH(AC40,'Misc Lists'!$K$2:$K$25,0), "")</f>
        <v/>
      </c>
      <c r="AE40" s="90" t="str">
        <f t="shared" si="6"/>
        <v/>
      </c>
      <c r="AF40" s="99" t="str">
        <f>IF(AND(M40&lt;&gt;"", M40&lt;&gt;0), N40/$N$505*MATCH(AE40,'Misc Lists'!$L$2:$L$25,0), "")</f>
        <v/>
      </c>
    </row>
    <row r="41" spans="2:32" hidden="1" outlineLevel="1" x14ac:dyDescent="0.5">
      <c r="B41" s="60" t="str">
        <f ca="1"/>
        <v>11271LAE2</v>
      </c>
      <c r="C41" s="61" t="str">
        <f ca="1"/>
        <v>N/A</v>
      </c>
      <c r="D41" s="60" t="str">
        <f ca="1"/>
        <v>BROOKFIELD FIN INC  NOTE CALL MAKE WHOLE4.35000% 04/15/2030</v>
      </c>
      <c r="E41" s="61" t="str">
        <f ca="1"/>
        <v>Corp</v>
      </c>
      <c r="F41" s="62">
        <f ca="1"/>
        <v>4.3499999999999996</v>
      </c>
      <c r="G41" s="63">
        <f ca="1"/>
        <v>47588</v>
      </c>
      <c r="H41" s="61" t="str">
        <f ca="1"/>
        <v>A3</v>
      </c>
      <c r="I41" s="61" t="str">
        <f ca="1"/>
        <v>A-</v>
      </c>
      <c r="J41" s="64">
        <f ca="1"/>
        <v>97.302999999999997</v>
      </c>
      <c r="K41" s="17">
        <f ca="1"/>
        <v>4.9550000000000001</v>
      </c>
      <c r="L41" s="18" t="str">
        <f ca="1"/>
        <v>1,500(2)</v>
      </c>
      <c r="M41" s="83"/>
      <c r="N41" s="84" t="str">
        <f t="shared" si="7"/>
        <v/>
      </c>
      <c r="O41" s="20" t="str">
        <f t="shared" si="8"/>
        <v/>
      </c>
      <c r="P41" s="64" t="str">
        <f t="shared" si="9"/>
        <v/>
      </c>
      <c r="Q41" s="85" t="str">
        <f t="shared" ca="1" si="10"/>
        <v/>
      </c>
      <c r="R41" s="86" t="str">
        <f t="shared" si="11"/>
        <v/>
      </c>
      <c r="S41" s="86" t="str">
        <f t="shared" si="12"/>
        <v/>
      </c>
      <c r="T41" s="104" t="str">
        <f t="shared" si="13"/>
        <v/>
      </c>
      <c r="U41" s="19" t="str">
        <f>IF(AND(M41&lt;&gt;"",M41&lt;&gt;0), IF(E41 = "Muni", T41, IF(E41="Corp", T41*(1 -'Investor Input'!$C$4-'Investor Input'!$C$5), T41*(1 -'Investor Input'!$C$4))), T41)</f>
        <v/>
      </c>
      <c r="V41" s="84" t="str">
        <f t="shared" si="14"/>
        <v/>
      </c>
      <c r="W41" s="84" t="str">
        <f t="shared" si="0"/>
        <v/>
      </c>
      <c r="X41" s="21" t="str">
        <f t="shared" si="1"/>
        <v/>
      </c>
      <c r="Y41" s="60" t="str">
        <f t="shared" si="2"/>
        <v/>
      </c>
      <c r="Z41" s="60" t="str">
        <f t="shared" si="3"/>
        <v/>
      </c>
      <c r="AA41" s="64" t="str">
        <f t="shared" si="4"/>
        <v/>
      </c>
      <c r="AB41" s="64" t="str">
        <f>IF(AND(AA41&lt;&gt;"",AA41&lt;&gt;0), IF(E41="Muni", AA41, IF(E41 = "Corp", (1-'Investor Input'!$C$4-'Investor Input'!$C$5)*AA41, (1-'Investor Input'!$C$4)*AA41)), AA41)</f>
        <v/>
      </c>
      <c r="AC41" s="94" t="str">
        <f t="shared" si="5"/>
        <v/>
      </c>
      <c r="AD41" s="60" t="str">
        <f>IF(AND(M41&lt;&gt;"", M41&lt;&gt;0), N41/$N$505*MATCH(AC41,'Misc Lists'!$K$2:$K$25,0), "")</f>
        <v/>
      </c>
      <c r="AE41" s="90" t="str">
        <f t="shared" si="6"/>
        <v/>
      </c>
      <c r="AF41" s="99" t="str">
        <f>IF(AND(M41&lt;&gt;"", M41&lt;&gt;0), N41/$N$505*MATCH(AE41,'Misc Lists'!$L$2:$L$25,0), "")</f>
        <v/>
      </c>
    </row>
    <row r="42" spans="2:32" hidden="1" outlineLevel="1" x14ac:dyDescent="0.5">
      <c r="B42" s="60" t="str">
        <f ca="1"/>
        <v>63305MAE1</v>
      </c>
      <c r="C42" s="61" t="str">
        <f ca="1"/>
        <v>N/A</v>
      </c>
      <c r="D42" s="60" t="str">
        <f ca="1"/>
        <v>NATL BANK OF CANADA MTN                 5.05000% 08/10/2028</v>
      </c>
      <c r="E42" s="61" t="str">
        <f ca="1"/>
        <v>Corp</v>
      </c>
      <c r="F42" s="62">
        <f ca="1"/>
        <v>5.05</v>
      </c>
      <c r="G42" s="63">
        <f ca="1"/>
        <v>46975</v>
      </c>
      <c r="H42" s="61" t="str">
        <f ca="1"/>
        <v>AA2</v>
      </c>
      <c r="I42" s="61" t="str">
        <f ca="1"/>
        <v>A+</v>
      </c>
      <c r="J42" s="64">
        <f ca="1"/>
        <v>100.3</v>
      </c>
      <c r="K42" s="17">
        <f ca="1"/>
        <v>4.952</v>
      </c>
      <c r="L42" s="18" t="str">
        <f ca="1"/>
        <v>895(1)</v>
      </c>
      <c r="M42" s="83"/>
      <c r="N42" s="84" t="str">
        <f t="shared" si="7"/>
        <v/>
      </c>
      <c r="O42" s="20" t="str">
        <f t="shared" si="8"/>
        <v/>
      </c>
      <c r="P42" s="64" t="str">
        <f t="shared" si="9"/>
        <v/>
      </c>
      <c r="Q42" s="85" t="str">
        <f t="shared" ca="1" si="10"/>
        <v/>
      </c>
      <c r="R42" s="86" t="str">
        <f t="shared" si="11"/>
        <v/>
      </c>
      <c r="S42" s="86" t="str">
        <f t="shared" si="12"/>
        <v/>
      </c>
      <c r="T42" s="104" t="str">
        <f t="shared" si="13"/>
        <v/>
      </c>
      <c r="U42" s="19" t="str">
        <f>IF(AND(M42&lt;&gt;"",M42&lt;&gt;0), IF(E42 = "Muni", T42, IF(E42="Corp", T42*(1 -'Investor Input'!$C$4-'Investor Input'!$C$5), T42*(1 -'Investor Input'!$C$4))), T42)</f>
        <v/>
      </c>
      <c r="V42" s="84" t="str">
        <f t="shared" si="14"/>
        <v/>
      </c>
      <c r="W42" s="84" t="str">
        <f t="shared" si="0"/>
        <v/>
      </c>
      <c r="X42" s="21" t="str">
        <f t="shared" si="1"/>
        <v/>
      </c>
      <c r="Y42" s="60" t="str">
        <f t="shared" si="2"/>
        <v/>
      </c>
      <c r="Z42" s="60" t="str">
        <f t="shared" si="3"/>
        <v/>
      </c>
      <c r="AA42" s="64" t="str">
        <f t="shared" si="4"/>
        <v/>
      </c>
      <c r="AB42" s="64" t="str">
        <f>IF(AND(AA42&lt;&gt;"",AA42&lt;&gt;0), IF(E42="Muni", AA42, IF(E42 = "Corp", (1-'Investor Input'!$C$4-'Investor Input'!$C$5)*AA42, (1-'Investor Input'!$C$4)*AA42)), AA42)</f>
        <v/>
      </c>
      <c r="AC42" s="94" t="str">
        <f t="shared" si="5"/>
        <v/>
      </c>
      <c r="AD42" s="60" t="str">
        <f>IF(AND(M42&lt;&gt;"", M42&lt;&gt;0), N42/$N$505*MATCH(AC42,'Misc Lists'!$K$2:$K$25,0), "")</f>
        <v/>
      </c>
      <c r="AE42" s="90" t="str">
        <f t="shared" si="6"/>
        <v/>
      </c>
      <c r="AF42" s="99" t="str">
        <f>IF(AND(M42&lt;&gt;"", M42&lt;&gt;0), N42/$N$505*MATCH(AE42,'Misc Lists'!$L$2:$L$25,0), "")</f>
        <v/>
      </c>
    </row>
    <row r="43" spans="2:32" hidden="1" outlineLevel="1" x14ac:dyDescent="0.5">
      <c r="B43" s="60" t="str">
        <f ca="1"/>
        <v>04686JAB7</v>
      </c>
      <c r="C43" s="61" t="str">
        <f ca="1"/>
        <v>N/A</v>
      </c>
      <c r="D43" s="60" t="str">
        <f ca="1"/>
        <v>ATHENE HOLDING LTD  NOTE CALL MAKE WHOLE6.15000% 04/03/2030</v>
      </c>
      <c r="E43" s="61" t="str">
        <f ca="1"/>
        <v>Corp</v>
      </c>
      <c r="F43" s="62">
        <f ca="1"/>
        <v>6.15</v>
      </c>
      <c r="G43" s="63">
        <f ca="1"/>
        <v>47576</v>
      </c>
      <c r="H43" s="61" t="str">
        <f ca="1"/>
        <v>BAA1</v>
      </c>
      <c r="I43" s="61" t="str">
        <f ca="1"/>
        <v>A-</v>
      </c>
      <c r="J43" s="64">
        <f ca="1"/>
        <v>105.32299999999999</v>
      </c>
      <c r="K43" s="17">
        <f ca="1"/>
        <v>4.9470000000000001</v>
      </c>
      <c r="L43" s="18" t="str">
        <f ca="1"/>
        <v>500(9)</v>
      </c>
      <c r="M43" s="83"/>
      <c r="N43" s="84" t="str">
        <f t="shared" si="7"/>
        <v/>
      </c>
      <c r="O43" s="20" t="str">
        <f t="shared" si="8"/>
        <v/>
      </c>
      <c r="P43" s="64" t="str">
        <f t="shared" si="9"/>
        <v/>
      </c>
      <c r="Q43" s="85" t="str">
        <f t="shared" ca="1" si="10"/>
        <v/>
      </c>
      <c r="R43" s="86" t="str">
        <f t="shared" si="11"/>
        <v/>
      </c>
      <c r="S43" s="86" t="str">
        <f t="shared" si="12"/>
        <v/>
      </c>
      <c r="T43" s="104" t="str">
        <f t="shared" si="13"/>
        <v/>
      </c>
      <c r="U43" s="19" t="str">
        <f>IF(AND(M43&lt;&gt;"",M43&lt;&gt;0), IF(E43 = "Muni", T43, IF(E43="Corp", T43*(1 -'Investor Input'!$C$4-'Investor Input'!$C$5), T43*(1 -'Investor Input'!$C$4))), T43)</f>
        <v/>
      </c>
      <c r="V43" s="84" t="str">
        <f t="shared" si="14"/>
        <v/>
      </c>
      <c r="W43" s="84" t="str">
        <f t="shared" si="0"/>
        <v/>
      </c>
      <c r="X43" s="21" t="str">
        <f t="shared" si="1"/>
        <v/>
      </c>
      <c r="Y43" s="60" t="str">
        <f t="shared" si="2"/>
        <v/>
      </c>
      <c r="Z43" s="60" t="str">
        <f t="shared" si="3"/>
        <v/>
      </c>
      <c r="AA43" s="64" t="str">
        <f t="shared" si="4"/>
        <v/>
      </c>
      <c r="AB43" s="64" t="str">
        <f>IF(AND(AA43&lt;&gt;"",AA43&lt;&gt;0), IF(E43="Muni", AA43, IF(E43 = "Corp", (1-'Investor Input'!$C$4-'Investor Input'!$C$5)*AA43, (1-'Investor Input'!$C$4)*AA43)), AA43)</f>
        <v/>
      </c>
      <c r="AC43" s="94" t="str">
        <f t="shared" si="5"/>
        <v/>
      </c>
      <c r="AD43" s="60" t="str">
        <f>IF(AND(M43&lt;&gt;"", M43&lt;&gt;0), N43/$N$505*MATCH(AC43,'Misc Lists'!$K$2:$K$25,0), "")</f>
        <v/>
      </c>
      <c r="AE43" s="90" t="str">
        <f t="shared" si="6"/>
        <v/>
      </c>
      <c r="AF43" s="99" t="str">
        <f>IF(AND(M43&lt;&gt;"", M43&lt;&gt;0), N43/$N$505*MATCH(AE43,'Misc Lists'!$L$2:$L$25,0), "")</f>
        <v/>
      </c>
    </row>
    <row r="44" spans="2:32" outlineLevel="1" x14ac:dyDescent="0.5">
      <c r="B44" s="60" t="str">
        <f ca="1"/>
        <v>48130CGM1</v>
      </c>
      <c r="C44" s="61" t="str">
        <f ca="1"/>
        <v>N/A</v>
      </c>
      <c r="D44" s="60" t="str">
        <f ca="1"/>
        <v>JPMORGAN CHASE &amp;CO  SER E MTN           5.00000% 02/15/2029</v>
      </c>
      <c r="E44" s="61" t="str">
        <f ca="1"/>
        <v>Corp</v>
      </c>
      <c r="F44" s="62">
        <f ca="1"/>
        <v>5</v>
      </c>
      <c r="G44" s="63">
        <f ca="1"/>
        <v>47164</v>
      </c>
      <c r="H44" s="61" t="str">
        <f ca="1"/>
        <v>A1</v>
      </c>
      <c r="I44" s="61" t="str">
        <f ca="1"/>
        <v>A</v>
      </c>
      <c r="J44" s="64">
        <f ca="1"/>
        <v>100.20099999999999</v>
      </c>
      <c r="K44" s="17">
        <f ca="1"/>
        <v>4.9420000000000002</v>
      </c>
      <c r="L44" s="18" t="str">
        <f ca="1"/>
        <v>1(1)</v>
      </c>
      <c r="M44" s="83">
        <v>10</v>
      </c>
      <c r="N44" s="84">
        <f t="shared" ca="1" si="7"/>
        <v>10020.1</v>
      </c>
      <c r="O44" s="20">
        <f t="shared" ca="1" si="8"/>
        <v>1.0019688691779202E-2</v>
      </c>
      <c r="P44" s="64">
        <f t="shared" ca="1" si="9"/>
        <v>50</v>
      </c>
      <c r="Q44" s="85">
        <f t="shared" ca="1" si="10"/>
        <v>45791.491364930553</v>
      </c>
      <c r="R44" s="86">
        <f t="shared" ca="1" si="11"/>
        <v>4</v>
      </c>
      <c r="S44" s="86">
        <f t="shared" ca="1" si="12"/>
        <v>3.3452195427041915</v>
      </c>
      <c r="T44" s="104">
        <f t="shared" ca="1" si="13"/>
        <v>4.9384169418692093E-2</v>
      </c>
      <c r="U44" s="19">
        <f ca="1">IF(AND(M44&lt;&gt;"",M44&lt;&gt;0), IF(E44 = "Muni", T44, IF(E44="Corp", T44*(1 -'Investor Input'!$C$4-'Investor Input'!$C$5), T44*(1 -'Investor Input'!$C$4))), T44)</f>
        <v>2.6667451486093733E-2</v>
      </c>
      <c r="V44" s="84">
        <f t="shared" ca="1" si="14"/>
        <v>10000.501328177339</v>
      </c>
      <c r="W44" s="84">
        <f t="shared" ca="1" si="0"/>
        <v>-19.598671822661345</v>
      </c>
      <c r="X44" s="21">
        <f t="shared" ca="1" si="1"/>
        <v>-1.9559357514058089E-3</v>
      </c>
      <c r="Y44" s="60">
        <f t="shared" ca="1" si="2"/>
        <v>2</v>
      </c>
      <c r="Z44" s="60">
        <f t="shared" ca="1" si="3"/>
        <v>8</v>
      </c>
      <c r="AA44" s="64">
        <f t="shared" ca="1" si="4"/>
        <v>250</v>
      </c>
      <c r="AB44" s="64">
        <f ca="1">IF(AND(AA44&lt;&gt;"",AA44&lt;&gt;0), IF(E44="Muni", AA44, IF(E44 = "Corp", (1-'Investor Input'!$C$4-'Investor Input'!$C$5)*AA44, (1-'Investor Input'!$C$4)*AA44)), AA44)</f>
        <v>135</v>
      </c>
      <c r="AC44" s="94" t="str">
        <f t="shared" ca="1" si="5"/>
        <v>A1</v>
      </c>
      <c r="AD44" s="60">
        <f ca="1">IF(AND(M44&lt;&gt;"", M44&lt;&gt;0), N44/$N$505*MATCH(AC44,'Misc Lists'!$K$2:$K$25,0), "")</f>
        <v>6.0118132150675213E-2</v>
      </c>
      <c r="AE44" s="90" t="str">
        <f t="shared" ca="1" si="6"/>
        <v>A</v>
      </c>
      <c r="AF44" s="99">
        <f ca="1">IF(AND(M44&lt;&gt;"", M44&lt;&gt;0), N44/$N$505*MATCH(AE44,'Misc Lists'!$L$2:$L$25,0), "")</f>
        <v>7.0137820842454415E-2</v>
      </c>
    </row>
    <row r="45" spans="2:32" hidden="1" outlineLevel="1" x14ac:dyDescent="0.5">
      <c r="B45" s="60" t="str">
        <f ca="1"/>
        <v>89114XHB2</v>
      </c>
      <c r="C45" s="61" t="str">
        <f ca="1"/>
        <v>N/A</v>
      </c>
      <c r="D45" s="60" t="str">
        <f ca="1"/>
        <v>TORONTO DOMINION BK ONT SER D MTN       5.00000% 02/27/2028</v>
      </c>
      <c r="E45" s="61" t="str">
        <f ca="1"/>
        <v>Corp</v>
      </c>
      <c r="F45" s="62">
        <f ca="1"/>
        <v>5</v>
      </c>
      <c r="G45" s="63">
        <f ca="1"/>
        <v>46810</v>
      </c>
      <c r="H45" s="61" t="str">
        <f ca="1"/>
        <v>A2</v>
      </c>
      <c r="I45" s="61" t="str">
        <f ca="1"/>
        <v>A-</v>
      </c>
      <c r="J45" s="64">
        <f ca="1"/>
        <v>100.175</v>
      </c>
      <c r="K45" s="17">
        <f ca="1"/>
        <v>4.9349999999999996</v>
      </c>
      <c r="L45" s="18" t="str">
        <f ca="1"/>
        <v>798(1)</v>
      </c>
      <c r="M45" s="83"/>
      <c r="N45" s="84" t="str">
        <f t="shared" si="7"/>
        <v/>
      </c>
      <c r="O45" s="20" t="str">
        <f t="shared" si="8"/>
        <v/>
      </c>
      <c r="P45" s="64" t="str">
        <f t="shared" si="9"/>
        <v/>
      </c>
      <c r="Q45" s="85" t="str">
        <f t="shared" ca="1" si="10"/>
        <v/>
      </c>
      <c r="R45" s="86" t="str">
        <f t="shared" si="11"/>
        <v/>
      </c>
      <c r="S45" s="86" t="str">
        <f t="shared" si="12"/>
        <v/>
      </c>
      <c r="T45" s="104" t="str">
        <f t="shared" si="13"/>
        <v/>
      </c>
      <c r="U45" s="19" t="str">
        <f>IF(AND(M45&lt;&gt;"",M45&lt;&gt;0), IF(E45 = "Muni", T45, IF(E45="Corp", T45*(1 -'Investor Input'!$C$4-'Investor Input'!$C$5), T45*(1 -'Investor Input'!$C$4))), T45)</f>
        <v/>
      </c>
      <c r="V45" s="84" t="str">
        <f t="shared" si="14"/>
        <v/>
      </c>
      <c r="W45" s="84" t="str">
        <f t="shared" si="0"/>
        <v/>
      </c>
      <c r="X45" s="21" t="str">
        <f t="shared" si="1"/>
        <v/>
      </c>
      <c r="Y45" s="60" t="str">
        <f t="shared" si="2"/>
        <v/>
      </c>
      <c r="Z45" s="60" t="str">
        <f t="shared" si="3"/>
        <v/>
      </c>
      <c r="AA45" s="64" t="str">
        <f t="shared" si="4"/>
        <v/>
      </c>
      <c r="AB45" s="64" t="str">
        <f>IF(AND(AA45&lt;&gt;"",AA45&lt;&gt;0), IF(E45="Muni", AA45, IF(E45 = "Corp", (1-'Investor Input'!$C$4-'Investor Input'!$C$5)*AA45, (1-'Investor Input'!$C$4)*AA45)), AA45)</f>
        <v/>
      </c>
      <c r="AC45" s="94" t="str">
        <f t="shared" si="5"/>
        <v/>
      </c>
      <c r="AD45" s="60" t="str">
        <f>IF(AND(M45&lt;&gt;"", M45&lt;&gt;0), N45/$N$505*MATCH(AC45,'Misc Lists'!$K$2:$K$25,0), "")</f>
        <v/>
      </c>
      <c r="AE45" s="90" t="str">
        <f t="shared" si="6"/>
        <v/>
      </c>
      <c r="AF45" s="99" t="str">
        <f>IF(AND(M45&lt;&gt;"", M45&lt;&gt;0), N45/$N$505*MATCH(AE45,'Misc Lists'!$L$2:$L$25,0), "")</f>
        <v/>
      </c>
    </row>
    <row r="46" spans="2:32" hidden="1" outlineLevel="1" x14ac:dyDescent="0.5">
      <c r="B46" s="60" t="str">
        <f ca="1"/>
        <v>06418VKK9</v>
      </c>
      <c r="C46" s="61" t="str">
        <f ca="1"/>
        <v>N/A</v>
      </c>
      <c r="D46" s="60" t="str">
        <f ca="1"/>
        <v>BANK NOVA SCOTIA B CSER B NOTE          5.00000% 02/28/2029</v>
      </c>
      <c r="E46" s="61" t="str">
        <f ca="1"/>
        <v>Corp</v>
      </c>
      <c r="F46" s="62">
        <f ca="1"/>
        <v>5</v>
      </c>
      <c r="G46" s="63">
        <f ca="1"/>
        <v>47177</v>
      </c>
      <c r="H46" s="61" t="str">
        <f ca="1"/>
        <v>A2</v>
      </c>
      <c r="I46" s="61" t="str">
        <f ca="1"/>
        <v>A-</v>
      </c>
      <c r="J46" s="64">
        <f ca="1"/>
        <v>100.23</v>
      </c>
      <c r="K46" s="17">
        <f ca="1"/>
        <v>4.9349999999999996</v>
      </c>
      <c r="L46" s="18" t="str">
        <f ca="1"/>
        <v>871(1)</v>
      </c>
      <c r="M46" s="83"/>
      <c r="N46" s="84" t="str">
        <f t="shared" si="7"/>
        <v/>
      </c>
      <c r="O46" s="20" t="str">
        <f t="shared" si="8"/>
        <v/>
      </c>
      <c r="P46" s="64" t="str">
        <f t="shared" si="9"/>
        <v/>
      </c>
      <c r="Q46" s="85" t="str">
        <f t="shared" ca="1" si="10"/>
        <v/>
      </c>
      <c r="R46" s="86" t="str">
        <f t="shared" si="11"/>
        <v/>
      </c>
      <c r="S46" s="86" t="str">
        <f t="shared" si="12"/>
        <v/>
      </c>
      <c r="T46" s="104" t="str">
        <f t="shared" si="13"/>
        <v/>
      </c>
      <c r="U46" s="19" t="str">
        <f>IF(AND(M46&lt;&gt;"",M46&lt;&gt;0), IF(E46 = "Muni", T46, IF(E46="Corp", T46*(1 -'Investor Input'!$C$4-'Investor Input'!$C$5), T46*(1 -'Investor Input'!$C$4))), T46)</f>
        <v/>
      </c>
      <c r="V46" s="84" t="str">
        <f t="shared" si="14"/>
        <v/>
      </c>
      <c r="W46" s="84" t="str">
        <f t="shared" si="0"/>
        <v/>
      </c>
      <c r="X46" s="21" t="str">
        <f t="shared" si="1"/>
        <v/>
      </c>
      <c r="Y46" s="60" t="str">
        <f t="shared" si="2"/>
        <v/>
      </c>
      <c r="Z46" s="60" t="str">
        <f t="shared" si="3"/>
        <v/>
      </c>
      <c r="AA46" s="64" t="str">
        <f t="shared" si="4"/>
        <v/>
      </c>
      <c r="AB46" s="64" t="str">
        <f>IF(AND(AA46&lt;&gt;"",AA46&lt;&gt;0), IF(E46="Muni", AA46, IF(E46 = "Corp", (1-'Investor Input'!$C$4-'Investor Input'!$C$5)*AA46, (1-'Investor Input'!$C$4)*AA46)), AA46)</f>
        <v/>
      </c>
      <c r="AC46" s="94" t="str">
        <f t="shared" si="5"/>
        <v/>
      </c>
      <c r="AD46" s="60" t="str">
        <f>IF(AND(M46&lt;&gt;"", M46&lt;&gt;0), N46/$N$505*MATCH(AC46,'Misc Lists'!$K$2:$K$25,0), "")</f>
        <v/>
      </c>
      <c r="AE46" s="90" t="str">
        <f t="shared" si="6"/>
        <v/>
      </c>
      <c r="AF46" s="99" t="str">
        <f>IF(AND(M46&lt;&gt;"", M46&lt;&gt;0), N46/$N$505*MATCH(AE46,'Misc Lists'!$L$2:$L$25,0), "")</f>
        <v/>
      </c>
    </row>
    <row r="47" spans="2:32" hidden="1" outlineLevel="1" x14ac:dyDescent="0.5">
      <c r="B47" s="60" t="str">
        <f ca="1"/>
        <v>05463HAB7</v>
      </c>
      <c r="C47" s="61" t="str">
        <f ca="1"/>
        <v>N/A</v>
      </c>
      <c r="D47" s="60" t="str">
        <f ca="1"/>
        <v>AXIS SPECIALTY      FINANCE LLC NOTE    3.90000% 07/15/2029 CALL MAKE WHOLE</v>
      </c>
      <c r="E47" s="61" t="str">
        <f ca="1"/>
        <v>Corp</v>
      </c>
      <c r="F47" s="62">
        <f ca="1"/>
        <v>3.9</v>
      </c>
      <c r="G47" s="63">
        <f ca="1"/>
        <v>47314</v>
      </c>
      <c r="H47" s="61" t="str">
        <f ca="1"/>
        <v>BAA1</v>
      </c>
      <c r="I47" s="61" t="str">
        <f ca="1"/>
        <v>A-</v>
      </c>
      <c r="J47" s="64">
        <f ca="1"/>
        <v>96.061999999999998</v>
      </c>
      <c r="K47" s="17">
        <f ca="1"/>
        <v>4.9169999999999998</v>
      </c>
      <c r="L47" s="18" t="str">
        <f ca="1"/>
        <v>25(2)</v>
      </c>
      <c r="M47" s="83"/>
      <c r="N47" s="84" t="str">
        <f t="shared" si="7"/>
        <v/>
      </c>
      <c r="O47" s="20" t="str">
        <f t="shared" si="8"/>
        <v/>
      </c>
      <c r="P47" s="64" t="str">
        <f t="shared" si="9"/>
        <v/>
      </c>
      <c r="Q47" s="85" t="str">
        <f t="shared" ca="1" si="10"/>
        <v/>
      </c>
      <c r="R47" s="86" t="str">
        <f t="shared" si="11"/>
        <v/>
      </c>
      <c r="S47" s="86" t="str">
        <f t="shared" si="12"/>
        <v/>
      </c>
      <c r="T47" s="104" t="str">
        <f t="shared" si="13"/>
        <v/>
      </c>
      <c r="U47" s="19" t="str">
        <f>IF(AND(M47&lt;&gt;"",M47&lt;&gt;0), IF(E47 = "Muni", T47, IF(E47="Corp", T47*(1 -'Investor Input'!$C$4-'Investor Input'!$C$5), T47*(1 -'Investor Input'!$C$4))), T47)</f>
        <v/>
      </c>
      <c r="V47" s="84" t="str">
        <f t="shared" si="14"/>
        <v/>
      </c>
      <c r="W47" s="84" t="str">
        <f t="shared" si="0"/>
        <v/>
      </c>
      <c r="X47" s="21" t="str">
        <f t="shared" si="1"/>
        <v/>
      </c>
      <c r="Y47" s="60" t="str">
        <f t="shared" si="2"/>
        <v/>
      </c>
      <c r="Z47" s="60" t="str">
        <f t="shared" si="3"/>
        <v/>
      </c>
      <c r="AA47" s="64" t="str">
        <f t="shared" si="4"/>
        <v/>
      </c>
      <c r="AB47" s="64" t="str">
        <f>IF(AND(AA47&lt;&gt;"",AA47&lt;&gt;0), IF(E47="Muni", AA47, IF(E47 = "Corp", (1-'Investor Input'!$C$4-'Investor Input'!$C$5)*AA47, (1-'Investor Input'!$C$4)*AA47)), AA47)</f>
        <v/>
      </c>
      <c r="AC47" s="94" t="str">
        <f t="shared" si="5"/>
        <v/>
      </c>
      <c r="AD47" s="60" t="str">
        <f>IF(AND(M47&lt;&gt;"", M47&lt;&gt;0), N47/$N$505*MATCH(AC47,'Misc Lists'!$K$2:$K$25,0), "")</f>
        <v/>
      </c>
      <c r="AE47" s="90" t="str">
        <f t="shared" si="6"/>
        <v/>
      </c>
      <c r="AF47" s="99" t="str">
        <f>IF(AND(M47&lt;&gt;"", M47&lt;&gt;0), N47/$N$505*MATCH(AE47,'Misc Lists'!$L$2:$L$25,0), "")</f>
        <v/>
      </c>
    </row>
    <row r="48" spans="2:32" hidden="1" outlineLevel="1" x14ac:dyDescent="0.5">
      <c r="B48" s="60" t="str">
        <f ca="1"/>
        <v>842400HS5</v>
      </c>
      <c r="C48" s="61" t="str">
        <f ca="1"/>
        <v>N/A</v>
      </c>
      <c r="D48" s="60" t="str">
        <f ca="1"/>
        <v>SOUTHERN CALIF      EDISON CO SER 2022F 5.85000% 11/01/2027 BOND CALL MAKE WHOLE</v>
      </c>
      <c r="E48" s="61" t="str">
        <f ca="1"/>
        <v>Corp</v>
      </c>
      <c r="F48" s="62">
        <f ca="1"/>
        <v>5.85</v>
      </c>
      <c r="G48" s="63">
        <f ca="1"/>
        <v>46692</v>
      </c>
      <c r="H48" s="61" t="str">
        <f ca="1"/>
        <v>A2</v>
      </c>
      <c r="I48" s="61" t="str">
        <f ca="1"/>
        <v>A-</v>
      </c>
      <c r="J48" s="64">
        <f ca="1"/>
        <v>102.279</v>
      </c>
      <c r="K48" s="17">
        <f ca="1"/>
        <v>4.915</v>
      </c>
      <c r="L48" s="18" t="str">
        <f ca="1"/>
        <v>1,000(1)</v>
      </c>
      <c r="M48" s="83"/>
      <c r="N48" s="84" t="str">
        <f t="shared" si="7"/>
        <v/>
      </c>
      <c r="O48" s="20" t="str">
        <f t="shared" si="8"/>
        <v/>
      </c>
      <c r="P48" s="64" t="str">
        <f t="shared" si="9"/>
        <v/>
      </c>
      <c r="Q48" s="85" t="str">
        <f t="shared" ca="1" si="10"/>
        <v/>
      </c>
      <c r="R48" s="86" t="str">
        <f t="shared" si="11"/>
        <v/>
      </c>
      <c r="S48" s="86" t="str">
        <f t="shared" si="12"/>
        <v/>
      </c>
      <c r="T48" s="104" t="str">
        <f t="shared" si="13"/>
        <v/>
      </c>
      <c r="U48" s="19" t="str">
        <f>IF(AND(M48&lt;&gt;"",M48&lt;&gt;0), IF(E48 = "Muni", T48, IF(E48="Corp", T48*(1 -'Investor Input'!$C$4-'Investor Input'!$C$5), T48*(1 -'Investor Input'!$C$4))), T48)</f>
        <v/>
      </c>
      <c r="V48" s="84" t="str">
        <f t="shared" si="14"/>
        <v/>
      </c>
      <c r="W48" s="84" t="str">
        <f t="shared" si="0"/>
        <v/>
      </c>
      <c r="X48" s="21" t="str">
        <f t="shared" si="1"/>
        <v/>
      </c>
      <c r="Y48" s="60" t="str">
        <f t="shared" si="2"/>
        <v/>
      </c>
      <c r="Z48" s="60" t="str">
        <f t="shared" si="3"/>
        <v/>
      </c>
      <c r="AA48" s="64" t="str">
        <f t="shared" si="4"/>
        <v/>
      </c>
      <c r="AB48" s="64" t="str">
        <f>IF(AND(AA48&lt;&gt;"",AA48&lt;&gt;0), IF(E48="Muni", AA48, IF(E48 = "Corp", (1-'Investor Input'!$C$4-'Investor Input'!$C$5)*AA48, (1-'Investor Input'!$C$4)*AA48)), AA48)</f>
        <v/>
      </c>
      <c r="AC48" s="94" t="str">
        <f t="shared" si="5"/>
        <v/>
      </c>
      <c r="AD48" s="60" t="str">
        <f>IF(AND(M48&lt;&gt;"", M48&lt;&gt;0), N48/$N$505*MATCH(AC48,'Misc Lists'!$K$2:$K$25,0), "")</f>
        <v/>
      </c>
      <c r="AE48" s="90" t="str">
        <f t="shared" si="6"/>
        <v/>
      </c>
      <c r="AF48" s="99" t="str">
        <f>IF(AND(M48&lt;&gt;"", M48&lt;&gt;0), N48/$N$505*MATCH(AE48,'Misc Lists'!$L$2:$L$25,0), "")</f>
        <v/>
      </c>
    </row>
    <row r="49" spans="2:32" hidden="1" outlineLevel="1" x14ac:dyDescent="0.5">
      <c r="B49" s="60" t="str">
        <f ca="1"/>
        <v>512807AN8</v>
      </c>
      <c r="C49" s="61" t="str">
        <f ca="1"/>
        <v>N/A</v>
      </c>
      <c r="D49" s="60" t="str">
        <f ca="1"/>
        <v>LAM RESEARCH CORP   NOTE                3.80000% 03/15/2025</v>
      </c>
      <c r="E49" s="61" t="str">
        <f ca="1"/>
        <v>Corp</v>
      </c>
      <c r="F49" s="62">
        <f ca="1"/>
        <v>3.8</v>
      </c>
      <c r="G49" s="63">
        <f ca="1"/>
        <v>45731</v>
      </c>
      <c r="H49" s="61" t="str">
        <f ca="1"/>
        <v>A2</v>
      </c>
      <c r="I49" s="61" t="str">
        <f ca="1"/>
        <v>A-</v>
      </c>
      <c r="J49" s="64">
        <f ca="1"/>
        <v>99.99</v>
      </c>
      <c r="K49" s="17">
        <f ca="1"/>
        <v>4.9089999999999998</v>
      </c>
      <c r="L49" s="18" t="str">
        <f ca="1"/>
        <v>500(10)</v>
      </c>
      <c r="M49" s="83"/>
      <c r="N49" s="84" t="str">
        <f t="shared" si="7"/>
        <v/>
      </c>
      <c r="O49" s="20" t="str">
        <f t="shared" si="8"/>
        <v/>
      </c>
      <c r="P49" s="64" t="str">
        <f t="shared" si="9"/>
        <v/>
      </c>
      <c r="Q49" s="85" t="str">
        <f t="shared" ca="1" si="10"/>
        <v/>
      </c>
      <c r="R49" s="86" t="str">
        <f t="shared" si="11"/>
        <v/>
      </c>
      <c r="S49" s="86" t="str">
        <f t="shared" si="12"/>
        <v/>
      </c>
      <c r="T49" s="104" t="str">
        <f t="shared" si="13"/>
        <v/>
      </c>
      <c r="U49" s="19" t="str">
        <f>IF(AND(M49&lt;&gt;"",M49&lt;&gt;0), IF(E49 = "Muni", T49, IF(E49="Corp", T49*(1 -'Investor Input'!$C$4-'Investor Input'!$C$5), T49*(1 -'Investor Input'!$C$4))), T49)</f>
        <v/>
      </c>
      <c r="V49" s="84" t="str">
        <f t="shared" si="14"/>
        <v/>
      </c>
      <c r="W49" s="84" t="str">
        <f t="shared" si="0"/>
        <v/>
      </c>
      <c r="X49" s="21" t="str">
        <f t="shared" si="1"/>
        <v/>
      </c>
      <c r="Y49" s="60" t="str">
        <f t="shared" si="2"/>
        <v/>
      </c>
      <c r="Z49" s="60" t="str">
        <f t="shared" si="3"/>
        <v/>
      </c>
      <c r="AA49" s="64" t="str">
        <f t="shared" si="4"/>
        <v/>
      </c>
      <c r="AB49" s="64" t="str">
        <f>IF(AND(AA49&lt;&gt;"",AA49&lt;&gt;0), IF(E49="Muni", AA49, IF(E49 = "Corp", (1-'Investor Input'!$C$4-'Investor Input'!$C$5)*AA49, (1-'Investor Input'!$C$4)*AA49)), AA49)</f>
        <v/>
      </c>
      <c r="AC49" s="94" t="str">
        <f t="shared" si="5"/>
        <v/>
      </c>
      <c r="AD49" s="60" t="str">
        <f>IF(AND(M49&lt;&gt;"", M49&lt;&gt;0), N49/$N$505*MATCH(AC49,'Misc Lists'!$K$2:$K$25,0), "")</f>
        <v/>
      </c>
      <c r="AE49" s="90" t="str">
        <f t="shared" si="6"/>
        <v/>
      </c>
      <c r="AF49" s="99" t="str">
        <f>IF(AND(M49&lt;&gt;"", M49&lt;&gt;0), N49/$N$505*MATCH(AE49,'Misc Lists'!$L$2:$L$25,0), "")</f>
        <v/>
      </c>
    </row>
    <row r="50" spans="2:32" hidden="1" outlineLevel="1" x14ac:dyDescent="0.5">
      <c r="B50" s="60" t="str">
        <f ca="1"/>
        <v>48135NTF3</v>
      </c>
      <c r="C50" s="61" t="str">
        <f ca="1"/>
        <v>N/A</v>
      </c>
      <c r="D50" s="60" t="str">
        <f ca="1"/>
        <v>JPMORGAN CHASE FINL CO LLC SER A MTN    5.00000% 02/14/2030</v>
      </c>
      <c r="E50" s="61" t="str">
        <f ca="1"/>
        <v>Corp</v>
      </c>
      <c r="F50" s="62">
        <f ca="1"/>
        <v>5</v>
      </c>
      <c r="G50" s="63">
        <f ca="1"/>
        <v>47528</v>
      </c>
      <c r="H50" s="61" t="str">
        <f ca="1"/>
        <v>A1</v>
      </c>
      <c r="I50" s="61" t="str">
        <f ca="1"/>
        <v>A</v>
      </c>
      <c r="J50" s="64">
        <f ca="1"/>
        <v>100.398</v>
      </c>
      <c r="K50" s="17">
        <f ca="1"/>
        <v>4.907</v>
      </c>
      <c r="L50" s="18" t="str">
        <f ca="1"/>
        <v>1,454(1)</v>
      </c>
      <c r="M50" s="83"/>
      <c r="N50" s="84" t="str">
        <f t="shared" si="7"/>
        <v/>
      </c>
      <c r="O50" s="20" t="str">
        <f t="shared" si="8"/>
        <v/>
      </c>
      <c r="P50" s="64" t="str">
        <f t="shared" si="9"/>
        <v/>
      </c>
      <c r="Q50" s="85" t="str">
        <f t="shared" ca="1" si="10"/>
        <v/>
      </c>
      <c r="R50" s="86" t="str">
        <f t="shared" si="11"/>
        <v/>
      </c>
      <c r="S50" s="86" t="str">
        <f t="shared" si="12"/>
        <v/>
      </c>
      <c r="T50" s="104" t="str">
        <f t="shared" si="13"/>
        <v/>
      </c>
      <c r="U50" s="19" t="str">
        <f>IF(AND(M50&lt;&gt;"",M50&lt;&gt;0), IF(E50 = "Muni", T50, IF(E50="Corp", T50*(1 -'Investor Input'!$C$4-'Investor Input'!$C$5), T50*(1 -'Investor Input'!$C$4))), T50)</f>
        <v/>
      </c>
      <c r="V50" s="84" t="str">
        <f t="shared" si="14"/>
        <v/>
      </c>
      <c r="W50" s="84" t="str">
        <f t="shared" si="0"/>
        <v/>
      </c>
      <c r="X50" s="21" t="str">
        <f t="shared" si="1"/>
        <v/>
      </c>
      <c r="Y50" s="60" t="str">
        <f t="shared" si="2"/>
        <v/>
      </c>
      <c r="Z50" s="60" t="str">
        <f t="shared" si="3"/>
        <v/>
      </c>
      <c r="AA50" s="64" t="str">
        <f t="shared" si="4"/>
        <v/>
      </c>
      <c r="AB50" s="64" t="str">
        <f>IF(AND(AA50&lt;&gt;"",AA50&lt;&gt;0), IF(E50="Muni", AA50, IF(E50 = "Corp", (1-'Investor Input'!$C$4-'Investor Input'!$C$5)*AA50, (1-'Investor Input'!$C$4)*AA50)), AA50)</f>
        <v/>
      </c>
      <c r="AC50" s="94" t="str">
        <f t="shared" si="5"/>
        <v/>
      </c>
      <c r="AD50" s="60" t="str">
        <f>IF(AND(M50&lt;&gt;"", M50&lt;&gt;0), N50/$N$505*MATCH(AC50,'Misc Lists'!$K$2:$K$25,0), "")</f>
        <v/>
      </c>
      <c r="AE50" s="90" t="str">
        <f t="shared" si="6"/>
        <v/>
      </c>
      <c r="AF50" s="99" t="str">
        <f>IF(AND(M50&lt;&gt;"", M50&lt;&gt;0), N50/$N$505*MATCH(AE50,'Misc Lists'!$L$2:$L$25,0), "")</f>
        <v/>
      </c>
    </row>
    <row r="51" spans="2:32" hidden="1" outlineLevel="1" x14ac:dyDescent="0.5">
      <c r="B51" s="60" t="str">
        <f ca="1"/>
        <v>48135NTT3</v>
      </c>
      <c r="C51" s="61" t="str">
        <f ca="1"/>
        <v>N/A</v>
      </c>
      <c r="D51" s="60" t="str">
        <f ca="1"/>
        <v>JPMORGAN CHASE FINL CO LLC SER A MTN    5.00000% 02/28/2030</v>
      </c>
      <c r="E51" s="61" t="str">
        <f ca="1"/>
        <v>Corp</v>
      </c>
      <c r="F51" s="62">
        <f ca="1"/>
        <v>5</v>
      </c>
      <c r="G51" s="63">
        <f ca="1"/>
        <v>47542</v>
      </c>
      <c r="H51" s="61" t="str">
        <f ca="1"/>
        <v>A1</v>
      </c>
      <c r="I51" s="61" t="str">
        <f ca="1"/>
        <v>A</v>
      </c>
      <c r="J51" s="64">
        <f ca="1"/>
        <v>100.417</v>
      </c>
      <c r="K51" s="17">
        <f ca="1"/>
        <v>4.9039999999999999</v>
      </c>
      <c r="L51" s="18" t="str">
        <f ca="1"/>
        <v>723(1)</v>
      </c>
      <c r="M51" s="83"/>
      <c r="N51" s="84" t="str">
        <f t="shared" si="7"/>
        <v/>
      </c>
      <c r="O51" s="20" t="str">
        <f t="shared" si="8"/>
        <v/>
      </c>
      <c r="P51" s="64" t="str">
        <f t="shared" si="9"/>
        <v/>
      </c>
      <c r="Q51" s="85" t="str">
        <f t="shared" ca="1" si="10"/>
        <v/>
      </c>
      <c r="R51" s="86" t="str">
        <f t="shared" si="11"/>
        <v/>
      </c>
      <c r="S51" s="86" t="str">
        <f t="shared" si="12"/>
        <v/>
      </c>
      <c r="T51" s="104" t="str">
        <f t="shared" si="13"/>
        <v/>
      </c>
      <c r="U51" s="19" t="str">
        <f>IF(AND(M51&lt;&gt;"",M51&lt;&gt;0), IF(E51 = "Muni", T51, IF(E51="Corp", T51*(1 -'Investor Input'!$C$4-'Investor Input'!$C$5), T51*(1 -'Investor Input'!$C$4))), T51)</f>
        <v/>
      </c>
      <c r="V51" s="84" t="str">
        <f t="shared" si="14"/>
        <v/>
      </c>
      <c r="W51" s="84" t="str">
        <f t="shared" si="0"/>
        <v/>
      </c>
      <c r="X51" s="21" t="str">
        <f t="shared" si="1"/>
        <v/>
      </c>
      <c r="Y51" s="60" t="str">
        <f t="shared" si="2"/>
        <v/>
      </c>
      <c r="Z51" s="60" t="str">
        <f t="shared" si="3"/>
        <v/>
      </c>
      <c r="AA51" s="64" t="str">
        <f t="shared" si="4"/>
        <v/>
      </c>
      <c r="AB51" s="64" t="str">
        <f>IF(AND(AA51&lt;&gt;"",AA51&lt;&gt;0), IF(E51="Muni", AA51, IF(E51 = "Corp", (1-'Investor Input'!$C$4-'Investor Input'!$C$5)*AA51, (1-'Investor Input'!$C$4)*AA51)), AA51)</f>
        <v/>
      </c>
      <c r="AC51" s="94" t="str">
        <f t="shared" si="5"/>
        <v/>
      </c>
      <c r="AD51" s="60" t="str">
        <f>IF(AND(M51&lt;&gt;"", M51&lt;&gt;0), N51/$N$505*MATCH(AC51,'Misc Lists'!$K$2:$K$25,0), "")</f>
        <v/>
      </c>
      <c r="AE51" s="90" t="str">
        <f t="shared" si="6"/>
        <v/>
      </c>
      <c r="AF51" s="99" t="str">
        <f>IF(AND(M51&lt;&gt;"", M51&lt;&gt;0), N51/$N$505*MATCH(AE51,'Misc Lists'!$L$2:$L$25,0), "")</f>
        <v/>
      </c>
    </row>
    <row r="52" spans="2:32" hidden="1" outlineLevel="1" x14ac:dyDescent="0.5">
      <c r="B52" s="60" t="str">
        <f ca="1"/>
        <v>75968NAD3</v>
      </c>
      <c r="C52" s="61" t="str">
        <f ca="1"/>
        <v>N/A</v>
      </c>
      <c r="D52" s="60" t="str">
        <f ca="1"/>
        <v>RENAISSANCERE HLDGS LTD NOTE            3.60000% 04/15/2029 CALL MAKE WHOLE</v>
      </c>
      <c r="E52" s="61" t="str">
        <f ca="1"/>
        <v>Corp</v>
      </c>
      <c r="F52" s="62">
        <f ca="1"/>
        <v>3.6</v>
      </c>
      <c r="G52" s="63">
        <f ca="1"/>
        <v>47223</v>
      </c>
      <c r="H52" s="61" t="str">
        <f ca="1"/>
        <v>A3</v>
      </c>
      <c r="I52" s="61" t="str">
        <f ca="1"/>
        <v>A-</v>
      </c>
      <c r="J52" s="64">
        <f ca="1"/>
        <v>95.242999999999995</v>
      </c>
      <c r="K52" s="17">
        <f ca="1"/>
        <v>4.8959999999999999</v>
      </c>
      <c r="L52" s="18" t="str">
        <f ca="1"/>
        <v>475(10)</v>
      </c>
      <c r="M52" s="83"/>
      <c r="N52" s="84" t="str">
        <f t="shared" si="7"/>
        <v/>
      </c>
      <c r="O52" s="20" t="str">
        <f t="shared" si="8"/>
        <v/>
      </c>
      <c r="P52" s="64" t="str">
        <f t="shared" si="9"/>
        <v/>
      </c>
      <c r="Q52" s="85" t="str">
        <f t="shared" ca="1" si="10"/>
        <v/>
      </c>
      <c r="R52" s="86" t="str">
        <f t="shared" si="11"/>
        <v/>
      </c>
      <c r="S52" s="86" t="str">
        <f t="shared" si="12"/>
        <v/>
      </c>
      <c r="T52" s="104" t="str">
        <f t="shared" si="13"/>
        <v/>
      </c>
      <c r="U52" s="19" t="str">
        <f>IF(AND(M52&lt;&gt;"",M52&lt;&gt;0), IF(E52 = "Muni", T52, IF(E52="Corp", T52*(1 -'Investor Input'!$C$4-'Investor Input'!$C$5), T52*(1 -'Investor Input'!$C$4))), T52)</f>
        <v/>
      </c>
      <c r="V52" s="84" t="str">
        <f t="shared" si="14"/>
        <v/>
      </c>
      <c r="W52" s="84" t="str">
        <f t="shared" si="0"/>
        <v/>
      </c>
      <c r="X52" s="21" t="str">
        <f t="shared" si="1"/>
        <v/>
      </c>
      <c r="Y52" s="60" t="str">
        <f t="shared" si="2"/>
        <v/>
      </c>
      <c r="Z52" s="60" t="str">
        <f t="shared" si="3"/>
        <v/>
      </c>
      <c r="AA52" s="64" t="str">
        <f t="shared" si="4"/>
        <v/>
      </c>
      <c r="AB52" s="64" t="str">
        <f>IF(AND(AA52&lt;&gt;"",AA52&lt;&gt;0), IF(E52="Muni", AA52, IF(E52 = "Corp", (1-'Investor Input'!$C$4-'Investor Input'!$C$5)*AA52, (1-'Investor Input'!$C$4)*AA52)), AA52)</f>
        <v/>
      </c>
      <c r="AC52" s="94" t="str">
        <f t="shared" si="5"/>
        <v/>
      </c>
      <c r="AD52" s="60" t="str">
        <f>IF(AND(M52&lt;&gt;"", M52&lt;&gt;0), N52/$N$505*MATCH(AC52,'Misc Lists'!$K$2:$K$25,0), "")</f>
        <v/>
      </c>
      <c r="AE52" s="90" t="str">
        <f t="shared" si="6"/>
        <v/>
      </c>
      <c r="AF52" s="99" t="str">
        <f>IF(AND(M52&lt;&gt;"", M52&lt;&gt;0), N52/$N$505*MATCH(AE52,'Misc Lists'!$L$2:$L$25,0), "")</f>
        <v/>
      </c>
    </row>
    <row r="53" spans="2:32" hidden="1" outlineLevel="1" x14ac:dyDescent="0.5">
      <c r="B53" s="60" t="str">
        <f ca="1"/>
        <v>26875PAM3</v>
      </c>
      <c r="C53" s="61" t="str">
        <f ca="1"/>
        <v>N/A</v>
      </c>
      <c r="D53" s="60" t="str">
        <f ca="1"/>
        <v>EOG RES INC         NOTE                3.15000% 04/01/2025</v>
      </c>
      <c r="E53" s="61" t="str">
        <f ca="1"/>
        <v>Corp</v>
      </c>
      <c r="F53" s="62">
        <f ca="1"/>
        <v>3.15</v>
      </c>
      <c r="G53" s="63">
        <f ca="1"/>
        <v>45748</v>
      </c>
      <c r="H53" s="61" t="str">
        <f ca="1"/>
        <v>A3</v>
      </c>
      <c r="I53" s="61" t="str">
        <f ca="1"/>
        <v>A-</v>
      </c>
      <c r="J53" s="64">
        <f ca="1"/>
        <v>99.905000000000001</v>
      </c>
      <c r="K53" s="17">
        <f ca="1"/>
        <v>4.8860000000000001</v>
      </c>
      <c r="L53" s="18" t="str">
        <f ca="1"/>
        <v>310(5)</v>
      </c>
      <c r="M53" s="83"/>
      <c r="N53" s="84" t="str">
        <f t="shared" si="7"/>
        <v/>
      </c>
      <c r="O53" s="20" t="str">
        <f t="shared" si="8"/>
        <v/>
      </c>
      <c r="P53" s="64" t="str">
        <f t="shared" si="9"/>
        <v/>
      </c>
      <c r="Q53" s="85" t="str">
        <f t="shared" ca="1" si="10"/>
        <v/>
      </c>
      <c r="R53" s="86" t="str">
        <f t="shared" si="11"/>
        <v/>
      </c>
      <c r="S53" s="86" t="str">
        <f t="shared" si="12"/>
        <v/>
      </c>
      <c r="T53" s="104" t="str">
        <f t="shared" si="13"/>
        <v/>
      </c>
      <c r="U53" s="19" t="str">
        <f>IF(AND(M53&lt;&gt;"",M53&lt;&gt;0), IF(E53 = "Muni", T53, IF(E53="Corp", T53*(1 -'Investor Input'!$C$4-'Investor Input'!$C$5), T53*(1 -'Investor Input'!$C$4))), T53)</f>
        <v/>
      </c>
      <c r="V53" s="84" t="str">
        <f t="shared" si="14"/>
        <v/>
      </c>
      <c r="W53" s="84" t="str">
        <f t="shared" si="0"/>
        <v/>
      </c>
      <c r="X53" s="21" t="str">
        <f t="shared" si="1"/>
        <v/>
      </c>
      <c r="Y53" s="60" t="str">
        <f t="shared" si="2"/>
        <v/>
      </c>
      <c r="Z53" s="60" t="str">
        <f t="shared" si="3"/>
        <v/>
      </c>
      <c r="AA53" s="64" t="str">
        <f t="shared" si="4"/>
        <v/>
      </c>
      <c r="AB53" s="64" t="str">
        <f>IF(AND(AA53&lt;&gt;"",AA53&lt;&gt;0), IF(E53="Muni", AA53, IF(E53 = "Corp", (1-'Investor Input'!$C$4-'Investor Input'!$C$5)*AA53, (1-'Investor Input'!$C$4)*AA53)), AA53)</f>
        <v/>
      </c>
      <c r="AC53" s="94" t="str">
        <f t="shared" si="5"/>
        <v/>
      </c>
      <c r="AD53" s="60" t="str">
        <f>IF(AND(M53&lt;&gt;"", M53&lt;&gt;0), N53/$N$505*MATCH(AC53,'Misc Lists'!$K$2:$K$25,0), "")</f>
        <v/>
      </c>
      <c r="AE53" s="90" t="str">
        <f t="shared" si="6"/>
        <v/>
      </c>
      <c r="AF53" s="99" t="str">
        <f>IF(AND(M53&lt;&gt;"", M53&lt;&gt;0), N53/$N$505*MATCH(AE53,'Misc Lists'!$L$2:$L$25,0), "")</f>
        <v/>
      </c>
    </row>
    <row r="54" spans="2:32" hidden="1" outlineLevel="1" x14ac:dyDescent="0.5">
      <c r="B54" s="60" t="str">
        <f ca="1"/>
        <v>759351AN9</v>
      </c>
      <c r="C54" s="61" t="str">
        <f ca="1"/>
        <v>N/A</v>
      </c>
      <c r="D54" s="60" t="str">
        <f ca="1"/>
        <v>REINSURANCE GROUP   AMER INC SER 6.45   3.90000% 05/15/2029 NOTE CALL MAKE WHOLE</v>
      </c>
      <c r="E54" s="61" t="str">
        <f ca="1"/>
        <v>Corp</v>
      </c>
      <c r="F54" s="62">
        <f ca="1"/>
        <v>3.9</v>
      </c>
      <c r="G54" s="63">
        <f ca="1"/>
        <v>47253</v>
      </c>
      <c r="H54" s="61" t="str">
        <f ca="1"/>
        <v>BAA1</v>
      </c>
      <c r="I54" s="61" t="str">
        <f ca="1"/>
        <v>A</v>
      </c>
      <c r="J54" s="64">
        <f ca="1"/>
        <v>96.346000000000004</v>
      </c>
      <c r="K54" s="17">
        <f ca="1"/>
        <v>4.8760000000000003</v>
      </c>
      <c r="L54" s="18" t="str">
        <f ca="1"/>
        <v>200(2)</v>
      </c>
      <c r="M54" s="83"/>
      <c r="N54" s="84" t="str">
        <f t="shared" si="7"/>
        <v/>
      </c>
      <c r="O54" s="20" t="str">
        <f t="shared" si="8"/>
        <v/>
      </c>
      <c r="P54" s="64" t="str">
        <f t="shared" si="9"/>
        <v/>
      </c>
      <c r="Q54" s="85" t="str">
        <f t="shared" ca="1" si="10"/>
        <v/>
      </c>
      <c r="R54" s="86" t="str">
        <f t="shared" si="11"/>
        <v/>
      </c>
      <c r="S54" s="86" t="str">
        <f t="shared" si="12"/>
        <v/>
      </c>
      <c r="T54" s="104" t="str">
        <f t="shared" si="13"/>
        <v/>
      </c>
      <c r="U54" s="19" t="str">
        <f>IF(AND(M54&lt;&gt;"",M54&lt;&gt;0), IF(E54 = "Muni", T54, IF(E54="Corp", T54*(1 -'Investor Input'!$C$4-'Investor Input'!$C$5), T54*(1 -'Investor Input'!$C$4))), T54)</f>
        <v/>
      </c>
      <c r="V54" s="84" t="str">
        <f t="shared" si="14"/>
        <v/>
      </c>
      <c r="W54" s="84" t="str">
        <f t="shared" si="0"/>
        <v/>
      </c>
      <c r="X54" s="21" t="str">
        <f t="shared" si="1"/>
        <v/>
      </c>
      <c r="Y54" s="60" t="str">
        <f t="shared" si="2"/>
        <v/>
      </c>
      <c r="Z54" s="60" t="str">
        <f t="shared" si="3"/>
        <v/>
      </c>
      <c r="AA54" s="64" t="str">
        <f t="shared" si="4"/>
        <v/>
      </c>
      <c r="AB54" s="64" t="str">
        <f>IF(AND(AA54&lt;&gt;"",AA54&lt;&gt;0), IF(E54="Muni", AA54, IF(E54 = "Corp", (1-'Investor Input'!$C$4-'Investor Input'!$C$5)*AA54, (1-'Investor Input'!$C$4)*AA54)), AA54)</f>
        <v/>
      </c>
      <c r="AC54" s="94" t="str">
        <f t="shared" si="5"/>
        <v/>
      </c>
      <c r="AD54" s="60" t="str">
        <f>IF(AND(M54&lt;&gt;"", M54&lt;&gt;0), N54/$N$505*MATCH(AC54,'Misc Lists'!$K$2:$K$25,0), "")</f>
        <v/>
      </c>
      <c r="AE54" s="90" t="str">
        <f t="shared" si="6"/>
        <v/>
      </c>
      <c r="AF54" s="99" t="str">
        <f>IF(AND(M54&lt;&gt;"", M54&lt;&gt;0), N54/$N$505*MATCH(AE54,'Misc Lists'!$L$2:$L$25,0), "")</f>
        <v/>
      </c>
    </row>
    <row r="55" spans="2:32" hidden="1" outlineLevel="1" x14ac:dyDescent="0.5">
      <c r="B55" s="60" t="str">
        <f ca="1"/>
        <v>86562MDS6</v>
      </c>
      <c r="C55" s="61" t="str">
        <f ca="1"/>
        <v>N/A</v>
      </c>
      <c r="D55" s="60" t="str">
        <f ca="1"/>
        <v>SUMITOMO MITSUI FIN GRP INC NOTE        5.24000% 04/15/2030</v>
      </c>
      <c r="E55" s="61" t="str">
        <f ca="1"/>
        <v>Corp</v>
      </c>
      <c r="F55" s="62">
        <f ca="1"/>
        <v>5.24</v>
      </c>
      <c r="G55" s="63">
        <f ca="1"/>
        <v>47588</v>
      </c>
      <c r="H55" s="61" t="str">
        <f ca="1"/>
        <v>A1</v>
      </c>
      <c r="I55" s="61" t="str">
        <f ca="1"/>
        <v>A-</v>
      </c>
      <c r="J55" s="64">
        <f ca="1"/>
        <v>101.63500000000001</v>
      </c>
      <c r="K55" s="17">
        <f ca="1"/>
        <v>4.8739999999999997</v>
      </c>
      <c r="L55" s="18" t="str">
        <f ca="1"/>
        <v>500(200)</v>
      </c>
      <c r="M55" s="83"/>
      <c r="N55" s="84" t="str">
        <f t="shared" si="7"/>
        <v/>
      </c>
      <c r="O55" s="20" t="str">
        <f t="shared" si="8"/>
        <v/>
      </c>
      <c r="P55" s="64" t="str">
        <f t="shared" si="9"/>
        <v/>
      </c>
      <c r="Q55" s="85" t="str">
        <f t="shared" ca="1" si="10"/>
        <v/>
      </c>
      <c r="R55" s="86" t="str">
        <f t="shared" si="11"/>
        <v/>
      </c>
      <c r="S55" s="86" t="str">
        <f t="shared" si="12"/>
        <v/>
      </c>
      <c r="T55" s="104" t="str">
        <f t="shared" si="13"/>
        <v/>
      </c>
      <c r="U55" s="19" t="str">
        <f>IF(AND(M55&lt;&gt;"",M55&lt;&gt;0), IF(E55 = "Muni", T55, IF(E55="Corp", T55*(1 -'Investor Input'!$C$4-'Investor Input'!$C$5), T55*(1 -'Investor Input'!$C$4))), T55)</f>
        <v/>
      </c>
      <c r="V55" s="84" t="str">
        <f t="shared" si="14"/>
        <v/>
      </c>
      <c r="W55" s="84" t="str">
        <f t="shared" si="0"/>
        <v/>
      </c>
      <c r="X55" s="21" t="str">
        <f t="shared" si="1"/>
        <v/>
      </c>
      <c r="Y55" s="60" t="str">
        <f t="shared" si="2"/>
        <v/>
      </c>
      <c r="Z55" s="60" t="str">
        <f t="shared" si="3"/>
        <v/>
      </c>
      <c r="AA55" s="64" t="str">
        <f t="shared" si="4"/>
        <v/>
      </c>
      <c r="AB55" s="64" t="str">
        <f>IF(AND(AA55&lt;&gt;"",AA55&lt;&gt;0), IF(E55="Muni", AA55, IF(E55 = "Corp", (1-'Investor Input'!$C$4-'Investor Input'!$C$5)*AA55, (1-'Investor Input'!$C$4)*AA55)), AA55)</f>
        <v/>
      </c>
      <c r="AC55" s="94" t="str">
        <f t="shared" si="5"/>
        <v/>
      </c>
      <c r="AD55" s="60" t="str">
        <f>IF(AND(M55&lt;&gt;"", M55&lt;&gt;0), N55/$N$505*MATCH(AC55,'Misc Lists'!$K$2:$K$25,0), "")</f>
        <v/>
      </c>
      <c r="AE55" s="90" t="str">
        <f t="shared" si="6"/>
        <v/>
      </c>
      <c r="AF55" s="99" t="str">
        <f>IF(AND(M55&lt;&gt;"", M55&lt;&gt;0), N55/$N$505*MATCH(AE55,'Misc Lists'!$L$2:$L$25,0), "")</f>
        <v/>
      </c>
    </row>
    <row r="56" spans="2:32" hidden="1" outlineLevel="1" x14ac:dyDescent="0.5">
      <c r="B56" s="60" t="str">
        <f ca="1"/>
        <v>02364WBJ3</v>
      </c>
      <c r="C56" s="61" t="str">
        <f ca="1"/>
        <v>N/A</v>
      </c>
      <c r="D56" s="60" t="str">
        <f ca="1"/>
        <v>AMERICA MOVIL SAB DECV NOTE             2.87500% 05/07/2030 CALL MAKE WHOLE</v>
      </c>
      <c r="E56" s="61" t="str">
        <f ca="1"/>
        <v>Corp</v>
      </c>
      <c r="F56" s="62">
        <f ca="1"/>
        <v>2.875</v>
      </c>
      <c r="G56" s="63">
        <f ca="1"/>
        <v>47610</v>
      </c>
      <c r="H56" s="61" t="str">
        <f ca="1"/>
        <v>BAA1</v>
      </c>
      <c r="I56" s="61" t="str">
        <f ca="1"/>
        <v>A-</v>
      </c>
      <c r="J56" s="64">
        <f ca="1"/>
        <v>91.007000000000005</v>
      </c>
      <c r="K56" s="17">
        <f ca="1"/>
        <v>4.8689999999999998</v>
      </c>
      <c r="L56" s="18" t="str">
        <f ca="1"/>
        <v>500(200)</v>
      </c>
      <c r="M56" s="83"/>
      <c r="N56" s="84" t="str">
        <f t="shared" si="7"/>
        <v/>
      </c>
      <c r="O56" s="20" t="str">
        <f t="shared" si="8"/>
        <v/>
      </c>
      <c r="P56" s="64" t="str">
        <f t="shared" si="9"/>
        <v/>
      </c>
      <c r="Q56" s="85" t="str">
        <f t="shared" ca="1" si="10"/>
        <v/>
      </c>
      <c r="R56" s="86" t="str">
        <f t="shared" si="11"/>
        <v/>
      </c>
      <c r="S56" s="86" t="str">
        <f t="shared" si="12"/>
        <v/>
      </c>
      <c r="T56" s="104" t="str">
        <f t="shared" si="13"/>
        <v/>
      </c>
      <c r="U56" s="19" t="str">
        <f>IF(AND(M56&lt;&gt;"",M56&lt;&gt;0), IF(E56 = "Muni", T56, IF(E56="Corp", T56*(1 -'Investor Input'!$C$4-'Investor Input'!$C$5), T56*(1 -'Investor Input'!$C$4))), T56)</f>
        <v/>
      </c>
      <c r="V56" s="84" t="str">
        <f t="shared" si="14"/>
        <v/>
      </c>
      <c r="W56" s="84" t="str">
        <f t="shared" si="0"/>
        <v/>
      </c>
      <c r="X56" s="21" t="str">
        <f t="shared" si="1"/>
        <v/>
      </c>
      <c r="Y56" s="60" t="str">
        <f t="shared" si="2"/>
        <v/>
      </c>
      <c r="Z56" s="60" t="str">
        <f t="shared" si="3"/>
        <v/>
      </c>
      <c r="AA56" s="64" t="str">
        <f t="shared" si="4"/>
        <v/>
      </c>
      <c r="AB56" s="64" t="str">
        <f>IF(AND(AA56&lt;&gt;"",AA56&lt;&gt;0), IF(E56="Muni", AA56, IF(E56 = "Corp", (1-'Investor Input'!$C$4-'Investor Input'!$C$5)*AA56, (1-'Investor Input'!$C$4)*AA56)), AA56)</f>
        <v/>
      </c>
      <c r="AC56" s="94" t="str">
        <f t="shared" si="5"/>
        <v/>
      </c>
      <c r="AD56" s="60" t="str">
        <f>IF(AND(M56&lt;&gt;"", M56&lt;&gt;0), N56/$N$505*MATCH(AC56,'Misc Lists'!$K$2:$K$25,0), "")</f>
        <v/>
      </c>
      <c r="AE56" s="90" t="str">
        <f t="shared" si="6"/>
        <v/>
      </c>
      <c r="AF56" s="99" t="str">
        <f>IF(AND(M56&lt;&gt;"", M56&lt;&gt;0), N56/$N$505*MATCH(AE56,'Misc Lists'!$L$2:$L$25,0), "")</f>
        <v/>
      </c>
    </row>
    <row r="57" spans="2:32" hidden="1" outlineLevel="1" x14ac:dyDescent="0.5">
      <c r="B57" s="60" t="str">
        <f ca="1"/>
        <v>86562MCW8</v>
      </c>
      <c r="C57" s="61" t="str">
        <f ca="1"/>
        <v>N/A</v>
      </c>
      <c r="D57" s="60" t="str">
        <f ca="1"/>
        <v>SUMITOMO MITSUI FIN GRP INC NOTE        5.71000% 01/13/2030</v>
      </c>
      <c r="E57" s="61" t="str">
        <f ca="1"/>
        <v>Corp</v>
      </c>
      <c r="F57" s="62">
        <f ca="1"/>
        <v>5.71</v>
      </c>
      <c r="G57" s="63">
        <f ca="1"/>
        <v>47496</v>
      </c>
      <c r="H57" s="61" t="str">
        <f ca="1"/>
        <v>A1</v>
      </c>
      <c r="I57" s="61" t="str">
        <f ca="1"/>
        <v>A-</v>
      </c>
      <c r="J57" s="64">
        <f ca="1"/>
        <v>103.595</v>
      </c>
      <c r="K57" s="17">
        <f ca="1"/>
        <v>4.8650000000000002</v>
      </c>
      <c r="L57" s="18" t="str">
        <f ca="1"/>
        <v>200(200)</v>
      </c>
      <c r="M57" s="83"/>
      <c r="N57" s="84" t="str">
        <f t="shared" si="7"/>
        <v/>
      </c>
      <c r="O57" s="20" t="str">
        <f t="shared" si="8"/>
        <v/>
      </c>
      <c r="P57" s="64" t="str">
        <f t="shared" si="9"/>
        <v/>
      </c>
      <c r="Q57" s="85" t="str">
        <f t="shared" ca="1" si="10"/>
        <v/>
      </c>
      <c r="R57" s="86" t="str">
        <f t="shared" si="11"/>
        <v/>
      </c>
      <c r="S57" s="86" t="str">
        <f t="shared" si="12"/>
        <v/>
      </c>
      <c r="T57" s="104" t="str">
        <f t="shared" si="13"/>
        <v/>
      </c>
      <c r="U57" s="19" t="str">
        <f>IF(AND(M57&lt;&gt;"",M57&lt;&gt;0), IF(E57 = "Muni", T57, IF(E57="Corp", T57*(1 -'Investor Input'!$C$4-'Investor Input'!$C$5), T57*(1 -'Investor Input'!$C$4))), T57)</f>
        <v/>
      </c>
      <c r="V57" s="84" t="str">
        <f t="shared" si="14"/>
        <v/>
      </c>
      <c r="W57" s="84" t="str">
        <f t="shared" si="0"/>
        <v/>
      </c>
      <c r="X57" s="21" t="str">
        <f t="shared" si="1"/>
        <v/>
      </c>
      <c r="Y57" s="60" t="str">
        <f t="shared" si="2"/>
        <v/>
      </c>
      <c r="Z57" s="60" t="str">
        <f t="shared" si="3"/>
        <v/>
      </c>
      <c r="AA57" s="64" t="str">
        <f t="shared" si="4"/>
        <v/>
      </c>
      <c r="AB57" s="64" t="str">
        <f>IF(AND(AA57&lt;&gt;"",AA57&lt;&gt;0), IF(E57="Muni", AA57, IF(E57 = "Corp", (1-'Investor Input'!$C$4-'Investor Input'!$C$5)*AA57, (1-'Investor Input'!$C$4)*AA57)), AA57)</f>
        <v/>
      </c>
      <c r="AC57" s="94" t="str">
        <f t="shared" si="5"/>
        <v/>
      </c>
      <c r="AD57" s="60" t="str">
        <f>IF(AND(M57&lt;&gt;"", M57&lt;&gt;0), N57/$N$505*MATCH(AC57,'Misc Lists'!$K$2:$K$25,0), "")</f>
        <v/>
      </c>
      <c r="AE57" s="90" t="str">
        <f t="shared" si="6"/>
        <v/>
      </c>
      <c r="AF57" s="99" t="str">
        <f>IF(AND(M57&lt;&gt;"", M57&lt;&gt;0), N57/$N$505*MATCH(AE57,'Misc Lists'!$L$2:$L$25,0), "")</f>
        <v/>
      </c>
    </row>
    <row r="58" spans="2:32" hidden="1" outlineLevel="1" x14ac:dyDescent="0.5">
      <c r="B58" s="60" t="str">
        <f ca="1"/>
        <v>29736RAQ3</v>
      </c>
      <c r="C58" s="61" t="str">
        <f ca="1"/>
        <v>N/A</v>
      </c>
      <c r="D58" s="60" t="str">
        <f ca="1"/>
        <v>LAUDER ESTEE COS INCNOTE CALL MAKE WHOLE2.60000% 04/15/2030</v>
      </c>
      <c r="E58" s="61" t="str">
        <f ca="1"/>
        <v>Corp</v>
      </c>
      <c r="F58" s="62">
        <f ca="1"/>
        <v>2.6</v>
      </c>
      <c r="G58" s="63">
        <f ca="1"/>
        <v>47588</v>
      </c>
      <c r="H58" s="61" t="str">
        <f ca="1"/>
        <v>A2</v>
      </c>
      <c r="I58" s="61" t="str">
        <f ca="1"/>
        <v>A-</v>
      </c>
      <c r="J58" s="64">
        <f ca="1"/>
        <v>89.915999999999997</v>
      </c>
      <c r="K58" s="17">
        <f ca="1"/>
        <v>4.859</v>
      </c>
      <c r="L58" s="18" t="str">
        <f ca="1"/>
        <v>500(10)</v>
      </c>
      <c r="M58" s="83"/>
      <c r="N58" s="84" t="str">
        <f t="shared" si="7"/>
        <v/>
      </c>
      <c r="O58" s="20" t="str">
        <f t="shared" si="8"/>
        <v/>
      </c>
      <c r="P58" s="64" t="str">
        <f t="shared" si="9"/>
        <v/>
      </c>
      <c r="Q58" s="85" t="str">
        <f t="shared" ca="1" si="10"/>
        <v/>
      </c>
      <c r="R58" s="86" t="str">
        <f t="shared" si="11"/>
        <v/>
      </c>
      <c r="S58" s="86" t="str">
        <f t="shared" si="12"/>
        <v/>
      </c>
      <c r="T58" s="104" t="str">
        <f t="shared" si="13"/>
        <v/>
      </c>
      <c r="U58" s="19" t="str">
        <f>IF(AND(M58&lt;&gt;"",M58&lt;&gt;0), IF(E58 = "Muni", T58, IF(E58="Corp", T58*(1 -'Investor Input'!$C$4-'Investor Input'!$C$5), T58*(1 -'Investor Input'!$C$4))), T58)</f>
        <v/>
      </c>
      <c r="V58" s="84" t="str">
        <f t="shared" si="14"/>
        <v/>
      </c>
      <c r="W58" s="84" t="str">
        <f t="shared" si="0"/>
        <v/>
      </c>
      <c r="X58" s="21" t="str">
        <f t="shared" si="1"/>
        <v/>
      </c>
      <c r="Y58" s="60" t="str">
        <f t="shared" si="2"/>
        <v/>
      </c>
      <c r="Z58" s="60" t="str">
        <f t="shared" si="3"/>
        <v/>
      </c>
      <c r="AA58" s="64" t="str">
        <f t="shared" si="4"/>
        <v/>
      </c>
      <c r="AB58" s="64" t="str">
        <f>IF(AND(AA58&lt;&gt;"",AA58&lt;&gt;0), IF(E58="Muni", AA58, IF(E58 = "Corp", (1-'Investor Input'!$C$4-'Investor Input'!$C$5)*AA58, (1-'Investor Input'!$C$4)*AA58)), AA58)</f>
        <v/>
      </c>
      <c r="AC58" s="94" t="str">
        <f t="shared" si="5"/>
        <v/>
      </c>
      <c r="AD58" s="60" t="str">
        <f>IF(AND(M58&lt;&gt;"", M58&lt;&gt;0), N58/$N$505*MATCH(AC58,'Misc Lists'!$K$2:$K$25,0), "")</f>
        <v/>
      </c>
      <c r="AE58" s="90" t="str">
        <f t="shared" si="6"/>
        <v/>
      </c>
      <c r="AF58" s="99" t="str">
        <f>IF(AND(M58&lt;&gt;"", M58&lt;&gt;0), N58/$N$505*MATCH(AE58,'Misc Lists'!$L$2:$L$25,0), "")</f>
        <v/>
      </c>
    </row>
    <row r="59" spans="2:32" hidden="1" outlineLevel="1" x14ac:dyDescent="0.5">
      <c r="B59" s="60" t="str">
        <f ca="1"/>
        <v>02665WFY2</v>
      </c>
      <c r="C59" s="61" t="str">
        <f ca="1"/>
        <v>N/A</v>
      </c>
      <c r="D59" s="60" t="str">
        <f ca="1"/>
        <v>AMERICAN HONDA FIN  CORP  MTN           4.80000% 03/05/2030 CALL MAKE WHOLE</v>
      </c>
      <c r="E59" s="61" t="str">
        <f ca="1"/>
        <v>Corp</v>
      </c>
      <c r="F59" s="62">
        <f ca="1"/>
        <v>4.8</v>
      </c>
      <c r="G59" s="63">
        <f ca="1"/>
        <v>47547</v>
      </c>
      <c r="H59" s="61" t="str">
        <f ca="1"/>
        <v>A3</v>
      </c>
      <c r="I59" s="61" t="str">
        <f ca="1"/>
        <v>A-</v>
      </c>
      <c r="J59" s="64">
        <f ca="1"/>
        <v>99.757999999999996</v>
      </c>
      <c r="K59" s="17">
        <f ca="1"/>
        <v>4.8550000000000004</v>
      </c>
      <c r="L59" s="18" t="str">
        <f ca="1"/>
        <v>500(2)</v>
      </c>
      <c r="M59" s="83"/>
      <c r="N59" s="84" t="str">
        <f t="shared" si="7"/>
        <v/>
      </c>
      <c r="O59" s="20" t="str">
        <f t="shared" si="8"/>
        <v/>
      </c>
      <c r="P59" s="64" t="str">
        <f t="shared" si="9"/>
        <v/>
      </c>
      <c r="Q59" s="85" t="str">
        <f t="shared" ca="1" si="10"/>
        <v/>
      </c>
      <c r="R59" s="86" t="str">
        <f t="shared" si="11"/>
        <v/>
      </c>
      <c r="S59" s="86" t="str">
        <f t="shared" si="12"/>
        <v/>
      </c>
      <c r="T59" s="104" t="str">
        <f t="shared" si="13"/>
        <v/>
      </c>
      <c r="U59" s="19" t="str">
        <f>IF(AND(M59&lt;&gt;"",M59&lt;&gt;0), IF(E59 = "Muni", T59, IF(E59="Corp", T59*(1 -'Investor Input'!$C$4-'Investor Input'!$C$5), T59*(1 -'Investor Input'!$C$4))), T59)</f>
        <v/>
      </c>
      <c r="V59" s="84" t="str">
        <f t="shared" si="14"/>
        <v/>
      </c>
      <c r="W59" s="84" t="str">
        <f t="shared" si="0"/>
        <v/>
      </c>
      <c r="X59" s="21" t="str">
        <f t="shared" si="1"/>
        <v/>
      </c>
      <c r="Y59" s="60" t="str">
        <f t="shared" si="2"/>
        <v/>
      </c>
      <c r="Z59" s="60" t="str">
        <f t="shared" si="3"/>
        <v/>
      </c>
      <c r="AA59" s="64" t="str">
        <f t="shared" si="4"/>
        <v/>
      </c>
      <c r="AB59" s="64" t="str">
        <f>IF(AND(AA59&lt;&gt;"",AA59&lt;&gt;0), IF(E59="Muni", AA59, IF(E59 = "Corp", (1-'Investor Input'!$C$4-'Investor Input'!$C$5)*AA59, (1-'Investor Input'!$C$4)*AA59)), AA59)</f>
        <v/>
      </c>
      <c r="AC59" s="94" t="str">
        <f t="shared" si="5"/>
        <v/>
      </c>
      <c r="AD59" s="60" t="str">
        <f>IF(AND(M59&lt;&gt;"", M59&lt;&gt;0), N59/$N$505*MATCH(AC59,'Misc Lists'!$K$2:$K$25,0), "")</f>
        <v/>
      </c>
      <c r="AE59" s="90" t="str">
        <f t="shared" si="6"/>
        <v/>
      </c>
      <c r="AF59" s="99" t="str">
        <f>IF(AND(M59&lt;&gt;"", M59&lt;&gt;0), N59/$N$505*MATCH(AE59,'Misc Lists'!$L$2:$L$25,0), "")</f>
        <v/>
      </c>
    </row>
    <row r="60" spans="2:32" hidden="1" outlineLevel="1" x14ac:dyDescent="0.5">
      <c r="B60" s="60" t="str">
        <f ca="1"/>
        <v>756109BR4</v>
      </c>
      <c r="C60" s="61" t="str">
        <f ca="1"/>
        <v>N/A</v>
      </c>
      <c r="D60" s="60" t="str">
        <f ca="1"/>
        <v>REALTY INCOME CORP  NOTE CALL MAKE WHOLE4.85000% 03/15/2030</v>
      </c>
      <c r="E60" s="61" t="str">
        <f ca="1"/>
        <v>Corp</v>
      </c>
      <c r="F60" s="62">
        <f ca="1"/>
        <v>4.8499999999999996</v>
      </c>
      <c r="G60" s="63">
        <f ca="1"/>
        <v>47557</v>
      </c>
      <c r="H60" s="61" t="str">
        <f ca="1"/>
        <v>A3</v>
      </c>
      <c r="I60" s="61" t="str">
        <f ca="1"/>
        <v>A-</v>
      </c>
      <c r="J60" s="64">
        <f ca="1"/>
        <v>99.995000000000005</v>
      </c>
      <c r="K60" s="17">
        <f ca="1"/>
        <v>4.851</v>
      </c>
      <c r="L60" s="18" t="str">
        <f ca="1"/>
        <v>2,000(2)</v>
      </c>
      <c r="M60" s="83"/>
      <c r="N60" s="84" t="str">
        <f t="shared" si="7"/>
        <v/>
      </c>
      <c r="O60" s="20" t="str">
        <f t="shared" si="8"/>
        <v/>
      </c>
      <c r="P60" s="64" t="str">
        <f t="shared" si="9"/>
        <v/>
      </c>
      <c r="Q60" s="85" t="str">
        <f t="shared" ca="1" si="10"/>
        <v/>
      </c>
      <c r="R60" s="86" t="str">
        <f t="shared" si="11"/>
        <v/>
      </c>
      <c r="S60" s="86" t="str">
        <f t="shared" si="12"/>
        <v/>
      </c>
      <c r="T60" s="104" t="str">
        <f t="shared" si="13"/>
        <v/>
      </c>
      <c r="U60" s="19" t="str">
        <f>IF(AND(M60&lt;&gt;"",M60&lt;&gt;0), IF(E60 = "Muni", T60, IF(E60="Corp", T60*(1 -'Investor Input'!$C$4-'Investor Input'!$C$5), T60*(1 -'Investor Input'!$C$4))), T60)</f>
        <v/>
      </c>
      <c r="V60" s="84" t="str">
        <f t="shared" si="14"/>
        <v/>
      </c>
      <c r="W60" s="84" t="str">
        <f t="shared" si="0"/>
        <v/>
      </c>
      <c r="X60" s="21" t="str">
        <f t="shared" si="1"/>
        <v/>
      </c>
      <c r="Y60" s="60" t="str">
        <f t="shared" si="2"/>
        <v/>
      </c>
      <c r="Z60" s="60" t="str">
        <f t="shared" si="3"/>
        <v/>
      </c>
      <c r="AA60" s="64" t="str">
        <f t="shared" si="4"/>
        <v/>
      </c>
      <c r="AB60" s="64" t="str">
        <f>IF(AND(AA60&lt;&gt;"",AA60&lt;&gt;0), IF(E60="Muni", AA60, IF(E60 = "Corp", (1-'Investor Input'!$C$4-'Investor Input'!$C$5)*AA60, (1-'Investor Input'!$C$4)*AA60)), AA60)</f>
        <v/>
      </c>
      <c r="AC60" s="94" t="str">
        <f t="shared" si="5"/>
        <v/>
      </c>
      <c r="AD60" s="60" t="str">
        <f>IF(AND(M60&lt;&gt;"", M60&lt;&gt;0), N60/$N$505*MATCH(AC60,'Misc Lists'!$K$2:$K$25,0), "")</f>
        <v/>
      </c>
      <c r="AE60" s="90" t="str">
        <f t="shared" si="6"/>
        <v/>
      </c>
      <c r="AF60" s="99" t="str">
        <f>IF(AND(M60&lt;&gt;"", M60&lt;&gt;0), N60/$N$505*MATCH(AE60,'Misc Lists'!$L$2:$L$25,0), "")</f>
        <v/>
      </c>
    </row>
    <row r="61" spans="2:32" hidden="1" outlineLevel="1" x14ac:dyDescent="0.5">
      <c r="B61" s="60" t="str">
        <f ca="1"/>
        <v>86562MDM9</v>
      </c>
      <c r="C61" s="61" t="str">
        <f ca="1"/>
        <v>N/A</v>
      </c>
      <c r="D61" s="60" t="str">
        <f ca="1"/>
        <v>SUMITOMO MITSUI FIN GRP INC NOTE        5.31600% 07/09/2029</v>
      </c>
      <c r="E61" s="61" t="str">
        <f ca="1"/>
        <v>Corp</v>
      </c>
      <c r="F61" s="62">
        <f ca="1"/>
        <v>5.3159999999999998</v>
      </c>
      <c r="G61" s="63">
        <f ca="1"/>
        <v>47308</v>
      </c>
      <c r="H61" s="61" t="str">
        <f ca="1"/>
        <v>A1</v>
      </c>
      <c r="I61" s="61" t="str">
        <f ca="1"/>
        <v>A-</v>
      </c>
      <c r="J61" s="64">
        <f ca="1"/>
        <v>101.806</v>
      </c>
      <c r="K61" s="17">
        <f ca="1"/>
        <v>4.8460000000000001</v>
      </c>
      <c r="L61" s="18" t="str">
        <f ca="1"/>
        <v>200(200)</v>
      </c>
      <c r="M61" s="83"/>
      <c r="N61" s="84" t="str">
        <f t="shared" si="7"/>
        <v/>
      </c>
      <c r="O61" s="20" t="str">
        <f t="shared" si="8"/>
        <v/>
      </c>
      <c r="P61" s="64" t="str">
        <f t="shared" si="9"/>
        <v/>
      </c>
      <c r="Q61" s="85" t="str">
        <f t="shared" ca="1" si="10"/>
        <v/>
      </c>
      <c r="R61" s="86" t="str">
        <f t="shared" si="11"/>
        <v/>
      </c>
      <c r="S61" s="86" t="str">
        <f t="shared" si="12"/>
        <v/>
      </c>
      <c r="T61" s="104" t="str">
        <f t="shared" si="13"/>
        <v/>
      </c>
      <c r="U61" s="19" t="str">
        <f>IF(AND(M61&lt;&gt;"",M61&lt;&gt;0), IF(E61 = "Muni", T61, IF(E61="Corp", T61*(1 -'Investor Input'!$C$4-'Investor Input'!$C$5), T61*(1 -'Investor Input'!$C$4))), T61)</f>
        <v/>
      </c>
      <c r="V61" s="84" t="str">
        <f t="shared" si="14"/>
        <v/>
      </c>
      <c r="W61" s="84" t="str">
        <f t="shared" si="0"/>
        <v/>
      </c>
      <c r="X61" s="21" t="str">
        <f t="shared" si="1"/>
        <v/>
      </c>
      <c r="Y61" s="60" t="str">
        <f t="shared" si="2"/>
        <v/>
      </c>
      <c r="Z61" s="60" t="str">
        <f t="shared" si="3"/>
        <v/>
      </c>
      <c r="AA61" s="64" t="str">
        <f t="shared" si="4"/>
        <v/>
      </c>
      <c r="AB61" s="64" t="str">
        <f>IF(AND(AA61&lt;&gt;"",AA61&lt;&gt;0), IF(E61="Muni", AA61, IF(E61 = "Corp", (1-'Investor Input'!$C$4-'Investor Input'!$C$5)*AA61, (1-'Investor Input'!$C$4)*AA61)), AA61)</f>
        <v/>
      </c>
      <c r="AC61" s="94" t="str">
        <f t="shared" si="5"/>
        <v/>
      </c>
      <c r="AD61" s="60" t="str">
        <f>IF(AND(M61&lt;&gt;"", M61&lt;&gt;0), N61/$N$505*MATCH(AC61,'Misc Lists'!$K$2:$K$25,0), "")</f>
        <v/>
      </c>
      <c r="AE61" s="90" t="str">
        <f t="shared" si="6"/>
        <v/>
      </c>
      <c r="AF61" s="99" t="str">
        <f>IF(AND(M61&lt;&gt;"", M61&lt;&gt;0), N61/$N$505*MATCH(AE61,'Misc Lists'!$L$2:$L$25,0), "")</f>
        <v/>
      </c>
    </row>
    <row r="62" spans="2:32" hidden="1" outlineLevel="1" x14ac:dyDescent="0.5">
      <c r="B62" s="60" t="str">
        <f ca="1"/>
        <v>11271LAD4</v>
      </c>
      <c r="C62" s="61" t="str">
        <f ca="1"/>
        <v>N/A</v>
      </c>
      <c r="D62" s="60" t="str">
        <f ca="1"/>
        <v>BROOKFIELD FIN INC  NOTE CALL MAKE WHOLE4.85000% 03/29/2029</v>
      </c>
      <c r="E62" s="61" t="str">
        <f ca="1"/>
        <v>Corp</v>
      </c>
      <c r="F62" s="62">
        <f ca="1"/>
        <v>4.8499999999999996</v>
      </c>
      <c r="G62" s="63">
        <f ca="1"/>
        <v>47206</v>
      </c>
      <c r="H62" s="61" t="str">
        <f ca="1"/>
        <v>A3</v>
      </c>
      <c r="I62" s="61" t="str">
        <f ca="1"/>
        <v>A-</v>
      </c>
      <c r="J62" s="64">
        <f ca="1"/>
        <v>100.02800000000001</v>
      </c>
      <c r="K62" s="17">
        <f ca="1"/>
        <v>4.8419999999999996</v>
      </c>
      <c r="L62" s="18" t="str">
        <f ca="1"/>
        <v>500(2)</v>
      </c>
      <c r="M62" s="83"/>
      <c r="N62" s="84" t="str">
        <f t="shared" si="7"/>
        <v/>
      </c>
      <c r="O62" s="20" t="str">
        <f t="shared" si="8"/>
        <v/>
      </c>
      <c r="P62" s="64" t="str">
        <f t="shared" si="9"/>
        <v/>
      </c>
      <c r="Q62" s="85" t="str">
        <f t="shared" ca="1" si="10"/>
        <v/>
      </c>
      <c r="R62" s="86" t="str">
        <f t="shared" si="11"/>
        <v/>
      </c>
      <c r="S62" s="86" t="str">
        <f t="shared" si="12"/>
        <v/>
      </c>
      <c r="T62" s="104" t="str">
        <f t="shared" si="13"/>
        <v/>
      </c>
      <c r="U62" s="19" t="str">
        <f>IF(AND(M62&lt;&gt;"",M62&lt;&gt;0), IF(E62 = "Muni", T62, IF(E62="Corp", T62*(1 -'Investor Input'!$C$4-'Investor Input'!$C$5), T62*(1 -'Investor Input'!$C$4))), T62)</f>
        <v/>
      </c>
      <c r="V62" s="84" t="str">
        <f t="shared" si="14"/>
        <v/>
      </c>
      <c r="W62" s="84" t="str">
        <f t="shared" si="0"/>
        <v/>
      </c>
      <c r="X62" s="21" t="str">
        <f t="shared" si="1"/>
        <v/>
      </c>
      <c r="Y62" s="60" t="str">
        <f t="shared" si="2"/>
        <v/>
      </c>
      <c r="Z62" s="60" t="str">
        <f t="shared" si="3"/>
        <v/>
      </c>
      <c r="AA62" s="64" t="str">
        <f t="shared" si="4"/>
        <v/>
      </c>
      <c r="AB62" s="64" t="str">
        <f>IF(AND(AA62&lt;&gt;"",AA62&lt;&gt;0), IF(E62="Muni", AA62, IF(E62 = "Corp", (1-'Investor Input'!$C$4-'Investor Input'!$C$5)*AA62, (1-'Investor Input'!$C$4)*AA62)), AA62)</f>
        <v/>
      </c>
      <c r="AC62" s="94" t="str">
        <f t="shared" si="5"/>
        <v/>
      </c>
      <c r="AD62" s="60" t="str">
        <f>IF(AND(M62&lt;&gt;"", M62&lt;&gt;0), N62/$N$505*MATCH(AC62,'Misc Lists'!$K$2:$K$25,0), "")</f>
        <v/>
      </c>
      <c r="AE62" s="90" t="str">
        <f t="shared" si="6"/>
        <v/>
      </c>
      <c r="AF62" s="99" t="str">
        <f>IF(AND(M62&lt;&gt;"", M62&lt;&gt;0), N62/$N$505*MATCH(AE62,'Misc Lists'!$L$2:$L$25,0), "")</f>
        <v/>
      </c>
    </row>
    <row r="63" spans="2:32" hidden="1" outlineLevel="1" x14ac:dyDescent="0.5">
      <c r="B63" s="60" t="str">
        <f ca="1"/>
        <v>756109CC6</v>
      </c>
      <c r="C63" s="61" t="str">
        <f ca="1"/>
        <v>N/A</v>
      </c>
      <c r="D63" s="60" t="str">
        <f ca="1"/>
        <v>REALTY INCOME CORP  NOTE CALL MAKE WHOLE3.40000% 01/15/2030</v>
      </c>
      <c r="E63" s="61" t="str">
        <f ca="1"/>
        <v>Corp</v>
      </c>
      <c r="F63" s="62">
        <f ca="1"/>
        <v>3.4</v>
      </c>
      <c r="G63" s="63">
        <f ca="1"/>
        <v>47498</v>
      </c>
      <c r="H63" s="61" t="str">
        <f ca="1"/>
        <v>A3</v>
      </c>
      <c r="I63" s="61" t="str">
        <f ca="1"/>
        <v>A-</v>
      </c>
      <c r="J63" s="64">
        <f ca="1"/>
        <v>93.841999999999999</v>
      </c>
      <c r="K63" s="17">
        <f ca="1"/>
        <v>4.8410000000000002</v>
      </c>
      <c r="L63" s="18" t="str">
        <f ca="1"/>
        <v>750(2)</v>
      </c>
      <c r="M63" s="83"/>
      <c r="N63" s="84" t="str">
        <f t="shared" si="7"/>
        <v/>
      </c>
      <c r="O63" s="20" t="str">
        <f t="shared" si="8"/>
        <v/>
      </c>
      <c r="P63" s="64" t="str">
        <f t="shared" si="9"/>
        <v/>
      </c>
      <c r="Q63" s="85" t="str">
        <f t="shared" ca="1" si="10"/>
        <v/>
      </c>
      <c r="R63" s="86" t="str">
        <f t="shared" si="11"/>
        <v/>
      </c>
      <c r="S63" s="86" t="str">
        <f t="shared" si="12"/>
        <v/>
      </c>
      <c r="T63" s="104" t="str">
        <f t="shared" si="13"/>
        <v/>
      </c>
      <c r="U63" s="19" t="str">
        <f>IF(AND(M63&lt;&gt;"",M63&lt;&gt;0), IF(E63 = "Muni", T63, IF(E63="Corp", T63*(1 -'Investor Input'!$C$4-'Investor Input'!$C$5), T63*(1 -'Investor Input'!$C$4))), T63)</f>
        <v/>
      </c>
      <c r="V63" s="84" t="str">
        <f t="shared" si="14"/>
        <v/>
      </c>
      <c r="W63" s="84" t="str">
        <f t="shared" si="0"/>
        <v/>
      </c>
      <c r="X63" s="21" t="str">
        <f t="shared" si="1"/>
        <v/>
      </c>
      <c r="Y63" s="60" t="str">
        <f t="shared" si="2"/>
        <v/>
      </c>
      <c r="Z63" s="60" t="str">
        <f t="shared" si="3"/>
        <v/>
      </c>
      <c r="AA63" s="64" t="str">
        <f t="shared" si="4"/>
        <v/>
      </c>
      <c r="AB63" s="64" t="str">
        <f>IF(AND(AA63&lt;&gt;"",AA63&lt;&gt;0), IF(E63="Muni", AA63, IF(E63 = "Corp", (1-'Investor Input'!$C$4-'Investor Input'!$C$5)*AA63, (1-'Investor Input'!$C$4)*AA63)), AA63)</f>
        <v/>
      </c>
      <c r="AC63" s="94" t="str">
        <f t="shared" si="5"/>
        <v/>
      </c>
      <c r="AD63" s="60" t="str">
        <f>IF(AND(M63&lt;&gt;"", M63&lt;&gt;0), N63/$N$505*MATCH(AC63,'Misc Lists'!$K$2:$K$25,0), "")</f>
        <v/>
      </c>
      <c r="AE63" s="90" t="str">
        <f t="shared" si="6"/>
        <v/>
      </c>
      <c r="AF63" s="99" t="str">
        <f>IF(AND(M63&lt;&gt;"", M63&lt;&gt;0), N63/$N$505*MATCH(AE63,'Misc Lists'!$L$2:$L$25,0), "")</f>
        <v/>
      </c>
    </row>
    <row r="64" spans="2:32" hidden="1" outlineLevel="1" x14ac:dyDescent="0.5">
      <c r="B64" s="60" t="str">
        <f ca="1"/>
        <v>693475AZ8</v>
      </c>
      <c r="C64" s="61" t="str">
        <f ca="1"/>
        <v>N/A</v>
      </c>
      <c r="D64" s="60" t="str">
        <f ca="1"/>
        <v>PNC FINL SVCS GROUP INC NOTE            2.55000% 01/22/2030</v>
      </c>
      <c r="E64" s="61" t="str">
        <f ca="1"/>
        <v>Corp</v>
      </c>
      <c r="F64" s="62">
        <f ca="1"/>
        <v>2.5499999999999998</v>
      </c>
      <c r="G64" s="63">
        <f ca="1"/>
        <v>47505</v>
      </c>
      <c r="H64" s="61" t="str">
        <f ca="1"/>
        <v>A3</v>
      </c>
      <c r="I64" s="61" t="str">
        <f ca="1"/>
        <v>A-</v>
      </c>
      <c r="J64" s="64">
        <f ca="1"/>
        <v>90.18</v>
      </c>
      <c r="K64" s="17">
        <f ca="1"/>
        <v>4.8410000000000002</v>
      </c>
      <c r="L64" s="18" t="str">
        <f ca="1"/>
        <v>500(2)</v>
      </c>
      <c r="M64" s="83"/>
      <c r="N64" s="84" t="str">
        <f t="shared" si="7"/>
        <v/>
      </c>
      <c r="O64" s="20" t="str">
        <f t="shared" si="8"/>
        <v/>
      </c>
      <c r="P64" s="64" t="str">
        <f t="shared" si="9"/>
        <v/>
      </c>
      <c r="Q64" s="85" t="str">
        <f t="shared" ca="1" si="10"/>
        <v/>
      </c>
      <c r="R64" s="86" t="str">
        <f t="shared" si="11"/>
        <v/>
      </c>
      <c r="S64" s="86" t="str">
        <f t="shared" si="12"/>
        <v/>
      </c>
      <c r="T64" s="104" t="str">
        <f t="shared" si="13"/>
        <v/>
      </c>
      <c r="U64" s="19" t="str">
        <f>IF(AND(M64&lt;&gt;"",M64&lt;&gt;0), IF(E64 = "Muni", T64, IF(E64="Corp", T64*(1 -'Investor Input'!$C$4-'Investor Input'!$C$5), T64*(1 -'Investor Input'!$C$4))), T64)</f>
        <v/>
      </c>
      <c r="V64" s="84" t="str">
        <f t="shared" si="14"/>
        <v/>
      </c>
      <c r="W64" s="84" t="str">
        <f t="shared" si="0"/>
        <v/>
      </c>
      <c r="X64" s="21" t="str">
        <f t="shared" si="1"/>
        <v/>
      </c>
      <c r="Y64" s="60" t="str">
        <f t="shared" si="2"/>
        <v/>
      </c>
      <c r="Z64" s="60" t="str">
        <f t="shared" si="3"/>
        <v/>
      </c>
      <c r="AA64" s="64" t="str">
        <f t="shared" si="4"/>
        <v/>
      </c>
      <c r="AB64" s="64" t="str">
        <f>IF(AND(AA64&lt;&gt;"",AA64&lt;&gt;0), IF(E64="Muni", AA64, IF(E64 = "Corp", (1-'Investor Input'!$C$4-'Investor Input'!$C$5)*AA64, (1-'Investor Input'!$C$4)*AA64)), AA64)</f>
        <v/>
      </c>
      <c r="AC64" s="94" t="str">
        <f t="shared" si="5"/>
        <v/>
      </c>
      <c r="AD64" s="60" t="str">
        <f>IF(AND(M64&lt;&gt;"", M64&lt;&gt;0), N64/$N$505*MATCH(AC64,'Misc Lists'!$K$2:$K$25,0), "")</f>
        <v/>
      </c>
      <c r="AE64" s="90" t="str">
        <f t="shared" si="6"/>
        <v/>
      </c>
      <c r="AF64" s="99" t="str">
        <f>IF(AND(M64&lt;&gt;"", M64&lt;&gt;0), N64/$N$505*MATCH(AE64,'Misc Lists'!$L$2:$L$25,0), "")</f>
        <v/>
      </c>
    </row>
    <row r="65" spans="2:32" hidden="1" outlineLevel="1" x14ac:dyDescent="0.5">
      <c r="B65" s="60" t="str">
        <f ca="1"/>
        <v>91159HHW3</v>
      </c>
      <c r="C65" s="61" t="str">
        <f ca="1"/>
        <v>N/A</v>
      </c>
      <c r="D65" s="60" t="str">
        <f ca="1"/>
        <v>US BANCORP          SER Y MTN           3.00000% 07/30/2029</v>
      </c>
      <c r="E65" s="61" t="str">
        <f ca="1"/>
        <v>Corp</v>
      </c>
      <c r="F65" s="62">
        <f ca="1"/>
        <v>3</v>
      </c>
      <c r="G65" s="63">
        <f ca="1"/>
        <v>47329</v>
      </c>
      <c r="H65" s="61" t="str">
        <f ca="1"/>
        <v>A3</v>
      </c>
      <c r="I65" s="61" t="str">
        <f ca="1"/>
        <v>A-</v>
      </c>
      <c r="J65" s="64">
        <f ca="1"/>
        <v>92.825999999999993</v>
      </c>
      <c r="K65" s="17">
        <f ca="1"/>
        <v>4.835</v>
      </c>
      <c r="L65" s="18" t="str">
        <f ca="1"/>
        <v>200(5)</v>
      </c>
      <c r="M65" s="83"/>
      <c r="N65" s="84" t="str">
        <f t="shared" si="7"/>
        <v/>
      </c>
      <c r="O65" s="20" t="str">
        <f t="shared" si="8"/>
        <v/>
      </c>
      <c r="P65" s="64" t="str">
        <f t="shared" si="9"/>
        <v/>
      </c>
      <c r="Q65" s="85" t="str">
        <f t="shared" ca="1" si="10"/>
        <v/>
      </c>
      <c r="R65" s="86" t="str">
        <f t="shared" si="11"/>
        <v/>
      </c>
      <c r="S65" s="86" t="str">
        <f t="shared" si="12"/>
        <v/>
      </c>
      <c r="T65" s="104" t="str">
        <f t="shared" si="13"/>
        <v/>
      </c>
      <c r="U65" s="19" t="str">
        <f>IF(AND(M65&lt;&gt;"",M65&lt;&gt;0), IF(E65 = "Muni", T65, IF(E65="Corp", T65*(1 -'Investor Input'!$C$4-'Investor Input'!$C$5), T65*(1 -'Investor Input'!$C$4))), T65)</f>
        <v/>
      </c>
      <c r="V65" s="84" t="str">
        <f t="shared" si="14"/>
        <v/>
      </c>
      <c r="W65" s="84" t="str">
        <f t="shared" si="0"/>
        <v/>
      </c>
      <c r="X65" s="21" t="str">
        <f t="shared" si="1"/>
        <v/>
      </c>
      <c r="Y65" s="60" t="str">
        <f t="shared" si="2"/>
        <v/>
      </c>
      <c r="Z65" s="60" t="str">
        <f t="shared" si="3"/>
        <v/>
      </c>
      <c r="AA65" s="64" t="str">
        <f t="shared" si="4"/>
        <v/>
      </c>
      <c r="AB65" s="64" t="str">
        <f>IF(AND(AA65&lt;&gt;"",AA65&lt;&gt;0), IF(E65="Muni", AA65, IF(E65 = "Corp", (1-'Investor Input'!$C$4-'Investor Input'!$C$5)*AA65, (1-'Investor Input'!$C$4)*AA65)), AA65)</f>
        <v/>
      </c>
      <c r="AC65" s="94" t="str">
        <f t="shared" si="5"/>
        <v/>
      </c>
      <c r="AD65" s="60" t="str">
        <f>IF(AND(M65&lt;&gt;"", M65&lt;&gt;0), N65/$N$505*MATCH(AC65,'Misc Lists'!$K$2:$K$25,0), "")</f>
        <v/>
      </c>
      <c r="AE65" s="90" t="str">
        <f t="shared" si="6"/>
        <v/>
      </c>
      <c r="AF65" s="99" t="str">
        <f>IF(AND(M65&lt;&gt;"", M65&lt;&gt;0), N65/$N$505*MATCH(AE65,'Misc Lists'!$L$2:$L$25,0), "")</f>
        <v/>
      </c>
    </row>
    <row r="66" spans="2:32" outlineLevel="1" x14ac:dyDescent="0.5">
      <c r="B66" s="60" t="str">
        <f ca="1"/>
        <v>251526CW7</v>
      </c>
      <c r="C66" s="61" t="str">
        <f ca="1"/>
        <v>N/A</v>
      </c>
      <c r="D66" s="60" t="str">
        <f ca="1"/>
        <v>DEUTSCHE BK AG N Y  NOTE                5.41400% 05/10/2029</v>
      </c>
      <c r="E66" s="61" t="str">
        <f ca="1"/>
        <v>Corp</v>
      </c>
      <c r="F66" s="62">
        <f ca="1"/>
        <v>5.4139999999999997</v>
      </c>
      <c r="G66" s="63">
        <f ca="1"/>
        <v>47248</v>
      </c>
      <c r="H66" s="61" t="str">
        <f ca="1"/>
        <v>A1</v>
      </c>
      <c r="I66" s="61" t="str">
        <f ca="1"/>
        <v>A</v>
      </c>
      <c r="J66" s="64">
        <f ca="1"/>
        <v>102.169</v>
      </c>
      <c r="K66" s="17">
        <f ca="1"/>
        <v>4.83</v>
      </c>
      <c r="L66" s="18" t="str">
        <f ca="1"/>
        <v>500(150)</v>
      </c>
      <c r="M66" s="83">
        <v>15</v>
      </c>
      <c r="N66" s="84">
        <f t="shared" ca="1" si="7"/>
        <v>15000</v>
      </c>
      <c r="O66" s="20">
        <f t="shared" ca="1" si="8"/>
        <v>1.49993842752755E-2</v>
      </c>
      <c r="P66" s="64">
        <f t="shared" ca="1" si="9"/>
        <v>54.14</v>
      </c>
      <c r="Q66" s="85">
        <f t="shared" ca="1" si="10"/>
        <v>45791.491364930553</v>
      </c>
      <c r="R66" s="86">
        <f t="shared" ca="1" si="11"/>
        <v>4</v>
      </c>
      <c r="S66" s="86">
        <f t="shared" ca="1" si="12"/>
        <v>3.5571538865315864</v>
      </c>
      <c r="T66" s="104">
        <f t="shared" ca="1" si="13"/>
        <v>5.4137793505316223E-2</v>
      </c>
      <c r="U66" s="19">
        <f ca="1">IF(AND(M66&lt;&gt;"",M66&lt;&gt;0), IF(E66 = "Muni", T66, IF(E66="Corp", T66*(1 -'Investor Input'!$C$4-'Investor Input'!$C$5), T66*(1 -'Investor Input'!$C$4))), T66)</f>
        <v>2.9234408492870761E-2</v>
      </c>
      <c r="V66" s="84">
        <f t="shared" ca="1" si="14"/>
        <v>14619.509782050493</v>
      </c>
      <c r="W66" s="84">
        <f t="shared" ca="1" si="0"/>
        <v>-380.4902179495075</v>
      </c>
      <c r="X66" s="21">
        <f t="shared" ca="1" si="1"/>
        <v>-2.5366014529967167E-2</v>
      </c>
      <c r="Y66" s="60">
        <f t="shared" ca="1" si="2"/>
        <v>5</v>
      </c>
      <c r="Z66" s="60">
        <f t="shared" ca="1" si="3"/>
        <v>11</v>
      </c>
      <c r="AA66" s="64">
        <f t="shared" ca="1" si="4"/>
        <v>406.05</v>
      </c>
      <c r="AB66" s="64">
        <f ca="1">IF(AND(AA66&lt;&gt;"",AA66&lt;&gt;0), IF(E66="Muni", AA66, IF(E66 = "Corp", (1-'Investor Input'!$C$4-'Investor Input'!$C$5)*AA66, (1-'Investor Input'!$C$4)*AA66)), AA66)</f>
        <v>219.26700000000002</v>
      </c>
      <c r="AC66" s="94" t="str">
        <f t="shared" ca="1" si="5"/>
        <v>A1</v>
      </c>
      <c r="AD66" s="60">
        <f ca="1">IF(AND(M66&lt;&gt;"", M66&lt;&gt;0), N66/$N$505*MATCH(AC66,'Misc Lists'!$K$2:$K$25,0), "")</f>
        <v>8.9996305651652994E-2</v>
      </c>
      <c r="AE66" s="90" t="str">
        <f t="shared" ca="1" si="6"/>
        <v>A</v>
      </c>
      <c r="AF66" s="99">
        <f ca="1">IF(AND(M66&lt;&gt;"", M66&lt;&gt;0), N66/$N$505*MATCH(AE66,'Misc Lists'!$L$2:$L$25,0), "")</f>
        <v>0.1049956899269285</v>
      </c>
    </row>
    <row r="67" spans="2:32" hidden="1" outlineLevel="1" x14ac:dyDescent="0.5">
      <c r="B67" s="60" t="str">
        <f ca="1"/>
        <v>125523CL2</v>
      </c>
      <c r="C67" s="61" t="str">
        <f ca="1"/>
        <v>N/A</v>
      </c>
      <c r="D67" s="60" t="str">
        <f ca="1"/>
        <v>THE CIGNA GROUP     NOTE CALL MAKE WHOLE2.40000% 03/15/2030</v>
      </c>
      <c r="E67" s="61" t="str">
        <f ca="1"/>
        <v>Corp</v>
      </c>
      <c r="F67" s="62">
        <f ca="1"/>
        <v>2.4</v>
      </c>
      <c r="G67" s="63">
        <f ca="1"/>
        <v>47557</v>
      </c>
      <c r="H67" s="61" t="str">
        <f ca="1"/>
        <v>BAA1</v>
      </c>
      <c r="I67" s="61" t="str">
        <f ca="1"/>
        <v>A-</v>
      </c>
      <c r="J67" s="64">
        <f ca="1"/>
        <v>89.305000000000007</v>
      </c>
      <c r="K67" s="17">
        <f ca="1"/>
        <v>4.83</v>
      </c>
      <c r="L67" s="18" t="str">
        <f ca="1"/>
        <v>250(10)</v>
      </c>
      <c r="M67" s="83"/>
      <c r="N67" s="84" t="str">
        <f t="shared" si="7"/>
        <v/>
      </c>
      <c r="O67" s="20" t="str">
        <f t="shared" si="8"/>
        <v/>
      </c>
      <c r="P67" s="64" t="str">
        <f t="shared" si="9"/>
        <v/>
      </c>
      <c r="Q67" s="85" t="str">
        <f t="shared" ca="1" si="10"/>
        <v/>
      </c>
      <c r="R67" s="86" t="str">
        <f t="shared" si="11"/>
        <v/>
      </c>
      <c r="S67" s="86" t="str">
        <f t="shared" si="12"/>
        <v/>
      </c>
      <c r="T67" s="104" t="str">
        <f t="shared" si="13"/>
        <v/>
      </c>
      <c r="U67" s="19" t="str">
        <f>IF(AND(M67&lt;&gt;"",M67&lt;&gt;0), IF(E67 = "Muni", T67, IF(E67="Corp", T67*(1 -'Investor Input'!$C$4-'Investor Input'!$C$5), T67*(1 -'Investor Input'!$C$4))), T67)</f>
        <v/>
      </c>
      <c r="V67" s="84" t="str">
        <f t="shared" si="14"/>
        <v/>
      </c>
      <c r="W67" s="84" t="str">
        <f t="shared" si="0"/>
        <v/>
      </c>
      <c r="X67" s="21" t="str">
        <f t="shared" si="1"/>
        <v/>
      </c>
      <c r="Y67" s="60" t="str">
        <f t="shared" si="2"/>
        <v/>
      </c>
      <c r="Z67" s="60" t="str">
        <f t="shared" si="3"/>
        <v/>
      </c>
      <c r="AA67" s="64" t="str">
        <f t="shared" si="4"/>
        <v/>
      </c>
      <c r="AB67" s="64" t="str">
        <f>IF(AND(AA67&lt;&gt;"",AA67&lt;&gt;0), IF(E67="Muni", AA67, IF(E67 = "Corp", (1-'Investor Input'!$C$4-'Investor Input'!$C$5)*AA67, (1-'Investor Input'!$C$4)*AA67)), AA67)</f>
        <v/>
      </c>
      <c r="AC67" s="94" t="str">
        <f t="shared" si="5"/>
        <v/>
      </c>
      <c r="AD67" s="60" t="str">
        <f>IF(AND(M67&lt;&gt;"", M67&lt;&gt;0), N67/$N$505*MATCH(AC67,'Misc Lists'!$K$2:$K$25,0), "")</f>
        <v/>
      </c>
      <c r="AE67" s="90" t="str">
        <f t="shared" si="6"/>
        <v/>
      </c>
      <c r="AF67" s="99" t="str">
        <f>IF(AND(M67&lt;&gt;"", M67&lt;&gt;0), N67/$N$505*MATCH(AE67,'Misc Lists'!$L$2:$L$25,0), "")</f>
        <v/>
      </c>
    </row>
    <row r="68" spans="2:32" hidden="1" outlineLevel="1" x14ac:dyDescent="0.5">
      <c r="B68" s="60" t="str">
        <f ca="1"/>
        <v>46513YJH2</v>
      </c>
      <c r="C68" s="61" t="str">
        <f ca="1"/>
        <v>N/A</v>
      </c>
      <c r="D68" s="60" t="str">
        <f ca="1"/>
        <v>ISRAEL(STATE OF)    NOTE                3.25000% 01/17/2028</v>
      </c>
      <c r="E68" s="61" t="str">
        <f ca="1"/>
        <v>Corp</v>
      </c>
      <c r="F68" s="62">
        <f ca="1"/>
        <v>3.25</v>
      </c>
      <c r="G68" s="63">
        <f ca="1"/>
        <v>46769</v>
      </c>
      <c r="H68" s="61" t="str">
        <f ca="1"/>
        <v>BAA1</v>
      </c>
      <c r="I68" s="61" t="str">
        <f ca="1"/>
        <v>A</v>
      </c>
      <c r="J68" s="64">
        <f ca="1"/>
        <v>95.855000000000004</v>
      </c>
      <c r="K68" s="17">
        <f ca="1"/>
        <v>4.8239999999999998</v>
      </c>
      <c r="L68" s="18" t="str">
        <f ca="1"/>
        <v>200(200)</v>
      </c>
      <c r="M68" s="83"/>
      <c r="N68" s="84" t="str">
        <f t="shared" si="7"/>
        <v/>
      </c>
      <c r="O68" s="20" t="str">
        <f t="shared" si="8"/>
        <v/>
      </c>
      <c r="P68" s="64" t="str">
        <f t="shared" si="9"/>
        <v/>
      </c>
      <c r="Q68" s="85" t="str">
        <f t="shared" ca="1" si="10"/>
        <v/>
      </c>
      <c r="R68" s="86" t="str">
        <f t="shared" si="11"/>
        <v/>
      </c>
      <c r="S68" s="86" t="str">
        <f t="shared" si="12"/>
        <v/>
      </c>
      <c r="T68" s="104" t="str">
        <f t="shared" si="13"/>
        <v/>
      </c>
      <c r="U68" s="19" t="str">
        <f>IF(AND(M68&lt;&gt;"",M68&lt;&gt;0), IF(E68 = "Muni", T68, IF(E68="Corp", T68*(1 -'Investor Input'!$C$4-'Investor Input'!$C$5), T68*(1 -'Investor Input'!$C$4))), T68)</f>
        <v/>
      </c>
      <c r="V68" s="84" t="str">
        <f t="shared" si="14"/>
        <v/>
      </c>
      <c r="W68" s="84" t="str">
        <f t="shared" ref="W68:W131" si="15">IF(AND(M68&lt;&gt;"",M68&lt;&gt;0),V68-N68,"")</f>
        <v/>
      </c>
      <c r="X68" s="21" t="str">
        <f t="shared" ref="X68:X131" si="16">IF(AND(M68&lt;&gt;"",M68&lt;&gt;0),W68/N68,"")</f>
        <v/>
      </c>
      <c r="Y68" s="60" t="str">
        <f t="shared" ref="Y68:Y131" si="17">IF(AND(M68&lt;&gt;"", M68&lt;&gt;0), MONTH(G68), "")</f>
        <v/>
      </c>
      <c r="Z68" s="60" t="str">
        <f t="shared" ref="Z68:Z131" si="18">IF(AND(M68&lt;&gt;"", M68&lt;&gt;0), MONTH(EDATE(G68, 6)), "")</f>
        <v/>
      </c>
      <c r="AA68" s="64" t="str">
        <f t="shared" ref="AA68:AA131" si="19">IF(AND(M68&lt;&gt;"", M68&lt;&gt;0), F68*1000*M68/(100*2), "")</f>
        <v/>
      </c>
      <c r="AB68" s="64" t="str">
        <f>IF(AND(AA68&lt;&gt;"",AA68&lt;&gt;0), IF(E68="Muni", AA68, IF(E68 = "Corp", (1-'Investor Input'!$C$4-'Investor Input'!$C$5)*AA68, (1-'Investor Input'!$C$4)*AA68)), AA68)</f>
        <v/>
      </c>
      <c r="AC68" s="94" t="str">
        <f t="shared" ref="AC68:AC131" si="20">IF(AND(M68&lt;&gt;"", M68&lt;&gt;0), H68, "")</f>
        <v/>
      </c>
      <c r="AD68" s="60" t="str">
        <f>IF(AND(M68&lt;&gt;"", M68&lt;&gt;0), N68/$N$505*MATCH(AC68,'Misc Lists'!$K$2:$K$25,0), "")</f>
        <v/>
      </c>
      <c r="AE68" s="90" t="str">
        <f t="shared" ref="AE68:AE131" si="21">IF(AND(M68&lt;&gt;"", M68&lt;&gt;0), I68, "")</f>
        <v/>
      </c>
      <c r="AF68" s="99" t="str">
        <f>IF(AND(M68&lt;&gt;"", M68&lt;&gt;0), N68/$N$505*MATCH(AE68,'Misc Lists'!$L$2:$L$25,0), "")</f>
        <v/>
      </c>
    </row>
    <row r="69" spans="2:32" hidden="1" outlineLevel="1" x14ac:dyDescent="0.5">
      <c r="B69" s="60" t="str">
        <f ca="1"/>
        <v>86562MBW9</v>
      </c>
      <c r="C69" s="61" t="str">
        <f ca="1"/>
        <v>N/A</v>
      </c>
      <c r="D69" s="60" t="str">
        <f ca="1"/>
        <v>SUMITOMO MITSUI FIN GRP INC NOTE        2.75000% 01/15/2030</v>
      </c>
      <c r="E69" s="61" t="str">
        <f ca="1"/>
        <v>Corp</v>
      </c>
      <c r="F69" s="62">
        <f ca="1"/>
        <v>2.75</v>
      </c>
      <c r="G69" s="63">
        <f ca="1"/>
        <v>47498</v>
      </c>
      <c r="H69" s="61" t="str">
        <f ca="1"/>
        <v>A1</v>
      </c>
      <c r="I69" s="61" t="str">
        <f ca="1"/>
        <v>A-</v>
      </c>
      <c r="J69" s="64">
        <f ca="1"/>
        <v>91.14</v>
      </c>
      <c r="K69" s="17">
        <f ca="1"/>
        <v>4.8230000000000004</v>
      </c>
      <c r="L69" s="18" t="str">
        <f ca="1"/>
        <v>200(200)</v>
      </c>
      <c r="M69" s="83"/>
      <c r="N69" s="84" t="str">
        <f t="shared" ref="N69:N132" si="22">IF(AND(M69&lt;&gt;"", M69&lt;&gt;0), IF(L69 &lt;&gt; "N/A", IF(M69&gt;=VALUE(LEFT(L69, FIND("(", L69)-1)), J69*10*M69, 1000*M69), 1000*M69), "")</f>
        <v/>
      </c>
      <c r="O69" s="20" t="str">
        <f t="shared" ref="O69:O132" si="23">IF(AND(M69&lt;&gt;"",M69&lt;&gt;0),N69/$N$505, "")</f>
        <v/>
      </c>
      <c r="P69" s="64" t="str">
        <f t="shared" ref="P69:P132" si="24">IF(AND(M69&lt;&gt;"", M69&lt;&gt;0), F69*1000/100, "")</f>
        <v/>
      </c>
      <c r="Q69" s="85" t="str">
        <f t="shared" ref="Q69:Q132" ca="1" si="25">IF(AND(M69&lt;&gt;"", M69&lt;&gt;0), NOW(), "")</f>
        <v/>
      </c>
      <c r="R69" s="86" t="str">
        <f t="shared" ref="R69:R132" si="26">IF(AND(M69&lt;&gt;"", M69&lt;&gt;0), ROUND((G69 - Q69)/365, 0), "")</f>
        <v/>
      </c>
      <c r="S69" s="86" t="str">
        <f t="shared" ref="S69:S132" si="27">IF(AND(M69&lt;&gt;"",M69&lt;&gt;0),MDURATION(Q69,G69,F69/100,K69/100,2), "")</f>
        <v/>
      </c>
      <c r="T69" s="104" t="str">
        <f t="shared" ref="T69:T132" si="28">IF(AND(M69&lt;&gt;"",M69&lt;&gt;0),YIELD(Q69,G69,F69/100,N69/(M69*10),100,2),"")</f>
        <v/>
      </c>
      <c r="U69" s="19" t="str">
        <f>IF(AND(M69&lt;&gt;"",M69&lt;&gt;0), IF(E69 = "Muni", T69, IF(E69="Corp", T69*(1 -'Investor Input'!$C$4-'Investor Input'!$C$5), T69*(1 -'Investor Input'!$C$4))), T69)</f>
        <v/>
      </c>
      <c r="V69" s="84" t="str">
        <f t="shared" ref="V69:V132" si="29">IF(AND(M69&lt;&gt;"",M69&lt;&gt;0),(FV(K69/(2*100),(G69-Q69)*2/365, F69*1000/(2*100), -N69/M69))*M69, "")</f>
        <v/>
      </c>
      <c r="W69" s="84" t="str">
        <f t="shared" si="15"/>
        <v/>
      </c>
      <c r="X69" s="21" t="str">
        <f t="shared" si="16"/>
        <v/>
      </c>
      <c r="Y69" s="60" t="str">
        <f t="shared" si="17"/>
        <v/>
      </c>
      <c r="Z69" s="60" t="str">
        <f t="shared" si="18"/>
        <v/>
      </c>
      <c r="AA69" s="64" t="str">
        <f t="shared" si="19"/>
        <v/>
      </c>
      <c r="AB69" s="64" t="str">
        <f>IF(AND(AA69&lt;&gt;"",AA69&lt;&gt;0), IF(E69="Muni", AA69, IF(E69 = "Corp", (1-'Investor Input'!$C$4-'Investor Input'!$C$5)*AA69, (1-'Investor Input'!$C$4)*AA69)), AA69)</f>
        <v/>
      </c>
      <c r="AC69" s="94" t="str">
        <f t="shared" si="20"/>
        <v/>
      </c>
      <c r="AD69" s="60" t="str">
        <f>IF(AND(M69&lt;&gt;"", M69&lt;&gt;0), N69/$N$505*MATCH(AC69,'Misc Lists'!$K$2:$K$25,0), "")</f>
        <v/>
      </c>
      <c r="AE69" s="90" t="str">
        <f t="shared" si="21"/>
        <v/>
      </c>
      <c r="AF69" s="99" t="str">
        <f>IF(AND(M69&lt;&gt;"", M69&lt;&gt;0), N69/$N$505*MATCH(AE69,'Misc Lists'!$L$2:$L$25,0), "")</f>
        <v/>
      </c>
    </row>
    <row r="70" spans="2:32" hidden="1" outlineLevel="1" x14ac:dyDescent="0.5">
      <c r="B70" s="60" t="str">
        <f ca="1"/>
        <v>842400GV9</v>
      </c>
      <c r="C70" s="61" t="str">
        <f ca="1"/>
        <v>N/A</v>
      </c>
      <c r="D70" s="60" t="str">
        <f ca="1"/>
        <v>SOUTHERN CALIF      EDISON CO SER 2020C 1.20000% 02/01/2026 BOND CALL MAKE WHOLE</v>
      </c>
      <c r="E70" s="61" t="str">
        <f ca="1"/>
        <v>Corp</v>
      </c>
      <c r="F70" s="62">
        <f ca="1"/>
        <v>1.2</v>
      </c>
      <c r="G70" s="63">
        <f ca="1"/>
        <v>46054</v>
      </c>
      <c r="H70" s="61" t="str">
        <f ca="1"/>
        <v>A2</v>
      </c>
      <c r="I70" s="61" t="str">
        <f ca="1"/>
        <v>A-</v>
      </c>
      <c r="J70" s="64">
        <f ca="1"/>
        <v>96.893000000000001</v>
      </c>
      <c r="K70" s="17">
        <f ca="1"/>
        <v>4.8220000000000001</v>
      </c>
      <c r="L70" s="18" t="str">
        <f ca="1"/>
        <v>700(15)</v>
      </c>
      <c r="M70" s="83"/>
      <c r="N70" s="84" t="str">
        <f t="shared" si="22"/>
        <v/>
      </c>
      <c r="O70" s="20" t="str">
        <f t="shared" si="23"/>
        <v/>
      </c>
      <c r="P70" s="64" t="str">
        <f t="shared" si="24"/>
        <v/>
      </c>
      <c r="Q70" s="85" t="str">
        <f t="shared" ca="1" si="25"/>
        <v/>
      </c>
      <c r="R70" s="86" t="str">
        <f t="shared" si="26"/>
        <v/>
      </c>
      <c r="S70" s="86" t="str">
        <f t="shared" si="27"/>
        <v/>
      </c>
      <c r="T70" s="104" t="str">
        <f t="shared" si="28"/>
        <v/>
      </c>
      <c r="U70" s="19" t="str">
        <f>IF(AND(M70&lt;&gt;"",M70&lt;&gt;0), IF(E70 = "Muni", T70, IF(E70="Corp", T70*(1 -'Investor Input'!$C$4-'Investor Input'!$C$5), T70*(1 -'Investor Input'!$C$4))), T70)</f>
        <v/>
      </c>
      <c r="V70" s="84" t="str">
        <f t="shared" si="29"/>
        <v/>
      </c>
      <c r="W70" s="84" t="str">
        <f t="shared" si="15"/>
        <v/>
      </c>
      <c r="X70" s="21" t="str">
        <f t="shared" si="16"/>
        <v/>
      </c>
      <c r="Y70" s="60" t="str">
        <f t="shared" si="17"/>
        <v/>
      </c>
      <c r="Z70" s="60" t="str">
        <f t="shared" si="18"/>
        <v/>
      </c>
      <c r="AA70" s="64" t="str">
        <f t="shared" si="19"/>
        <v/>
      </c>
      <c r="AB70" s="64" t="str">
        <f>IF(AND(AA70&lt;&gt;"",AA70&lt;&gt;0), IF(E70="Muni", AA70, IF(E70 = "Corp", (1-'Investor Input'!$C$4-'Investor Input'!$C$5)*AA70, (1-'Investor Input'!$C$4)*AA70)), AA70)</f>
        <v/>
      </c>
      <c r="AC70" s="94" t="str">
        <f t="shared" si="20"/>
        <v/>
      </c>
      <c r="AD70" s="60" t="str">
        <f>IF(AND(M70&lt;&gt;"", M70&lt;&gt;0), N70/$N$505*MATCH(AC70,'Misc Lists'!$K$2:$K$25,0), "")</f>
        <v/>
      </c>
      <c r="AE70" s="90" t="str">
        <f t="shared" si="21"/>
        <v/>
      </c>
      <c r="AF70" s="99" t="str">
        <f>IF(AND(M70&lt;&gt;"", M70&lt;&gt;0), N70/$N$505*MATCH(AE70,'Misc Lists'!$L$2:$L$25,0), "")</f>
        <v/>
      </c>
    </row>
    <row r="71" spans="2:32" hidden="1" outlineLevel="1" x14ac:dyDescent="0.5">
      <c r="B71" s="60" t="str">
        <f ca="1"/>
        <v>89115A3C4</v>
      </c>
      <c r="C71" s="61" t="str">
        <f ca="1"/>
        <v>N/A</v>
      </c>
      <c r="D71" s="60" t="str">
        <f ca="1"/>
        <v>TORONTO DOMINION BK ONT SER C MTN       4.78300% 12/17/2029 CALL MAKE WHOLE</v>
      </c>
      <c r="E71" s="61" t="str">
        <f ca="1"/>
        <v>Corp</v>
      </c>
      <c r="F71" s="62">
        <f ca="1"/>
        <v>4.7830000000000004</v>
      </c>
      <c r="G71" s="63">
        <f ca="1"/>
        <v>47469</v>
      </c>
      <c r="H71" s="61" t="str">
        <f ca="1"/>
        <v>A2</v>
      </c>
      <c r="I71" s="61" t="str">
        <f ca="1"/>
        <v>A-</v>
      </c>
      <c r="J71" s="64">
        <f ca="1"/>
        <v>99.843000000000004</v>
      </c>
      <c r="K71" s="17">
        <f ca="1"/>
        <v>4.819</v>
      </c>
      <c r="L71" s="18" t="str">
        <f ca="1"/>
        <v>500(2)</v>
      </c>
      <c r="M71" s="83"/>
      <c r="N71" s="84" t="str">
        <f t="shared" si="22"/>
        <v/>
      </c>
      <c r="O71" s="20" t="str">
        <f t="shared" si="23"/>
        <v/>
      </c>
      <c r="P71" s="64" t="str">
        <f t="shared" si="24"/>
        <v/>
      </c>
      <c r="Q71" s="85" t="str">
        <f t="shared" ca="1" si="25"/>
        <v/>
      </c>
      <c r="R71" s="86" t="str">
        <f t="shared" si="26"/>
        <v/>
      </c>
      <c r="S71" s="86" t="str">
        <f t="shared" si="27"/>
        <v/>
      </c>
      <c r="T71" s="104" t="str">
        <f t="shared" si="28"/>
        <v/>
      </c>
      <c r="U71" s="19" t="str">
        <f>IF(AND(M71&lt;&gt;"",M71&lt;&gt;0), IF(E71 = "Muni", T71, IF(E71="Corp", T71*(1 -'Investor Input'!$C$4-'Investor Input'!$C$5), T71*(1 -'Investor Input'!$C$4))), T71)</f>
        <v/>
      </c>
      <c r="V71" s="84" t="str">
        <f t="shared" si="29"/>
        <v/>
      </c>
      <c r="W71" s="84" t="str">
        <f t="shared" si="15"/>
        <v/>
      </c>
      <c r="X71" s="21" t="str">
        <f t="shared" si="16"/>
        <v/>
      </c>
      <c r="Y71" s="60" t="str">
        <f t="shared" si="17"/>
        <v/>
      </c>
      <c r="Z71" s="60" t="str">
        <f t="shared" si="18"/>
        <v/>
      </c>
      <c r="AA71" s="64" t="str">
        <f t="shared" si="19"/>
        <v/>
      </c>
      <c r="AB71" s="64" t="str">
        <f>IF(AND(AA71&lt;&gt;"",AA71&lt;&gt;0), IF(E71="Muni", AA71, IF(E71 = "Corp", (1-'Investor Input'!$C$4-'Investor Input'!$C$5)*AA71, (1-'Investor Input'!$C$4)*AA71)), AA71)</f>
        <v/>
      </c>
      <c r="AC71" s="94" t="str">
        <f t="shared" si="20"/>
        <v/>
      </c>
      <c r="AD71" s="60" t="str">
        <f>IF(AND(M71&lt;&gt;"", M71&lt;&gt;0), N71/$N$505*MATCH(AC71,'Misc Lists'!$K$2:$K$25,0), "")</f>
        <v/>
      </c>
      <c r="AE71" s="90" t="str">
        <f t="shared" si="21"/>
        <v/>
      </c>
      <c r="AF71" s="99" t="str">
        <f>IF(AND(M71&lt;&gt;"", M71&lt;&gt;0), N71/$N$505*MATCH(AE71,'Misc Lists'!$L$2:$L$25,0), "")</f>
        <v/>
      </c>
    </row>
    <row r="72" spans="2:32" hidden="1" outlineLevel="1" x14ac:dyDescent="0.5">
      <c r="B72" s="60" t="str">
        <f ca="1"/>
        <v>06418GAK3</v>
      </c>
      <c r="C72" s="61" t="str">
        <f ca="1"/>
        <v>N/A</v>
      </c>
      <c r="D72" s="60" t="str">
        <f ca="1"/>
        <v>BANK NOVA SCOTIA B CSER I MTN           5.45000% 08/01/2029 CALL MAKE WHOLE</v>
      </c>
      <c r="E72" s="61" t="str">
        <f ca="1"/>
        <v>Corp</v>
      </c>
      <c r="F72" s="62">
        <f ca="1"/>
        <v>5.45</v>
      </c>
      <c r="G72" s="63">
        <f ca="1"/>
        <v>47331</v>
      </c>
      <c r="H72" s="61" t="str">
        <f ca="1"/>
        <v>A2</v>
      </c>
      <c r="I72" s="61" t="str">
        <f ca="1"/>
        <v>A-</v>
      </c>
      <c r="J72" s="64">
        <f ca="1"/>
        <v>102.467</v>
      </c>
      <c r="K72" s="17">
        <f ca="1"/>
        <v>4.8179999999999996</v>
      </c>
      <c r="L72" s="18" t="str">
        <f ca="1"/>
        <v>500(2)</v>
      </c>
      <c r="M72" s="83"/>
      <c r="N72" s="84" t="str">
        <f t="shared" si="22"/>
        <v/>
      </c>
      <c r="O72" s="20" t="str">
        <f t="shared" si="23"/>
        <v/>
      </c>
      <c r="P72" s="64" t="str">
        <f t="shared" si="24"/>
        <v/>
      </c>
      <c r="Q72" s="85" t="str">
        <f t="shared" ca="1" si="25"/>
        <v/>
      </c>
      <c r="R72" s="86" t="str">
        <f t="shared" si="26"/>
        <v/>
      </c>
      <c r="S72" s="86" t="str">
        <f t="shared" si="27"/>
        <v/>
      </c>
      <c r="T72" s="104" t="str">
        <f t="shared" si="28"/>
        <v/>
      </c>
      <c r="U72" s="19" t="str">
        <f>IF(AND(M72&lt;&gt;"",M72&lt;&gt;0), IF(E72 = "Muni", T72, IF(E72="Corp", T72*(1 -'Investor Input'!$C$4-'Investor Input'!$C$5), T72*(1 -'Investor Input'!$C$4))), T72)</f>
        <v/>
      </c>
      <c r="V72" s="84" t="str">
        <f t="shared" si="29"/>
        <v/>
      </c>
      <c r="W72" s="84" t="str">
        <f t="shared" si="15"/>
        <v/>
      </c>
      <c r="X72" s="21" t="str">
        <f t="shared" si="16"/>
        <v/>
      </c>
      <c r="Y72" s="60" t="str">
        <f t="shared" si="17"/>
        <v/>
      </c>
      <c r="Z72" s="60" t="str">
        <f t="shared" si="18"/>
        <v/>
      </c>
      <c r="AA72" s="64" t="str">
        <f t="shared" si="19"/>
        <v/>
      </c>
      <c r="AB72" s="64" t="str">
        <f>IF(AND(AA72&lt;&gt;"",AA72&lt;&gt;0), IF(E72="Muni", AA72, IF(E72 = "Corp", (1-'Investor Input'!$C$4-'Investor Input'!$C$5)*AA72, (1-'Investor Input'!$C$4)*AA72)), AA72)</f>
        <v/>
      </c>
      <c r="AC72" s="94" t="str">
        <f t="shared" si="20"/>
        <v/>
      </c>
      <c r="AD72" s="60" t="str">
        <f>IF(AND(M72&lt;&gt;"", M72&lt;&gt;0), N72/$N$505*MATCH(AC72,'Misc Lists'!$K$2:$K$25,0), "")</f>
        <v/>
      </c>
      <c r="AE72" s="90" t="str">
        <f t="shared" si="21"/>
        <v/>
      </c>
      <c r="AF72" s="99" t="str">
        <f>IF(AND(M72&lt;&gt;"", M72&lt;&gt;0), N72/$N$505*MATCH(AE72,'Misc Lists'!$L$2:$L$25,0), "")</f>
        <v/>
      </c>
    </row>
    <row r="73" spans="2:32" hidden="1" outlineLevel="1" x14ac:dyDescent="0.5">
      <c r="B73" s="60" t="str">
        <f ca="1"/>
        <v>02665WEH0</v>
      </c>
      <c r="C73" s="61" t="str">
        <f ca="1"/>
        <v>N/A</v>
      </c>
      <c r="D73" s="60" t="str">
        <f ca="1"/>
        <v>AMERICAN HONDA FIN  CORP  SER A MTN     4.60000% 04/17/2030 CALL MAKE WHOLE</v>
      </c>
      <c r="E73" s="61" t="str">
        <f ca="1"/>
        <v>Corp</v>
      </c>
      <c r="F73" s="62">
        <f ca="1"/>
        <v>4.5999999999999996</v>
      </c>
      <c r="G73" s="63">
        <f ca="1"/>
        <v>47590</v>
      </c>
      <c r="H73" s="61" t="str">
        <f ca="1"/>
        <v>A3</v>
      </c>
      <c r="I73" s="61" t="str">
        <f ca="1"/>
        <v>A-</v>
      </c>
      <c r="J73" s="64">
        <f ca="1"/>
        <v>99.025999999999996</v>
      </c>
      <c r="K73" s="17">
        <f ca="1"/>
        <v>4.8170000000000002</v>
      </c>
      <c r="L73" s="18" t="str">
        <f ca="1"/>
        <v>1,000(2)</v>
      </c>
      <c r="M73" s="83"/>
      <c r="N73" s="84" t="str">
        <f t="shared" si="22"/>
        <v/>
      </c>
      <c r="O73" s="20" t="str">
        <f t="shared" si="23"/>
        <v/>
      </c>
      <c r="P73" s="64" t="str">
        <f t="shared" si="24"/>
        <v/>
      </c>
      <c r="Q73" s="85" t="str">
        <f t="shared" ca="1" si="25"/>
        <v/>
      </c>
      <c r="R73" s="86" t="str">
        <f t="shared" si="26"/>
        <v/>
      </c>
      <c r="S73" s="86" t="str">
        <f t="shared" si="27"/>
        <v/>
      </c>
      <c r="T73" s="104" t="str">
        <f t="shared" si="28"/>
        <v/>
      </c>
      <c r="U73" s="19" t="str">
        <f>IF(AND(M73&lt;&gt;"",M73&lt;&gt;0), IF(E73 = "Muni", T73, IF(E73="Corp", T73*(1 -'Investor Input'!$C$4-'Investor Input'!$C$5), T73*(1 -'Investor Input'!$C$4))), T73)</f>
        <v/>
      </c>
      <c r="V73" s="84" t="str">
        <f t="shared" si="29"/>
        <v/>
      </c>
      <c r="W73" s="84" t="str">
        <f t="shared" si="15"/>
        <v/>
      </c>
      <c r="X73" s="21" t="str">
        <f t="shared" si="16"/>
        <v/>
      </c>
      <c r="Y73" s="60" t="str">
        <f t="shared" si="17"/>
        <v/>
      </c>
      <c r="Z73" s="60" t="str">
        <f t="shared" si="18"/>
        <v/>
      </c>
      <c r="AA73" s="64" t="str">
        <f t="shared" si="19"/>
        <v/>
      </c>
      <c r="AB73" s="64" t="str">
        <f>IF(AND(AA73&lt;&gt;"",AA73&lt;&gt;0), IF(E73="Muni", AA73, IF(E73 = "Corp", (1-'Investor Input'!$C$4-'Investor Input'!$C$5)*AA73, (1-'Investor Input'!$C$4)*AA73)), AA73)</f>
        <v/>
      </c>
      <c r="AC73" s="94" t="str">
        <f t="shared" si="20"/>
        <v/>
      </c>
      <c r="AD73" s="60" t="str">
        <f>IF(AND(M73&lt;&gt;"", M73&lt;&gt;0), N73/$N$505*MATCH(AC73,'Misc Lists'!$K$2:$K$25,0), "")</f>
        <v/>
      </c>
      <c r="AE73" s="90" t="str">
        <f t="shared" si="21"/>
        <v/>
      </c>
      <c r="AF73" s="99" t="str">
        <f>IF(AND(M73&lt;&gt;"", M73&lt;&gt;0), N73/$N$505*MATCH(AE73,'Misc Lists'!$L$2:$L$25,0), "")</f>
        <v/>
      </c>
    </row>
    <row r="74" spans="2:32" hidden="1" outlineLevel="1" x14ac:dyDescent="0.5">
      <c r="B74" s="60" t="str">
        <f ca="1"/>
        <v>559222BA1</v>
      </c>
      <c r="C74" s="61" t="str">
        <f ca="1"/>
        <v>N/A</v>
      </c>
      <c r="D74" s="60" t="str">
        <f ca="1"/>
        <v>MAGNA INTL INC      NOTE CALL MAKE WHOLE5.05000% 03/14/2029 ISIN #US559222BA12</v>
      </c>
      <c r="E74" s="61" t="str">
        <f ca="1"/>
        <v>Corp</v>
      </c>
      <c r="F74" s="62">
        <f ca="1"/>
        <v>5.05</v>
      </c>
      <c r="G74" s="63">
        <f ca="1"/>
        <v>47191</v>
      </c>
      <c r="H74" s="61" t="str">
        <f ca="1"/>
        <v>A3</v>
      </c>
      <c r="I74" s="61" t="str">
        <f ca="1"/>
        <v>A-</v>
      </c>
      <c r="J74" s="64">
        <f ca="1"/>
        <v>100.845</v>
      </c>
      <c r="K74" s="17">
        <f ca="1"/>
        <v>4.8150000000000004</v>
      </c>
      <c r="L74" s="18" t="str">
        <f ca="1"/>
        <v>1,000(2)</v>
      </c>
      <c r="M74" s="83"/>
      <c r="N74" s="84" t="str">
        <f t="shared" si="22"/>
        <v/>
      </c>
      <c r="O74" s="20" t="str">
        <f t="shared" si="23"/>
        <v/>
      </c>
      <c r="P74" s="64" t="str">
        <f t="shared" si="24"/>
        <v/>
      </c>
      <c r="Q74" s="85" t="str">
        <f t="shared" ca="1" si="25"/>
        <v/>
      </c>
      <c r="R74" s="86" t="str">
        <f t="shared" si="26"/>
        <v/>
      </c>
      <c r="S74" s="86" t="str">
        <f t="shared" si="27"/>
        <v/>
      </c>
      <c r="T74" s="104" t="str">
        <f t="shared" si="28"/>
        <v/>
      </c>
      <c r="U74" s="19" t="str">
        <f>IF(AND(M74&lt;&gt;"",M74&lt;&gt;0), IF(E74 = "Muni", T74, IF(E74="Corp", T74*(1 -'Investor Input'!$C$4-'Investor Input'!$C$5), T74*(1 -'Investor Input'!$C$4))), T74)</f>
        <v/>
      </c>
      <c r="V74" s="84" t="str">
        <f t="shared" si="29"/>
        <v/>
      </c>
      <c r="W74" s="84" t="str">
        <f t="shared" si="15"/>
        <v/>
      </c>
      <c r="X74" s="21" t="str">
        <f t="shared" si="16"/>
        <v/>
      </c>
      <c r="Y74" s="60" t="str">
        <f t="shared" si="17"/>
        <v/>
      </c>
      <c r="Z74" s="60" t="str">
        <f t="shared" si="18"/>
        <v/>
      </c>
      <c r="AA74" s="64" t="str">
        <f t="shared" si="19"/>
        <v/>
      </c>
      <c r="AB74" s="64" t="str">
        <f>IF(AND(AA74&lt;&gt;"",AA74&lt;&gt;0), IF(E74="Muni", AA74, IF(E74 = "Corp", (1-'Investor Input'!$C$4-'Investor Input'!$C$5)*AA74, (1-'Investor Input'!$C$4)*AA74)), AA74)</f>
        <v/>
      </c>
      <c r="AC74" s="94" t="str">
        <f t="shared" si="20"/>
        <v/>
      </c>
      <c r="AD74" s="60" t="str">
        <f>IF(AND(M74&lt;&gt;"", M74&lt;&gt;0), N74/$N$505*MATCH(AC74,'Misc Lists'!$K$2:$K$25,0), "")</f>
        <v/>
      </c>
      <c r="AE74" s="90" t="str">
        <f t="shared" si="21"/>
        <v/>
      </c>
      <c r="AF74" s="99" t="str">
        <f>IF(AND(M74&lt;&gt;"", M74&lt;&gt;0), N74/$N$505*MATCH(AE74,'Misc Lists'!$L$2:$L$25,0), "")</f>
        <v/>
      </c>
    </row>
    <row r="75" spans="2:32" hidden="1" outlineLevel="1" x14ac:dyDescent="0.5">
      <c r="B75" s="60" t="str">
        <f ca="1"/>
        <v>59523UAR8</v>
      </c>
      <c r="C75" s="61" t="str">
        <f ca="1"/>
        <v>N/A</v>
      </c>
      <c r="D75" s="60" t="str">
        <f ca="1"/>
        <v>MID-AMERICA APTS LP NOTE CALL MAKE WHOLE2.75000% 03/15/2030</v>
      </c>
      <c r="E75" s="61" t="str">
        <f ca="1"/>
        <v>Corp</v>
      </c>
      <c r="F75" s="62">
        <f ca="1"/>
        <v>2.75</v>
      </c>
      <c r="G75" s="63">
        <f ca="1"/>
        <v>47557</v>
      </c>
      <c r="H75" s="61" t="str">
        <f ca="1"/>
        <v>A3</v>
      </c>
      <c r="I75" s="61" t="str">
        <f ca="1"/>
        <v>A-</v>
      </c>
      <c r="J75" s="64">
        <f ca="1"/>
        <v>90.927000000000007</v>
      </c>
      <c r="K75" s="17">
        <f ca="1"/>
        <v>4.8099999999999996</v>
      </c>
      <c r="L75" s="18" t="str">
        <f ca="1"/>
        <v>30(9)</v>
      </c>
      <c r="M75" s="83"/>
      <c r="N75" s="84" t="str">
        <f t="shared" si="22"/>
        <v/>
      </c>
      <c r="O75" s="20" t="str">
        <f t="shared" si="23"/>
        <v/>
      </c>
      <c r="P75" s="64" t="str">
        <f t="shared" si="24"/>
        <v/>
      </c>
      <c r="Q75" s="85" t="str">
        <f t="shared" ca="1" si="25"/>
        <v/>
      </c>
      <c r="R75" s="86" t="str">
        <f t="shared" si="26"/>
        <v/>
      </c>
      <c r="S75" s="86" t="str">
        <f t="shared" si="27"/>
        <v/>
      </c>
      <c r="T75" s="104" t="str">
        <f t="shared" si="28"/>
        <v/>
      </c>
      <c r="U75" s="19" t="str">
        <f>IF(AND(M75&lt;&gt;"",M75&lt;&gt;0), IF(E75 = "Muni", T75, IF(E75="Corp", T75*(1 -'Investor Input'!$C$4-'Investor Input'!$C$5), T75*(1 -'Investor Input'!$C$4))), T75)</f>
        <v/>
      </c>
      <c r="V75" s="84" t="str">
        <f t="shared" si="29"/>
        <v/>
      </c>
      <c r="W75" s="84" t="str">
        <f t="shared" si="15"/>
        <v/>
      </c>
      <c r="X75" s="21" t="str">
        <f t="shared" si="16"/>
        <v/>
      </c>
      <c r="Y75" s="60" t="str">
        <f t="shared" si="17"/>
        <v/>
      </c>
      <c r="Z75" s="60" t="str">
        <f t="shared" si="18"/>
        <v/>
      </c>
      <c r="AA75" s="64" t="str">
        <f t="shared" si="19"/>
        <v/>
      </c>
      <c r="AB75" s="64" t="str">
        <f>IF(AND(AA75&lt;&gt;"",AA75&lt;&gt;0), IF(E75="Muni", AA75, IF(E75 = "Corp", (1-'Investor Input'!$C$4-'Investor Input'!$C$5)*AA75, (1-'Investor Input'!$C$4)*AA75)), AA75)</f>
        <v/>
      </c>
      <c r="AC75" s="94" t="str">
        <f t="shared" si="20"/>
        <v/>
      </c>
      <c r="AD75" s="60" t="str">
        <f>IF(AND(M75&lt;&gt;"", M75&lt;&gt;0), N75/$N$505*MATCH(AC75,'Misc Lists'!$K$2:$K$25,0), "")</f>
        <v/>
      </c>
      <c r="AE75" s="90" t="str">
        <f t="shared" si="21"/>
        <v/>
      </c>
      <c r="AF75" s="99" t="str">
        <f>IF(AND(M75&lt;&gt;"", M75&lt;&gt;0), N75/$N$505*MATCH(AE75,'Misc Lists'!$L$2:$L$25,0), "")</f>
        <v/>
      </c>
    </row>
    <row r="76" spans="2:32" hidden="1" outlineLevel="1" x14ac:dyDescent="0.5">
      <c r="B76" s="60" t="str">
        <f ca="1"/>
        <v>05964HAJ4</v>
      </c>
      <c r="C76" s="61" t="str">
        <f ca="1"/>
        <v>N/A</v>
      </c>
      <c r="D76" s="60" t="str">
        <f ca="1"/>
        <v>BANCO SANTANDER SA  SER 38 NOTE         4.37900% 04/12/2028</v>
      </c>
      <c r="E76" s="61" t="str">
        <f ca="1"/>
        <v>Corp</v>
      </c>
      <c r="F76" s="62">
        <f ca="1"/>
        <v>4.3789999999999996</v>
      </c>
      <c r="G76" s="63">
        <f ca="1"/>
        <v>46855</v>
      </c>
      <c r="H76" s="61" t="str">
        <f ca="1"/>
        <v>BAA1</v>
      </c>
      <c r="I76" s="61" t="str">
        <f ca="1"/>
        <v>A-</v>
      </c>
      <c r="J76" s="64">
        <f ca="1"/>
        <v>98.789000000000001</v>
      </c>
      <c r="K76" s="17">
        <f ca="1"/>
        <v>4.8049999999999997</v>
      </c>
      <c r="L76" s="18" t="str">
        <f ca="1"/>
        <v>200(200)</v>
      </c>
      <c r="M76" s="83"/>
      <c r="N76" s="84" t="str">
        <f t="shared" si="22"/>
        <v/>
      </c>
      <c r="O76" s="20" t="str">
        <f t="shared" si="23"/>
        <v/>
      </c>
      <c r="P76" s="64" t="str">
        <f t="shared" si="24"/>
        <v/>
      </c>
      <c r="Q76" s="85" t="str">
        <f t="shared" ca="1" si="25"/>
        <v/>
      </c>
      <c r="R76" s="86" t="str">
        <f t="shared" si="26"/>
        <v/>
      </c>
      <c r="S76" s="86" t="str">
        <f t="shared" si="27"/>
        <v/>
      </c>
      <c r="T76" s="104" t="str">
        <f t="shared" si="28"/>
        <v/>
      </c>
      <c r="U76" s="19" t="str">
        <f>IF(AND(M76&lt;&gt;"",M76&lt;&gt;0), IF(E76 = "Muni", T76, IF(E76="Corp", T76*(1 -'Investor Input'!$C$4-'Investor Input'!$C$5), T76*(1 -'Investor Input'!$C$4))), T76)</f>
        <v/>
      </c>
      <c r="V76" s="84" t="str">
        <f t="shared" si="29"/>
        <v/>
      </c>
      <c r="W76" s="84" t="str">
        <f t="shared" si="15"/>
        <v/>
      </c>
      <c r="X76" s="21" t="str">
        <f t="shared" si="16"/>
        <v/>
      </c>
      <c r="Y76" s="60" t="str">
        <f t="shared" si="17"/>
        <v/>
      </c>
      <c r="Z76" s="60" t="str">
        <f t="shared" si="18"/>
        <v/>
      </c>
      <c r="AA76" s="64" t="str">
        <f t="shared" si="19"/>
        <v/>
      </c>
      <c r="AB76" s="64" t="str">
        <f>IF(AND(AA76&lt;&gt;"",AA76&lt;&gt;0), IF(E76="Muni", AA76, IF(E76 = "Corp", (1-'Investor Input'!$C$4-'Investor Input'!$C$5)*AA76, (1-'Investor Input'!$C$4)*AA76)), AA76)</f>
        <v/>
      </c>
      <c r="AC76" s="94" t="str">
        <f t="shared" si="20"/>
        <v/>
      </c>
      <c r="AD76" s="60" t="str">
        <f>IF(AND(M76&lt;&gt;"", M76&lt;&gt;0), N76/$N$505*MATCH(AC76,'Misc Lists'!$K$2:$K$25,0), "")</f>
        <v/>
      </c>
      <c r="AE76" s="90" t="str">
        <f t="shared" si="21"/>
        <v/>
      </c>
      <c r="AF76" s="99" t="str">
        <f>IF(AND(M76&lt;&gt;"", M76&lt;&gt;0), N76/$N$505*MATCH(AE76,'Misc Lists'!$L$2:$L$25,0), "")</f>
        <v/>
      </c>
    </row>
    <row r="77" spans="2:32" hidden="1" outlineLevel="1" x14ac:dyDescent="0.5">
      <c r="B77" s="60" t="str">
        <f ca="1"/>
        <v>03740MAB6</v>
      </c>
      <c r="C77" s="61" t="str">
        <f ca="1"/>
        <v>N/A</v>
      </c>
      <c r="D77" s="60" t="str">
        <f ca="1"/>
        <v>AON NORTH AMERICA   INC. NOTE           5.15000% 03/01/2029 CALL MAKE WHOLE</v>
      </c>
      <c r="E77" s="61" t="str">
        <f ca="1"/>
        <v>Corp</v>
      </c>
      <c r="F77" s="62">
        <f ca="1"/>
        <v>5.15</v>
      </c>
      <c r="G77" s="63">
        <f ca="1"/>
        <v>47178</v>
      </c>
      <c r="H77" s="61" t="str">
        <f ca="1"/>
        <v>BAA2</v>
      </c>
      <c r="I77" s="61" t="str">
        <f ca="1"/>
        <v>A-</v>
      </c>
      <c r="J77" s="64">
        <f ca="1"/>
        <v>101.232</v>
      </c>
      <c r="K77" s="17">
        <f ca="1"/>
        <v>4.8049999999999997</v>
      </c>
      <c r="L77" s="18" t="str">
        <f ca="1"/>
        <v>250(10)</v>
      </c>
      <c r="M77" s="83"/>
      <c r="N77" s="84" t="str">
        <f t="shared" si="22"/>
        <v/>
      </c>
      <c r="O77" s="20" t="str">
        <f t="shared" si="23"/>
        <v/>
      </c>
      <c r="P77" s="64" t="str">
        <f t="shared" si="24"/>
        <v/>
      </c>
      <c r="Q77" s="85" t="str">
        <f t="shared" ca="1" si="25"/>
        <v/>
      </c>
      <c r="R77" s="86" t="str">
        <f t="shared" si="26"/>
        <v/>
      </c>
      <c r="S77" s="86" t="str">
        <f t="shared" si="27"/>
        <v/>
      </c>
      <c r="T77" s="104" t="str">
        <f t="shared" si="28"/>
        <v/>
      </c>
      <c r="U77" s="19" t="str">
        <f>IF(AND(M77&lt;&gt;"",M77&lt;&gt;0), IF(E77 = "Muni", T77, IF(E77="Corp", T77*(1 -'Investor Input'!$C$4-'Investor Input'!$C$5), T77*(1 -'Investor Input'!$C$4))), T77)</f>
        <v/>
      </c>
      <c r="V77" s="84" t="str">
        <f t="shared" si="29"/>
        <v/>
      </c>
      <c r="W77" s="84" t="str">
        <f t="shared" si="15"/>
        <v/>
      </c>
      <c r="X77" s="21" t="str">
        <f t="shared" si="16"/>
        <v/>
      </c>
      <c r="Y77" s="60" t="str">
        <f t="shared" si="17"/>
        <v/>
      </c>
      <c r="Z77" s="60" t="str">
        <f t="shared" si="18"/>
        <v/>
      </c>
      <c r="AA77" s="64" t="str">
        <f t="shared" si="19"/>
        <v/>
      </c>
      <c r="AB77" s="64" t="str">
        <f>IF(AND(AA77&lt;&gt;"",AA77&lt;&gt;0), IF(E77="Muni", AA77, IF(E77 = "Corp", (1-'Investor Input'!$C$4-'Investor Input'!$C$5)*AA77, (1-'Investor Input'!$C$4)*AA77)), AA77)</f>
        <v/>
      </c>
      <c r="AC77" s="94" t="str">
        <f t="shared" si="20"/>
        <v/>
      </c>
      <c r="AD77" s="60" t="str">
        <f>IF(AND(M77&lt;&gt;"", M77&lt;&gt;0), N77/$N$505*MATCH(AC77,'Misc Lists'!$K$2:$K$25,0), "")</f>
        <v/>
      </c>
      <c r="AE77" s="90" t="str">
        <f t="shared" si="21"/>
        <v/>
      </c>
      <c r="AF77" s="99" t="str">
        <f>IF(AND(M77&lt;&gt;"", M77&lt;&gt;0), N77/$N$505*MATCH(AE77,'Misc Lists'!$L$2:$L$25,0), "")</f>
        <v/>
      </c>
    </row>
    <row r="78" spans="2:32" hidden="1" outlineLevel="1" x14ac:dyDescent="0.5">
      <c r="B78" s="60" t="str">
        <f ca="1"/>
        <v>06417XAP6</v>
      </c>
      <c r="C78" s="61" t="str">
        <f ca="1"/>
        <v>N/A</v>
      </c>
      <c r="D78" s="60" t="str">
        <f ca="1"/>
        <v>BANK NOVA SCOTIA B CSER I MTN           4.85000% 02/01/2030 CALL MAKE WHOLE     ISIN #US06417XAP69</v>
      </c>
      <c r="E78" s="61" t="str">
        <f ca="1"/>
        <v>Corp</v>
      </c>
      <c r="F78" s="62">
        <f ca="1"/>
        <v>4.8499999999999996</v>
      </c>
      <c r="G78" s="63">
        <f ca="1"/>
        <v>47515</v>
      </c>
      <c r="H78" s="61" t="str">
        <f ca="1"/>
        <v>A2</v>
      </c>
      <c r="I78" s="61" t="str">
        <f ca="1"/>
        <v>A-</v>
      </c>
      <c r="J78" s="64">
        <f ca="1"/>
        <v>100.193</v>
      </c>
      <c r="K78" s="17">
        <f ca="1"/>
        <v>4.8040000000000003</v>
      </c>
      <c r="L78" s="18" t="str">
        <f ca="1"/>
        <v>500(9)</v>
      </c>
      <c r="M78" s="83"/>
      <c r="N78" s="84" t="str">
        <f t="shared" si="22"/>
        <v/>
      </c>
      <c r="O78" s="20" t="str">
        <f t="shared" si="23"/>
        <v/>
      </c>
      <c r="P78" s="64" t="str">
        <f t="shared" si="24"/>
        <v/>
      </c>
      <c r="Q78" s="85" t="str">
        <f t="shared" ca="1" si="25"/>
        <v/>
      </c>
      <c r="R78" s="86" t="str">
        <f t="shared" si="26"/>
        <v/>
      </c>
      <c r="S78" s="86" t="str">
        <f t="shared" si="27"/>
        <v/>
      </c>
      <c r="T78" s="104" t="str">
        <f t="shared" si="28"/>
        <v/>
      </c>
      <c r="U78" s="19" t="str">
        <f>IF(AND(M78&lt;&gt;"",M78&lt;&gt;0), IF(E78 = "Muni", T78, IF(E78="Corp", T78*(1 -'Investor Input'!$C$4-'Investor Input'!$C$5), T78*(1 -'Investor Input'!$C$4))), T78)</f>
        <v/>
      </c>
      <c r="V78" s="84" t="str">
        <f t="shared" si="29"/>
        <v/>
      </c>
      <c r="W78" s="84" t="str">
        <f t="shared" si="15"/>
        <v/>
      </c>
      <c r="X78" s="21" t="str">
        <f t="shared" si="16"/>
        <v/>
      </c>
      <c r="Y78" s="60" t="str">
        <f t="shared" si="17"/>
        <v/>
      </c>
      <c r="Z78" s="60" t="str">
        <f t="shared" si="18"/>
        <v/>
      </c>
      <c r="AA78" s="64" t="str">
        <f t="shared" si="19"/>
        <v/>
      </c>
      <c r="AB78" s="64" t="str">
        <f>IF(AND(AA78&lt;&gt;"",AA78&lt;&gt;0), IF(E78="Muni", AA78, IF(E78 = "Corp", (1-'Investor Input'!$C$4-'Investor Input'!$C$5)*AA78, (1-'Investor Input'!$C$4)*AA78)), AA78)</f>
        <v/>
      </c>
      <c r="AC78" s="94" t="str">
        <f t="shared" si="20"/>
        <v/>
      </c>
      <c r="AD78" s="60" t="str">
        <f>IF(AND(M78&lt;&gt;"", M78&lt;&gt;0), N78/$N$505*MATCH(AC78,'Misc Lists'!$K$2:$K$25,0), "")</f>
        <v/>
      </c>
      <c r="AE78" s="90" t="str">
        <f t="shared" si="21"/>
        <v/>
      </c>
      <c r="AF78" s="99" t="str">
        <f>IF(AND(M78&lt;&gt;"", M78&lt;&gt;0), N78/$N$505*MATCH(AE78,'Misc Lists'!$L$2:$L$25,0), "")</f>
        <v/>
      </c>
    </row>
    <row r="79" spans="2:32" hidden="1" outlineLevel="1" x14ac:dyDescent="0.5">
      <c r="B79" s="60" t="str">
        <f ca="1"/>
        <v>17291LZX6</v>
      </c>
      <c r="C79" s="61" t="str">
        <f ca="1"/>
        <v>N/A</v>
      </c>
      <c r="D79" s="60" t="str">
        <f ca="1"/>
        <v>CITIGROUP GLOBAL    MKTS HLDGS IN SER N 3.75000% 09/30/2027 MTN</v>
      </c>
      <c r="E79" s="61" t="str">
        <f ca="1"/>
        <v>Corp</v>
      </c>
      <c r="F79" s="62">
        <f ca="1"/>
        <v>3.75</v>
      </c>
      <c r="G79" s="63">
        <f ca="1"/>
        <v>46660</v>
      </c>
      <c r="H79" s="61" t="str">
        <f ca="1"/>
        <v>NR</v>
      </c>
      <c r="I79" s="61" t="str">
        <f ca="1"/>
        <v>A</v>
      </c>
      <c r="J79" s="64">
        <f ca="1"/>
        <v>97.5</v>
      </c>
      <c r="K79" s="17">
        <f ca="1"/>
        <v>4.8029999999999999</v>
      </c>
      <c r="L79" s="18" t="str">
        <f ca="1"/>
        <v>786(1)</v>
      </c>
      <c r="M79" s="83"/>
      <c r="N79" s="84" t="str">
        <f t="shared" si="22"/>
        <v/>
      </c>
      <c r="O79" s="20" t="str">
        <f t="shared" si="23"/>
        <v/>
      </c>
      <c r="P79" s="64" t="str">
        <f t="shared" si="24"/>
        <v/>
      </c>
      <c r="Q79" s="85" t="str">
        <f t="shared" ca="1" si="25"/>
        <v/>
      </c>
      <c r="R79" s="86" t="str">
        <f t="shared" si="26"/>
        <v/>
      </c>
      <c r="S79" s="86" t="str">
        <f t="shared" si="27"/>
        <v/>
      </c>
      <c r="T79" s="104" t="str">
        <f t="shared" si="28"/>
        <v/>
      </c>
      <c r="U79" s="19" t="str">
        <f>IF(AND(M79&lt;&gt;"",M79&lt;&gt;0), IF(E79 = "Muni", T79, IF(E79="Corp", T79*(1 -'Investor Input'!$C$4-'Investor Input'!$C$5), T79*(1 -'Investor Input'!$C$4))), T79)</f>
        <v/>
      </c>
      <c r="V79" s="84" t="str">
        <f t="shared" si="29"/>
        <v/>
      </c>
      <c r="W79" s="84" t="str">
        <f t="shared" si="15"/>
        <v/>
      </c>
      <c r="X79" s="21" t="str">
        <f t="shared" si="16"/>
        <v/>
      </c>
      <c r="Y79" s="60" t="str">
        <f t="shared" si="17"/>
        <v/>
      </c>
      <c r="Z79" s="60" t="str">
        <f t="shared" si="18"/>
        <v/>
      </c>
      <c r="AA79" s="64" t="str">
        <f t="shared" si="19"/>
        <v/>
      </c>
      <c r="AB79" s="64" t="str">
        <f>IF(AND(AA79&lt;&gt;"",AA79&lt;&gt;0), IF(E79="Muni", AA79, IF(E79 = "Corp", (1-'Investor Input'!$C$4-'Investor Input'!$C$5)*AA79, (1-'Investor Input'!$C$4)*AA79)), AA79)</f>
        <v/>
      </c>
      <c r="AC79" s="94" t="str">
        <f t="shared" si="20"/>
        <v/>
      </c>
      <c r="AD79" s="60" t="str">
        <f>IF(AND(M79&lt;&gt;"", M79&lt;&gt;0), N79/$N$505*MATCH(AC79,'Misc Lists'!$K$2:$K$25,0), "")</f>
        <v/>
      </c>
      <c r="AE79" s="90" t="str">
        <f t="shared" si="21"/>
        <v/>
      </c>
      <c r="AF79" s="99" t="str">
        <f>IF(AND(M79&lt;&gt;"", M79&lt;&gt;0), N79/$N$505*MATCH(AE79,'Misc Lists'!$L$2:$L$25,0), "")</f>
        <v/>
      </c>
    </row>
    <row r="80" spans="2:32" hidden="1" outlineLevel="1" x14ac:dyDescent="0.5">
      <c r="B80" s="60" t="str">
        <f ca="1"/>
        <v>86562MBP4</v>
      </c>
      <c r="C80" s="61" t="str">
        <f ca="1"/>
        <v>N/A</v>
      </c>
      <c r="D80" s="60" t="str">
        <f ca="1"/>
        <v>SUMITOMO MITSUI FIN GRP INC NOTE        3.04000% 07/16/2029</v>
      </c>
      <c r="E80" s="61" t="str">
        <f ca="1"/>
        <v>Corp</v>
      </c>
      <c r="F80" s="62">
        <f ca="1"/>
        <v>3.04</v>
      </c>
      <c r="G80" s="63">
        <f ca="1"/>
        <v>47315</v>
      </c>
      <c r="H80" s="61" t="str">
        <f ca="1"/>
        <v>A1</v>
      </c>
      <c r="I80" s="61" t="str">
        <f ca="1"/>
        <v>A-</v>
      </c>
      <c r="J80" s="64">
        <f ca="1"/>
        <v>93.144999999999996</v>
      </c>
      <c r="K80" s="17">
        <f ca="1"/>
        <v>4.8019999999999996</v>
      </c>
      <c r="L80" s="18" t="str">
        <f ca="1"/>
        <v>500(200)</v>
      </c>
      <c r="M80" s="83"/>
      <c r="N80" s="84" t="str">
        <f t="shared" si="22"/>
        <v/>
      </c>
      <c r="O80" s="20" t="str">
        <f t="shared" si="23"/>
        <v/>
      </c>
      <c r="P80" s="64" t="str">
        <f t="shared" si="24"/>
        <v/>
      </c>
      <c r="Q80" s="85" t="str">
        <f t="shared" ca="1" si="25"/>
        <v/>
      </c>
      <c r="R80" s="86" t="str">
        <f t="shared" si="26"/>
        <v/>
      </c>
      <c r="S80" s="86" t="str">
        <f t="shared" si="27"/>
        <v/>
      </c>
      <c r="T80" s="104" t="str">
        <f t="shared" si="28"/>
        <v/>
      </c>
      <c r="U80" s="19" t="str">
        <f>IF(AND(M80&lt;&gt;"",M80&lt;&gt;0), IF(E80 = "Muni", T80, IF(E80="Corp", T80*(1 -'Investor Input'!$C$4-'Investor Input'!$C$5), T80*(1 -'Investor Input'!$C$4))), T80)</f>
        <v/>
      </c>
      <c r="V80" s="84" t="str">
        <f t="shared" si="29"/>
        <v/>
      </c>
      <c r="W80" s="84" t="str">
        <f t="shared" si="15"/>
        <v/>
      </c>
      <c r="X80" s="21" t="str">
        <f t="shared" si="16"/>
        <v/>
      </c>
      <c r="Y80" s="60" t="str">
        <f t="shared" si="17"/>
        <v/>
      </c>
      <c r="Z80" s="60" t="str">
        <f t="shared" si="18"/>
        <v/>
      </c>
      <c r="AA80" s="64" t="str">
        <f t="shared" si="19"/>
        <v/>
      </c>
      <c r="AB80" s="64" t="str">
        <f>IF(AND(AA80&lt;&gt;"",AA80&lt;&gt;0), IF(E80="Muni", AA80, IF(E80 = "Corp", (1-'Investor Input'!$C$4-'Investor Input'!$C$5)*AA80, (1-'Investor Input'!$C$4)*AA80)), AA80)</f>
        <v/>
      </c>
      <c r="AC80" s="94" t="str">
        <f t="shared" si="20"/>
        <v/>
      </c>
      <c r="AD80" s="60" t="str">
        <f>IF(AND(M80&lt;&gt;"", M80&lt;&gt;0), N80/$N$505*MATCH(AC80,'Misc Lists'!$K$2:$K$25,0), "")</f>
        <v/>
      </c>
      <c r="AE80" s="90" t="str">
        <f t="shared" si="21"/>
        <v/>
      </c>
      <c r="AF80" s="99" t="str">
        <f>IF(AND(M80&lt;&gt;"", M80&lt;&gt;0), N80/$N$505*MATCH(AE80,'Misc Lists'!$L$2:$L$25,0), "")</f>
        <v/>
      </c>
    </row>
    <row r="81" spans="2:32" hidden="1" outlineLevel="1" x14ac:dyDescent="0.5">
      <c r="B81" s="60" t="str">
        <f ca="1"/>
        <v>744330AA9</v>
      </c>
      <c r="C81" s="61" t="str">
        <f ca="1"/>
        <v>N/A</v>
      </c>
      <c r="D81" s="60" t="str">
        <f ca="1"/>
        <v>PRUDENTIAL FDG ASIA PLC NOTE            3.12500% 04/14/2030</v>
      </c>
      <c r="E81" s="61" t="str">
        <f ca="1"/>
        <v>Corp</v>
      </c>
      <c r="F81" s="62">
        <f ca="1"/>
        <v>3.125</v>
      </c>
      <c r="G81" s="63">
        <f ca="1"/>
        <v>47587</v>
      </c>
      <c r="H81" s="61" t="str">
        <f ca="1"/>
        <v>A2</v>
      </c>
      <c r="I81" s="61" t="str">
        <f ca="1"/>
        <v>A</v>
      </c>
      <c r="J81" s="64">
        <f ca="1"/>
        <v>92.507000000000005</v>
      </c>
      <c r="K81" s="17">
        <f ca="1"/>
        <v>4.8019999999999996</v>
      </c>
      <c r="L81" s="18" t="str">
        <f ca="1"/>
        <v>200(2)</v>
      </c>
      <c r="M81" s="83"/>
      <c r="N81" s="84" t="str">
        <f t="shared" si="22"/>
        <v/>
      </c>
      <c r="O81" s="20" t="str">
        <f t="shared" si="23"/>
        <v/>
      </c>
      <c r="P81" s="64" t="str">
        <f t="shared" si="24"/>
        <v/>
      </c>
      <c r="Q81" s="85" t="str">
        <f t="shared" ca="1" si="25"/>
        <v/>
      </c>
      <c r="R81" s="86" t="str">
        <f t="shared" si="26"/>
        <v/>
      </c>
      <c r="S81" s="86" t="str">
        <f t="shared" si="27"/>
        <v/>
      </c>
      <c r="T81" s="104" t="str">
        <f t="shared" si="28"/>
        <v/>
      </c>
      <c r="U81" s="19" t="str">
        <f>IF(AND(M81&lt;&gt;"",M81&lt;&gt;0), IF(E81 = "Muni", T81, IF(E81="Corp", T81*(1 -'Investor Input'!$C$4-'Investor Input'!$C$5), T81*(1 -'Investor Input'!$C$4))), T81)</f>
        <v/>
      </c>
      <c r="V81" s="84" t="str">
        <f t="shared" si="29"/>
        <v/>
      </c>
      <c r="W81" s="84" t="str">
        <f t="shared" si="15"/>
        <v/>
      </c>
      <c r="X81" s="21" t="str">
        <f t="shared" si="16"/>
        <v/>
      </c>
      <c r="Y81" s="60" t="str">
        <f t="shared" si="17"/>
        <v/>
      </c>
      <c r="Z81" s="60" t="str">
        <f t="shared" si="18"/>
        <v/>
      </c>
      <c r="AA81" s="64" t="str">
        <f t="shared" si="19"/>
        <v/>
      </c>
      <c r="AB81" s="64" t="str">
        <f>IF(AND(AA81&lt;&gt;"",AA81&lt;&gt;0), IF(E81="Muni", AA81, IF(E81 = "Corp", (1-'Investor Input'!$C$4-'Investor Input'!$C$5)*AA81, (1-'Investor Input'!$C$4)*AA81)), AA81)</f>
        <v/>
      </c>
      <c r="AC81" s="94" t="str">
        <f t="shared" si="20"/>
        <v/>
      </c>
      <c r="AD81" s="60" t="str">
        <f>IF(AND(M81&lt;&gt;"", M81&lt;&gt;0), N81/$N$505*MATCH(AC81,'Misc Lists'!$K$2:$K$25,0), "")</f>
        <v/>
      </c>
      <c r="AE81" s="90" t="str">
        <f t="shared" si="21"/>
        <v/>
      </c>
      <c r="AF81" s="99" t="str">
        <f>IF(AND(M81&lt;&gt;"", M81&lt;&gt;0), N81/$N$505*MATCH(AE81,'Misc Lists'!$L$2:$L$25,0), "")</f>
        <v/>
      </c>
    </row>
    <row r="82" spans="2:32" hidden="1" outlineLevel="1" x14ac:dyDescent="0.5">
      <c r="B82" s="60" t="str">
        <f ca="1"/>
        <v>13608JAA5</v>
      </c>
      <c r="C82" s="61" t="str">
        <f ca="1"/>
        <v>N/A</v>
      </c>
      <c r="D82" s="60" t="str">
        <f ca="1"/>
        <v>CANADIAN IMPERIAL BKCOMM NOTE           5.26000% 04/08/2029 CALL MAKE WHOLE</v>
      </c>
      <c r="E82" s="61" t="str">
        <f ca="1"/>
        <v>Corp</v>
      </c>
      <c r="F82" s="62">
        <f ca="1"/>
        <v>5.26</v>
      </c>
      <c r="G82" s="63">
        <f ca="1"/>
        <v>47216</v>
      </c>
      <c r="H82" s="61" t="str">
        <f ca="1"/>
        <v>A2</v>
      </c>
      <c r="I82" s="61" t="str">
        <f ca="1"/>
        <v>A-</v>
      </c>
      <c r="J82" s="64">
        <f ca="1"/>
        <v>101.675</v>
      </c>
      <c r="K82" s="17">
        <f ca="1"/>
        <v>4.8010000000000002</v>
      </c>
      <c r="L82" s="18" t="str">
        <f ca="1"/>
        <v>500(2)</v>
      </c>
      <c r="M82" s="83"/>
      <c r="N82" s="84" t="str">
        <f t="shared" si="22"/>
        <v/>
      </c>
      <c r="O82" s="20" t="str">
        <f t="shared" si="23"/>
        <v/>
      </c>
      <c r="P82" s="64" t="str">
        <f t="shared" si="24"/>
        <v/>
      </c>
      <c r="Q82" s="85" t="str">
        <f t="shared" ca="1" si="25"/>
        <v/>
      </c>
      <c r="R82" s="86" t="str">
        <f t="shared" si="26"/>
        <v/>
      </c>
      <c r="S82" s="86" t="str">
        <f t="shared" si="27"/>
        <v/>
      </c>
      <c r="T82" s="104" t="str">
        <f t="shared" si="28"/>
        <v/>
      </c>
      <c r="U82" s="19" t="str">
        <f>IF(AND(M82&lt;&gt;"",M82&lt;&gt;0), IF(E82 = "Muni", T82, IF(E82="Corp", T82*(1 -'Investor Input'!$C$4-'Investor Input'!$C$5), T82*(1 -'Investor Input'!$C$4))), T82)</f>
        <v/>
      </c>
      <c r="V82" s="84" t="str">
        <f t="shared" si="29"/>
        <v/>
      </c>
      <c r="W82" s="84" t="str">
        <f t="shared" si="15"/>
        <v/>
      </c>
      <c r="X82" s="21" t="str">
        <f t="shared" si="16"/>
        <v/>
      </c>
      <c r="Y82" s="60" t="str">
        <f t="shared" si="17"/>
        <v/>
      </c>
      <c r="Z82" s="60" t="str">
        <f t="shared" si="18"/>
        <v/>
      </c>
      <c r="AA82" s="64" t="str">
        <f t="shared" si="19"/>
        <v/>
      </c>
      <c r="AB82" s="64" t="str">
        <f>IF(AND(AA82&lt;&gt;"",AA82&lt;&gt;0), IF(E82="Muni", AA82, IF(E82 = "Corp", (1-'Investor Input'!$C$4-'Investor Input'!$C$5)*AA82, (1-'Investor Input'!$C$4)*AA82)), AA82)</f>
        <v/>
      </c>
      <c r="AC82" s="94" t="str">
        <f t="shared" si="20"/>
        <v/>
      </c>
      <c r="AD82" s="60" t="str">
        <f>IF(AND(M82&lt;&gt;"", M82&lt;&gt;0), N82/$N$505*MATCH(AC82,'Misc Lists'!$K$2:$K$25,0), "")</f>
        <v/>
      </c>
      <c r="AE82" s="90" t="str">
        <f t="shared" si="21"/>
        <v/>
      </c>
      <c r="AF82" s="99" t="str">
        <f>IF(AND(M82&lt;&gt;"", M82&lt;&gt;0), N82/$N$505*MATCH(AE82,'Misc Lists'!$L$2:$L$25,0), "")</f>
        <v/>
      </c>
    </row>
    <row r="83" spans="2:32" hidden="1" outlineLevel="1" x14ac:dyDescent="0.5">
      <c r="B83" s="60" t="str">
        <f ca="1"/>
        <v>064159Q82</v>
      </c>
      <c r="C83" s="61" t="str">
        <f ca="1"/>
        <v>N/A</v>
      </c>
      <c r="D83" s="60" t="str">
        <f ca="1"/>
        <v>BANK NOVA SCOTIA B CSER B NOTE          1.12500% 02/10/2028</v>
      </c>
      <c r="E83" s="61" t="str">
        <f ca="1"/>
        <v>Corp</v>
      </c>
      <c r="F83" s="62">
        <f ca="1"/>
        <v>1.125</v>
      </c>
      <c r="G83" s="63">
        <f ca="1"/>
        <v>46793</v>
      </c>
      <c r="H83" s="61" t="str">
        <f ca="1"/>
        <v>A2</v>
      </c>
      <c r="I83" s="61" t="str">
        <f ca="1"/>
        <v>A-</v>
      </c>
      <c r="J83" s="64">
        <f ca="1"/>
        <v>90.125</v>
      </c>
      <c r="K83" s="17">
        <f ca="1"/>
        <v>4.8</v>
      </c>
      <c r="L83" s="18" t="str">
        <f ca="1"/>
        <v>185(15)</v>
      </c>
      <c r="M83" s="83"/>
      <c r="N83" s="84" t="str">
        <f t="shared" si="22"/>
        <v/>
      </c>
      <c r="O83" s="20" t="str">
        <f t="shared" si="23"/>
        <v/>
      </c>
      <c r="P83" s="64" t="str">
        <f t="shared" si="24"/>
        <v/>
      </c>
      <c r="Q83" s="85" t="str">
        <f t="shared" ca="1" si="25"/>
        <v/>
      </c>
      <c r="R83" s="86" t="str">
        <f t="shared" si="26"/>
        <v/>
      </c>
      <c r="S83" s="86" t="str">
        <f t="shared" si="27"/>
        <v/>
      </c>
      <c r="T83" s="104" t="str">
        <f t="shared" si="28"/>
        <v/>
      </c>
      <c r="U83" s="19" t="str">
        <f>IF(AND(M83&lt;&gt;"",M83&lt;&gt;0), IF(E83 = "Muni", T83, IF(E83="Corp", T83*(1 -'Investor Input'!$C$4-'Investor Input'!$C$5), T83*(1 -'Investor Input'!$C$4))), T83)</f>
        <v/>
      </c>
      <c r="V83" s="84" t="str">
        <f t="shared" si="29"/>
        <v/>
      </c>
      <c r="W83" s="84" t="str">
        <f t="shared" si="15"/>
        <v/>
      </c>
      <c r="X83" s="21" t="str">
        <f t="shared" si="16"/>
        <v/>
      </c>
      <c r="Y83" s="60" t="str">
        <f t="shared" si="17"/>
        <v/>
      </c>
      <c r="Z83" s="60" t="str">
        <f t="shared" si="18"/>
        <v/>
      </c>
      <c r="AA83" s="64" t="str">
        <f t="shared" si="19"/>
        <v/>
      </c>
      <c r="AB83" s="64" t="str">
        <f>IF(AND(AA83&lt;&gt;"",AA83&lt;&gt;0), IF(E83="Muni", AA83, IF(E83 = "Corp", (1-'Investor Input'!$C$4-'Investor Input'!$C$5)*AA83, (1-'Investor Input'!$C$4)*AA83)), AA83)</f>
        <v/>
      </c>
      <c r="AC83" s="94" t="str">
        <f t="shared" si="20"/>
        <v/>
      </c>
      <c r="AD83" s="60" t="str">
        <f>IF(AND(M83&lt;&gt;"", M83&lt;&gt;0), N83/$N$505*MATCH(AC83,'Misc Lists'!$K$2:$K$25,0), "")</f>
        <v/>
      </c>
      <c r="AE83" s="90" t="str">
        <f t="shared" si="21"/>
        <v/>
      </c>
      <c r="AF83" s="99" t="str">
        <f>IF(AND(M83&lt;&gt;"", M83&lt;&gt;0), N83/$N$505*MATCH(AE83,'Misc Lists'!$L$2:$L$25,0), "")</f>
        <v/>
      </c>
    </row>
    <row r="84" spans="2:32" hidden="1" outlineLevel="1" x14ac:dyDescent="0.5">
      <c r="B84" s="60" t="str">
        <f ca="1"/>
        <v>02364WBH7</v>
      </c>
      <c r="C84" s="61" t="str">
        <f ca="1"/>
        <v>N/A</v>
      </c>
      <c r="D84" s="60" t="str">
        <f ca="1"/>
        <v>AMERICA MOVIL SAB DECV NOTE             3.62500% 04/22/2029 CALL MAKE WHOLE</v>
      </c>
      <c r="E84" s="61" t="str">
        <f ca="1"/>
        <v>Corp</v>
      </c>
      <c r="F84" s="62">
        <f ca="1"/>
        <v>3.625</v>
      </c>
      <c r="G84" s="63">
        <f ca="1"/>
        <v>47230</v>
      </c>
      <c r="H84" s="61" t="str">
        <f ca="1"/>
        <v>BAA1</v>
      </c>
      <c r="I84" s="61" t="str">
        <f ca="1"/>
        <v>A-</v>
      </c>
      <c r="J84" s="64">
        <f ca="1"/>
        <v>95.673000000000002</v>
      </c>
      <c r="K84" s="17">
        <f ca="1"/>
        <v>4.7960000000000003</v>
      </c>
      <c r="L84" s="18" t="str">
        <f ca="1"/>
        <v>200(200)</v>
      </c>
      <c r="M84" s="83"/>
      <c r="N84" s="84" t="str">
        <f t="shared" si="22"/>
        <v/>
      </c>
      <c r="O84" s="20" t="str">
        <f t="shared" si="23"/>
        <v/>
      </c>
      <c r="P84" s="64" t="str">
        <f t="shared" si="24"/>
        <v/>
      </c>
      <c r="Q84" s="85" t="str">
        <f t="shared" ca="1" si="25"/>
        <v/>
      </c>
      <c r="R84" s="86" t="str">
        <f t="shared" si="26"/>
        <v/>
      </c>
      <c r="S84" s="86" t="str">
        <f t="shared" si="27"/>
        <v/>
      </c>
      <c r="T84" s="104" t="str">
        <f t="shared" si="28"/>
        <v/>
      </c>
      <c r="U84" s="19" t="str">
        <f>IF(AND(M84&lt;&gt;"",M84&lt;&gt;0), IF(E84 = "Muni", T84, IF(E84="Corp", T84*(1 -'Investor Input'!$C$4-'Investor Input'!$C$5), T84*(1 -'Investor Input'!$C$4))), T84)</f>
        <v/>
      </c>
      <c r="V84" s="84" t="str">
        <f t="shared" si="29"/>
        <v/>
      </c>
      <c r="W84" s="84" t="str">
        <f t="shared" si="15"/>
        <v/>
      </c>
      <c r="X84" s="21" t="str">
        <f t="shared" si="16"/>
        <v/>
      </c>
      <c r="Y84" s="60" t="str">
        <f t="shared" si="17"/>
        <v/>
      </c>
      <c r="Z84" s="60" t="str">
        <f t="shared" si="18"/>
        <v/>
      </c>
      <c r="AA84" s="64" t="str">
        <f t="shared" si="19"/>
        <v/>
      </c>
      <c r="AB84" s="64" t="str">
        <f>IF(AND(AA84&lt;&gt;"",AA84&lt;&gt;0), IF(E84="Muni", AA84, IF(E84 = "Corp", (1-'Investor Input'!$C$4-'Investor Input'!$C$5)*AA84, (1-'Investor Input'!$C$4)*AA84)), AA84)</f>
        <v/>
      </c>
      <c r="AC84" s="94" t="str">
        <f t="shared" si="20"/>
        <v/>
      </c>
      <c r="AD84" s="60" t="str">
        <f>IF(AND(M84&lt;&gt;"", M84&lt;&gt;0), N84/$N$505*MATCH(AC84,'Misc Lists'!$K$2:$K$25,0), "")</f>
        <v/>
      </c>
      <c r="AE84" s="90" t="str">
        <f t="shared" si="21"/>
        <v/>
      </c>
      <c r="AF84" s="99" t="str">
        <f>IF(AND(M84&lt;&gt;"", M84&lt;&gt;0), N84/$N$505*MATCH(AE84,'Misc Lists'!$L$2:$L$25,0), "")</f>
        <v/>
      </c>
    </row>
    <row r="85" spans="2:32" hidden="1" outlineLevel="1" x14ac:dyDescent="0.5">
      <c r="B85" s="60" t="str">
        <f ca="1"/>
        <v>606822BR4</v>
      </c>
      <c r="C85" s="61" t="str">
        <f ca="1"/>
        <v>N/A</v>
      </c>
      <c r="D85" s="60" t="str">
        <f ca="1"/>
        <v>MITSUBISHI UFJ      FINANCIAL GROUP NOTE2.55900% 02/25/2030</v>
      </c>
      <c r="E85" s="61" t="str">
        <f ca="1"/>
        <v>Corp</v>
      </c>
      <c r="F85" s="62">
        <f ca="1"/>
        <v>2.5590000000000002</v>
      </c>
      <c r="G85" s="63">
        <f ca="1"/>
        <v>47539</v>
      </c>
      <c r="H85" s="61" t="str">
        <f ca="1"/>
        <v>A1</v>
      </c>
      <c r="I85" s="61" t="str">
        <f ca="1"/>
        <v>A-</v>
      </c>
      <c r="J85" s="64">
        <f ca="1"/>
        <v>90.24</v>
      </c>
      <c r="K85" s="17">
        <f ca="1"/>
        <v>4.7960000000000003</v>
      </c>
      <c r="L85" s="18" t="str">
        <f ca="1"/>
        <v>1,000(200)</v>
      </c>
      <c r="M85" s="83"/>
      <c r="N85" s="84" t="str">
        <f t="shared" si="22"/>
        <v/>
      </c>
      <c r="O85" s="20" t="str">
        <f t="shared" si="23"/>
        <v/>
      </c>
      <c r="P85" s="64" t="str">
        <f t="shared" si="24"/>
        <v/>
      </c>
      <c r="Q85" s="85" t="str">
        <f t="shared" ca="1" si="25"/>
        <v/>
      </c>
      <c r="R85" s="86" t="str">
        <f t="shared" si="26"/>
        <v/>
      </c>
      <c r="S85" s="86" t="str">
        <f t="shared" si="27"/>
        <v/>
      </c>
      <c r="T85" s="104" t="str">
        <f t="shared" si="28"/>
        <v/>
      </c>
      <c r="U85" s="19" t="str">
        <f>IF(AND(M85&lt;&gt;"",M85&lt;&gt;0), IF(E85 = "Muni", T85, IF(E85="Corp", T85*(1 -'Investor Input'!$C$4-'Investor Input'!$C$5), T85*(1 -'Investor Input'!$C$4))), T85)</f>
        <v/>
      </c>
      <c r="V85" s="84" t="str">
        <f t="shared" si="29"/>
        <v/>
      </c>
      <c r="W85" s="84" t="str">
        <f t="shared" si="15"/>
        <v/>
      </c>
      <c r="X85" s="21" t="str">
        <f t="shared" si="16"/>
        <v/>
      </c>
      <c r="Y85" s="60" t="str">
        <f t="shared" si="17"/>
        <v/>
      </c>
      <c r="Z85" s="60" t="str">
        <f t="shared" si="18"/>
        <v/>
      </c>
      <c r="AA85" s="64" t="str">
        <f t="shared" si="19"/>
        <v/>
      </c>
      <c r="AB85" s="64" t="str">
        <f>IF(AND(AA85&lt;&gt;"",AA85&lt;&gt;0), IF(E85="Muni", AA85, IF(E85 = "Corp", (1-'Investor Input'!$C$4-'Investor Input'!$C$5)*AA85, (1-'Investor Input'!$C$4)*AA85)), AA85)</f>
        <v/>
      </c>
      <c r="AC85" s="94" t="str">
        <f t="shared" si="20"/>
        <v/>
      </c>
      <c r="AD85" s="60" t="str">
        <f>IF(AND(M85&lt;&gt;"", M85&lt;&gt;0), N85/$N$505*MATCH(AC85,'Misc Lists'!$K$2:$K$25,0), "")</f>
        <v/>
      </c>
      <c r="AE85" s="90" t="str">
        <f t="shared" si="21"/>
        <v/>
      </c>
      <c r="AF85" s="99" t="str">
        <f>IF(AND(M85&lt;&gt;"", M85&lt;&gt;0), N85/$N$505*MATCH(AE85,'Misc Lists'!$L$2:$L$25,0), "")</f>
        <v/>
      </c>
    </row>
    <row r="86" spans="2:32" hidden="1" outlineLevel="1" x14ac:dyDescent="0.5">
      <c r="B86" s="60" t="str">
        <f ca="1"/>
        <v>037389BC6</v>
      </c>
      <c r="C86" s="61" t="str">
        <f ca="1"/>
        <v>N/A</v>
      </c>
      <c r="D86" s="60" t="str">
        <f ca="1"/>
        <v>AON CORP            NOTE CALL MAKE WHOLE3.75000% 05/02/2029</v>
      </c>
      <c r="E86" s="61" t="str">
        <f ca="1"/>
        <v>Corp</v>
      </c>
      <c r="F86" s="62">
        <f ca="1"/>
        <v>3.75</v>
      </c>
      <c r="G86" s="63">
        <f ca="1"/>
        <v>47240</v>
      </c>
      <c r="H86" s="61" t="str">
        <f ca="1"/>
        <v>BAA2</v>
      </c>
      <c r="I86" s="61" t="str">
        <f ca="1"/>
        <v>A-</v>
      </c>
      <c r="J86" s="64">
        <f ca="1"/>
        <v>96.113</v>
      </c>
      <c r="K86" s="17">
        <f ca="1"/>
        <v>4.7949999999999999</v>
      </c>
      <c r="L86" s="18" t="str">
        <f ca="1"/>
        <v>200(2)</v>
      </c>
      <c r="M86" s="83"/>
      <c r="N86" s="84" t="str">
        <f t="shared" si="22"/>
        <v/>
      </c>
      <c r="O86" s="20" t="str">
        <f t="shared" si="23"/>
        <v/>
      </c>
      <c r="P86" s="64" t="str">
        <f t="shared" si="24"/>
        <v/>
      </c>
      <c r="Q86" s="85" t="str">
        <f t="shared" ca="1" si="25"/>
        <v/>
      </c>
      <c r="R86" s="86" t="str">
        <f t="shared" si="26"/>
        <v/>
      </c>
      <c r="S86" s="86" t="str">
        <f t="shared" si="27"/>
        <v/>
      </c>
      <c r="T86" s="104" t="str">
        <f t="shared" si="28"/>
        <v/>
      </c>
      <c r="U86" s="19" t="str">
        <f>IF(AND(M86&lt;&gt;"",M86&lt;&gt;0), IF(E86 = "Muni", T86, IF(E86="Corp", T86*(1 -'Investor Input'!$C$4-'Investor Input'!$C$5), T86*(1 -'Investor Input'!$C$4))), T86)</f>
        <v/>
      </c>
      <c r="V86" s="84" t="str">
        <f t="shared" si="29"/>
        <v/>
      </c>
      <c r="W86" s="84" t="str">
        <f t="shared" si="15"/>
        <v/>
      </c>
      <c r="X86" s="21" t="str">
        <f t="shared" si="16"/>
        <v/>
      </c>
      <c r="Y86" s="60" t="str">
        <f t="shared" si="17"/>
        <v/>
      </c>
      <c r="Z86" s="60" t="str">
        <f t="shared" si="18"/>
        <v/>
      </c>
      <c r="AA86" s="64" t="str">
        <f t="shared" si="19"/>
        <v/>
      </c>
      <c r="AB86" s="64" t="str">
        <f>IF(AND(AA86&lt;&gt;"",AA86&lt;&gt;0), IF(E86="Muni", AA86, IF(E86 = "Corp", (1-'Investor Input'!$C$4-'Investor Input'!$C$5)*AA86, (1-'Investor Input'!$C$4)*AA86)), AA86)</f>
        <v/>
      </c>
      <c r="AC86" s="94" t="str">
        <f t="shared" si="20"/>
        <v/>
      </c>
      <c r="AD86" s="60" t="str">
        <f>IF(AND(M86&lt;&gt;"", M86&lt;&gt;0), N86/$N$505*MATCH(AC86,'Misc Lists'!$K$2:$K$25,0), "")</f>
        <v/>
      </c>
      <c r="AE86" s="90" t="str">
        <f t="shared" si="21"/>
        <v/>
      </c>
      <c r="AF86" s="99" t="str">
        <f>IF(AND(M86&lt;&gt;"", M86&lt;&gt;0), N86/$N$505*MATCH(AE86,'Misc Lists'!$L$2:$L$25,0), "")</f>
        <v/>
      </c>
    </row>
    <row r="87" spans="2:32" hidden="1" outlineLevel="1" x14ac:dyDescent="0.5">
      <c r="B87" s="60" t="str">
        <f ca="1"/>
        <v>842400HW6</v>
      </c>
      <c r="C87" s="61" t="str">
        <f ca="1"/>
        <v>N/A</v>
      </c>
      <c r="D87" s="60" t="str">
        <f ca="1"/>
        <v>SOUTHERN CALIF      EDISON CO SER 2023C 4.90000% 06/01/2026 BOND CALL MAKE WHOLE</v>
      </c>
      <c r="E87" s="61" t="str">
        <f ca="1"/>
        <v>Corp</v>
      </c>
      <c r="F87" s="62">
        <f ca="1"/>
        <v>4.9000000000000004</v>
      </c>
      <c r="G87" s="63">
        <f ca="1"/>
        <v>46174</v>
      </c>
      <c r="H87" s="61" t="str">
        <f ca="1"/>
        <v>A2</v>
      </c>
      <c r="I87" s="61" t="str">
        <f ca="1"/>
        <v>A-</v>
      </c>
      <c r="J87" s="64">
        <f ca="1"/>
        <v>100.117</v>
      </c>
      <c r="K87" s="17">
        <f ca="1"/>
        <v>4.7939999999999996</v>
      </c>
      <c r="L87" s="18" t="str">
        <f ca="1"/>
        <v>1,000(1)</v>
      </c>
      <c r="M87" s="83"/>
      <c r="N87" s="84" t="str">
        <f t="shared" si="22"/>
        <v/>
      </c>
      <c r="O87" s="20" t="str">
        <f t="shared" si="23"/>
        <v/>
      </c>
      <c r="P87" s="64" t="str">
        <f t="shared" si="24"/>
        <v/>
      </c>
      <c r="Q87" s="85" t="str">
        <f t="shared" ca="1" si="25"/>
        <v/>
      </c>
      <c r="R87" s="86" t="str">
        <f t="shared" si="26"/>
        <v/>
      </c>
      <c r="S87" s="86" t="str">
        <f t="shared" si="27"/>
        <v/>
      </c>
      <c r="T87" s="104" t="str">
        <f t="shared" si="28"/>
        <v/>
      </c>
      <c r="U87" s="19" t="str">
        <f>IF(AND(M87&lt;&gt;"",M87&lt;&gt;0), IF(E87 = "Muni", T87, IF(E87="Corp", T87*(1 -'Investor Input'!$C$4-'Investor Input'!$C$5), T87*(1 -'Investor Input'!$C$4))), T87)</f>
        <v/>
      </c>
      <c r="V87" s="84" t="str">
        <f t="shared" si="29"/>
        <v/>
      </c>
      <c r="W87" s="84" t="str">
        <f t="shared" si="15"/>
        <v/>
      </c>
      <c r="X87" s="21" t="str">
        <f t="shared" si="16"/>
        <v/>
      </c>
      <c r="Y87" s="60" t="str">
        <f t="shared" si="17"/>
        <v/>
      </c>
      <c r="Z87" s="60" t="str">
        <f t="shared" si="18"/>
        <v/>
      </c>
      <c r="AA87" s="64" t="str">
        <f t="shared" si="19"/>
        <v/>
      </c>
      <c r="AB87" s="64" t="str">
        <f>IF(AND(AA87&lt;&gt;"",AA87&lt;&gt;0), IF(E87="Muni", AA87, IF(E87 = "Corp", (1-'Investor Input'!$C$4-'Investor Input'!$C$5)*AA87, (1-'Investor Input'!$C$4)*AA87)), AA87)</f>
        <v/>
      </c>
      <c r="AC87" s="94" t="str">
        <f t="shared" si="20"/>
        <v/>
      </c>
      <c r="AD87" s="60" t="str">
        <f>IF(AND(M87&lt;&gt;"", M87&lt;&gt;0), N87/$N$505*MATCH(AC87,'Misc Lists'!$K$2:$K$25,0), "")</f>
        <v/>
      </c>
      <c r="AE87" s="90" t="str">
        <f t="shared" si="21"/>
        <v/>
      </c>
      <c r="AF87" s="99" t="str">
        <f>IF(AND(M87&lt;&gt;"", M87&lt;&gt;0), N87/$N$505*MATCH(AE87,'Misc Lists'!$L$2:$L$25,0), "")</f>
        <v/>
      </c>
    </row>
    <row r="88" spans="2:32" hidden="1" outlineLevel="1" x14ac:dyDescent="0.5">
      <c r="B88" s="60" t="str">
        <f ca="1"/>
        <v>05946KAQ4</v>
      </c>
      <c r="C88" s="61" t="str">
        <f ca="1"/>
        <v>N/A</v>
      </c>
      <c r="D88" s="60" t="str">
        <f ca="1"/>
        <v>BANCO BILBAO VIZCAYAARGENTARI NOTE      5.38100% 03/13/2029</v>
      </c>
      <c r="E88" s="61" t="str">
        <f ca="1"/>
        <v>Corp</v>
      </c>
      <c r="F88" s="62">
        <f ca="1"/>
        <v>5.3810000000000002</v>
      </c>
      <c r="G88" s="63">
        <f ca="1"/>
        <v>47190</v>
      </c>
      <c r="H88" s="61" t="str">
        <f ca="1"/>
        <v>A3</v>
      </c>
      <c r="I88" s="61" t="str">
        <f ca="1"/>
        <v>A</v>
      </c>
      <c r="J88" s="64">
        <f ca="1"/>
        <v>102.125</v>
      </c>
      <c r="K88" s="17">
        <f ca="1"/>
        <v>4.7910000000000004</v>
      </c>
      <c r="L88" s="18" t="str">
        <f ca="1"/>
        <v>600(200)</v>
      </c>
      <c r="M88" s="83"/>
      <c r="N88" s="84" t="str">
        <f t="shared" si="22"/>
        <v/>
      </c>
      <c r="O88" s="20" t="str">
        <f t="shared" si="23"/>
        <v/>
      </c>
      <c r="P88" s="64" t="str">
        <f t="shared" si="24"/>
        <v/>
      </c>
      <c r="Q88" s="85" t="str">
        <f t="shared" ca="1" si="25"/>
        <v/>
      </c>
      <c r="R88" s="86" t="str">
        <f t="shared" si="26"/>
        <v/>
      </c>
      <c r="S88" s="86" t="str">
        <f t="shared" si="27"/>
        <v/>
      </c>
      <c r="T88" s="104" t="str">
        <f t="shared" si="28"/>
        <v/>
      </c>
      <c r="U88" s="19" t="str">
        <f>IF(AND(M88&lt;&gt;"",M88&lt;&gt;0), IF(E88 = "Muni", T88, IF(E88="Corp", T88*(1 -'Investor Input'!$C$4-'Investor Input'!$C$5), T88*(1 -'Investor Input'!$C$4))), T88)</f>
        <v/>
      </c>
      <c r="V88" s="84" t="str">
        <f t="shared" si="29"/>
        <v/>
      </c>
      <c r="W88" s="84" t="str">
        <f t="shared" si="15"/>
        <v/>
      </c>
      <c r="X88" s="21" t="str">
        <f t="shared" si="16"/>
        <v/>
      </c>
      <c r="Y88" s="60" t="str">
        <f t="shared" si="17"/>
        <v/>
      </c>
      <c r="Z88" s="60" t="str">
        <f t="shared" si="18"/>
        <v/>
      </c>
      <c r="AA88" s="64" t="str">
        <f t="shared" si="19"/>
        <v/>
      </c>
      <c r="AB88" s="64" t="str">
        <f>IF(AND(AA88&lt;&gt;"",AA88&lt;&gt;0), IF(E88="Muni", AA88, IF(E88 = "Corp", (1-'Investor Input'!$C$4-'Investor Input'!$C$5)*AA88, (1-'Investor Input'!$C$4)*AA88)), AA88)</f>
        <v/>
      </c>
      <c r="AC88" s="94" t="str">
        <f t="shared" si="20"/>
        <v/>
      </c>
      <c r="AD88" s="60" t="str">
        <f>IF(AND(M88&lt;&gt;"", M88&lt;&gt;0), N88/$N$505*MATCH(AC88,'Misc Lists'!$K$2:$K$25,0), "")</f>
        <v/>
      </c>
      <c r="AE88" s="90" t="str">
        <f t="shared" si="21"/>
        <v/>
      </c>
      <c r="AF88" s="99" t="str">
        <f>IF(AND(M88&lt;&gt;"", M88&lt;&gt;0), N88/$N$505*MATCH(AE88,'Misc Lists'!$L$2:$L$25,0), "")</f>
        <v/>
      </c>
    </row>
    <row r="89" spans="2:32" hidden="1" outlineLevel="1" x14ac:dyDescent="0.5">
      <c r="B89" s="60" t="str">
        <f ca="1"/>
        <v>03040WAW5</v>
      </c>
      <c r="C89" s="61" t="str">
        <f ca="1"/>
        <v>N/A</v>
      </c>
      <c r="D89" s="60" t="str">
        <f ca="1"/>
        <v>AMERICAN WTR CAP    CORP SR NOTE        2.80000% 05/01/2030 CALL MAKE WHOLE</v>
      </c>
      <c r="E89" s="61" t="str">
        <f ca="1"/>
        <v>Corp</v>
      </c>
      <c r="F89" s="62">
        <f ca="1"/>
        <v>2.8</v>
      </c>
      <c r="G89" s="63">
        <f ca="1"/>
        <v>47604</v>
      </c>
      <c r="H89" s="61" t="str">
        <f ca="1"/>
        <v>BAA1</v>
      </c>
      <c r="I89" s="61" t="str">
        <f ca="1"/>
        <v>A</v>
      </c>
      <c r="J89" s="64">
        <f ca="1"/>
        <v>91.028999999999996</v>
      </c>
      <c r="K89" s="17">
        <f ca="1"/>
        <v>4.79</v>
      </c>
      <c r="L89" s="18" t="str">
        <f ca="1"/>
        <v>250(10)</v>
      </c>
      <c r="M89" s="83"/>
      <c r="N89" s="84" t="str">
        <f t="shared" si="22"/>
        <v/>
      </c>
      <c r="O89" s="20" t="str">
        <f t="shared" si="23"/>
        <v/>
      </c>
      <c r="P89" s="64" t="str">
        <f t="shared" si="24"/>
        <v/>
      </c>
      <c r="Q89" s="85" t="str">
        <f t="shared" ca="1" si="25"/>
        <v/>
      </c>
      <c r="R89" s="86" t="str">
        <f t="shared" si="26"/>
        <v/>
      </c>
      <c r="S89" s="86" t="str">
        <f t="shared" si="27"/>
        <v/>
      </c>
      <c r="T89" s="104" t="str">
        <f t="shared" si="28"/>
        <v/>
      </c>
      <c r="U89" s="19" t="str">
        <f>IF(AND(M89&lt;&gt;"",M89&lt;&gt;0), IF(E89 = "Muni", T89, IF(E89="Corp", T89*(1 -'Investor Input'!$C$4-'Investor Input'!$C$5), T89*(1 -'Investor Input'!$C$4))), T89)</f>
        <v/>
      </c>
      <c r="V89" s="84" t="str">
        <f t="shared" si="29"/>
        <v/>
      </c>
      <c r="W89" s="84" t="str">
        <f t="shared" si="15"/>
        <v/>
      </c>
      <c r="X89" s="21" t="str">
        <f t="shared" si="16"/>
        <v/>
      </c>
      <c r="Y89" s="60" t="str">
        <f t="shared" si="17"/>
        <v/>
      </c>
      <c r="Z89" s="60" t="str">
        <f t="shared" si="18"/>
        <v/>
      </c>
      <c r="AA89" s="64" t="str">
        <f t="shared" si="19"/>
        <v/>
      </c>
      <c r="AB89" s="64" t="str">
        <f>IF(AND(AA89&lt;&gt;"",AA89&lt;&gt;0), IF(E89="Muni", AA89, IF(E89 = "Corp", (1-'Investor Input'!$C$4-'Investor Input'!$C$5)*AA89, (1-'Investor Input'!$C$4)*AA89)), AA89)</f>
        <v/>
      </c>
      <c r="AC89" s="94" t="str">
        <f t="shared" si="20"/>
        <v/>
      </c>
      <c r="AD89" s="60" t="str">
        <f>IF(AND(M89&lt;&gt;"", M89&lt;&gt;0), N89/$N$505*MATCH(AC89,'Misc Lists'!$K$2:$K$25,0), "")</f>
        <v/>
      </c>
      <c r="AE89" s="90" t="str">
        <f t="shared" si="21"/>
        <v/>
      </c>
      <c r="AF89" s="99" t="str">
        <f>IF(AND(M89&lt;&gt;"", M89&lt;&gt;0), N89/$N$505*MATCH(AE89,'Misc Lists'!$L$2:$L$25,0), "")</f>
        <v/>
      </c>
    </row>
    <row r="90" spans="2:32" hidden="1" outlineLevel="1" x14ac:dyDescent="0.5">
      <c r="B90" s="60" t="str">
        <f ca="1"/>
        <v>641423CD8</v>
      </c>
      <c r="C90" s="61" t="str">
        <f ca="1"/>
        <v>N/A</v>
      </c>
      <c r="D90" s="60" t="str">
        <f ca="1"/>
        <v>NEVADA POWER CO     SER DD NOTE         2.40000% 05/01/2030 CALL MAKE WHOLE</v>
      </c>
      <c r="E90" s="61" t="str">
        <f ca="1"/>
        <v>Corp</v>
      </c>
      <c r="F90" s="62">
        <f ca="1"/>
        <v>2.4</v>
      </c>
      <c r="G90" s="63">
        <f ca="1"/>
        <v>47604</v>
      </c>
      <c r="H90" s="61" t="str">
        <f ca="1"/>
        <v>A2</v>
      </c>
      <c r="I90" s="61" t="str">
        <f ca="1"/>
        <v>A</v>
      </c>
      <c r="J90" s="64">
        <f ca="1"/>
        <v>89.241</v>
      </c>
      <c r="K90" s="17">
        <f ca="1"/>
        <v>4.7869999999999999</v>
      </c>
      <c r="L90" s="18" t="str">
        <f ca="1"/>
        <v>450(2)</v>
      </c>
      <c r="M90" s="83"/>
      <c r="N90" s="84" t="str">
        <f t="shared" si="22"/>
        <v/>
      </c>
      <c r="O90" s="20" t="str">
        <f t="shared" si="23"/>
        <v/>
      </c>
      <c r="P90" s="64" t="str">
        <f t="shared" si="24"/>
        <v/>
      </c>
      <c r="Q90" s="85" t="str">
        <f t="shared" ca="1" si="25"/>
        <v/>
      </c>
      <c r="R90" s="86" t="str">
        <f t="shared" si="26"/>
        <v/>
      </c>
      <c r="S90" s="86" t="str">
        <f t="shared" si="27"/>
        <v/>
      </c>
      <c r="T90" s="104" t="str">
        <f t="shared" si="28"/>
        <v/>
      </c>
      <c r="U90" s="19" t="str">
        <f>IF(AND(M90&lt;&gt;"",M90&lt;&gt;0), IF(E90 = "Muni", T90, IF(E90="Corp", T90*(1 -'Investor Input'!$C$4-'Investor Input'!$C$5), T90*(1 -'Investor Input'!$C$4))), T90)</f>
        <v/>
      </c>
      <c r="V90" s="84" t="str">
        <f t="shared" si="29"/>
        <v/>
      </c>
      <c r="W90" s="84" t="str">
        <f t="shared" si="15"/>
        <v/>
      </c>
      <c r="X90" s="21" t="str">
        <f t="shared" si="16"/>
        <v/>
      </c>
      <c r="Y90" s="60" t="str">
        <f t="shared" si="17"/>
        <v/>
      </c>
      <c r="Z90" s="60" t="str">
        <f t="shared" si="18"/>
        <v/>
      </c>
      <c r="AA90" s="64" t="str">
        <f t="shared" si="19"/>
        <v/>
      </c>
      <c r="AB90" s="64" t="str">
        <f>IF(AND(AA90&lt;&gt;"",AA90&lt;&gt;0), IF(E90="Muni", AA90, IF(E90 = "Corp", (1-'Investor Input'!$C$4-'Investor Input'!$C$5)*AA90, (1-'Investor Input'!$C$4)*AA90)), AA90)</f>
        <v/>
      </c>
      <c r="AC90" s="94" t="str">
        <f t="shared" si="20"/>
        <v/>
      </c>
      <c r="AD90" s="60" t="str">
        <f>IF(AND(M90&lt;&gt;"", M90&lt;&gt;0), N90/$N$505*MATCH(AC90,'Misc Lists'!$K$2:$K$25,0), "")</f>
        <v/>
      </c>
      <c r="AE90" s="90" t="str">
        <f t="shared" si="21"/>
        <v/>
      </c>
      <c r="AF90" s="99" t="str">
        <f>IF(AND(M90&lt;&gt;"", M90&lt;&gt;0), N90/$N$505*MATCH(AE90,'Misc Lists'!$L$2:$L$25,0), "")</f>
        <v/>
      </c>
    </row>
    <row r="91" spans="2:32" hidden="1" outlineLevel="1" x14ac:dyDescent="0.5">
      <c r="B91" s="60" t="str">
        <f ca="1"/>
        <v>26884ABD4</v>
      </c>
      <c r="C91" s="61" t="str">
        <f ca="1"/>
        <v>N/A</v>
      </c>
      <c r="D91" s="60" t="str">
        <f ca="1"/>
        <v>ERP OPER LTD        PARTNERSHIP NOTE    3.37500% 06/01/2025</v>
      </c>
      <c r="E91" s="61" t="str">
        <f ca="1"/>
        <v>Corp</v>
      </c>
      <c r="F91" s="62">
        <f ca="1"/>
        <v>3.375</v>
      </c>
      <c r="G91" s="63">
        <f ca="1"/>
        <v>45809</v>
      </c>
      <c r="H91" s="61" t="str">
        <f ca="1"/>
        <v>A3</v>
      </c>
      <c r="I91" s="61" t="str">
        <f ca="1"/>
        <v>A-</v>
      </c>
      <c r="J91" s="64">
        <f ca="1"/>
        <v>99.683999999999997</v>
      </c>
      <c r="K91" s="17">
        <f ca="1"/>
        <v>4.7850000000000001</v>
      </c>
      <c r="L91" s="18" t="str">
        <f ca="1"/>
        <v>250(5)</v>
      </c>
      <c r="M91" s="83"/>
      <c r="N91" s="84" t="str">
        <f t="shared" si="22"/>
        <v/>
      </c>
      <c r="O91" s="20" t="str">
        <f t="shared" si="23"/>
        <v/>
      </c>
      <c r="P91" s="64" t="str">
        <f t="shared" si="24"/>
        <v/>
      </c>
      <c r="Q91" s="85" t="str">
        <f t="shared" ca="1" si="25"/>
        <v/>
      </c>
      <c r="R91" s="86" t="str">
        <f t="shared" si="26"/>
        <v/>
      </c>
      <c r="S91" s="86" t="str">
        <f t="shared" si="27"/>
        <v/>
      </c>
      <c r="T91" s="104" t="str">
        <f t="shared" si="28"/>
        <v/>
      </c>
      <c r="U91" s="19" t="str">
        <f>IF(AND(M91&lt;&gt;"",M91&lt;&gt;0), IF(E91 = "Muni", T91, IF(E91="Corp", T91*(1 -'Investor Input'!$C$4-'Investor Input'!$C$5), T91*(1 -'Investor Input'!$C$4))), T91)</f>
        <v/>
      </c>
      <c r="V91" s="84" t="str">
        <f t="shared" si="29"/>
        <v/>
      </c>
      <c r="W91" s="84" t="str">
        <f t="shared" si="15"/>
        <v/>
      </c>
      <c r="X91" s="21" t="str">
        <f t="shared" si="16"/>
        <v/>
      </c>
      <c r="Y91" s="60" t="str">
        <f t="shared" si="17"/>
        <v/>
      </c>
      <c r="Z91" s="60" t="str">
        <f t="shared" si="18"/>
        <v/>
      </c>
      <c r="AA91" s="64" t="str">
        <f t="shared" si="19"/>
        <v/>
      </c>
      <c r="AB91" s="64" t="str">
        <f>IF(AND(AA91&lt;&gt;"",AA91&lt;&gt;0), IF(E91="Muni", AA91, IF(E91 = "Corp", (1-'Investor Input'!$C$4-'Investor Input'!$C$5)*AA91, (1-'Investor Input'!$C$4)*AA91)), AA91)</f>
        <v/>
      </c>
      <c r="AC91" s="94" t="str">
        <f t="shared" si="20"/>
        <v/>
      </c>
      <c r="AD91" s="60" t="str">
        <f>IF(AND(M91&lt;&gt;"", M91&lt;&gt;0), N91/$N$505*MATCH(AC91,'Misc Lists'!$K$2:$K$25,0), "")</f>
        <v/>
      </c>
      <c r="AE91" s="90" t="str">
        <f t="shared" si="21"/>
        <v/>
      </c>
      <c r="AF91" s="99" t="str">
        <f>IF(AND(M91&lt;&gt;"", M91&lt;&gt;0), N91/$N$505*MATCH(AE91,'Misc Lists'!$L$2:$L$25,0), "")</f>
        <v/>
      </c>
    </row>
    <row r="92" spans="2:32" hidden="1" outlineLevel="1" x14ac:dyDescent="0.5">
      <c r="B92" s="60" t="str">
        <f ca="1"/>
        <v>456837AQ6</v>
      </c>
      <c r="C92" s="61" t="str">
        <f ca="1"/>
        <v>N/A</v>
      </c>
      <c r="D92" s="60" t="str">
        <f ca="1"/>
        <v>ING GROEP N.V.      NOTE                4.05000% 04/09/2029</v>
      </c>
      <c r="E92" s="61" t="str">
        <f ca="1"/>
        <v>Corp</v>
      </c>
      <c r="F92" s="62">
        <f ca="1"/>
        <v>4.05</v>
      </c>
      <c r="G92" s="63">
        <f ca="1"/>
        <v>47217</v>
      </c>
      <c r="H92" s="61" t="str">
        <f ca="1"/>
        <v>BAA1</v>
      </c>
      <c r="I92" s="61" t="str">
        <f ca="1"/>
        <v>A-</v>
      </c>
      <c r="J92" s="64">
        <f ca="1"/>
        <v>97.307000000000002</v>
      </c>
      <c r="K92" s="17">
        <f ca="1"/>
        <v>4.7839999999999998</v>
      </c>
      <c r="L92" s="18" t="str">
        <f ca="1"/>
        <v>200(200)</v>
      </c>
      <c r="M92" s="83"/>
      <c r="N92" s="84" t="str">
        <f t="shared" si="22"/>
        <v/>
      </c>
      <c r="O92" s="20" t="str">
        <f t="shared" si="23"/>
        <v/>
      </c>
      <c r="P92" s="64" t="str">
        <f t="shared" si="24"/>
        <v/>
      </c>
      <c r="Q92" s="85" t="str">
        <f t="shared" ca="1" si="25"/>
        <v/>
      </c>
      <c r="R92" s="86" t="str">
        <f t="shared" si="26"/>
        <v/>
      </c>
      <c r="S92" s="86" t="str">
        <f t="shared" si="27"/>
        <v/>
      </c>
      <c r="T92" s="104" t="str">
        <f t="shared" si="28"/>
        <v/>
      </c>
      <c r="U92" s="19" t="str">
        <f>IF(AND(M92&lt;&gt;"",M92&lt;&gt;0), IF(E92 = "Muni", T92, IF(E92="Corp", T92*(1 -'Investor Input'!$C$4-'Investor Input'!$C$5), T92*(1 -'Investor Input'!$C$4))), T92)</f>
        <v/>
      </c>
      <c r="V92" s="84" t="str">
        <f t="shared" si="29"/>
        <v/>
      </c>
      <c r="W92" s="84" t="str">
        <f t="shared" si="15"/>
        <v/>
      </c>
      <c r="X92" s="21" t="str">
        <f t="shared" si="16"/>
        <v/>
      </c>
      <c r="Y92" s="60" t="str">
        <f t="shared" si="17"/>
        <v/>
      </c>
      <c r="Z92" s="60" t="str">
        <f t="shared" si="18"/>
        <v/>
      </c>
      <c r="AA92" s="64" t="str">
        <f t="shared" si="19"/>
        <v/>
      </c>
      <c r="AB92" s="64" t="str">
        <f>IF(AND(AA92&lt;&gt;"",AA92&lt;&gt;0), IF(E92="Muni", AA92, IF(E92 = "Corp", (1-'Investor Input'!$C$4-'Investor Input'!$C$5)*AA92, (1-'Investor Input'!$C$4)*AA92)), AA92)</f>
        <v/>
      </c>
      <c r="AC92" s="94" t="str">
        <f t="shared" si="20"/>
        <v/>
      </c>
      <c r="AD92" s="60" t="str">
        <f>IF(AND(M92&lt;&gt;"", M92&lt;&gt;0), N92/$N$505*MATCH(AC92,'Misc Lists'!$K$2:$K$25,0), "")</f>
        <v/>
      </c>
      <c r="AE92" s="90" t="str">
        <f t="shared" si="21"/>
        <v/>
      </c>
      <c r="AF92" s="99" t="str">
        <f>IF(AND(M92&lt;&gt;"", M92&lt;&gt;0), N92/$N$505*MATCH(AE92,'Misc Lists'!$L$2:$L$25,0), "")</f>
        <v/>
      </c>
    </row>
    <row r="93" spans="2:32" outlineLevel="1" x14ac:dyDescent="0.5">
      <c r="B93" s="60" t="str">
        <f ca="1"/>
        <v>842400GN7</v>
      </c>
      <c r="C93" s="61" t="str">
        <f ca="1"/>
        <v>N/A</v>
      </c>
      <c r="D93" s="60" t="str">
        <f ca="1"/>
        <v>SOUTHERN CALIF      EDISON CO SER 2018E 3.70000% 08/01/2025 BOND CALL MAKE WHOLE</v>
      </c>
      <c r="E93" s="61" t="str">
        <f ca="1"/>
        <v>Corp</v>
      </c>
      <c r="F93" s="62">
        <f ca="1"/>
        <v>3.7</v>
      </c>
      <c r="G93" s="63">
        <f ca="1"/>
        <v>45870</v>
      </c>
      <c r="H93" s="61" t="str">
        <f ca="1"/>
        <v>A2</v>
      </c>
      <c r="I93" s="61" t="str">
        <f ca="1"/>
        <v>A-</v>
      </c>
      <c r="J93" s="64">
        <f ca="1"/>
        <v>99.582999999999998</v>
      </c>
      <c r="K93" s="17">
        <f ca="1"/>
        <v>4.78</v>
      </c>
      <c r="L93" s="18" t="str">
        <f ca="1"/>
        <v>625(1)</v>
      </c>
      <c r="M93" s="83">
        <v>10</v>
      </c>
      <c r="N93" s="84">
        <f t="shared" ca="1" si="22"/>
        <v>10000</v>
      </c>
      <c r="O93" s="20">
        <f t="shared" ca="1" si="23"/>
        <v>9.9995895168503331E-3</v>
      </c>
      <c r="P93" s="64">
        <f t="shared" ca="1" si="24"/>
        <v>37</v>
      </c>
      <c r="Q93" s="85">
        <f t="shared" ca="1" si="25"/>
        <v>45791.491364930553</v>
      </c>
      <c r="R93" s="86">
        <f t="shared" ca="1" si="26"/>
        <v>0</v>
      </c>
      <c r="S93" s="86">
        <f t="shared" ca="1" si="27"/>
        <v>0.20889626808173539</v>
      </c>
      <c r="T93" s="104">
        <f t="shared" ca="1" si="28"/>
        <v>3.6612416886789595E-2</v>
      </c>
      <c r="U93" s="19">
        <f ca="1">IF(AND(M93&lt;&gt;"",M93&lt;&gt;0), IF(E93 = "Muni", T93, IF(E93="Corp", T93*(1 -'Investor Input'!$C$4-'Investor Input'!$C$5), T93*(1 -'Investor Input'!$C$4))), T93)</f>
        <v>1.9770705118866382E-2</v>
      </c>
      <c r="V93" s="84">
        <f t="shared" ca="1" si="29"/>
        <v>10023.073720996523</v>
      </c>
      <c r="W93" s="84">
        <f t="shared" ca="1" si="15"/>
        <v>23.073720996522752</v>
      </c>
      <c r="X93" s="21">
        <f t="shared" ca="1" si="16"/>
        <v>2.3073720996522754E-3</v>
      </c>
      <c r="Y93" s="60">
        <f t="shared" ca="1" si="17"/>
        <v>8</v>
      </c>
      <c r="Z93" s="60">
        <f t="shared" ca="1" si="18"/>
        <v>2</v>
      </c>
      <c r="AA93" s="64">
        <f t="shared" ca="1" si="19"/>
        <v>185</v>
      </c>
      <c r="AB93" s="64">
        <f ca="1">IF(AND(AA93&lt;&gt;"",AA93&lt;&gt;0), IF(E93="Muni", AA93, IF(E93 = "Corp", (1-'Investor Input'!$C$4-'Investor Input'!$C$5)*AA93, (1-'Investor Input'!$C$4)*AA93)), AA93)</f>
        <v>99.9</v>
      </c>
      <c r="AC93" s="94" t="str">
        <f t="shared" ca="1" si="20"/>
        <v>A2</v>
      </c>
      <c r="AD93" s="60">
        <f ca="1">IF(AND(M93&lt;&gt;"", M93&lt;&gt;0), N93/$N$505*MATCH(AC93,'Misc Lists'!$K$2:$K$25,0), "")</f>
        <v>6.9997126617952335E-2</v>
      </c>
      <c r="AE93" s="90" t="str">
        <f t="shared" ca="1" si="21"/>
        <v>A-</v>
      </c>
      <c r="AF93" s="99">
        <f ca="1">IF(AND(M93&lt;&gt;"", M93&lt;&gt;0), N93/$N$505*MATCH(AE93,'Misc Lists'!$L$2:$L$25,0), "")</f>
        <v>7.9996716134802665E-2</v>
      </c>
    </row>
    <row r="94" spans="2:32" hidden="1" outlineLevel="1" x14ac:dyDescent="0.5">
      <c r="B94" s="60" t="str">
        <f ca="1"/>
        <v>67021CAX5</v>
      </c>
      <c r="C94" s="61" t="str">
        <f ca="1"/>
        <v>N/A</v>
      </c>
      <c r="D94" s="60" t="str">
        <f ca="1"/>
        <v>NSTAR ELEC CO       BOND CALL MAKE WHOLE4.85000% 03/01/2030</v>
      </c>
      <c r="E94" s="61" t="str">
        <f ca="1"/>
        <v>Corp</v>
      </c>
      <c r="F94" s="62">
        <f ca="1"/>
        <v>4.8499999999999996</v>
      </c>
      <c r="G94" s="63">
        <f ca="1"/>
        <v>47543</v>
      </c>
      <c r="H94" s="61" t="str">
        <f ca="1"/>
        <v>A2</v>
      </c>
      <c r="I94" s="61" t="str">
        <f ca="1"/>
        <v>A-</v>
      </c>
      <c r="J94" s="64">
        <f ca="1"/>
        <v>100.304</v>
      </c>
      <c r="K94" s="17">
        <f ca="1"/>
        <v>4.78</v>
      </c>
      <c r="L94" s="18" t="str">
        <f ca="1"/>
        <v>1,000(2)</v>
      </c>
      <c r="M94" s="83"/>
      <c r="N94" s="84" t="str">
        <f t="shared" si="22"/>
        <v/>
      </c>
      <c r="O94" s="20" t="str">
        <f t="shared" si="23"/>
        <v/>
      </c>
      <c r="P94" s="64" t="str">
        <f t="shared" si="24"/>
        <v/>
      </c>
      <c r="Q94" s="85" t="str">
        <f t="shared" ca="1" si="25"/>
        <v/>
      </c>
      <c r="R94" s="86" t="str">
        <f t="shared" si="26"/>
        <v/>
      </c>
      <c r="S94" s="86" t="str">
        <f t="shared" si="27"/>
        <v/>
      </c>
      <c r="T94" s="104" t="str">
        <f t="shared" si="28"/>
        <v/>
      </c>
      <c r="U94" s="19" t="str">
        <f>IF(AND(M94&lt;&gt;"",M94&lt;&gt;0), IF(E94 = "Muni", T94, IF(E94="Corp", T94*(1 -'Investor Input'!$C$4-'Investor Input'!$C$5), T94*(1 -'Investor Input'!$C$4))), T94)</f>
        <v/>
      </c>
      <c r="V94" s="84" t="str">
        <f t="shared" si="29"/>
        <v/>
      </c>
      <c r="W94" s="84" t="str">
        <f t="shared" si="15"/>
        <v/>
      </c>
      <c r="X94" s="21" t="str">
        <f t="shared" si="16"/>
        <v/>
      </c>
      <c r="Y94" s="60" t="str">
        <f t="shared" si="17"/>
        <v/>
      </c>
      <c r="Z94" s="60" t="str">
        <f t="shared" si="18"/>
        <v/>
      </c>
      <c r="AA94" s="64" t="str">
        <f t="shared" si="19"/>
        <v/>
      </c>
      <c r="AB94" s="64" t="str">
        <f>IF(AND(AA94&lt;&gt;"",AA94&lt;&gt;0), IF(E94="Muni", AA94, IF(E94 = "Corp", (1-'Investor Input'!$C$4-'Investor Input'!$C$5)*AA94, (1-'Investor Input'!$C$4)*AA94)), AA94)</f>
        <v/>
      </c>
      <c r="AC94" s="94" t="str">
        <f t="shared" si="20"/>
        <v/>
      </c>
      <c r="AD94" s="60" t="str">
        <f>IF(AND(M94&lt;&gt;"", M94&lt;&gt;0), N94/$N$505*MATCH(AC94,'Misc Lists'!$K$2:$K$25,0), "")</f>
        <v/>
      </c>
      <c r="AE94" s="90" t="str">
        <f t="shared" si="21"/>
        <v/>
      </c>
      <c r="AF94" s="99" t="str">
        <f>IF(AND(M94&lt;&gt;"", M94&lt;&gt;0), N94/$N$505*MATCH(AE94,'Misc Lists'!$L$2:$L$25,0), "")</f>
        <v/>
      </c>
    </row>
    <row r="95" spans="2:32" hidden="1" outlineLevel="1" x14ac:dyDescent="0.5">
      <c r="B95" s="60" t="str">
        <f ca="1"/>
        <v>054561AJ4</v>
      </c>
      <c r="C95" s="61" t="str">
        <f ca="1"/>
        <v>N/A</v>
      </c>
      <c r="D95" s="60" t="str">
        <f ca="1"/>
        <v>EQUITABLE HLDGS INC SER B NOTE          4.35000% 04/20/2028 CALL MAKE WHOLE</v>
      </c>
      <c r="E95" s="61" t="str">
        <f ca="1"/>
        <v>Corp</v>
      </c>
      <c r="F95" s="62">
        <f ca="1"/>
        <v>4.3499999999999996</v>
      </c>
      <c r="G95" s="63">
        <f ca="1"/>
        <v>46863</v>
      </c>
      <c r="H95" s="61" t="str">
        <f ca="1"/>
        <v>BAA1</v>
      </c>
      <c r="I95" s="61" t="str">
        <f ca="1"/>
        <v>A-</v>
      </c>
      <c r="J95" s="64">
        <f ca="1"/>
        <v>98.774000000000001</v>
      </c>
      <c r="K95" s="17">
        <f ca="1"/>
        <v>4.7779999999999996</v>
      </c>
      <c r="L95" s="18" t="str">
        <f ca="1"/>
        <v>200(2)</v>
      </c>
      <c r="M95" s="83"/>
      <c r="N95" s="84" t="str">
        <f t="shared" si="22"/>
        <v/>
      </c>
      <c r="O95" s="20" t="str">
        <f t="shared" si="23"/>
        <v/>
      </c>
      <c r="P95" s="64" t="str">
        <f t="shared" si="24"/>
        <v/>
      </c>
      <c r="Q95" s="85" t="str">
        <f t="shared" ca="1" si="25"/>
        <v/>
      </c>
      <c r="R95" s="86" t="str">
        <f t="shared" si="26"/>
        <v/>
      </c>
      <c r="S95" s="86" t="str">
        <f t="shared" si="27"/>
        <v/>
      </c>
      <c r="T95" s="104" t="str">
        <f t="shared" si="28"/>
        <v/>
      </c>
      <c r="U95" s="19" t="str">
        <f>IF(AND(M95&lt;&gt;"",M95&lt;&gt;0), IF(E95 = "Muni", T95, IF(E95="Corp", T95*(1 -'Investor Input'!$C$4-'Investor Input'!$C$5), T95*(1 -'Investor Input'!$C$4))), T95)</f>
        <v/>
      </c>
      <c r="V95" s="84" t="str">
        <f t="shared" si="29"/>
        <v/>
      </c>
      <c r="W95" s="84" t="str">
        <f t="shared" si="15"/>
        <v/>
      </c>
      <c r="X95" s="21" t="str">
        <f t="shared" si="16"/>
        <v/>
      </c>
      <c r="Y95" s="60" t="str">
        <f t="shared" si="17"/>
        <v/>
      </c>
      <c r="Z95" s="60" t="str">
        <f t="shared" si="18"/>
        <v/>
      </c>
      <c r="AA95" s="64" t="str">
        <f t="shared" si="19"/>
        <v/>
      </c>
      <c r="AB95" s="64" t="str">
        <f>IF(AND(AA95&lt;&gt;"",AA95&lt;&gt;0), IF(E95="Muni", AA95, IF(E95 = "Corp", (1-'Investor Input'!$C$4-'Investor Input'!$C$5)*AA95, (1-'Investor Input'!$C$4)*AA95)), AA95)</f>
        <v/>
      </c>
      <c r="AC95" s="94" t="str">
        <f t="shared" si="20"/>
        <v/>
      </c>
      <c r="AD95" s="60" t="str">
        <f>IF(AND(M95&lt;&gt;"", M95&lt;&gt;0), N95/$N$505*MATCH(AC95,'Misc Lists'!$K$2:$K$25,0), "")</f>
        <v/>
      </c>
      <c r="AE95" s="90" t="str">
        <f t="shared" si="21"/>
        <v/>
      </c>
      <c r="AF95" s="99" t="str">
        <f>IF(AND(M95&lt;&gt;"", M95&lt;&gt;0), N95/$N$505*MATCH(AE95,'Misc Lists'!$L$2:$L$25,0), "")</f>
        <v/>
      </c>
    </row>
    <row r="96" spans="2:32" hidden="1" outlineLevel="1" x14ac:dyDescent="0.5">
      <c r="B96" s="60" t="str">
        <f ca="1"/>
        <v>06406YAA0</v>
      </c>
      <c r="C96" s="61" t="str">
        <f ca="1"/>
        <v>N/A</v>
      </c>
      <c r="D96" s="60" t="str">
        <f ca="1"/>
        <v>BANK NEW YORK MELLONCORP SER K MTN      3.30000% 08/23/2029</v>
      </c>
      <c r="E96" s="61" t="str">
        <f ca="1"/>
        <v>Corp</v>
      </c>
      <c r="F96" s="62">
        <f ca="1"/>
        <v>3.3</v>
      </c>
      <c r="G96" s="63">
        <f ca="1"/>
        <v>47353</v>
      </c>
      <c r="H96" s="61" t="str">
        <f ca="1"/>
        <v>A2</v>
      </c>
      <c r="I96" s="61" t="str">
        <f ca="1"/>
        <v>A-</v>
      </c>
      <c r="J96" s="64">
        <f ca="1"/>
        <v>94.144999999999996</v>
      </c>
      <c r="K96" s="17">
        <f ca="1"/>
        <v>4.7759999999999998</v>
      </c>
      <c r="L96" s="18" t="str">
        <f ca="1"/>
        <v>200(1)</v>
      </c>
      <c r="M96" s="83"/>
      <c r="N96" s="84" t="str">
        <f t="shared" si="22"/>
        <v/>
      </c>
      <c r="O96" s="20" t="str">
        <f t="shared" si="23"/>
        <v/>
      </c>
      <c r="P96" s="64" t="str">
        <f t="shared" si="24"/>
        <v/>
      </c>
      <c r="Q96" s="85" t="str">
        <f t="shared" ca="1" si="25"/>
        <v/>
      </c>
      <c r="R96" s="86" t="str">
        <f t="shared" si="26"/>
        <v/>
      </c>
      <c r="S96" s="86" t="str">
        <f t="shared" si="27"/>
        <v/>
      </c>
      <c r="T96" s="104" t="str">
        <f t="shared" si="28"/>
        <v/>
      </c>
      <c r="U96" s="19" t="str">
        <f>IF(AND(M96&lt;&gt;"",M96&lt;&gt;0), IF(E96 = "Muni", T96, IF(E96="Corp", T96*(1 -'Investor Input'!$C$4-'Investor Input'!$C$5), T96*(1 -'Investor Input'!$C$4))), T96)</f>
        <v/>
      </c>
      <c r="V96" s="84" t="str">
        <f t="shared" si="29"/>
        <v/>
      </c>
      <c r="W96" s="84" t="str">
        <f t="shared" si="15"/>
        <v/>
      </c>
      <c r="X96" s="21" t="str">
        <f t="shared" si="16"/>
        <v/>
      </c>
      <c r="Y96" s="60" t="str">
        <f t="shared" si="17"/>
        <v/>
      </c>
      <c r="Z96" s="60" t="str">
        <f t="shared" si="18"/>
        <v/>
      </c>
      <c r="AA96" s="64" t="str">
        <f t="shared" si="19"/>
        <v/>
      </c>
      <c r="AB96" s="64" t="str">
        <f>IF(AND(AA96&lt;&gt;"",AA96&lt;&gt;0), IF(E96="Muni", AA96, IF(E96 = "Corp", (1-'Investor Input'!$C$4-'Investor Input'!$C$5)*AA96, (1-'Investor Input'!$C$4)*AA96)), AA96)</f>
        <v/>
      </c>
      <c r="AC96" s="94" t="str">
        <f t="shared" si="20"/>
        <v/>
      </c>
      <c r="AD96" s="60" t="str">
        <f>IF(AND(M96&lt;&gt;"", M96&lt;&gt;0), N96/$N$505*MATCH(AC96,'Misc Lists'!$K$2:$K$25,0), "")</f>
        <v/>
      </c>
      <c r="AE96" s="90" t="str">
        <f t="shared" si="21"/>
        <v/>
      </c>
      <c r="AF96" s="99" t="str">
        <f>IF(AND(M96&lt;&gt;"", M96&lt;&gt;0), N96/$N$505*MATCH(AE96,'Misc Lists'!$L$2:$L$25,0), "")</f>
        <v/>
      </c>
    </row>
    <row r="97" spans="2:32" hidden="1" outlineLevel="1" x14ac:dyDescent="0.5">
      <c r="B97" s="60" t="str">
        <f ca="1"/>
        <v>05964HAS4</v>
      </c>
      <c r="C97" s="61" t="str">
        <f ca="1"/>
        <v>N/A</v>
      </c>
      <c r="D97" s="60" t="str">
        <f ca="1"/>
        <v>BANCO SANTANDER S.A.SER 164 NOTE        5.29400% 08/18/2027 ISIN #US05964HAS40</v>
      </c>
      <c r="E97" s="61" t="str">
        <f ca="1"/>
        <v>Corp</v>
      </c>
      <c r="F97" s="62">
        <f ca="1"/>
        <v>5.2939999999999996</v>
      </c>
      <c r="G97" s="63">
        <f ca="1"/>
        <v>46617</v>
      </c>
      <c r="H97" s="61" t="str">
        <f ca="1"/>
        <v>BAA1</v>
      </c>
      <c r="I97" s="61" t="str">
        <f ca="1"/>
        <v>A-</v>
      </c>
      <c r="J97" s="64">
        <f ca="1"/>
        <v>101.17700000000001</v>
      </c>
      <c r="K97" s="17">
        <f ca="1"/>
        <v>4.774</v>
      </c>
      <c r="L97" s="18" t="str">
        <f ca="1"/>
        <v>200(200)</v>
      </c>
      <c r="M97" s="83"/>
      <c r="N97" s="84" t="str">
        <f t="shared" si="22"/>
        <v/>
      </c>
      <c r="O97" s="20" t="str">
        <f t="shared" si="23"/>
        <v/>
      </c>
      <c r="P97" s="64" t="str">
        <f t="shared" si="24"/>
        <v/>
      </c>
      <c r="Q97" s="85" t="str">
        <f t="shared" ca="1" si="25"/>
        <v/>
      </c>
      <c r="R97" s="86" t="str">
        <f t="shared" si="26"/>
        <v/>
      </c>
      <c r="S97" s="86" t="str">
        <f t="shared" si="27"/>
        <v/>
      </c>
      <c r="T97" s="104" t="str">
        <f t="shared" si="28"/>
        <v/>
      </c>
      <c r="U97" s="19" t="str">
        <f>IF(AND(M97&lt;&gt;"",M97&lt;&gt;0), IF(E97 = "Muni", T97, IF(E97="Corp", T97*(1 -'Investor Input'!$C$4-'Investor Input'!$C$5), T97*(1 -'Investor Input'!$C$4))), T97)</f>
        <v/>
      </c>
      <c r="V97" s="84" t="str">
        <f t="shared" si="29"/>
        <v/>
      </c>
      <c r="W97" s="84" t="str">
        <f t="shared" si="15"/>
        <v/>
      </c>
      <c r="X97" s="21" t="str">
        <f t="shared" si="16"/>
        <v/>
      </c>
      <c r="Y97" s="60" t="str">
        <f t="shared" si="17"/>
        <v/>
      </c>
      <c r="Z97" s="60" t="str">
        <f t="shared" si="18"/>
        <v/>
      </c>
      <c r="AA97" s="64" t="str">
        <f t="shared" si="19"/>
        <v/>
      </c>
      <c r="AB97" s="64" t="str">
        <f>IF(AND(AA97&lt;&gt;"",AA97&lt;&gt;0), IF(E97="Muni", AA97, IF(E97 = "Corp", (1-'Investor Input'!$C$4-'Investor Input'!$C$5)*AA97, (1-'Investor Input'!$C$4)*AA97)), AA97)</f>
        <v/>
      </c>
      <c r="AC97" s="94" t="str">
        <f t="shared" si="20"/>
        <v/>
      </c>
      <c r="AD97" s="60" t="str">
        <f>IF(AND(M97&lt;&gt;"", M97&lt;&gt;0), N97/$N$505*MATCH(AC97,'Misc Lists'!$K$2:$K$25,0), "")</f>
        <v/>
      </c>
      <c r="AE97" s="90" t="str">
        <f t="shared" si="21"/>
        <v/>
      </c>
      <c r="AF97" s="99" t="str">
        <f>IF(AND(M97&lt;&gt;"", M97&lt;&gt;0), N97/$N$505*MATCH(AE97,'Misc Lists'!$L$2:$L$25,0), "")</f>
        <v/>
      </c>
    </row>
    <row r="98" spans="2:32" hidden="1" outlineLevel="1" x14ac:dyDescent="0.5">
      <c r="B98" s="60" t="str">
        <f ca="1"/>
        <v>10373QBL3</v>
      </c>
      <c r="C98" s="61" t="str">
        <f ca="1"/>
        <v>N/A</v>
      </c>
      <c r="D98" s="60" t="str">
        <f ca="1"/>
        <v>BP CAP MKTS AMER INCNOTE CALL MAKE WHOLE3.63300% 04/06/2030</v>
      </c>
      <c r="E98" s="61" t="str">
        <f ca="1"/>
        <v>Corp</v>
      </c>
      <c r="F98" s="62">
        <f ca="1"/>
        <v>3.633</v>
      </c>
      <c r="G98" s="63">
        <f ca="1"/>
        <v>47579</v>
      </c>
      <c r="H98" s="61" t="str">
        <f ca="1"/>
        <v>A1</v>
      </c>
      <c r="I98" s="61" t="str">
        <f ca="1"/>
        <v>A-</v>
      </c>
      <c r="J98" s="64">
        <f ca="1"/>
        <v>94.921999999999997</v>
      </c>
      <c r="K98" s="17">
        <f ca="1"/>
        <v>4.7729999999999997</v>
      </c>
      <c r="L98" s="18" t="str">
        <f ca="1"/>
        <v>35(5)</v>
      </c>
      <c r="M98" s="83"/>
      <c r="N98" s="84" t="str">
        <f t="shared" si="22"/>
        <v/>
      </c>
      <c r="O98" s="20" t="str">
        <f t="shared" si="23"/>
        <v/>
      </c>
      <c r="P98" s="64" t="str">
        <f t="shared" si="24"/>
        <v/>
      </c>
      <c r="Q98" s="85" t="str">
        <f t="shared" ca="1" si="25"/>
        <v/>
      </c>
      <c r="R98" s="86" t="str">
        <f t="shared" si="26"/>
        <v/>
      </c>
      <c r="S98" s="86" t="str">
        <f t="shared" si="27"/>
        <v/>
      </c>
      <c r="T98" s="104" t="str">
        <f t="shared" si="28"/>
        <v/>
      </c>
      <c r="U98" s="19" t="str">
        <f>IF(AND(M98&lt;&gt;"",M98&lt;&gt;0), IF(E98 = "Muni", T98, IF(E98="Corp", T98*(1 -'Investor Input'!$C$4-'Investor Input'!$C$5), T98*(1 -'Investor Input'!$C$4))), T98)</f>
        <v/>
      </c>
      <c r="V98" s="84" t="str">
        <f t="shared" si="29"/>
        <v/>
      </c>
      <c r="W98" s="84" t="str">
        <f t="shared" si="15"/>
        <v/>
      </c>
      <c r="X98" s="21" t="str">
        <f t="shared" si="16"/>
        <v/>
      </c>
      <c r="Y98" s="60" t="str">
        <f t="shared" si="17"/>
        <v/>
      </c>
      <c r="Z98" s="60" t="str">
        <f t="shared" si="18"/>
        <v/>
      </c>
      <c r="AA98" s="64" t="str">
        <f t="shared" si="19"/>
        <v/>
      </c>
      <c r="AB98" s="64" t="str">
        <f>IF(AND(AA98&lt;&gt;"",AA98&lt;&gt;0), IF(E98="Muni", AA98, IF(E98 = "Corp", (1-'Investor Input'!$C$4-'Investor Input'!$C$5)*AA98, (1-'Investor Input'!$C$4)*AA98)), AA98)</f>
        <v/>
      </c>
      <c r="AC98" s="94" t="str">
        <f t="shared" si="20"/>
        <v/>
      </c>
      <c r="AD98" s="60" t="str">
        <f>IF(AND(M98&lt;&gt;"", M98&lt;&gt;0), N98/$N$505*MATCH(AC98,'Misc Lists'!$K$2:$K$25,0), "")</f>
        <v/>
      </c>
      <c r="AE98" s="90" t="str">
        <f t="shared" si="21"/>
        <v/>
      </c>
      <c r="AF98" s="99" t="str">
        <f>IF(AND(M98&lt;&gt;"", M98&lt;&gt;0), N98/$N$505*MATCH(AE98,'Misc Lists'!$L$2:$L$25,0), "")</f>
        <v/>
      </c>
    </row>
    <row r="99" spans="2:32" hidden="1" outlineLevel="1" x14ac:dyDescent="0.5">
      <c r="B99" s="60" t="str">
        <f ca="1"/>
        <v>15189XBG2</v>
      </c>
      <c r="C99" s="61" t="str">
        <f ca="1"/>
        <v>N/A</v>
      </c>
      <c r="D99" s="60" t="str">
        <f ca="1"/>
        <v>CENTERPOINT ENERGY  HOUSTON ELE SER AP  4.80000% 03/15/2030 BOND CALL MAKE WHOLE</v>
      </c>
      <c r="E99" s="61" t="str">
        <f ca="1"/>
        <v>Corp</v>
      </c>
      <c r="F99" s="62">
        <f ca="1"/>
        <v>4.8</v>
      </c>
      <c r="G99" s="63">
        <f ca="1"/>
        <v>47557</v>
      </c>
      <c r="H99" s="61" t="str">
        <f ca="1"/>
        <v>A2</v>
      </c>
      <c r="I99" s="61" t="str">
        <f ca="1"/>
        <v>A</v>
      </c>
      <c r="J99" s="64">
        <f ca="1"/>
        <v>100.136</v>
      </c>
      <c r="K99" s="17">
        <f ca="1"/>
        <v>4.7679999999999998</v>
      </c>
      <c r="L99" s="18" t="str">
        <f ca="1"/>
        <v>500(2)</v>
      </c>
      <c r="M99" s="83"/>
      <c r="N99" s="84" t="str">
        <f t="shared" si="22"/>
        <v/>
      </c>
      <c r="O99" s="20" t="str">
        <f t="shared" si="23"/>
        <v/>
      </c>
      <c r="P99" s="64" t="str">
        <f t="shared" si="24"/>
        <v/>
      </c>
      <c r="Q99" s="85" t="str">
        <f t="shared" ca="1" si="25"/>
        <v/>
      </c>
      <c r="R99" s="86" t="str">
        <f t="shared" si="26"/>
        <v/>
      </c>
      <c r="S99" s="86" t="str">
        <f t="shared" si="27"/>
        <v/>
      </c>
      <c r="T99" s="104" t="str">
        <f t="shared" si="28"/>
        <v/>
      </c>
      <c r="U99" s="19" t="str">
        <f>IF(AND(M99&lt;&gt;"",M99&lt;&gt;0), IF(E99 = "Muni", T99, IF(E99="Corp", T99*(1 -'Investor Input'!$C$4-'Investor Input'!$C$5), T99*(1 -'Investor Input'!$C$4))), T99)</f>
        <v/>
      </c>
      <c r="V99" s="84" t="str">
        <f t="shared" si="29"/>
        <v/>
      </c>
      <c r="W99" s="84" t="str">
        <f t="shared" si="15"/>
        <v/>
      </c>
      <c r="X99" s="21" t="str">
        <f t="shared" si="16"/>
        <v/>
      </c>
      <c r="Y99" s="60" t="str">
        <f t="shared" si="17"/>
        <v/>
      </c>
      <c r="Z99" s="60" t="str">
        <f t="shared" si="18"/>
        <v/>
      </c>
      <c r="AA99" s="64" t="str">
        <f t="shared" si="19"/>
        <v/>
      </c>
      <c r="AB99" s="64" t="str">
        <f>IF(AND(AA99&lt;&gt;"",AA99&lt;&gt;0), IF(E99="Muni", AA99, IF(E99 = "Corp", (1-'Investor Input'!$C$4-'Investor Input'!$C$5)*AA99, (1-'Investor Input'!$C$4)*AA99)), AA99)</f>
        <v/>
      </c>
      <c r="AC99" s="94" t="str">
        <f t="shared" si="20"/>
        <v/>
      </c>
      <c r="AD99" s="60" t="str">
        <f>IF(AND(M99&lt;&gt;"", M99&lt;&gt;0), N99/$N$505*MATCH(AC99,'Misc Lists'!$K$2:$K$25,0), "")</f>
        <v/>
      </c>
      <c r="AE99" s="90" t="str">
        <f t="shared" si="21"/>
        <v/>
      </c>
      <c r="AF99" s="99" t="str">
        <f>IF(AND(M99&lt;&gt;"", M99&lt;&gt;0), N99/$N$505*MATCH(AE99,'Misc Lists'!$L$2:$L$25,0), "")</f>
        <v/>
      </c>
    </row>
    <row r="100" spans="2:32" hidden="1" outlineLevel="1" x14ac:dyDescent="0.5">
      <c r="B100" s="60" t="str">
        <f ca="1"/>
        <v>756109BK9</v>
      </c>
      <c r="C100" s="61" t="str">
        <f ca="1"/>
        <v>N/A</v>
      </c>
      <c r="D100" s="60" t="str">
        <f ca="1"/>
        <v>REALTY INCOME CORP  NOTE CALL MAKE WHOLE3.10000% 12/15/2029</v>
      </c>
      <c r="E100" s="61" t="str">
        <f ca="1"/>
        <v>Corp</v>
      </c>
      <c r="F100" s="62">
        <f ca="1"/>
        <v>3.1</v>
      </c>
      <c r="G100" s="63">
        <f ca="1"/>
        <v>47467</v>
      </c>
      <c r="H100" s="61" t="str">
        <f ca="1"/>
        <v>A3</v>
      </c>
      <c r="I100" s="61" t="str">
        <f ca="1"/>
        <v>A-</v>
      </c>
      <c r="J100" s="64">
        <f ca="1"/>
        <v>92.972999999999999</v>
      </c>
      <c r="K100" s="17">
        <f ca="1"/>
        <v>4.7670000000000003</v>
      </c>
      <c r="L100" s="18" t="str">
        <f ca="1"/>
        <v>750(2)</v>
      </c>
      <c r="M100" s="83"/>
      <c r="N100" s="84" t="str">
        <f t="shared" si="22"/>
        <v/>
      </c>
      <c r="O100" s="20" t="str">
        <f t="shared" si="23"/>
        <v/>
      </c>
      <c r="P100" s="64" t="str">
        <f t="shared" si="24"/>
        <v/>
      </c>
      <c r="Q100" s="85" t="str">
        <f t="shared" ca="1" si="25"/>
        <v/>
      </c>
      <c r="R100" s="86" t="str">
        <f t="shared" si="26"/>
        <v/>
      </c>
      <c r="S100" s="86" t="str">
        <f t="shared" si="27"/>
        <v/>
      </c>
      <c r="T100" s="104" t="str">
        <f t="shared" si="28"/>
        <v/>
      </c>
      <c r="U100" s="19" t="str">
        <f>IF(AND(M100&lt;&gt;"",M100&lt;&gt;0), IF(E100 = "Muni", T100, IF(E100="Corp", T100*(1 -'Investor Input'!$C$4-'Investor Input'!$C$5), T100*(1 -'Investor Input'!$C$4))), T100)</f>
        <v/>
      </c>
      <c r="V100" s="84" t="str">
        <f t="shared" si="29"/>
        <v/>
      </c>
      <c r="W100" s="84" t="str">
        <f t="shared" si="15"/>
        <v/>
      </c>
      <c r="X100" s="21" t="str">
        <f t="shared" si="16"/>
        <v/>
      </c>
      <c r="Y100" s="60" t="str">
        <f t="shared" si="17"/>
        <v/>
      </c>
      <c r="Z100" s="60" t="str">
        <f t="shared" si="18"/>
        <v/>
      </c>
      <c r="AA100" s="64" t="str">
        <f t="shared" si="19"/>
        <v/>
      </c>
      <c r="AB100" s="64" t="str">
        <f>IF(AND(AA100&lt;&gt;"",AA100&lt;&gt;0), IF(E100="Muni", AA100, IF(E100 = "Corp", (1-'Investor Input'!$C$4-'Investor Input'!$C$5)*AA100, (1-'Investor Input'!$C$4)*AA100)), AA100)</f>
        <v/>
      </c>
      <c r="AC100" s="94" t="str">
        <f t="shared" si="20"/>
        <v/>
      </c>
      <c r="AD100" s="60" t="str">
        <f>IF(AND(M100&lt;&gt;"", M100&lt;&gt;0), N100/$N$505*MATCH(AC100,'Misc Lists'!$K$2:$K$25,0), "")</f>
        <v/>
      </c>
      <c r="AE100" s="90" t="str">
        <f t="shared" si="21"/>
        <v/>
      </c>
      <c r="AF100" s="99" t="str">
        <f>IF(AND(M100&lt;&gt;"", M100&lt;&gt;0), N100/$N$505*MATCH(AE100,'Misc Lists'!$L$2:$L$25,0), "")</f>
        <v/>
      </c>
    </row>
    <row r="101" spans="2:32" hidden="1" outlineLevel="1" x14ac:dyDescent="0.5">
      <c r="B101" s="60" t="str">
        <f ca="1"/>
        <v>26884ABM4</v>
      </c>
      <c r="C101" s="61" t="str">
        <f ca="1"/>
        <v>N/A</v>
      </c>
      <c r="D101" s="60" t="str">
        <f ca="1"/>
        <v>ERP OPER LTD        PARTNERSHIP NOTE    2.50000% 02/15/2030 CALL MAKE WHOLE</v>
      </c>
      <c r="E101" s="61" t="str">
        <f ca="1"/>
        <v>Corp</v>
      </c>
      <c r="F101" s="62">
        <f ca="1"/>
        <v>2.5</v>
      </c>
      <c r="G101" s="63">
        <f ca="1"/>
        <v>47529</v>
      </c>
      <c r="H101" s="61" t="str">
        <f ca="1"/>
        <v>A3</v>
      </c>
      <c r="I101" s="61" t="str">
        <f ca="1"/>
        <v>A-</v>
      </c>
      <c r="J101" s="64">
        <f ca="1"/>
        <v>90.149000000000001</v>
      </c>
      <c r="K101" s="17">
        <f ca="1"/>
        <v>4.7670000000000003</v>
      </c>
      <c r="L101" s="18" t="str">
        <f ca="1"/>
        <v>500(1)</v>
      </c>
      <c r="M101" s="83"/>
      <c r="N101" s="84" t="str">
        <f t="shared" si="22"/>
        <v/>
      </c>
      <c r="O101" s="20" t="str">
        <f t="shared" si="23"/>
        <v/>
      </c>
      <c r="P101" s="64" t="str">
        <f t="shared" si="24"/>
        <v/>
      </c>
      <c r="Q101" s="85" t="str">
        <f t="shared" ca="1" si="25"/>
        <v/>
      </c>
      <c r="R101" s="86" t="str">
        <f t="shared" si="26"/>
        <v/>
      </c>
      <c r="S101" s="86" t="str">
        <f t="shared" si="27"/>
        <v/>
      </c>
      <c r="T101" s="104" t="str">
        <f t="shared" si="28"/>
        <v/>
      </c>
      <c r="U101" s="19" t="str">
        <f>IF(AND(M101&lt;&gt;"",M101&lt;&gt;0), IF(E101 = "Muni", T101, IF(E101="Corp", T101*(1 -'Investor Input'!$C$4-'Investor Input'!$C$5), T101*(1 -'Investor Input'!$C$4))), T101)</f>
        <v/>
      </c>
      <c r="V101" s="84" t="str">
        <f t="shared" si="29"/>
        <v/>
      </c>
      <c r="W101" s="84" t="str">
        <f t="shared" si="15"/>
        <v/>
      </c>
      <c r="X101" s="21" t="str">
        <f t="shared" si="16"/>
        <v/>
      </c>
      <c r="Y101" s="60" t="str">
        <f t="shared" si="17"/>
        <v/>
      </c>
      <c r="Z101" s="60" t="str">
        <f t="shared" si="18"/>
        <v/>
      </c>
      <c r="AA101" s="64" t="str">
        <f t="shared" si="19"/>
        <v/>
      </c>
      <c r="AB101" s="64" t="str">
        <f>IF(AND(AA101&lt;&gt;"",AA101&lt;&gt;0), IF(E101="Muni", AA101, IF(E101 = "Corp", (1-'Investor Input'!$C$4-'Investor Input'!$C$5)*AA101, (1-'Investor Input'!$C$4)*AA101)), AA101)</f>
        <v/>
      </c>
      <c r="AC101" s="94" t="str">
        <f t="shared" si="20"/>
        <v/>
      </c>
      <c r="AD101" s="60" t="str">
        <f>IF(AND(M101&lt;&gt;"", M101&lt;&gt;0), N101/$N$505*MATCH(AC101,'Misc Lists'!$K$2:$K$25,0), "")</f>
        <v/>
      </c>
      <c r="AE101" s="90" t="str">
        <f t="shared" si="21"/>
        <v/>
      </c>
      <c r="AF101" s="99" t="str">
        <f>IF(AND(M101&lt;&gt;"", M101&lt;&gt;0), N101/$N$505*MATCH(AE101,'Misc Lists'!$L$2:$L$25,0), "")</f>
        <v/>
      </c>
    </row>
    <row r="102" spans="2:32" hidden="1" outlineLevel="1" x14ac:dyDescent="0.5">
      <c r="B102" s="60" t="str">
        <f ca="1"/>
        <v>678858BU4</v>
      </c>
      <c r="C102" s="61" t="str">
        <f ca="1"/>
        <v>N/A</v>
      </c>
      <c r="D102" s="60" t="str">
        <f ca="1"/>
        <v>OKLAHOMA GAS &amp;ELEC  CO NOTE             3.30000% 03/15/2030 CALL MAKE WHOLE</v>
      </c>
      <c r="E102" s="61" t="str">
        <f ca="1"/>
        <v>Corp</v>
      </c>
      <c r="F102" s="62">
        <f ca="1"/>
        <v>3.3</v>
      </c>
      <c r="G102" s="63">
        <f ca="1"/>
        <v>47557</v>
      </c>
      <c r="H102" s="61" t="str">
        <f ca="1"/>
        <v>A3</v>
      </c>
      <c r="I102" s="61" t="str">
        <f ca="1"/>
        <v>A-</v>
      </c>
      <c r="J102" s="64">
        <f ca="1"/>
        <v>93.54</v>
      </c>
      <c r="K102" s="17">
        <f ca="1"/>
        <v>4.7649999999999997</v>
      </c>
      <c r="L102" s="18" t="str">
        <f ca="1"/>
        <v>500(2)</v>
      </c>
      <c r="M102" s="83"/>
      <c r="N102" s="84" t="str">
        <f t="shared" si="22"/>
        <v/>
      </c>
      <c r="O102" s="20" t="str">
        <f t="shared" si="23"/>
        <v/>
      </c>
      <c r="P102" s="64" t="str">
        <f t="shared" si="24"/>
        <v/>
      </c>
      <c r="Q102" s="85" t="str">
        <f t="shared" ca="1" si="25"/>
        <v/>
      </c>
      <c r="R102" s="86" t="str">
        <f t="shared" si="26"/>
        <v/>
      </c>
      <c r="S102" s="86" t="str">
        <f t="shared" si="27"/>
        <v/>
      </c>
      <c r="T102" s="104" t="str">
        <f t="shared" si="28"/>
        <v/>
      </c>
      <c r="U102" s="19" t="str">
        <f>IF(AND(M102&lt;&gt;"",M102&lt;&gt;0), IF(E102 = "Muni", T102, IF(E102="Corp", T102*(1 -'Investor Input'!$C$4-'Investor Input'!$C$5), T102*(1 -'Investor Input'!$C$4))), T102)</f>
        <v/>
      </c>
      <c r="V102" s="84" t="str">
        <f t="shared" si="29"/>
        <v/>
      </c>
      <c r="W102" s="84" t="str">
        <f t="shared" si="15"/>
        <v/>
      </c>
      <c r="X102" s="21" t="str">
        <f t="shared" si="16"/>
        <v/>
      </c>
      <c r="Y102" s="60" t="str">
        <f t="shared" si="17"/>
        <v/>
      </c>
      <c r="Z102" s="60" t="str">
        <f t="shared" si="18"/>
        <v/>
      </c>
      <c r="AA102" s="64" t="str">
        <f t="shared" si="19"/>
        <v/>
      </c>
      <c r="AB102" s="64" t="str">
        <f>IF(AND(AA102&lt;&gt;"",AA102&lt;&gt;0), IF(E102="Muni", AA102, IF(E102 = "Corp", (1-'Investor Input'!$C$4-'Investor Input'!$C$5)*AA102, (1-'Investor Input'!$C$4)*AA102)), AA102)</f>
        <v/>
      </c>
      <c r="AC102" s="94" t="str">
        <f t="shared" si="20"/>
        <v/>
      </c>
      <c r="AD102" s="60" t="str">
        <f>IF(AND(M102&lt;&gt;"", M102&lt;&gt;0), N102/$N$505*MATCH(AC102,'Misc Lists'!$K$2:$K$25,0), "")</f>
        <v/>
      </c>
      <c r="AE102" s="90" t="str">
        <f t="shared" si="21"/>
        <v/>
      </c>
      <c r="AF102" s="99" t="str">
        <f>IF(AND(M102&lt;&gt;"", M102&lt;&gt;0), N102/$N$505*MATCH(AE102,'Misc Lists'!$L$2:$L$25,0), "")</f>
        <v/>
      </c>
    </row>
    <row r="103" spans="2:32" hidden="1" outlineLevel="1" x14ac:dyDescent="0.5">
      <c r="B103" s="60" t="str">
        <f ca="1"/>
        <v>20030NDG3</v>
      </c>
      <c r="C103" s="61" t="str">
        <f ca="1"/>
        <v>N/A</v>
      </c>
      <c r="D103" s="60" t="str">
        <f ca="1"/>
        <v>COMCAST CORP NEW    NOTE CALL MAKE WHOLE3.40000% 04/01/2030</v>
      </c>
      <c r="E103" s="61" t="str">
        <f ca="1"/>
        <v>Corp</v>
      </c>
      <c r="F103" s="62">
        <f ca="1"/>
        <v>3.4</v>
      </c>
      <c r="G103" s="63">
        <f ca="1"/>
        <v>47574</v>
      </c>
      <c r="H103" s="61" t="str">
        <f ca="1"/>
        <v>A3</v>
      </c>
      <c r="I103" s="61" t="str">
        <f ca="1"/>
        <v>A-</v>
      </c>
      <c r="J103" s="64">
        <f ca="1"/>
        <v>93.936999999999998</v>
      </c>
      <c r="K103" s="17">
        <f ca="1"/>
        <v>4.7640000000000002</v>
      </c>
      <c r="L103" s="18" t="str">
        <f ca="1"/>
        <v>500(2)</v>
      </c>
      <c r="M103" s="83"/>
      <c r="N103" s="84" t="str">
        <f t="shared" si="22"/>
        <v/>
      </c>
      <c r="O103" s="20" t="str">
        <f t="shared" si="23"/>
        <v/>
      </c>
      <c r="P103" s="64" t="str">
        <f t="shared" si="24"/>
        <v/>
      </c>
      <c r="Q103" s="85" t="str">
        <f t="shared" ca="1" si="25"/>
        <v/>
      </c>
      <c r="R103" s="86" t="str">
        <f t="shared" si="26"/>
        <v/>
      </c>
      <c r="S103" s="86" t="str">
        <f t="shared" si="27"/>
        <v/>
      </c>
      <c r="T103" s="104" t="str">
        <f t="shared" si="28"/>
        <v/>
      </c>
      <c r="U103" s="19" t="str">
        <f>IF(AND(M103&lt;&gt;"",M103&lt;&gt;0), IF(E103 = "Muni", T103, IF(E103="Corp", T103*(1 -'Investor Input'!$C$4-'Investor Input'!$C$5), T103*(1 -'Investor Input'!$C$4))), T103)</f>
        <v/>
      </c>
      <c r="V103" s="84" t="str">
        <f t="shared" si="29"/>
        <v/>
      </c>
      <c r="W103" s="84" t="str">
        <f t="shared" si="15"/>
        <v/>
      </c>
      <c r="X103" s="21" t="str">
        <f t="shared" si="16"/>
        <v/>
      </c>
      <c r="Y103" s="60" t="str">
        <f t="shared" si="17"/>
        <v/>
      </c>
      <c r="Z103" s="60" t="str">
        <f t="shared" si="18"/>
        <v/>
      </c>
      <c r="AA103" s="64" t="str">
        <f t="shared" si="19"/>
        <v/>
      </c>
      <c r="AB103" s="64" t="str">
        <f>IF(AND(AA103&lt;&gt;"",AA103&lt;&gt;0), IF(E103="Muni", AA103, IF(E103 = "Corp", (1-'Investor Input'!$C$4-'Investor Input'!$C$5)*AA103, (1-'Investor Input'!$C$4)*AA103)), AA103)</f>
        <v/>
      </c>
      <c r="AC103" s="94" t="str">
        <f t="shared" si="20"/>
        <v/>
      </c>
      <c r="AD103" s="60" t="str">
        <f>IF(AND(M103&lt;&gt;"", M103&lt;&gt;0), N103/$N$505*MATCH(AC103,'Misc Lists'!$K$2:$K$25,0), "")</f>
        <v/>
      </c>
      <c r="AE103" s="90" t="str">
        <f t="shared" si="21"/>
        <v/>
      </c>
      <c r="AF103" s="99" t="str">
        <f>IF(AND(M103&lt;&gt;"", M103&lt;&gt;0), N103/$N$505*MATCH(AE103,'Misc Lists'!$L$2:$L$25,0), "")</f>
        <v/>
      </c>
    </row>
    <row r="104" spans="2:32" hidden="1" outlineLevel="1" x14ac:dyDescent="0.5">
      <c r="B104" s="60" t="str">
        <f ca="1"/>
        <v>842400HQ9</v>
      </c>
      <c r="C104" s="61" t="str">
        <f ca="1"/>
        <v>N/A</v>
      </c>
      <c r="D104" s="60" t="str">
        <f ca="1"/>
        <v>SOUTHERN CALIFORNIA EDISON CO SER 2022D 4.70000% 06/01/2027 BOND CALL MAKE WHOLE</v>
      </c>
      <c r="E104" s="61" t="str">
        <f ca="1"/>
        <v>Corp</v>
      </c>
      <c r="F104" s="62">
        <f ca="1"/>
        <v>4.7</v>
      </c>
      <c r="G104" s="63">
        <f ca="1"/>
        <v>46539</v>
      </c>
      <c r="H104" s="61" t="str">
        <f ca="1"/>
        <v>A2</v>
      </c>
      <c r="I104" s="61" t="str">
        <f ca="1"/>
        <v>A-</v>
      </c>
      <c r="J104" s="64">
        <f ca="1"/>
        <v>99.861999999999995</v>
      </c>
      <c r="K104" s="17">
        <f ca="1"/>
        <v>4.7629999999999999</v>
      </c>
      <c r="L104" s="18" t="str">
        <f ca="1"/>
        <v>550(1)</v>
      </c>
      <c r="M104" s="83"/>
      <c r="N104" s="84" t="str">
        <f t="shared" si="22"/>
        <v/>
      </c>
      <c r="O104" s="20" t="str">
        <f t="shared" si="23"/>
        <v/>
      </c>
      <c r="P104" s="64" t="str">
        <f t="shared" si="24"/>
        <v/>
      </c>
      <c r="Q104" s="85" t="str">
        <f t="shared" ca="1" si="25"/>
        <v/>
      </c>
      <c r="R104" s="86" t="str">
        <f t="shared" si="26"/>
        <v/>
      </c>
      <c r="S104" s="86" t="str">
        <f t="shared" si="27"/>
        <v/>
      </c>
      <c r="T104" s="104" t="str">
        <f t="shared" si="28"/>
        <v/>
      </c>
      <c r="U104" s="19" t="str">
        <f>IF(AND(M104&lt;&gt;"",M104&lt;&gt;0), IF(E104 = "Muni", T104, IF(E104="Corp", T104*(1 -'Investor Input'!$C$4-'Investor Input'!$C$5), T104*(1 -'Investor Input'!$C$4))), T104)</f>
        <v/>
      </c>
      <c r="V104" s="84" t="str">
        <f t="shared" si="29"/>
        <v/>
      </c>
      <c r="W104" s="84" t="str">
        <f t="shared" si="15"/>
        <v/>
      </c>
      <c r="X104" s="21" t="str">
        <f t="shared" si="16"/>
        <v/>
      </c>
      <c r="Y104" s="60" t="str">
        <f t="shared" si="17"/>
        <v/>
      </c>
      <c r="Z104" s="60" t="str">
        <f t="shared" si="18"/>
        <v/>
      </c>
      <c r="AA104" s="64" t="str">
        <f t="shared" si="19"/>
        <v/>
      </c>
      <c r="AB104" s="64" t="str">
        <f>IF(AND(AA104&lt;&gt;"",AA104&lt;&gt;0), IF(E104="Muni", AA104, IF(E104 = "Corp", (1-'Investor Input'!$C$4-'Investor Input'!$C$5)*AA104, (1-'Investor Input'!$C$4)*AA104)), AA104)</f>
        <v/>
      </c>
      <c r="AC104" s="94" t="str">
        <f t="shared" si="20"/>
        <v/>
      </c>
      <c r="AD104" s="60" t="str">
        <f>IF(AND(M104&lt;&gt;"", M104&lt;&gt;0), N104/$N$505*MATCH(AC104,'Misc Lists'!$K$2:$K$25,0), "")</f>
        <v/>
      </c>
      <c r="AE104" s="90" t="str">
        <f t="shared" si="21"/>
        <v/>
      </c>
      <c r="AF104" s="99" t="str">
        <f>IF(AND(M104&lt;&gt;"", M104&lt;&gt;0), N104/$N$505*MATCH(AE104,'Misc Lists'!$L$2:$L$25,0), "")</f>
        <v/>
      </c>
    </row>
    <row r="105" spans="2:32" hidden="1" outlineLevel="1" x14ac:dyDescent="0.5">
      <c r="B105" s="60" t="str">
        <f ca="1"/>
        <v>257375AP0</v>
      </c>
      <c r="C105" s="61" t="str">
        <f ca="1"/>
        <v>N/A</v>
      </c>
      <c r="D105" s="60" t="str">
        <f ca="1"/>
        <v>DOMINION ENERGY GAS HLDGS LLC SER B NOTE3.00000% 11/15/2029 CALL MAKE WHOLE</v>
      </c>
      <c r="E105" s="61" t="str">
        <f ca="1"/>
        <v>Corp</v>
      </c>
      <c r="F105" s="62">
        <f ca="1"/>
        <v>3</v>
      </c>
      <c r="G105" s="63">
        <f ca="1"/>
        <v>47437</v>
      </c>
      <c r="H105" s="61" t="str">
        <f ca="1"/>
        <v>BAA1</v>
      </c>
      <c r="I105" s="61" t="str">
        <f ca="1"/>
        <v>A-</v>
      </c>
      <c r="J105" s="64">
        <f ca="1"/>
        <v>92.685000000000002</v>
      </c>
      <c r="K105" s="17">
        <f ca="1"/>
        <v>4.7629999999999999</v>
      </c>
      <c r="L105" s="18" t="str">
        <f ca="1"/>
        <v>184(2)</v>
      </c>
      <c r="M105" s="83"/>
      <c r="N105" s="84" t="str">
        <f t="shared" si="22"/>
        <v/>
      </c>
      <c r="O105" s="20" t="str">
        <f t="shared" si="23"/>
        <v/>
      </c>
      <c r="P105" s="64" t="str">
        <f t="shared" si="24"/>
        <v/>
      </c>
      <c r="Q105" s="85" t="str">
        <f t="shared" ca="1" si="25"/>
        <v/>
      </c>
      <c r="R105" s="86" t="str">
        <f t="shared" si="26"/>
        <v/>
      </c>
      <c r="S105" s="86" t="str">
        <f t="shared" si="27"/>
        <v/>
      </c>
      <c r="T105" s="104" t="str">
        <f t="shared" si="28"/>
        <v/>
      </c>
      <c r="U105" s="19" t="str">
        <f>IF(AND(M105&lt;&gt;"",M105&lt;&gt;0), IF(E105 = "Muni", T105, IF(E105="Corp", T105*(1 -'Investor Input'!$C$4-'Investor Input'!$C$5), T105*(1 -'Investor Input'!$C$4))), T105)</f>
        <v/>
      </c>
      <c r="V105" s="84" t="str">
        <f t="shared" si="29"/>
        <v/>
      </c>
      <c r="W105" s="84" t="str">
        <f t="shared" si="15"/>
        <v/>
      </c>
      <c r="X105" s="21" t="str">
        <f t="shared" si="16"/>
        <v/>
      </c>
      <c r="Y105" s="60" t="str">
        <f t="shared" si="17"/>
        <v/>
      </c>
      <c r="Z105" s="60" t="str">
        <f t="shared" si="18"/>
        <v/>
      </c>
      <c r="AA105" s="64" t="str">
        <f t="shared" si="19"/>
        <v/>
      </c>
      <c r="AB105" s="64" t="str">
        <f>IF(AND(AA105&lt;&gt;"",AA105&lt;&gt;0), IF(E105="Muni", AA105, IF(E105 = "Corp", (1-'Investor Input'!$C$4-'Investor Input'!$C$5)*AA105, (1-'Investor Input'!$C$4)*AA105)), AA105)</f>
        <v/>
      </c>
      <c r="AC105" s="94" t="str">
        <f t="shared" si="20"/>
        <v/>
      </c>
      <c r="AD105" s="60" t="str">
        <f>IF(AND(M105&lt;&gt;"", M105&lt;&gt;0), N105/$N$505*MATCH(AC105,'Misc Lists'!$K$2:$K$25,0), "")</f>
        <v/>
      </c>
      <c r="AE105" s="90" t="str">
        <f t="shared" si="21"/>
        <v/>
      </c>
      <c r="AF105" s="99" t="str">
        <f>IF(AND(M105&lt;&gt;"", M105&lt;&gt;0), N105/$N$505*MATCH(AE105,'Misc Lists'!$L$2:$L$25,0), "")</f>
        <v/>
      </c>
    </row>
    <row r="106" spans="2:32" hidden="1" outlineLevel="1" x14ac:dyDescent="0.5">
      <c r="B106" s="60" t="str">
        <f ca="1"/>
        <v>86562MBU3</v>
      </c>
      <c r="C106" s="61" t="str">
        <f ca="1"/>
        <v>N/A</v>
      </c>
      <c r="D106" s="60" t="str">
        <f ca="1"/>
        <v>SUMITOMO MITSUI FIN GRP INC NOTE        2.72400% 09/27/2029</v>
      </c>
      <c r="E106" s="61" t="str">
        <f ca="1"/>
        <v>Corp</v>
      </c>
      <c r="F106" s="62">
        <f ca="1"/>
        <v>2.7240000000000002</v>
      </c>
      <c r="G106" s="63">
        <f ca="1"/>
        <v>47388</v>
      </c>
      <c r="H106" s="61" t="str">
        <f ca="1"/>
        <v>A1</v>
      </c>
      <c r="I106" s="61" t="str">
        <f ca="1"/>
        <v>A-</v>
      </c>
      <c r="J106" s="64">
        <f ca="1"/>
        <v>91.766999999999996</v>
      </c>
      <c r="K106" s="17">
        <f ca="1"/>
        <v>4.7610000000000001</v>
      </c>
      <c r="L106" s="18" t="str">
        <f ca="1"/>
        <v>500(200)</v>
      </c>
      <c r="M106" s="83"/>
      <c r="N106" s="84" t="str">
        <f t="shared" si="22"/>
        <v/>
      </c>
      <c r="O106" s="20" t="str">
        <f t="shared" si="23"/>
        <v/>
      </c>
      <c r="P106" s="64" t="str">
        <f t="shared" si="24"/>
        <v/>
      </c>
      <c r="Q106" s="85" t="str">
        <f t="shared" ca="1" si="25"/>
        <v/>
      </c>
      <c r="R106" s="86" t="str">
        <f t="shared" si="26"/>
        <v/>
      </c>
      <c r="S106" s="86" t="str">
        <f t="shared" si="27"/>
        <v/>
      </c>
      <c r="T106" s="104" t="str">
        <f t="shared" si="28"/>
        <v/>
      </c>
      <c r="U106" s="19" t="str">
        <f>IF(AND(M106&lt;&gt;"",M106&lt;&gt;0), IF(E106 = "Muni", T106, IF(E106="Corp", T106*(1 -'Investor Input'!$C$4-'Investor Input'!$C$5), T106*(1 -'Investor Input'!$C$4))), T106)</f>
        <v/>
      </c>
      <c r="V106" s="84" t="str">
        <f t="shared" si="29"/>
        <v/>
      </c>
      <c r="W106" s="84" t="str">
        <f t="shared" si="15"/>
        <v/>
      </c>
      <c r="X106" s="21" t="str">
        <f t="shared" si="16"/>
        <v/>
      </c>
      <c r="Y106" s="60" t="str">
        <f t="shared" si="17"/>
        <v/>
      </c>
      <c r="Z106" s="60" t="str">
        <f t="shared" si="18"/>
        <v/>
      </c>
      <c r="AA106" s="64" t="str">
        <f t="shared" si="19"/>
        <v/>
      </c>
      <c r="AB106" s="64" t="str">
        <f>IF(AND(AA106&lt;&gt;"",AA106&lt;&gt;0), IF(E106="Muni", AA106, IF(E106 = "Corp", (1-'Investor Input'!$C$4-'Investor Input'!$C$5)*AA106, (1-'Investor Input'!$C$4)*AA106)), AA106)</f>
        <v/>
      </c>
      <c r="AC106" s="94" t="str">
        <f t="shared" si="20"/>
        <v/>
      </c>
      <c r="AD106" s="60" t="str">
        <f>IF(AND(M106&lt;&gt;"", M106&lt;&gt;0), N106/$N$505*MATCH(AC106,'Misc Lists'!$K$2:$K$25,0), "")</f>
        <v/>
      </c>
      <c r="AE106" s="90" t="str">
        <f t="shared" si="21"/>
        <v/>
      </c>
      <c r="AF106" s="99" t="str">
        <f>IF(AND(M106&lt;&gt;"", M106&lt;&gt;0), N106/$N$505*MATCH(AE106,'Misc Lists'!$L$2:$L$25,0), "")</f>
        <v/>
      </c>
    </row>
    <row r="107" spans="2:32" hidden="1" outlineLevel="1" x14ac:dyDescent="0.5">
      <c r="B107" s="60" t="str">
        <f ca="1"/>
        <v>842434CU4</v>
      </c>
      <c r="C107" s="61" t="str">
        <f ca="1"/>
        <v>N/A</v>
      </c>
      <c r="D107" s="60" t="str">
        <f ca="1"/>
        <v>SOUTHERN CALIF GAS  CO SER XX BOND      2.55000% 02/01/2030 CALL MAKE WHOLE</v>
      </c>
      <c r="E107" s="61" t="str">
        <f ca="1"/>
        <v>Corp</v>
      </c>
      <c r="F107" s="62">
        <f ca="1"/>
        <v>2.5499999999999998</v>
      </c>
      <c r="G107" s="63">
        <f ca="1"/>
        <v>47515</v>
      </c>
      <c r="H107" s="61" t="str">
        <f ca="1"/>
        <v>AA3</v>
      </c>
      <c r="I107" s="61" t="str">
        <f ca="1"/>
        <v>A</v>
      </c>
      <c r="J107" s="64">
        <f ca="1"/>
        <v>90.465999999999994</v>
      </c>
      <c r="K107" s="17">
        <f ca="1"/>
        <v>4.7590000000000003</v>
      </c>
      <c r="L107" s="18" t="str">
        <f ca="1"/>
        <v>450(1)</v>
      </c>
      <c r="M107" s="83"/>
      <c r="N107" s="84" t="str">
        <f t="shared" si="22"/>
        <v/>
      </c>
      <c r="O107" s="20" t="str">
        <f t="shared" si="23"/>
        <v/>
      </c>
      <c r="P107" s="64" t="str">
        <f t="shared" si="24"/>
        <v/>
      </c>
      <c r="Q107" s="85" t="str">
        <f t="shared" ca="1" si="25"/>
        <v/>
      </c>
      <c r="R107" s="86" t="str">
        <f t="shared" si="26"/>
        <v/>
      </c>
      <c r="S107" s="86" t="str">
        <f t="shared" si="27"/>
        <v/>
      </c>
      <c r="T107" s="104" t="str">
        <f t="shared" si="28"/>
        <v/>
      </c>
      <c r="U107" s="19" t="str">
        <f>IF(AND(M107&lt;&gt;"",M107&lt;&gt;0), IF(E107 = "Muni", T107, IF(E107="Corp", T107*(1 -'Investor Input'!$C$4-'Investor Input'!$C$5), T107*(1 -'Investor Input'!$C$4))), T107)</f>
        <v/>
      </c>
      <c r="V107" s="84" t="str">
        <f t="shared" si="29"/>
        <v/>
      </c>
      <c r="W107" s="84" t="str">
        <f t="shared" si="15"/>
        <v/>
      </c>
      <c r="X107" s="21" t="str">
        <f t="shared" si="16"/>
        <v/>
      </c>
      <c r="Y107" s="60" t="str">
        <f t="shared" si="17"/>
        <v/>
      </c>
      <c r="Z107" s="60" t="str">
        <f t="shared" si="18"/>
        <v/>
      </c>
      <c r="AA107" s="64" t="str">
        <f t="shared" si="19"/>
        <v/>
      </c>
      <c r="AB107" s="64" t="str">
        <f>IF(AND(AA107&lt;&gt;"",AA107&lt;&gt;0), IF(E107="Muni", AA107, IF(E107 = "Corp", (1-'Investor Input'!$C$4-'Investor Input'!$C$5)*AA107, (1-'Investor Input'!$C$4)*AA107)), AA107)</f>
        <v/>
      </c>
      <c r="AC107" s="94" t="str">
        <f t="shared" si="20"/>
        <v/>
      </c>
      <c r="AD107" s="60" t="str">
        <f>IF(AND(M107&lt;&gt;"", M107&lt;&gt;0), N107/$N$505*MATCH(AC107,'Misc Lists'!$K$2:$K$25,0), "")</f>
        <v/>
      </c>
      <c r="AE107" s="90" t="str">
        <f t="shared" si="21"/>
        <v/>
      </c>
      <c r="AF107" s="99" t="str">
        <f>IF(AND(M107&lt;&gt;"", M107&lt;&gt;0), N107/$N$505*MATCH(AE107,'Misc Lists'!$L$2:$L$25,0), "")</f>
        <v/>
      </c>
    </row>
    <row r="108" spans="2:32" hidden="1" outlineLevel="1" x14ac:dyDescent="0.5">
      <c r="B108" s="60" t="str">
        <f ca="1"/>
        <v>26875PAU5</v>
      </c>
      <c r="C108" s="61" t="str">
        <f ca="1"/>
        <v>N/A</v>
      </c>
      <c r="D108" s="60" t="str">
        <f ca="1"/>
        <v>EOG RES INC         NOTE CALL MAKE WHOLE4.37500% 04/15/2030</v>
      </c>
      <c r="E108" s="61" t="str">
        <f ca="1"/>
        <v>Corp</v>
      </c>
      <c r="F108" s="62">
        <f ca="1"/>
        <v>4.375</v>
      </c>
      <c r="G108" s="63">
        <f ca="1"/>
        <v>47588</v>
      </c>
      <c r="H108" s="61" t="str">
        <f ca="1"/>
        <v>A3</v>
      </c>
      <c r="I108" s="61" t="str">
        <f ca="1"/>
        <v>A-</v>
      </c>
      <c r="J108" s="64">
        <f ca="1"/>
        <v>98.28</v>
      </c>
      <c r="K108" s="17">
        <f ca="1"/>
        <v>4.7590000000000003</v>
      </c>
      <c r="L108" s="18" t="str">
        <f ca="1"/>
        <v>500(2)</v>
      </c>
      <c r="M108" s="83"/>
      <c r="N108" s="84" t="str">
        <f t="shared" si="22"/>
        <v/>
      </c>
      <c r="O108" s="20" t="str">
        <f t="shared" si="23"/>
        <v/>
      </c>
      <c r="P108" s="64" t="str">
        <f t="shared" si="24"/>
        <v/>
      </c>
      <c r="Q108" s="85" t="str">
        <f t="shared" ca="1" si="25"/>
        <v/>
      </c>
      <c r="R108" s="86" t="str">
        <f t="shared" si="26"/>
        <v/>
      </c>
      <c r="S108" s="86" t="str">
        <f t="shared" si="27"/>
        <v/>
      </c>
      <c r="T108" s="104" t="str">
        <f t="shared" si="28"/>
        <v/>
      </c>
      <c r="U108" s="19" t="str">
        <f>IF(AND(M108&lt;&gt;"",M108&lt;&gt;0), IF(E108 = "Muni", T108, IF(E108="Corp", T108*(1 -'Investor Input'!$C$4-'Investor Input'!$C$5), T108*(1 -'Investor Input'!$C$4))), T108)</f>
        <v/>
      </c>
      <c r="V108" s="84" t="str">
        <f t="shared" si="29"/>
        <v/>
      </c>
      <c r="W108" s="84" t="str">
        <f t="shared" si="15"/>
        <v/>
      </c>
      <c r="X108" s="21" t="str">
        <f t="shared" si="16"/>
        <v/>
      </c>
      <c r="Y108" s="60" t="str">
        <f t="shared" si="17"/>
        <v/>
      </c>
      <c r="Z108" s="60" t="str">
        <f t="shared" si="18"/>
        <v/>
      </c>
      <c r="AA108" s="64" t="str">
        <f t="shared" si="19"/>
        <v/>
      </c>
      <c r="AB108" s="64" t="str">
        <f>IF(AND(AA108&lt;&gt;"",AA108&lt;&gt;0), IF(E108="Muni", AA108, IF(E108 = "Corp", (1-'Investor Input'!$C$4-'Investor Input'!$C$5)*AA108, (1-'Investor Input'!$C$4)*AA108)), AA108)</f>
        <v/>
      </c>
      <c r="AC108" s="94" t="str">
        <f t="shared" si="20"/>
        <v/>
      </c>
      <c r="AD108" s="60" t="str">
        <f>IF(AND(M108&lt;&gt;"", M108&lt;&gt;0), N108/$N$505*MATCH(AC108,'Misc Lists'!$K$2:$K$25,0), "")</f>
        <v/>
      </c>
      <c r="AE108" s="90" t="str">
        <f t="shared" si="21"/>
        <v/>
      </c>
      <c r="AF108" s="99" t="str">
        <f>IF(AND(M108&lt;&gt;"", M108&lt;&gt;0), N108/$N$505*MATCH(AE108,'Misc Lists'!$L$2:$L$25,0), "")</f>
        <v/>
      </c>
    </row>
    <row r="109" spans="2:32" hidden="1" outlineLevel="1" x14ac:dyDescent="0.5">
      <c r="B109" s="60" t="str">
        <f ca="1"/>
        <v>718172DA4</v>
      </c>
      <c r="C109" s="61" t="str">
        <f ca="1"/>
        <v>N/A</v>
      </c>
      <c r="D109" s="60" t="str">
        <f ca="1"/>
        <v>PHILIP MORRIS INTL  INC NOTE            5.12500% 02/15/2030 CALL MAKE WHOLE</v>
      </c>
      <c r="E109" s="61" t="str">
        <f ca="1"/>
        <v>Corp</v>
      </c>
      <c r="F109" s="62">
        <f ca="1"/>
        <v>5.125</v>
      </c>
      <c r="G109" s="63">
        <f ca="1"/>
        <v>47529</v>
      </c>
      <c r="H109" s="61" t="str">
        <f ca="1"/>
        <v>A2</v>
      </c>
      <c r="I109" s="61" t="str">
        <f ca="1"/>
        <v>A-</v>
      </c>
      <c r="J109" s="64">
        <f ca="1"/>
        <v>101.589</v>
      </c>
      <c r="K109" s="17">
        <f ca="1"/>
        <v>4.758</v>
      </c>
      <c r="L109" s="18" t="str">
        <f ca="1"/>
        <v>500(2)</v>
      </c>
      <c r="M109" s="83"/>
      <c r="N109" s="84" t="str">
        <f t="shared" si="22"/>
        <v/>
      </c>
      <c r="O109" s="20" t="str">
        <f t="shared" si="23"/>
        <v/>
      </c>
      <c r="P109" s="64" t="str">
        <f t="shared" si="24"/>
        <v/>
      </c>
      <c r="Q109" s="85" t="str">
        <f t="shared" ca="1" si="25"/>
        <v/>
      </c>
      <c r="R109" s="86" t="str">
        <f t="shared" si="26"/>
        <v/>
      </c>
      <c r="S109" s="86" t="str">
        <f t="shared" si="27"/>
        <v/>
      </c>
      <c r="T109" s="104" t="str">
        <f t="shared" si="28"/>
        <v/>
      </c>
      <c r="U109" s="19" t="str">
        <f>IF(AND(M109&lt;&gt;"",M109&lt;&gt;0), IF(E109 = "Muni", T109, IF(E109="Corp", T109*(1 -'Investor Input'!$C$4-'Investor Input'!$C$5), T109*(1 -'Investor Input'!$C$4))), T109)</f>
        <v/>
      </c>
      <c r="V109" s="84" t="str">
        <f t="shared" si="29"/>
        <v/>
      </c>
      <c r="W109" s="84" t="str">
        <f t="shared" si="15"/>
        <v/>
      </c>
      <c r="X109" s="21" t="str">
        <f t="shared" si="16"/>
        <v/>
      </c>
      <c r="Y109" s="60" t="str">
        <f t="shared" si="17"/>
        <v/>
      </c>
      <c r="Z109" s="60" t="str">
        <f t="shared" si="18"/>
        <v/>
      </c>
      <c r="AA109" s="64" t="str">
        <f t="shared" si="19"/>
        <v/>
      </c>
      <c r="AB109" s="64" t="str">
        <f>IF(AND(AA109&lt;&gt;"",AA109&lt;&gt;0), IF(E109="Muni", AA109, IF(E109 = "Corp", (1-'Investor Input'!$C$4-'Investor Input'!$C$5)*AA109, (1-'Investor Input'!$C$4)*AA109)), AA109)</f>
        <v/>
      </c>
      <c r="AC109" s="94" t="str">
        <f t="shared" si="20"/>
        <v/>
      </c>
      <c r="AD109" s="60" t="str">
        <f>IF(AND(M109&lt;&gt;"", M109&lt;&gt;0), N109/$N$505*MATCH(AC109,'Misc Lists'!$K$2:$K$25,0), "")</f>
        <v/>
      </c>
      <c r="AE109" s="90" t="str">
        <f t="shared" si="21"/>
        <v/>
      </c>
      <c r="AF109" s="99" t="str">
        <f>IF(AND(M109&lt;&gt;"", M109&lt;&gt;0), N109/$N$505*MATCH(AE109,'Misc Lists'!$L$2:$L$25,0), "")</f>
        <v/>
      </c>
    </row>
    <row r="110" spans="2:32" outlineLevel="1" x14ac:dyDescent="0.5">
      <c r="B110" s="60" t="str">
        <f ca="1"/>
        <v>29736RAP5</v>
      </c>
      <c r="C110" s="61" t="str">
        <f ca="1"/>
        <v>N/A</v>
      </c>
      <c r="D110" s="60" t="str">
        <f ca="1"/>
        <v>LAUDER ESTEE COS INCNOTE CALL MAKE WHOLE2.37500% 12/01/2029</v>
      </c>
      <c r="E110" s="61" t="str">
        <f ca="1"/>
        <v>Corp</v>
      </c>
      <c r="F110" s="62">
        <f ca="1"/>
        <v>2.375</v>
      </c>
      <c r="G110" s="63">
        <f ca="1"/>
        <v>47453</v>
      </c>
      <c r="H110" s="61" t="str">
        <f ca="1"/>
        <v>A2</v>
      </c>
      <c r="I110" s="61" t="str">
        <f ca="1"/>
        <v>A-</v>
      </c>
      <c r="J110" s="64">
        <f ca="1"/>
        <v>90.036000000000001</v>
      </c>
      <c r="K110" s="17">
        <f ca="1"/>
        <v>4.7560000000000002</v>
      </c>
      <c r="L110" s="18" t="str">
        <f ca="1"/>
        <v>500(2)</v>
      </c>
      <c r="M110" s="83">
        <v>50</v>
      </c>
      <c r="N110" s="84">
        <f t="shared" ca="1" si="22"/>
        <v>50000</v>
      </c>
      <c r="O110" s="20">
        <f t="shared" ca="1" si="23"/>
        <v>4.9997947584251662E-2</v>
      </c>
      <c r="P110" s="64">
        <f t="shared" ca="1" si="24"/>
        <v>23.75</v>
      </c>
      <c r="Q110" s="85">
        <f t="shared" ca="1" si="25"/>
        <v>45791.491364930553</v>
      </c>
      <c r="R110" s="86">
        <f t="shared" ca="1" si="26"/>
        <v>5</v>
      </c>
      <c r="S110" s="86">
        <f t="shared" ca="1" si="27"/>
        <v>4.1737634648301292</v>
      </c>
      <c r="T110" s="104">
        <f t="shared" ca="1" si="28"/>
        <v>2.374859927264596E-2</v>
      </c>
      <c r="U110" s="19">
        <f ca="1">IF(AND(M110&lt;&gt;"",M110&lt;&gt;0), IF(E110 = "Muni", T110, IF(E110="Corp", T110*(1 -'Investor Input'!$C$4-'Investor Input'!$C$5), T110*(1 -'Investor Input'!$C$4))), T110)</f>
        <v>1.282424360722882E-2</v>
      </c>
      <c r="V110" s="84">
        <f t="shared" ca="1" si="29"/>
        <v>55971.938908974269</v>
      </c>
      <c r="W110" s="84">
        <f t="shared" ca="1" si="15"/>
        <v>5971.938908974269</v>
      </c>
      <c r="X110" s="21">
        <f t="shared" ca="1" si="16"/>
        <v>0.11943877817948538</v>
      </c>
      <c r="Y110" s="60">
        <f t="shared" ca="1" si="17"/>
        <v>12</v>
      </c>
      <c r="Z110" s="60">
        <f t="shared" ca="1" si="18"/>
        <v>6</v>
      </c>
      <c r="AA110" s="64">
        <f t="shared" ca="1" si="19"/>
        <v>593.75</v>
      </c>
      <c r="AB110" s="64">
        <f ca="1">IF(AND(AA110&lt;&gt;"",AA110&lt;&gt;0), IF(E110="Muni", AA110, IF(E110 = "Corp", (1-'Investor Input'!$C$4-'Investor Input'!$C$5)*AA110, (1-'Investor Input'!$C$4)*AA110)), AA110)</f>
        <v>320.625</v>
      </c>
      <c r="AC110" s="94" t="str">
        <f t="shared" ca="1" si="20"/>
        <v>A2</v>
      </c>
      <c r="AD110" s="60">
        <f ca="1">IF(AND(M110&lt;&gt;"", M110&lt;&gt;0), N110/$N$505*MATCH(AC110,'Misc Lists'!$K$2:$K$25,0), "")</f>
        <v>0.34998563308976161</v>
      </c>
      <c r="AE110" s="90" t="str">
        <f t="shared" ca="1" si="21"/>
        <v>A-</v>
      </c>
      <c r="AF110" s="99">
        <f ca="1">IF(AND(M110&lt;&gt;"", M110&lt;&gt;0), N110/$N$505*MATCH(AE110,'Misc Lists'!$L$2:$L$25,0), "")</f>
        <v>0.39998358067401329</v>
      </c>
    </row>
    <row r="111" spans="2:32" hidden="1" outlineLevel="1" x14ac:dyDescent="0.5">
      <c r="B111" s="60" t="str">
        <f ca="1"/>
        <v>718172CP2</v>
      </c>
      <c r="C111" s="61" t="str">
        <f ca="1"/>
        <v>N/A</v>
      </c>
      <c r="D111" s="60" t="str">
        <f ca="1"/>
        <v>PHILIP MORRIS INTL  INC NOTE            2.10000% 05/01/2030 CALL MAKE WHOLE</v>
      </c>
      <c r="E111" s="61" t="str">
        <f ca="1"/>
        <v>Corp</v>
      </c>
      <c r="F111" s="62">
        <f ca="1"/>
        <v>2.1</v>
      </c>
      <c r="G111" s="63">
        <f ca="1"/>
        <v>47604</v>
      </c>
      <c r="H111" s="61" t="str">
        <f ca="1"/>
        <v>A2</v>
      </c>
      <c r="I111" s="61" t="str">
        <f ca="1"/>
        <v>A-</v>
      </c>
      <c r="J111" s="64">
        <f ca="1"/>
        <v>88.019000000000005</v>
      </c>
      <c r="K111" s="17">
        <f ca="1"/>
        <v>4.7560000000000002</v>
      </c>
      <c r="L111" s="18" t="str">
        <f ca="1"/>
        <v>500(2)</v>
      </c>
      <c r="M111" s="83"/>
      <c r="N111" s="84" t="str">
        <f t="shared" si="22"/>
        <v/>
      </c>
      <c r="O111" s="20" t="str">
        <f t="shared" si="23"/>
        <v/>
      </c>
      <c r="P111" s="64" t="str">
        <f t="shared" si="24"/>
        <v/>
      </c>
      <c r="Q111" s="85" t="str">
        <f t="shared" ca="1" si="25"/>
        <v/>
      </c>
      <c r="R111" s="86" t="str">
        <f t="shared" si="26"/>
        <v/>
      </c>
      <c r="S111" s="86" t="str">
        <f t="shared" si="27"/>
        <v/>
      </c>
      <c r="T111" s="104" t="str">
        <f t="shared" si="28"/>
        <v/>
      </c>
      <c r="U111" s="19" t="str">
        <f>IF(AND(M111&lt;&gt;"",M111&lt;&gt;0), IF(E111 = "Muni", T111, IF(E111="Corp", T111*(1 -'Investor Input'!$C$4-'Investor Input'!$C$5), T111*(1 -'Investor Input'!$C$4))), T111)</f>
        <v/>
      </c>
      <c r="V111" s="84" t="str">
        <f t="shared" si="29"/>
        <v/>
      </c>
      <c r="W111" s="84" t="str">
        <f t="shared" si="15"/>
        <v/>
      </c>
      <c r="X111" s="21" t="str">
        <f t="shared" si="16"/>
        <v/>
      </c>
      <c r="Y111" s="60" t="str">
        <f t="shared" si="17"/>
        <v/>
      </c>
      <c r="Z111" s="60" t="str">
        <f t="shared" si="18"/>
        <v/>
      </c>
      <c r="AA111" s="64" t="str">
        <f t="shared" si="19"/>
        <v/>
      </c>
      <c r="AB111" s="64" t="str">
        <f>IF(AND(AA111&lt;&gt;"",AA111&lt;&gt;0), IF(E111="Muni", AA111, IF(E111 = "Corp", (1-'Investor Input'!$C$4-'Investor Input'!$C$5)*AA111, (1-'Investor Input'!$C$4)*AA111)), AA111)</f>
        <v/>
      </c>
      <c r="AC111" s="94" t="str">
        <f t="shared" si="20"/>
        <v/>
      </c>
      <c r="AD111" s="60" t="str">
        <f>IF(AND(M111&lt;&gt;"", M111&lt;&gt;0), N111/$N$505*MATCH(AC111,'Misc Lists'!$K$2:$K$25,0), "")</f>
        <v/>
      </c>
      <c r="AE111" s="90" t="str">
        <f t="shared" si="21"/>
        <v/>
      </c>
      <c r="AF111" s="99" t="str">
        <f>IF(AND(M111&lt;&gt;"", M111&lt;&gt;0), N111/$N$505*MATCH(AE111,'Misc Lists'!$L$2:$L$25,0), "")</f>
        <v/>
      </c>
    </row>
    <row r="112" spans="2:32" hidden="1" outlineLevel="1" x14ac:dyDescent="0.5">
      <c r="B112" s="60" t="str">
        <f ca="1"/>
        <v>89115A2Y7</v>
      </c>
      <c r="C112" s="61" t="str">
        <f ca="1"/>
        <v>N/A</v>
      </c>
      <c r="D112" s="60" t="str">
        <f ca="1"/>
        <v>TORONTO DOMINION BK ONT SER C MTN       4.99400% 04/05/2029 CALL MAKE WHOLE</v>
      </c>
      <c r="E112" s="61" t="str">
        <f ca="1"/>
        <v>Corp</v>
      </c>
      <c r="F112" s="62">
        <f ca="1"/>
        <v>4.9939999999999998</v>
      </c>
      <c r="G112" s="63">
        <f ca="1"/>
        <v>47213</v>
      </c>
      <c r="H112" s="61" t="str">
        <f ca="1"/>
        <v>A2</v>
      </c>
      <c r="I112" s="61" t="str">
        <f ca="1"/>
        <v>A-</v>
      </c>
      <c r="J112" s="64">
        <f ca="1"/>
        <v>100.874</v>
      </c>
      <c r="K112" s="17">
        <f ca="1"/>
        <v>4.7539999999999996</v>
      </c>
      <c r="L112" s="18" t="str">
        <f ca="1"/>
        <v>500(2)</v>
      </c>
      <c r="M112" s="83"/>
      <c r="N112" s="84" t="str">
        <f t="shared" si="22"/>
        <v/>
      </c>
      <c r="O112" s="20" t="str">
        <f t="shared" si="23"/>
        <v/>
      </c>
      <c r="P112" s="64" t="str">
        <f t="shared" si="24"/>
        <v/>
      </c>
      <c r="Q112" s="85" t="str">
        <f t="shared" ca="1" si="25"/>
        <v/>
      </c>
      <c r="R112" s="86" t="str">
        <f t="shared" si="26"/>
        <v/>
      </c>
      <c r="S112" s="86" t="str">
        <f t="shared" si="27"/>
        <v/>
      </c>
      <c r="T112" s="104" t="str">
        <f t="shared" si="28"/>
        <v/>
      </c>
      <c r="U112" s="19" t="str">
        <f>IF(AND(M112&lt;&gt;"",M112&lt;&gt;0), IF(E112 = "Muni", T112, IF(E112="Corp", T112*(1 -'Investor Input'!$C$4-'Investor Input'!$C$5), T112*(1 -'Investor Input'!$C$4))), T112)</f>
        <v/>
      </c>
      <c r="V112" s="84" t="str">
        <f t="shared" si="29"/>
        <v/>
      </c>
      <c r="W112" s="84" t="str">
        <f t="shared" si="15"/>
        <v/>
      </c>
      <c r="X112" s="21" t="str">
        <f t="shared" si="16"/>
        <v/>
      </c>
      <c r="Y112" s="60" t="str">
        <f t="shared" si="17"/>
        <v/>
      </c>
      <c r="Z112" s="60" t="str">
        <f t="shared" si="18"/>
        <v/>
      </c>
      <c r="AA112" s="64" t="str">
        <f t="shared" si="19"/>
        <v/>
      </c>
      <c r="AB112" s="64" t="str">
        <f>IF(AND(AA112&lt;&gt;"",AA112&lt;&gt;0), IF(E112="Muni", AA112, IF(E112 = "Corp", (1-'Investor Input'!$C$4-'Investor Input'!$C$5)*AA112, (1-'Investor Input'!$C$4)*AA112)), AA112)</f>
        <v/>
      </c>
      <c r="AC112" s="94" t="str">
        <f t="shared" si="20"/>
        <v/>
      </c>
      <c r="AD112" s="60" t="str">
        <f>IF(AND(M112&lt;&gt;"", M112&lt;&gt;0), N112/$N$505*MATCH(AC112,'Misc Lists'!$K$2:$K$25,0), "")</f>
        <v/>
      </c>
      <c r="AE112" s="90" t="str">
        <f t="shared" si="21"/>
        <v/>
      </c>
      <c r="AF112" s="99" t="str">
        <f>IF(AND(M112&lt;&gt;"", M112&lt;&gt;0), N112/$N$505*MATCH(AE112,'Misc Lists'!$L$2:$L$25,0), "")</f>
        <v/>
      </c>
    </row>
    <row r="113" spans="2:32" hidden="1" outlineLevel="1" x14ac:dyDescent="0.5">
      <c r="B113" s="60" t="str">
        <f ca="1"/>
        <v>678858BV2</v>
      </c>
      <c r="C113" s="61" t="str">
        <f ca="1"/>
        <v>N/A</v>
      </c>
      <c r="D113" s="60" t="str">
        <f ca="1"/>
        <v>OKLAHOMA GAS &amp;ELEC  CO NOTE             3.25000% 04/01/2030 CALL MAKE WHOLE</v>
      </c>
      <c r="E113" s="61" t="str">
        <f ca="1"/>
        <v>Corp</v>
      </c>
      <c r="F113" s="62">
        <f ca="1"/>
        <v>3.25</v>
      </c>
      <c r="G113" s="63">
        <f ca="1"/>
        <v>47574</v>
      </c>
      <c r="H113" s="61" t="str">
        <f ca="1"/>
        <v>A3</v>
      </c>
      <c r="I113" s="61" t="str">
        <f ca="1"/>
        <v>A-</v>
      </c>
      <c r="J113" s="64">
        <f ca="1"/>
        <v>93.311999999999998</v>
      </c>
      <c r="K113" s="17">
        <f ca="1"/>
        <v>4.7539999999999996</v>
      </c>
      <c r="L113" s="18" t="str">
        <f ca="1"/>
        <v>500(2)</v>
      </c>
      <c r="M113" s="83"/>
      <c r="N113" s="84" t="str">
        <f t="shared" si="22"/>
        <v/>
      </c>
      <c r="O113" s="20" t="str">
        <f t="shared" si="23"/>
        <v/>
      </c>
      <c r="P113" s="64" t="str">
        <f t="shared" si="24"/>
        <v/>
      </c>
      <c r="Q113" s="85" t="str">
        <f t="shared" ca="1" si="25"/>
        <v/>
      </c>
      <c r="R113" s="86" t="str">
        <f t="shared" si="26"/>
        <v/>
      </c>
      <c r="S113" s="86" t="str">
        <f t="shared" si="27"/>
        <v/>
      </c>
      <c r="T113" s="104" t="str">
        <f t="shared" si="28"/>
        <v/>
      </c>
      <c r="U113" s="19" t="str">
        <f>IF(AND(M113&lt;&gt;"",M113&lt;&gt;0), IF(E113 = "Muni", T113, IF(E113="Corp", T113*(1 -'Investor Input'!$C$4-'Investor Input'!$C$5), T113*(1 -'Investor Input'!$C$4))), T113)</f>
        <v/>
      </c>
      <c r="V113" s="84" t="str">
        <f t="shared" si="29"/>
        <v/>
      </c>
      <c r="W113" s="84" t="str">
        <f t="shared" si="15"/>
        <v/>
      </c>
      <c r="X113" s="21" t="str">
        <f t="shared" si="16"/>
        <v/>
      </c>
      <c r="Y113" s="60" t="str">
        <f t="shared" si="17"/>
        <v/>
      </c>
      <c r="Z113" s="60" t="str">
        <f t="shared" si="18"/>
        <v/>
      </c>
      <c r="AA113" s="64" t="str">
        <f t="shared" si="19"/>
        <v/>
      </c>
      <c r="AB113" s="64" t="str">
        <f>IF(AND(AA113&lt;&gt;"",AA113&lt;&gt;0), IF(E113="Muni", AA113, IF(E113 = "Corp", (1-'Investor Input'!$C$4-'Investor Input'!$C$5)*AA113, (1-'Investor Input'!$C$4)*AA113)), AA113)</f>
        <v/>
      </c>
      <c r="AC113" s="94" t="str">
        <f t="shared" si="20"/>
        <v/>
      </c>
      <c r="AD113" s="60" t="str">
        <f>IF(AND(M113&lt;&gt;"", M113&lt;&gt;0), N113/$N$505*MATCH(AC113,'Misc Lists'!$K$2:$K$25,0), "")</f>
        <v/>
      </c>
      <c r="AE113" s="90" t="str">
        <f t="shared" si="21"/>
        <v/>
      </c>
      <c r="AF113" s="99" t="str">
        <f>IF(AND(M113&lt;&gt;"", M113&lt;&gt;0), N113/$N$505*MATCH(AE113,'Misc Lists'!$L$2:$L$25,0), "")</f>
        <v/>
      </c>
    </row>
    <row r="114" spans="2:32" hidden="1" outlineLevel="1" x14ac:dyDescent="0.5">
      <c r="B114" s="60" t="str">
        <f ca="1"/>
        <v>74251VAK8</v>
      </c>
      <c r="C114" s="61" t="str">
        <f ca="1"/>
        <v>N/A</v>
      </c>
      <c r="D114" s="60" t="str">
        <f ca="1"/>
        <v>PRINCIPAL FINANCIAL GROUP INC NOTE      3.40000% 05/15/2025</v>
      </c>
      <c r="E114" s="61" t="str">
        <f ca="1"/>
        <v>Corp</v>
      </c>
      <c r="F114" s="62">
        <f ca="1"/>
        <v>3.4</v>
      </c>
      <c r="G114" s="63">
        <f ca="1"/>
        <v>45792</v>
      </c>
      <c r="H114" s="61" t="str">
        <f ca="1"/>
        <v>BAA1</v>
      </c>
      <c r="I114" s="61" t="str">
        <f ca="1"/>
        <v>A-</v>
      </c>
      <c r="J114" s="64">
        <f ca="1"/>
        <v>99.756</v>
      </c>
      <c r="K114" s="17">
        <f ca="1"/>
        <v>4.7530000000000001</v>
      </c>
      <c r="L114" s="18" t="str">
        <f ca="1"/>
        <v>10(2)</v>
      </c>
      <c r="M114" s="83"/>
      <c r="N114" s="84" t="str">
        <f t="shared" si="22"/>
        <v/>
      </c>
      <c r="O114" s="20" t="str">
        <f t="shared" si="23"/>
        <v/>
      </c>
      <c r="P114" s="64" t="str">
        <f t="shared" si="24"/>
        <v/>
      </c>
      <c r="Q114" s="85" t="str">
        <f t="shared" ca="1" si="25"/>
        <v/>
      </c>
      <c r="R114" s="86" t="str">
        <f t="shared" si="26"/>
        <v/>
      </c>
      <c r="S114" s="86" t="str">
        <f t="shared" si="27"/>
        <v/>
      </c>
      <c r="T114" s="104" t="str">
        <f t="shared" si="28"/>
        <v/>
      </c>
      <c r="U114" s="19" t="str">
        <f>IF(AND(M114&lt;&gt;"",M114&lt;&gt;0), IF(E114 = "Muni", T114, IF(E114="Corp", T114*(1 -'Investor Input'!$C$4-'Investor Input'!$C$5), T114*(1 -'Investor Input'!$C$4))), T114)</f>
        <v/>
      </c>
      <c r="V114" s="84" t="str">
        <f t="shared" si="29"/>
        <v/>
      </c>
      <c r="W114" s="84" t="str">
        <f t="shared" si="15"/>
        <v/>
      </c>
      <c r="X114" s="21" t="str">
        <f t="shared" si="16"/>
        <v/>
      </c>
      <c r="Y114" s="60" t="str">
        <f t="shared" si="17"/>
        <v/>
      </c>
      <c r="Z114" s="60" t="str">
        <f t="shared" si="18"/>
        <v/>
      </c>
      <c r="AA114" s="64" t="str">
        <f t="shared" si="19"/>
        <v/>
      </c>
      <c r="AB114" s="64" t="str">
        <f>IF(AND(AA114&lt;&gt;"",AA114&lt;&gt;0), IF(E114="Muni", AA114, IF(E114 = "Corp", (1-'Investor Input'!$C$4-'Investor Input'!$C$5)*AA114, (1-'Investor Input'!$C$4)*AA114)), AA114)</f>
        <v/>
      </c>
      <c r="AC114" s="94" t="str">
        <f t="shared" si="20"/>
        <v/>
      </c>
      <c r="AD114" s="60" t="str">
        <f>IF(AND(M114&lt;&gt;"", M114&lt;&gt;0), N114/$N$505*MATCH(AC114,'Misc Lists'!$K$2:$K$25,0), "")</f>
        <v/>
      </c>
      <c r="AE114" s="90" t="str">
        <f t="shared" si="21"/>
        <v/>
      </c>
      <c r="AF114" s="99" t="str">
        <f>IF(AND(M114&lt;&gt;"", M114&lt;&gt;0), N114/$N$505*MATCH(AE114,'Misc Lists'!$L$2:$L$25,0), "")</f>
        <v/>
      </c>
    </row>
    <row r="115" spans="2:32" hidden="1" outlineLevel="1" x14ac:dyDescent="0.5">
      <c r="B115" s="60" t="str">
        <f ca="1"/>
        <v>48130CZV0</v>
      </c>
      <c r="C115" s="61" t="str">
        <f ca="1"/>
        <v>N/A</v>
      </c>
      <c r="D115" s="60" t="str">
        <f ca="1"/>
        <v>JPMORGAN CHASE &amp;CO  SER E MTN           4.90000% 02/26/2030</v>
      </c>
      <c r="E115" s="61" t="str">
        <f ca="1"/>
        <v>Corp</v>
      </c>
      <c r="F115" s="62">
        <f ca="1"/>
        <v>4.9000000000000004</v>
      </c>
      <c r="G115" s="63">
        <f ca="1"/>
        <v>47540</v>
      </c>
      <c r="H115" s="61" t="str">
        <f ca="1"/>
        <v>A1</v>
      </c>
      <c r="I115" s="61" t="str">
        <f ca="1"/>
        <v>A</v>
      </c>
      <c r="J115" s="64">
        <f ca="1"/>
        <v>100.636</v>
      </c>
      <c r="K115" s="17">
        <f ca="1"/>
        <v>4.7519999999999998</v>
      </c>
      <c r="L115" s="18" t="str">
        <f ca="1"/>
        <v>1,492(1)</v>
      </c>
      <c r="M115" s="83"/>
      <c r="N115" s="84" t="str">
        <f t="shared" si="22"/>
        <v/>
      </c>
      <c r="O115" s="20" t="str">
        <f t="shared" si="23"/>
        <v/>
      </c>
      <c r="P115" s="64" t="str">
        <f t="shared" si="24"/>
        <v/>
      </c>
      <c r="Q115" s="85" t="str">
        <f t="shared" ca="1" si="25"/>
        <v/>
      </c>
      <c r="R115" s="86" t="str">
        <f t="shared" si="26"/>
        <v/>
      </c>
      <c r="S115" s="86" t="str">
        <f t="shared" si="27"/>
        <v/>
      </c>
      <c r="T115" s="104" t="str">
        <f t="shared" si="28"/>
        <v/>
      </c>
      <c r="U115" s="19" t="str">
        <f>IF(AND(M115&lt;&gt;"",M115&lt;&gt;0), IF(E115 = "Muni", T115, IF(E115="Corp", T115*(1 -'Investor Input'!$C$4-'Investor Input'!$C$5), T115*(1 -'Investor Input'!$C$4))), T115)</f>
        <v/>
      </c>
      <c r="V115" s="84" t="str">
        <f t="shared" si="29"/>
        <v/>
      </c>
      <c r="W115" s="84" t="str">
        <f t="shared" si="15"/>
        <v/>
      </c>
      <c r="X115" s="21" t="str">
        <f t="shared" si="16"/>
        <v/>
      </c>
      <c r="Y115" s="60" t="str">
        <f t="shared" si="17"/>
        <v/>
      </c>
      <c r="Z115" s="60" t="str">
        <f t="shared" si="18"/>
        <v/>
      </c>
      <c r="AA115" s="64" t="str">
        <f t="shared" si="19"/>
        <v/>
      </c>
      <c r="AB115" s="64" t="str">
        <f>IF(AND(AA115&lt;&gt;"",AA115&lt;&gt;0), IF(E115="Muni", AA115, IF(E115 = "Corp", (1-'Investor Input'!$C$4-'Investor Input'!$C$5)*AA115, (1-'Investor Input'!$C$4)*AA115)), AA115)</f>
        <v/>
      </c>
      <c r="AC115" s="94" t="str">
        <f t="shared" si="20"/>
        <v/>
      </c>
      <c r="AD115" s="60" t="str">
        <f>IF(AND(M115&lt;&gt;"", M115&lt;&gt;0), N115/$N$505*MATCH(AC115,'Misc Lists'!$K$2:$K$25,0), "")</f>
        <v/>
      </c>
      <c r="AE115" s="90" t="str">
        <f t="shared" si="21"/>
        <v/>
      </c>
      <c r="AF115" s="99" t="str">
        <f>IF(AND(M115&lt;&gt;"", M115&lt;&gt;0), N115/$N$505*MATCH(AE115,'Misc Lists'!$L$2:$L$25,0), "")</f>
        <v/>
      </c>
    </row>
    <row r="116" spans="2:32" hidden="1" outlineLevel="1" x14ac:dyDescent="0.5">
      <c r="B116" s="60" t="str">
        <f ca="1"/>
        <v>459200LG4</v>
      </c>
      <c r="C116" s="61" t="str">
        <f ca="1"/>
        <v>N/A</v>
      </c>
      <c r="D116" s="60" t="str">
        <f ca="1"/>
        <v>INTERNATIONAL       BUSINESS MACHS NOTE 4.80000% 02/10/2030 CALL MAKE WHOLE</v>
      </c>
      <c r="E116" s="61" t="str">
        <f ca="1"/>
        <v>Corp</v>
      </c>
      <c r="F116" s="62">
        <f ca="1"/>
        <v>4.8</v>
      </c>
      <c r="G116" s="63">
        <f ca="1"/>
        <v>47524</v>
      </c>
      <c r="H116" s="61" t="str">
        <f ca="1"/>
        <v>A3</v>
      </c>
      <c r="I116" s="61" t="str">
        <f ca="1"/>
        <v>A-</v>
      </c>
      <c r="J116" s="64">
        <f ca="1"/>
        <v>100.212</v>
      </c>
      <c r="K116" s="17">
        <f ca="1"/>
        <v>4.75</v>
      </c>
      <c r="L116" s="18" t="str">
        <f ca="1"/>
        <v>425(100)</v>
      </c>
      <c r="M116" s="83"/>
      <c r="N116" s="84" t="str">
        <f t="shared" si="22"/>
        <v/>
      </c>
      <c r="O116" s="20" t="str">
        <f t="shared" si="23"/>
        <v/>
      </c>
      <c r="P116" s="64" t="str">
        <f t="shared" si="24"/>
        <v/>
      </c>
      <c r="Q116" s="85" t="str">
        <f t="shared" ca="1" si="25"/>
        <v/>
      </c>
      <c r="R116" s="86" t="str">
        <f t="shared" si="26"/>
        <v/>
      </c>
      <c r="S116" s="86" t="str">
        <f t="shared" si="27"/>
        <v/>
      </c>
      <c r="T116" s="104" t="str">
        <f t="shared" si="28"/>
        <v/>
      </c>
      <c r="U116" s="19" t="str">
        <f>IF(AND(M116&lt;&gt;"",M116&lt;&gt;0), IF(E116 = "Muni", T116, IF(E116="Corp", T116*(1 -'Investor Input'!$C$4-'Investor Input'!$C$5), T116*(1 -'Investor Input'!$C$4))), T116)</f>
        <v/>
      </c>
      <c r="V116" s="84" t="str">
        <f t="shared" si="29"/>
        <v/>
      </c>
      <c r="W116" s="84" t="str">
        <f t="shared" si="15"/>
        <v/>
      </c>
      <c r="X116" s="21" t="str">
        <f t="shared" si="16"/>
        <v/>
      </c>
      <c r="Y116" s="60" t="str">
        <f t="shared" si="17"/>
        <v/>
      </c>
      <c r="Z116" s="60" t="str">
        <f t="shared" si="18"/>
        <v/>
      </c>
      <c r="AA116" s="64" t="str">
        <f t="shared" si="19"/>
        <v/>
      </c>
      <c r="AB116" s="64" t="str">
        <f>IF(AND(AA116&lt;&gt;"",AA116&lt;&gt;0), IF(E116="Muni", AA116, IF(E116 = "Corp", (1-'Investor Input'!$C$4-'Investor Input'!$C$5)*AA116, (1-'Investor Input'!$C$4)*AA116)), AA116)</f>
        <v/>
      </c>
      <c r="AC116" s="94" t="str">
        <f t="shared" si="20"/>
        <v/>
      </c>
      <c r="AD116" s="60" t="str">
        <f>IF(AND(M116&lt;&gt;"", M116&lt;&gt;0), N116/$N$505*MATCH(AC116,'Misc Lists'!$K$2:$K$25,0), "")</f>
        <v/>
      </c>
      <c r="AE116" s="90" t="str">
        <f t="shared" si="21"/>
        <v/>
      </c>
      <c r="AF116" s="99" t="str">
        <f>IF(AND(M116&lt;&gt;"", M116&lt;&gt;0), N116/$N$505*MATCH(AE116,'Misc Lists'!$L$2:$L$25,0), "")</f>
        <v/>
      </c>
    </row>
    <row r="117" spans="2:32" hidden="1" outlineLevel="1" x14ac:dyDescent="0.5">
      <c r="B117" s="60" t="str">
        <f ca="1"/>
        <v>05971KAC3</v>
      </c>
      <c r="C117" s="61" t="str">
        <f ca="1"/>
        <v>N/A</v>
      </c>
      <c r="D117" s="60" t="str">
        <f ca="1"/>
        <v>BANCO SANTANDER S.A.NOTE                3.30600% 06/27/2029</v>
      </c>
      <c r="E117" s="61" t="str">
        <f ca="1"/>
        <v>Corp</v>
      </c>
      <c r="F117" s="62">
        <f ca="1"/>
        <v>3.306</v>
      </c>
      <c r="G117" s="63">
        <f ca="1"/>
        <v>47296</v>
      </c>
      <c r="H117" s="61" t="str">
        <f ca="1"/>
        <v>A2</v>
      </c>
      <c r="I117" s="61" t="str">
        <f ca="1"/>
        <v>A+</v>
      </c>
      <c r="J117" s="64">
        <f ca="1"/>
        <v>94.451999999999998</v>
      </c>
      <c r="K117" s="17">
        <f ca="1"/>
        <v>4.7489999999999997</v>
      </c>
      <c r="L117" s="18" t="str">
        <f ca="1"/>
        <v>500(200)</v>
      </c>
      <c r="M117" s="83"/>
      <c r="N117" s="84" t="str">
        <f t="shared" si="22"/>
        <v/>
      </c>
      <c r="O117" s="20" t="str">
        <f t="shared" si="23"/>
        <v/>
      </c>
      <c r="P117" s="64" t="str">
        <f t="shared" si="24"/>
        <v/>
      </c>
      <c r="Q117" s="85" t="str">
        <f t="shared" ca="1" si="25"/>
        <v/>
      </c>
      <c r="R117" s="86" t="str">
        <f t="shared" si="26"/>
        <v/>
      </c>
      <c r="S117" s="86" t="str">
        <f t="shared" si="27"/>
        <v/>
      </c>
      <c r="T117" s="104" t="str">
        <f t="shared" si="28"/>
        <v/>
      </c>
      <c r="U117" s="19" t="str">
        <f>IF(AND(M117&lt;&gt;"",M117&lt;&gt;0), IF(E117 = "Muni", T117, IF(E117="Corp", T117*(1 -'Investor Input'!$C$4-'Investor Input'!$C$5), T117*(1 -'Investor Input'!$C$4))), T117)</f>
        <v/>
      </c>
      <c r="V117" s="84" t="str">
        <f t="shared" si="29"/>
        <v/>
      </c>
      <c r="W117" s="84" t="str">
        <f t="shared" si="15"/>
        <v/>
      </c>
      <c r="X117" s="21" t="str">
        <f t="shared" si="16"/>
        <v/>
      </c>
      <c r="Y117" s="60" t="str">
        <f t="shared" si="17"/>
        <v/>
      </c>
      <c r="Z117" s="60" t="str">
        <f t="shared" si="18"/>
        <v/>
      </c>
      <c r="AA117" s="64" t="str">
        <f t="shared" si="19"/>
        <v/>
      </c>
      <c r="AB117" s="64" t="str">
        <f>IF(AND(AA117&lt;&gt;"",AA117&lt;&gt;0), IF(E117="Muni", AA117, IF(E117 = "Corp", (1-'Investor Input'!$C$4-'Investor Input'!$C$5)*AA117, (1-'Investor Input'!$C$4)*AA117)), AA117)</f>
        <v/>
      </c>
      <c r="AC117" s="94" t="str">
        <f t="shared" si="20"/>
        <v/>
      </c>
      <c r="AD117" s="60" t="str">
        <f>IF(AND(M117&lt;&gt;"", M117&lt;&gt;0), N117/$N$505*MATCH(AC117,'Misc Lists'!$K$2:$K$25,0), "")</f>
        <v/>
      </c>
      <c r="AE117" s="90" t="str">
        <f t="shared" si="21"/>
        <v/>
      </c>
      <c r="AF117" s="99" t="str">
        <f>IF(AND(M117&lt;&gt;"", M117&lt;&gt;0), N117/$N$505*MATCH(AE117,'Misc Lists'!$L$2:$L$25,0), "")</f>
        <v/>
      </c>
    </row>
    <row r="118" spans="2:32" hidden="1" outlineLevel="1" x14ac:dyDescent="0.5">
      <c r="B118" s="60" t="str">
        <f ca="1"/>
        <v>126117AV2</v>
      </c>
      <c r="C118" s="61" t="str">
        <f ca="1"/>
        <v>N/A</v>
      </c>
      <c r="D118" s="60" t="str">
        <f ca="1"/>
        <v>CNA FINL CORP       NOTE CALL MAKE WHOLE3.90000% 05/01/2029</v>
      </c>
      <c r="E118" s="61" t="str">
        <f ca="1"/>
        <v>Corp</v>
      </c>
      <c r="F118" s="62">
        <f ca="1"/>
        <v>3.9</v>
      </c>
      <c r="G118" s="63">
        <f ca="1"/>
        <v>47239</v>
      </c>
      <c r="H118" s="61" t="str">
        <f ca="1"/>
        <v>BAA2</v>
      </c>
      <c r="I118" s="61" t="str">
        <f ca="1"/>
        <v>A-</v>
      </c>
      <c r="J118" s="64">
        <f ca="1"/>
        <v>96.858000000000004</v>
      </c>
      <c r="K118" s="17">
        <f ca="1"/>
        <v>4.7439999999999998</v>
      </c>
      <c r="L118" s="18" t="str">
        <f ca="1"/>
        <v>70(10)</v>
      </c>
      <c r="M118" s="83"/>
      <c r="N118" s="84" t="str">
        <f t="shared" si="22"/>
        <v/>
      </c>
      <c r="O118" s="20" t="str">
        <f t="shared" si="23"/>
        <v/>
      </c>
      <c r="P118" s="64" t="str">
        <f t="shared" si="24"/>
        <v/>
      </c>
      <c r="Q118" s="85" t="str">
        <f t="shared" ca="1" si="25"/>
        <v/>
      </c>
      <c r="R118" s="86" t="str">
        <f t="shared" si="26"/>
        <v/>
      </c>
      <c r="S118" s="86" t="str">
        <f t="shared" si="27"/>
        <v/>
      </c>
      <c r="T118" s="104" t="str">
        <f t="shared" si="28"/>
        <v/>
      </c>
      <c r="U118" s="19" t="str">
        <f>IF(AND(M118&lt;&gt;"",M118&lt;&gt;0), IF(E118 = "Muni", T118, IF(E118="Corp", T118*(1 -'Investor Input'!$C$4-'Investor Input'!$C$5), T118*(1 -'Investor Input'!$C$4))), T118)</f>
        <v/>
      </c>
      <c r="V118" s="84" t="str">
        <f t="shared" si="29"/>
        <v/>
      </c>
      <c r="W118" s="84" t="str">
        <f t="shared" si="15"/>
        <v/>
      </c>
      <c r="X118" s="21" t="str">
        <f t="shared" si="16"/>
        <v/>
      </c>
      <c r="Y118" s="60" t="str">
        <f t="shared" si="17"/>
        <v/>
      </c>
      <c r="Z118" s="60" t="str">
        <f t="shared" si="18"/>
        <v/>
      </c>
      <c r="AA118" s="64" t="str">
        <f t="shared" si="19"/>
        <v/>
      </c>
      <c r="AB118" s="64" t="str">
        <f>IF(AND(AA118&lt;&gt;"",AA118&lt;&gt;0), IF(E118="Muni", AA118, IF(E118 = "Corp", (1-'Investor Input'!$C$4-'Investor Input'!$C$5)*AA118, (1-'Investor Input'!$C$4)*AA118)), AA118)</f>
        <v/>
      </c>
      <c r="AC118" s="94" t="str">
        <f t="shared" si="20"/>
        <v/>
      </c>
      <c r="AD118" s="60" t="str">
        <f>IF(AND(M118&lt;&gt;"", M118&lt;&gt;0), N118/$N$505*MATCH(AC118,'Misc Lists'!$K$2:$K$25,0), "")</f>
        <v/>
      </c>
      <c r="AE118" s="90" t="str">
        <f t="shared" si="21"/>
        <v/>
      </c>
      <c r="AF118" s="99" t="str">
        <f>IF(AND(M118&lt;&gt;"", M118&lt;&gt;0), N118/$N$505*MATCH(AE118,'Misc Lists'!$L$2:$L$25,0), "")</f>
        <v/>
      </c>
    </row>
    <row r="119" spans="2:32" hidden="1" outlineLevel="1" x14ac:dyDescent="0.5">
      <c r="B119" s="60" t="str">
        <f ca="1"/>
        <v>606822BM5</v>
      </c>
      <c r="C119" s="61" t="str">
        <f ca="1"/>
        <v>N/A</v>
      </c>
      <c r="D119" s="60" t="str">
        <f ca="1"/>
        <v>MITSUBISHI UFJ      FINANCIAL GROUP NOTE3.19500% 07/18/2029</v>
      </c>
      <c r="E119" s="61" t="str">
        <f ca="1"/>
        <v>Corp</v>
      </c>
      <c r="F119" s="62">
        <f ca="1"/>
        <v>3.1949999999999998</v>
      </c>
      <c r="G119" s="63">
        <f ca="1"/>
        <v>47317</v>
      </c>
      <c r="H119" s="61" t="str">
        <f ca="1"/>
        <v>A1</v>
      </c>
      <c r="I119" s="61" t="str">
        <f ca="1"/>
        <v>A-</v>
      </c>
      <c r="J119" s="64">
        <f ca="1"/>
        <v>93.971000000000004</v>
      </c>
      <c r="K119" s="17">
        <f ca="1"/>
        <v>4.7439999999999998</v>
      </c>
      <c r="L119" s="18" t="str">
        <f ca="1"/>
        <v>500(200)</v>
      </c>
      <c r="M119" s="83"/>
      <c r="N119" s="84" t="str">
        <f t="shared" si="22"/>
        <v/>
      </c>
      <c r="O119" s="20" t="str">
        <f t="shared" si="23"/>
        <v/>
      </c>
      <c r="P119" s="64" t="str">
        <f t="shared" si="24"/>
        <v/>
      </c>
      <c r="Q119" s="85" t="str">
        <f t="shared" ca="1" si="25"/>
        <v/>
      </c>
      <c r="R119" s="86" t="str">
        <f t="shared" si="26"/>
        <v/>
      </c>
      <c r="S119" s="86" t="str">
        <f t="shared" si="27"/>
        <v/>
      </c>
      <c r="T119" s="104" t="str">
        <f t="shared" si="28"/>
        <v/>
      </c>
      <c r="U119" s="19" t="str">
        <f>IF(AND(M119&lt;&gt;"",M119&lt;&gt;0), IF(E119 = "Muni", T119, IF(E119="Corp", T119*(1 -'Investor Input'!$C$4-'Investor Input'!$C$5), T119*(1 -'Investor Input'!$C$4))), T119)</f>
        <v/>
      </c>
      <c r="V119" s="84" t="str">
        <f t="shared" si="29"/>
        <v/>
      </c>
      <c r="W119" s="84" t="str">
        <f t="shared" si="15"/>
        <v/>
      </c>
      <c r="X119" s="21" t="str">
        <f t="shared" si="16"/>
        <v/>
      </c>
      <c r="Y119" s="60" t="str">
        <f t="shared" si="17"/>
        <v/>
      </c>
      <c r="Z119" s="60" t="str">
        <f t="shared" si="18"/>
        <v/>
      </c>
      <c r="AA119" s="64" t="str">
        <f t="shared" si="19"/>
        <v/>
      </c>
      <c r="AB119" s="64" t="str">
        <f>IF(AND(AA119&lt;&gt;"",AA119&lt;&gt;0), IF(E119="Muni", AA119, IF(E119 = "Corp", (1-'Investor Input'!$C$4-'Investor Input'!$C$5)*AA119, (1-'Investor Input'!$C$4)*AA119)), AA119)</f>
        <v/>
      </c>
      <c r="AC119" s="94" t="str">
        <f t="shared" si="20"/>
        <v/>
      </c>
      <c r="AD119" s="60" t="str">
        <f>IF(AND(M119&lt;&gt;"", M119&lt;&gt;0), N119/$N$505*MATCH(AC119,'Misc Lists'!$K$2:$K$25,0), "")</f>
        <v/>
      </c>
      <c r="AE119" s="90" t="str">
        <f t="shared" si="21"/>
        <v/>
      </c>
      <c r="AF119" s="99" t="str">
        <f>IF(AND(M119&lt;&gt;"", M119&lt;&gt;0), N119/$N$505*MATCH(AE119,'Misc Lists'!$L$2:$L$25,0), "")</f>
        <v/>
      </c>
    </row>
    <row r="120" spans="2:32" hidden="1" outlineLevel="1" x14ac:dyDescent="0.5">
      <c r="B120" s="60" t="str">
        <f ca="1"/>
        <v>20030NDA6</v>
      </c>
      <c r="C120" s="61" t="str">
        <f ca="1"/>
        <v>N/A</v>
      </c>
      <c r="D120" s="60" t="str">
        <f ca="1"/>
        <v>COMCAST CORP NEW    NOTE CALL MAKE WHOLE2.65000% 02/01/2030</v>
      </c>
      <c r="E120" s="61" t="str">
        <f ca="1"/>
        <v>Corp</v>
      </c>
      <c r="F120" s="62">
        <f ca="1"/>
        <v>2.65</v>
      </c>
      <c r="G120" s="63">
        <f ca="1"/>
        <v>47515</v>
      </c>
      <c r="H120" s="61" t="str">
        <f ca="1"/>
        <v>A3</v>
      </c>
      <c r="I120" s="61" t="str">
        <f ca="1"/>
        <v>A-</v>
      </c>
      <c r="J120" s="64">
        <f ca="1"/>
        <v>90.97</v>
      </c>
      <c r="K120" s="17">
        <f ca="1"/>
        <v>4.742</v>
      </c>
      <c r="L120" s="18" t="str">
        <f ca="1"/>
        <v>500(2)</v>
      </c>
      <c r="M120" s="83"/>
      <c r="N120" s="84" t="str">
        <f t="shared" si="22"/>
        <v/>
      </c>
      <c r="O120" s="20" t="str">
        <f t="shared" si="23"/>
        <v/>
      </c>
      <c r="P120" s="64" t="str">
        <f t="shared" si="24"/>
        <v/>
      </c>
      <c r="Q120" s="85" t="str">
        <f t="shared" ca="1" si="25"/>
        <v/>
      </c>
      <c r="R120" s="86" t="str">
        <f t="shared" si="26"/>
        <v/>
      </c>
      <c r="S120" s="86" t="str">
        <f t="shared" si="27"/>
        <v/>
      </c>
      <c r="T120" s="104" t="str">
        <f t="shared" si="28"/>
        <v/>
      </c>
      <c r="U120" s="19" t="str">
        <f>IF(AND(M120&lt;&gt;"",M120&lt;&gt;0), IF(E120 = "Muni", T120, IF(E120="Corp", T120*(1 -'Investor Input'!$C$4-'Investor Input'!$C$5), T120*(1 -'Investor Input'!$C$4))), T120)</f>
        <v/>
      </c>
      <c r="V120" s="84" t="str">
        <f t="shared" si="29"/>
        <v/>
      </c>
      <c r="W120" s="84" t="str">
        <f t="shared" si="15"/>
        <v/>
      </c>
      <c r="X120" s="21" t="str">
        <f t="shared" si="16"/>
        <v/>
      </c>
      <c r="Y120" s="60" t="str">
        <f t="shared" si="17"/>
        <v/>
      </c>
      <c r="Z120" s="60" t="str">
        <f t="shared" si="18"/>
        <v/>
      </c>
      <c r="AA120" s="64" t="str">
        <f t="shared" si="19"/>
        <v/>
      </c>
      <c r="AB120" s="64" t="str">
        <f>IF(AND(AA120&lt;&gt;"",AA120&lt;&gt;0), IF(E120="Muni", AA120, IF(E120 = "Corp", (1-'Investor Input'!$C$4-'Investor Input'!$C$5)*AA120, (1-'Investor Input'!$C$4)*AA120)), AA120)</f>
        <v/>
      </c>
      <c r="AC120" s="94" t="str">
        <f t="shared" si="20"/>
        <v/>
      </c>
      <c r="AD120" s="60" t="str">
        <f>IF(AND(M120&lt;&gt;"", M120&lt;&gt;0), N120/$N$505*MATCH(AC120,'Misc Lists'!$K$2:$K$25,0), "")</f>
        <v/>
      </c>
      <c r="AE120" s="90" t="str">
        <f t="shared" si="21"/>
        <v/>
      </c>
      <c r="AF120" s="99" t="str">
        <f>IF(AND(M120&lt;&gt;"", M120&lt;&gt;0), N120/$N$505*MATCH(AE120,'Misc Lists'!$L$2:$L$25,0), "")</f>
        <v/>
      </c>
    </row>
    <row r="121" spans="2:32" hidden="1" outlineLevel="1" x14ac:dyDescent="0.5">
      <c r="B121" s="60" t="str">
        <f ca="1"/>
        <v>571748CA8</v>
      </c>
      <c r="C121" s="61" t="str">
        <f ca="1"/>
        <v>N/A</v>
      </c>
      <c r="D121" s="60" t="str">
        <f ca="1"/>
        <v>MARSH &amp;MCLENNAN COS INC NOTE            4.65000% 03/15/2030 CALL MAKE WHOLE</v>
      </c>
      <c r="E121" s="61" t="str">
        <f ca="1"/>
        <v>Corp</v>
      </c>
      <c r="F121" s="62">
        <f ca="1"/>
        <v>4.6500000000000004</v>
      </c>
      <c r="G121" s="63">
        <f ca="1"/>
        <v>47557</v>
      </c>
      <c r="H121" s="61" t="str">
        <f ca="1"/>
        <v>A3</v>
      </c>
      <c r="I121" s="61" t="str">
        <f ca="1"/>
        <v>A-</v>
      </c>
      <c r="J121" s="64">
        <f ca="1"/>
        <v>99.608999999999995</v>
      </c>
      <c r="K121" s="17">
        <f ca="1"/>
        <v>4.7389999999999999</v>
      </c>
      <c r="L121" s="18" t="str">
        <f ca="1"/>
        <v xml:space="preserve"> 30(2)</v>
      </c>
      <c r="M121" s="83"/>
      <c r="N121" s="84" t="str">
        <f t="shared" si="22"/>
        <v/>
      </c>
      <c r="O121" s="20" t="str">
        <f t="shared" si="23"/>
        <v/>
      </c>
      <c r="P121" s="64" t="str">
        <f t="shared" si="24"/>
        <v/>
      </c>
      <c r="Q121" s="85" t="str">
        <f t="shared" ca="1" si="25"/>
        <v/>
      </c>
      <c r="R121" s="86" t="str">
        <f t="shared" si="26"/>
        <v/>
      </c>
      <c r="S121" s="86" t="str">
        <f t="shared" si="27"/>
        <v/>
      </c>
      <c r="T121" s="104" t="str">
        <f t="shared" si="28"/>
        <v/>
      </c>
      <c r="U121" s="19" t="str">
        <f>IF(AND(M121&lt;&gt;"",M121&lt;&gt;0), IF(E121 = "Muni", T121, IF(E121="Corp", T121*(1 -'Investor Input'!$C$4-'Investor Input'!$C$5), T121*(1 -'Investor Input'!$C$4))), T121)</f>
        <v/>
      </c>
      <c r="V121" s="84" t="str">
        <f t="shared" si="29"/>
        <v/>
      </c>
      <c r="W121" s="84" t="str">
        <f t="shared" si="15"/>
        <v/>
      </c>
      <c r="X121" s="21" t="str">
        <f t="shared" si="16"/>
        <v/>
      </c>
      <c r="Y121" s="60" t="str">
        <f t="shared" si="17"/>
        <v/>
      </c>
      <c r="Z121" s="60" t="str">
        <f t="shared" si="18"/>
        <v/>
      </c>
      <c r="AA121" s="64" t="str">
        <f t="shared" si="19"/>
        <v/>
      </c>
      <c r="AB121" s="64" t="str">
        <f>IF(AND(AA121&lt;&gt;"",AA121&lt;&gt;0), IF(E121="Muni", AA121, IF(E121 = "Corp", (1-'Investor Input'!$C$4-'Investor Input'!$C$5)*AA121, (1-'Investor Input'!$C$4)*AA121)), AA121)</f>
        <v/>
      </c>
      <c r="AC121" s="94" t="str">
        <f t="shared" si="20"/>
        <v/>
      </c>
      <c r="AD121" s="60" t="str">
        <f>IF(AND(M121&lt;&gt;"", M121&lt;&gt;0), N121/$N$505*MATCH(AC121,'Misc Lists'!$K$2:$K$25,0), "")</f>
        <v/>
      </c>
      <c r="AE121" s="90" t="str">
        <f t="shared" si="21"/>
        <v/>
      </c>
      <c r="AF121" s="99" t="str">
        <f>IF(AND(M121&lt;&gt;"", M121&lt;&gt;0), N121/$N$505*MATCH(AE121,'Misc Lists'!$L$2:$L$25,0), "")</f>
        <v/>
      </c>
    </row>
    <row r="122" spans="2:32" hidden="1" outlineLevel="1" x14ac:dyDescent="0.5">
      <c r="B122" s="60" t="str">
        <f ca="1"/>
        <v>036752BB8</v>
      </c>
      <c r="C122" s="61" t="str">
        <f ca="1"/>
        <v>N/A</v>
      </c>
      <c r="D122" s="60" t="str">
        <f ca="1"/>
        <v>ELEVANCE HEALTH INC NOTE CALL MAKE WHOLE4.75000% 02/15/2030</v>
      </c>
      <c r="E122" s="61" t="str">
        <f ca="1"/>
        <v>Corp</v>
      </c>
      <c r="F122" s="62">
        <f ca="1"/>
        <v>4.75</v>
      </c>
      <c r="G122" s="63">
        <f ca="1"/>
        <v>47529</v>
      </c>
      <c r="H122" s="61" t="str">
        <f ca="1"/>
        <v>BAA2</v>
      </c>
      <c r="I122" s="61" t="str">
        <f ca="1"/>
        <v>A</v>
      </c>
      <c r="J122" s="64">
        <f ca="1"/>
        <v>100.05</v>
      </c>
      <c r="K122" s="17">
        <f ca="1"/>
        <v>4.7380000000000004</v>
      </c>
      <c r="L122" s="18" t="str">
        <f ca="1"/>
        <v>500(1)</v>
      </c>
      <c r="M122" s="83"/>
      <c r="N122" s="84" t="str">
        <f t="shared" si="22"/>
        <v/>
      </c>
      <c r="O122" s="20" t="str">
        <f t="shared" si="23"/>
        <v/>
      </c>
      <c r="P122" s="64" t="str">
        <f t="shared" si="24"/>
        <v/>
      </c>
      <c r="Q122" s="85" t="str">
        <f t="shared" ca="1" si="25"/>
        <v/>
      </c>
      <c r="R122" s="86" t="str">
        <f t="shared" si="26"/>
        <v/>
      </c>
      <c r="S122" s="86" t="str">
        <f t="shared" si="27"/>
        <v/>
      </c>
      <c r="T122" s="104" t="str">
        <f t="shared" si="28"/>
        <v/>
      </c>
      <c r="U122" s="19" t="str">
        <f>IF(AND(M122&lt;&gt;"",M122&lt;&gt;0), IF(E122 = "Muni", T122, IF(E122="Corp", T122*(1 -'Investor Input'!$C$4-'Investor Input'!$C$5), T122*(1 -'Investor Input'!$C$4))), T122)</f>
        <v/>
      </c>
      <c r="V122" s="84" t="str">
        <f t="shared" si="29"/>
        <v/>
      </c>
      <c r="W122" s="84" t="str">
        <f t="shared" si="15"/>
        <v/>
      </c>
      <c r="X122" s="21" t="str">
        <f t="shared" si="16"/>
        <v/>
      </c>
      <c r="Y122" s="60" t="str">
        <f t="shared" si="17"/>
        <v/>
      </c>
      <c r="Z122" s="60" t="str">
        <f t="shared" si="18"/>
        <v/>
      </c>
      <c r="AA122" s="64" t="str">
        <f t="shared" si="19"/>
        <v/>
      </c>
      <c r="AB122" s="64" t="str">
        <f>IF(AND(AA122&lt;&gt;"",AA122&lt;&gt;0), IF(E122="Muni", AA122, IF(E122 = "Corp", (1-'Investor Input'!$C$4-'Investor Input'!$C$5)*AA122, (1-'Investor Input'!$C$4)*AA122)), AA122)</f>
        <v/>
      </c>
      <c r="AC122" s="94" t="str">
        <f t="shared" si="20"/>
        <v/>
      </c>
      <c r="AD122" s="60" t="str">
        <f>IF(AND(M122&lt;&gt;"", M122&lt;&gt;0), N122/$N$505*MATCH(AC122,'Misc Lists'!$K$2:$K$25,0), "")</f>
        <v/>
      </c>
      <c r="AE122" s="90" t="str">
        <f t="shared" si="21"/>
        <v/>
      </c>
      <c r="AF122" s="99" t="str">
        <f>IF(AND(M122&lt;&gt;"", M122&lt;&gt;0), N122/$N$505*MATCH(AE122,'Misc Lists'!$L$2:$L$25,0), "")</f>
        <v/>
      </c>
    </row>
    <row r="123" spans="2:32" hidden="1" outlineLevel="1" x14ac:dyDescent="0.5">
      <c r="B123" s="60" t="str">
        <f ca="1"/>
        <v>59523UAQ0</v>
      </c>
      <c r="C123" s="61" t="str">
        <f ca="1"/>
        <v>N/A</v>
      </c>
      <c r="D123" s="60" t="str">
        <f ca="1"/>
        <v>MID-AMERICA APTS LP NOTE CALL MAKE WHOLE3.95000% 03/15/2029</v>
      </c>
      <c r="E123" s="61" t="str">
        <f ca="1"/>
        <v>Corp</v>
      </c>
      <c r="F123" s="62">
        <f ca="1"/>
        <v>3.95</v>
      </c>
      <c r="G123" s="63">
        <f ca="1"/>
        <v>47192</v>
      </c>
      <c r="H123" s="61" t="str">
        <f ca="1"/>
        <v>A3</v>
      </c>
      <c r="I123" s="61" t="str">
        <f ca="1"/>
        <v>A-</v>
      </c>
      <c r="J123" s="64">
        <f ca="1"/>
        <v>97.16</v>
      </c>
      <c r="K123" s="17">
        <f ca="1"/>
        <v>4.7359999999999998</v>
      </c>
      <c r="L123" s="18" t="str">
        <f ca="1"/>
        <v>150(10)</v>
      </c>
      <c r="M123" s="83"/>
      <c r="N123" s="84" t="str">
        <f t="shared" si="22"/>
        <v/>
      </c>
      <c r="O123" s="20" t="str">
        <f t="shared" si="23"/>
        <v/>
      </c>
      <c r="P123" s="64" t="str">
        <f t="shared" si="24"/>
        <v/>
      </c>
      <c r="Q123" s="85" t="str">
        <f t="shared" ca="1" si="25"/>
        <v/>
      </c>
      <c r="R123" s="86" t="str">
        <f t="shared" si="26"/>
        <v/>
      </c>
      <c r="S123" s="86" t="str">
        <f t="shared" si="27"/>
        <v/>
      </c>
      <c r="T123" s="104" t="str">
        <f t="shared" si="28"/>
        <v/>
      </c>
      <c r="U123" s="19" t="str">
        <f>IF(AND(M123&lt;&gt;"",M123&lt;&gt;0), IF(E123 = "Muni", T123, IF(E123="Corp", T123*(1 -'Investor Input'!$C$4-'Investor Input'!$C$5), T123*(1 -'Investor Input'!$C$4))), T123)</f>
        <v/>
      </c>
      <c r="V123" s="84" t="str">
        <f t="shared" si="29"/>
        <v/>
      </c>
      <c r="W123" s="84" t="str">
        <f t="shared" si="15"/>
        <v/>
      </c>
      <c r="X123" s="21" t="str">
        <f t="shared" si="16"/>
        <v/>
      </c>
      <c r="Y123" s="60" t="str">
        <f t="shared" si="17"/>
        <v/>
      </c>
      <c r="Z123" s="60" t="str">
        <f t="shared" si="18"/>
        <v/>
      </c>
      <c r="AA123" s="64" t="str">
        <f t="shared" si="19"/>
        <v/>
      </c>
      <c r="AB123" s="64" t="str">
        <f>IF(AND(AA123&lt;&gt;"",AA123&lt;&gt;0), IF(E123="Muni", AA123, IF(E123 = "Corp", (1-'Investor Input'!$C$4-'Investor Input'!$C$5)*AA123, (1-'Investor Input'!$C$4)*AA123)), AA123)</f>
        <v/>
      </c>
      <c r="AC123" s="94" t="str">
        <f t="shared" si="20"/>
        <v/>
      </c>
      <c r="AD123" s="60" t="str">
        <f>IF(AND(M123&lt;&gt;"", M123&lt;&gt;0), N123/$N$505*MATCH(AC123,'Misc Lists'!$K$2:$K$25,0), "")</f>
        <v/>
      </c>
      <c r="AE123" s="90" t="str">
        <f t="shared" si="21"/>
        <v/>
      </c>
      <c r="AF123" s="99" t="str">
        <f>IF(AND(M123&lt;&gt;"", M123&lt;&gt;0), N123/$N$505*MATCH(AE123,'Misc Lists'!$L$2:$L$25,0), "")</f>
        <v/>
      </c>
    </row>
    <row r="124" spans="2:32" hidden="1" outlineLevel="1" x14ac:dyDescent="0.5">
      <c r="B124" s="60" t="str">
        <f ca="1"/>
        <v>202795JR2</v>
      </c>
      <c r="C124" s="61" t="str">
        <f ca="1"/>
        <v>N/A</v>
      </c>
      <c r="D124" s="60" t="str">
        <f ca="1"/>
        <v>COMMONWEALTH EDISON CO SER 128 BOND     2.20000% 03/01/2030 CALL MAKE WHOLE</v>
      </c>
      <c r="E124" s="61" t="str">
        <f ca="1"/>
        <v>Corp</v>
      </c>
      <c r="F124" s="62">
        <f ca="1"/>
        <v>2.2000000000000002</v>
      </c>
      <c r="G124" s="63">
        <f ca="1"/>
        <v>47543</v>
      </c>
      <c r="H124" s="61" t="str">
        <f ca="1"/>
        <v>A1</v>
      </c>
      <c r="I124" s="61" t="str">
        <f ca="1"/>
        <v>A</v>
      </c>
      <c r="J124" s="64">
        <f ca="1"/>
        <v>88.885999999999996</v>
      </c>
      <c r="K124" s="17">
        <f ca="1"/>
        <v>4.7359999999999998</v>
      </c>
      <c r="L124" s="18" t="str">
        <f ca="1"/>
        <v>100(9)</v>
      </c>
      <c r="M124" s="83"/>
      <c r="N124" s="84" t="str">
        <f t="shared" si="22"/>
        <v/>
      </c>
      <c r="O124" s="20" t="str">
        <f t="shared" si="23"/>
        <v/>
      </c>
      <c r="P124" s="64" t="str">
        <f t="shared" si="24"/>
        <v/>
      </c>
      <c r="Q124" s="85" t="str">
        <f t="shared" ca="1" si="25"/>
        <v/>
      </c>
      <c r="R124" s="86" t="str">
        <f t="shared" si="26"/>
        <v/>
      </c>
      <c r="S124" s="86" t="str">
        <f t="shared" si="27"/>
        <v/>
      </c>
      <c r="T124" s="104" t="str">
        <f t="shared" si="28"/>
        <v/>
      </c>
      <c r="U124" s="19" t="str">
        <f>IF(AND(M124&lt;&gt;"",M124&lt;&gt;0), IF(E124 = "Muni", T124, IF(E124="Corp", T124*(1 -'Investor Input'!$C$4-'Investor Input'!$C$5), T124*(1 -'Investor Input'!$C$4))), T124)</f>
        <v/>
      </c>
      <c r="V124" s="84" t="str">
        <f t="shared" si="29"/>
        <v/>
      </c>
      <c r="W124" s="84" t="str">
        <f t="shared" si="15"/>
        <v/>
      </c>
      <c r="X124" s="21" t="str">
        <f t="shared" si="16"/>
        <v/>
      </c>
      <c r="Y124" s="60" t="str">
        <f t="shared" si="17"/>
        <v/>
      </c>
      <c r="Z124" s="60" t="str">
        <f t="shared" si="18"/>
        <v/>
      </c>
      <c r="AA124" s="64" t="str">
        <f t="shared" si="19"/>
        <v/>
      </c>
      <c r="AB124" s="64" t="str">
        <f>IF(AND(AA124&lt;&gt;"",AA124&lt;&gt;0), IF(E124="Muni", AA124, IF(E124 = "Corp", (1-'Investor Input'!$C$4-'Investor Input'!$C$5)*AA124, (1-'Investor Input'!$C$4)*AA124)), AA124)</f>
        <v/>
      </c>
      <c r="AC124" s="94" t="str">
        <f t="shared" si="20"/>
        <v/>
      </c>
      <c r="AD124" s="60" t="str">
        <f>IF(AND(M124&lt;&gt;"", M124&lt;&gt;0), N124/$N$505*MATCH(AC124,'Misc Lists'!$K$2:$K$25,0), "")</f>
        <v/>
      </c>
      <c r="AE124" s="90" t="str">
        <f t="shared" si="21"/>
        <v/>
      </c>
      <c r="AF124" s="99" t="str">
        <f>IF(AND(M124&lt;&gt;"", M124&lt;&gt;0), N124/$N$505*MATCH(AE124,'Misc Lists'!$L$2:$L$25,0), "")</f>
        <v/>
      </c>
    </row>
    <row r="125" spans="2:32" hidden="1" outlineLevel="1" x14ac:dyDescent="0.5">
      <c r="B125" s="60" t="str">
        <f ca="1"/>
        <v>05964HAF2</v>
      </c>
      <c r="C125" s="61" t="str">
        <f ca="1"/>
        <v>N/A</v>
      </c>
      <c r="D125" s="60" t="str">
        <f ca="1"/>
        <v>BANCO SANTANDER SA  BOND                3.80000% 02/23/2028</v>
      </c>
      <c r="E125" s="61" t="str">
        <f ca="1"/>
        <v>Corp</v>
      </c>
      <c r="F125" s="62">
        <f ca="1"/>
        <v>3.8</v>
      </c>
      <c r="G125" s="63">
        <f ca="1"/>
        <v>46806</v>
      </c>
      <c r="H125" s="61" t="str">
        <f ca="1"/>
        <v>BAA1</v>
      </c>
      <c r="I125" s="61" t="str">
        <f ca="1"/>
        <v>A-</v>
      </c>
      <c r="J125" s="64">
        <f ca="1"/>
        <v>97.456999999999994</v>
      </c>
      <c r="K125" s="17">
        <f ca="1"/>
        <v>4.734</v>
      </c>
      <c r="L125" s="18" t="str">
        <f ca="1"/>
        <v>200(200)</v>
      </c>
      <c r="M125" s="83"/>
      <c r="N125" s="84" t="str">
        <f t="shared" si="22"/>
        <v/>
      </c>
      <c r="O125" s="20" t="str">
        <f t="shared" si="23"/>
        <v/>
      </c>
      <c r="P125" s="64" t="str">
        <f t="shared" si="24"/>
        <v/>
      </c>
      <c r="Q125" s="85" t="str">
        <f t="shared" ca="1" si="25"/>
        <v/>
      </c>
      <c r="R125" s="86" t="str">
        <f t="shared" si="26"/>
        <v/>
      </c>
      <c r="S125" s="86" t="str">
        <f t="shared" si="27"/>
        <v/>
      </c>
      <c r="T125" s="104" t="str">
        <f t="shared" si="28"/>
        <v/>
      </c>
      <c r="U125" s="19" t="str">
        <f>IF(AND(M125&lt;&gt;"",M125&lt;&gt;0), IF(E125 = "Muni", T125, IF(E125="Corp", T125*(1 -'Investor Input'!$C$4-'Investor Input'!$C$5), T125*(1 -'Investor Input'!$C$4))), T125)</f>
        <v/>
      </c>
      <c r="V125" s="84" t="str">
        <f t="shared" si="29"/>
        <v/>
      </c>
      <c r="W125" s="84" t="str">
        <f t="shared" si="15"/>
        <v/>
      </c>
      <c r="X125" s="21" t="str">
        <f t="shared" si="16"/>
        <v/>
      </c>
      <c r="Y125" s="60" t="str">
        <f t="shared" si="17"/>
        <v/>
      </c>
      <c r="Z125" s="60" t="str">
        <f t="shared" si="18"/>
        <v/>
      </c>
      <c r="AA125" s="64" t="str">
        <f t="shared" si="19"/>
        <v/>
      </c>
      <c r="AB125" s="64" t="str">
        <f>IF(AND(AA125&lt;&gt;"",AA125&lt;&gt;0), IF(E125="Muni", AA125, IF(E125 = "Corp", (1-'Investor Input'!$C$4-'Investor Input'!$C$5)*AA125, (1-'Investor Input'!$C$4)*AA125)), AA125)</f>
        <v/>
      </c>
      <c r="AC125" s="94" t="str">
        <f t="shared" si="20"/>
        <v/>
      </c>
      <c r="AD125" s="60" t="str">
        <f>IF(AND(M125&lt;&gt;"", M125&lt;&gt;0), N125/$N$505*MATCH(AC125,'Misc Lists'!$K$2:$K$25,0), "")</f>
        <v/>
      </c>
      <c r="AE125" s="90" t="str">
        <f t="shared" si="21"/>
        <v/>
      </c>
      <c r="AF125" s="99" t="str">
        <f>IF(AND(M125&lt;&gt;"", M125&lt;&gt;0), N125/$N$505*MATCH(AE125,'Misc Lists'!$L$2:$L$25,0), "")</f>
        <v/>
      </c>
    </row>
    <row r="126" spans="2:32" hidden="1" outlineLevel="1" x14ac:dyDescent="0.5">
      <c r="B126" s="60" t="str">
        <f ca="1"/>
        <v>756109CB8</v>
      </c>
      <c r="C126" s="61" t="str">
        <f ca="1"/>
        <v>N/A</v>
      </c>
      <c r="D126" s="60" t="str">
        <f ca="1"/>
        <v>REALTY INCOME CORP  NOTE CALL MAKE WHOLE4.00000% 07/15/2029</v>
      </c>
      <c r="E126" s="61" t="str">
        <f ca="1"/>
        <v>Corp</v>
      </c>
      <c r="F126" s="62">
        <f ca="1"/>
        <v>4</v>
      </c>
      <c r="G126" s="63">
        <f ca="1"/>
        <v>47314</v>
      </c>
      <c r="H126" s="61" t="str">
        <f ca="1"/>
        <v>A3</v>
      </c>
      <c r="I126" s="61" t="str">
        <f ca="1"/>
        <v>A-</v>
      </c>
      <c r="J126" s="64">
        <f ca="1"/>
        <v>97.146000000000001</v>
      </c>
      <c r="K126" s="17">
        <f ca="1"/>
        <v>4.734</v>
      </c>
      <c r="L126" s="18" t="str">
        <f ca="1"/>
        <v>500(2)</v>
      </c>
      <c r="M126" s="83"/>
      <c r="N126" s="84" t="str">
        <f t="shared" si="22"/>
        <v/>
      </c>
      <c r="O126" s="20" t="str">
        <f t="shared" si="23"/>
        <v/>
      </c>
      <c r="P126" s="64" t="str">
        <f t="shared" si="24"/>
        <v/>
      </c>
      <c r="Q126" s="85" t="str">
        <f t="shared" ca="1" si="25"/>
        <v/>
      </c>
      <c r="R126" s="86" t="str">
        <f t="shared" si="26"/>
        <v/>
      </c>
      <c r="S126" s="86" t="str">
        <f t="shared" si="27"/>
        <v/>
      </c>
      <c r="T126" s="104" t="str">
        <f t="shared" si="28"/>
        <v/>
      </c>
      <c r="U126" s="19" t="str">
        <f>IF(AND(M126&lt;&gt;"",M126&lt;&gt;0), IF(E126 = "Muni", T126, IF(E126="Corp", T126*(1 -'Investor Input'!$C$4-'Investor Input'!$C$5), T126*(1 -'Investor Input'!$C$4))), T126)</f>
        <v/>
      </c>
      <c r="V126" s="84" t="str">
        <f t="shared" si="29"/>
        <v/>
      </c>
      <c r="W126" s="84" t="str">
        <f t="shared" si="15"/>
        <v/>
      </c>
      <c r="X126" s="21" t="str">
        <f t="shared" si="16"/>
        <v/>
      </c>
      <c r="Y126" s="60" t="str">
        <f t="shared" si="17"/>
        <v/>
      </c>
      <c r="Z126" s="60" t="str">
        <f t="shared" si="18"/>
        <v/>
      </c>
      <c r="AA126" s="64" t="str">
        <f t="shared" si="19"/>
        <v/>
      </c>
      <c r="AB126" s="64" t="str">
        <f>IF(AND(AA126&lt;&gt;"",AA126&lt;&gt;0), IF(E126="Muni", AA126, IF(E126 = "Corp", (1-'Investor Input'!$C$4-'Investor Input'!$C$5)*AA126, (1-'Investor Input'!$C$4)*AA126)), AA126)</f>
        <v/>
      </c>
      <c r="AC126" s="94" t="str">
        <f t="shared" si="20"/>
        <v/>
      </c>
      <c r="AD126" s="60" t="str">
        <f>IF(AND(M126&lt;&gt;"", M126&lt;&gt;0), N126/$N$505*MATCH(AC126,'Misc Lists'!$K$2:$K$25,0), "")</f>
        <v/>
      </c>
      <c r="AE126" s="90" t="str">
        <f t="shared" si="21"/>
        <v/>
      </c>
      <c r="AF126" s="99" t="str">
        <f>IF(AND(M126&lt;&gt;"", M126&lt;&gt;0), N126/$N$505*MATCH(AE126,'Misc Lists'!$L$2:$L$25,0), "")</f>
        <v/>
      </c>
    </row>
    <row r="127" spans="2:32" hidden="1" outlineLevel="1" x14ac:dyDescent="0.5">
      <c r="B127" s="60" t="str">
        <f ca="1"/>
        <v>05964HAY1</v>
      </c>
      <c r="C127" s="61" t="str">
        <f ca="1"/>
        <v>N/A</v>
      </c>
      <c r="D127" s="60" t="str">
        <f ca="1"/>
        <v>BANCO SANTANDER S.A.NOTE                6.60700% 11/07/2028</v>
      </c>
      <c r="E127" s="61" t="str">
        <f ca="1"/>
        <v>Corp</v>
      </c>
      <c r="F127" s="62">
        <f ca="1"/>
        <v>6.6070000000000002</v>
      </c>
      <c r="G127" s="63">
        <f ca="1"/>
        <v>47064</v>
      </c>
      <c r="H127" s="61" t="str">
        <f ca="1"/>
        <v>A2</v>
      </c>
      <c r="I127" s="61" t="str">
        <f ca="1"/>
        <v>A+</v>
      </c>
      <c r="J127" s="64">
        <f ca="1"/>
        <v>106.21899999999999</v>
      </c>
      <c r="K127" s="17">
        <f ca="1"/>
        <v>4.7309999999999999</v>
      </c>
      <c r="L127" s="18" t="str">
        <f ca="1"/>
        <v>200(200)</v>
      </c>
      <c r="M127" s="83"/>
      <c r="N127" s="84" t="str">
        <f t="shared" si="22"/>
        <v/>
      </c>
      <c r="O127" s="20" t="str">
        <f t="shared" si="23"/>
        <v/>
      </c>
      <c r="P127" s="64" t="str">
        <f t="shared" si="24"/>
        <v/>
      </c>
      <c r="Q127" s="85" t="str">
        <f t="shared" ca="1" si="25"/>
        <v/>
      </c>
      <c r="R127" s="86" t="str">
        <f t="shared" si="26"/>
        <v/>
      </c>
      <c r="S127" s="86" t="str">
        <f t="shared" si="27"/>
        <v/>
      </c>
      <c r="T127" s="104" t="str">
        <f t="shared" si="28"/>
        <v/>
      </c>
      <c r="U127" s="19" t="str">
        <f>IF(AND(M127&lt;&gt;"",M127&lt;&gt;0), IF(E127 = "Muni", T127, IF(E127="Corp", T127*(1 -'Investor Input'!$C$4-'Investor Input'!$C$5), T127*(1 -'Investor Input'!$C$4))), T127)</f>
        <v/>
      </c>
      <c r="V127" s="84" t="str">
        <f t="shared" si="29"/>
        <v/>
      </c>
      <c r="W127" s="84" t="str">
        <f t="shared" si="15"/>
        <v/>
      </c>
      <c r="X127" s="21" t="str">
        <f t="shared" si="16"/>
        <v/>
      </c>
      <c r="Y127" s="60" t="str">
        <f t="shared" si="17"/>
        <v/>
      </c>
      <c r="Z127" s="60" t="str">
        <f t="shared" si="18"/>
        <v/>
      </c>
      <c r="AA127" s="64" t="str">
        <f t="shared" si="19"/>
        <v/>
      </c>
      <c r="AB127" s="64" t="str">
        <f>IF(AND(AA127&lt;&gt;"",AA127&lt;&gt;0), IF(E127="Muni", AA127, IF(E127 = "Corp", (1-'Investor Input'!$C$4-'Investor Input'!$C$5)*AA127, (1-'Investor Input'!$C$4)*AA127)), AA127)</f>
        <v/>
      </c>
      <c r="AC127" s="94" t="str">
        <f t="shared" si="20"/>
        <v/>
      </c>
      <c r="AD127" s="60" t="str">
        <f>IF(AND(M127&lt;&gt;"", M127&lt;&gt;0), N127/$N$505*MATCH(AC127,'Misc Lists'!$K$2:$K$25,0), "")</f>
        <v/>
      </c>
      <c r="AE127" s="90" t="str">
        <f t="shared" si="21"/>
        <v/>
      </c>
      <c r="AF127" s="99" t="str">
        <f>IF(AND(M127&lt;&gt;"", M127&lt;&gt;0), N127/$N$505*MATCH(AE127,'Misc Lists'!$L$2:$L$25,0), "")</f>
        <v/>
      </c>
    </row>
    <row r="128" spans="2:32" hidden="1" outlineLevel="1" x14ac:dyDescent="0.5">
      <c r="B128" s="60" t="str">
        <f ca="1"/>
        <v>05348EBG3</v>
      </c>
      <c r="C128" s="61" t="str">
        <f ca="1"/>
        <v>N/A</v>
      </c>
      <c r="D128" s="60" t="str">
        <f ca="1"/>
        <v>AVALONBAY CMNTYS INCMTN CALL MAKE WHOLE 2.30000% 03/01/2030</v>
      </c>
      <c r="E128" s="61" t="str">
        <f ca="1"/>
        <v>Corp</v>
      </c>
      <c r="F128" s="62">
        <f ca="1"/>
        <v>2.2999999999999998</v>
      </c>
      <c r="G128" s="63">
        <f ca="1"/>
        <v>47543</v>
      </c>
      <c r="H128" s="61" t="str">
        <f ca="1"/>
        <v>A3</v>
      </c>
      <c r="I128" s="61" t="str">
        <f ca="1"/>
        <v>A-</v>
      </c>
      <c r="J128" s="64">
        <f ca="1"/>
        <v>89.346000000000004</v>
      </c>
      <c r="K128" s="17">
        <f ca="1"/>
        <v>4.7309999999999999</v>
      </c>
      <c r="L128" s="18" t="str">
        <f ca="1"/>
        <v>33(1)</v>
      </c>
      <c r="M128" s="83"/>
      <c r="N128" s="84" t="str">
        <f t="shared" si="22"/>
        <v/>
      </c>
      <c r="O128" s="20" t="str">
        <f t="shared" si="23"/>
        <v/>
      </c>
      <c r="P128" s="64" t="str">
        <f t="shared" si="24"/>
        <v/>
      </c>
      <c r="Q128" s="85" t="str">
        <f t="shared" ca="1" si="25"/>
        <v/>
      </c>
      <c r="R128" s="86" t="str">
        <f t="shared" si="26"/>
        <v/>
      </c>
      <c r="S128" s="86" t="str">
        <f t="shared" si="27"/>
        <v/>
      </c>
      <c r="T128" s="104" t="str">
        <f t="shared" si="28"/>
        <v/>
      </c>
      <c r="U128" s="19" t="str">
        <f>IF(AND(M128&lt;&gt;"",M128&lt;&gt;0), IF(E128 = "Muni", T128, IF(E128="Corp", T128*(1 -'Investor Input'!$C$4-'Investor Input'!$C$5), T128*(1 -'Investor Input'!$C$4))), T128)</f>
        <v/>
      </c>
      <c r="V128" s="84" t="str">
        <f t="shared" si="29"/>
        <v/>
      </c>
      <c r="W128" s="84" t="str">
        <f t="shared" si="15"/>
        <v/>
      </c>
      <c r="X128" s="21" t="str">
        <f t="shared" si="16"/>
        <v/>
      </c>
      <c r="Y128" s="60" t="str">
        <f t="shared" si="17"/>
        <v/>
      </c>
      <c r="Z128" s="60" t="str">
        <f t="shared" si="18"/>
        <v/>
      </c>
      <c r="AA128" s="64" t="str">
        <f t="shared" si="19"/>
        <v/>
      </c>
      <c r="AB128" s="64" t="str">
        <f>IF(AND(AA128&lt;&gt;"",AA128&lt;&gt;0), IF(E128="Muni", AA128, IF(E128 = "Corp", (1-'Investor Input'!$C$4-'Investor Input'!$C$5)*AA128, (1-'Investor Input'!$C$4)*AA128)), AA128)</f>
        <v/>
      </c>
      <c r="AC128" s="94" t="str">
        <f t="shared" si="20"/>
        <v/>
      </c>
      <c r="AD128" s="60" t="str">
        <f>IF(AND(M128&lt;&gt;"", M128&lt;&gt;0), N128/$N$505*MATCH(AC128,'Misc Lists'!$K$2:$K$25,0), "")</f>
        <v/>
      </c>
      <c r="AE128" s="90" t="str">
        <f t="shared" si="21"/>
        <v/>
      </c>
      <c r="AF128" s="99" t="str">
        <f>IF(AND(M128&lt;&gt;"", M128&lt;&gt;0), N128/$N$505*MATCH(AE128,'Misc Lists'!$L$2:$L$25,0), "")</f>
        <v/>
      </c>
    </row>
    <row r="129" spans="2:32" hidden="1" outlineLevel="1" x14ac:dyDescent="0.5">
      <c r="B129" s="60" t="str">
        <f ca="1"/>
        <v>695114DB1</v>
      </c>
      <c r="C129" s="61" t="str">
        <f ca="1"/>
        <v>N/A</v>
      </c>
      <c r="D129" s="60" t="str">
        <f ca="1"/>
        <v>PACIFICORP          BOND CALL MAKE WHOLE5.10000% 02/15/2029</v>
      </c>
      <c r="E129" s="61" t="str">
        <f ca="1"/>
        <v>Corp</v>
      </c>
      <c r="F129" s="62">
        <f ca="1"/>
        <v>5.0999999999999996</v>
      </c>
      <c r="G129" s="63">
        <f ca="1"/>
        <v>47164</v>
      </c>
      <c r="H129" s="61" t="str">
        <f ca="1"/>
        <v>A2</v>
      </c>
      <c r="I129" s="61" t="str">
        <f ca="1"/>
        <v>A</v>
      </c>
      <c r="J129" s="64">
        <f ca="1"/>
        <v>101.312</v>
      </c>
      <c r="K129" s="17">
        <f ca="1"/>
        <v>4.7290000000000001</v>
      </c>
      <c r="L129" s="18" t="str">
        <f ca="1"/>
        <v>475(2)</v>
      </c>
      <c r="M129" s="83"/>
      <c r="N129" s="84" t="str">
        <f t="shared" si="22"/>
        <v/>
      </c>
      <c r="O129" s="20" t="str">
        <f t="shared" si="23"/>
        <v/>
      </c>
      <c r="P129" s="64" t="str">
        <f t="shared" si="24"/>
        <v/>
      </c>
      <c r="Q129" s="85" t="str">
        <f t="shared" ca="1" si="25"/>
        <v/>
      </c>
      <c r="R129" s="86" t="str">
        <f t="shared" si="26"/>
        <v/>
      </c>
      <c r="S129" s="86" t="str">
        <f t="shared" si="27"/>
        <v/>
      </c>
      <c r="T129" s="104" t="str">
        <f t="shared" si="28"/>
        <v/>
      </c>
      <c r="U129" s="19" t="str">
        <f>IF(AND(M129&lt;&gt;"",M129&lt;&gt;0), IF(E129 = "Muni", T129, IF(E129="Corp", T129*(1 -'Investor Input'!$C$4-'Investor Input'!$C$5), T129*(1 -'Investor Input'!$C$4))), T129)</f>
        <v/>
      </c>
      <c r="V129" s="84" t="str">
        <f t="shared" si="29"/>
        <v/>
      </c>
      <c r="W129" s="84" t="str">
        <f t="shared" si="15"/>
        <v/>
      </c>
      <c r="X129" s="21" t="str">
        <f t="shared" si="16"/>
        <v/>
      </c>
      <c r="Y129" s="60" t="str">
        <f t="shared" si="17"/>
        <v/>
      </c>
      <c r="Z129" s="60" t="str">
        <f t="shared" si="18"/>
        <v/>
      </c>
      <c r="AA129" s="64" t="str">
        <f t="shared" si="19"/>
        <v/>
      </c>
      <c r="AB129" s="64" t="str">
        <f>IF(AND(AA129&lt;&gt;"",AA129&lt;&gt;0), IF(E129="Muni", AA129, IF(E129 = "Corp", (1-'Investor Input'!$C$4-'Investor Input'!$C$5)*AA129, (1-'Investor Input'!$C$4)*AA129)), AA129)</f>
        <v/>
      </c>
      <c r="AC129" s="94" t="str">
        <f t="shared" si="20"/>
        <v/>
      </c>
      <c r="AD129" s="60" t="str">
        <f>IF(AND(M129&lt;&gt;"", M129&lt;&gt;0), N129/$N$505*MATCH(AC129,'Misc Lists'!$K$2:$K$25,0), "")</f>
        <v/>
      </c>
      <c r="AE129" s="90" t="str">
        <f t="shared" si="21"/>
        <v/>
      </c>
      <c r="AF129" s="99" t="str">
        <f>IF(AND(M129&lt;&gt;"", M129&lt;&gt;0), N129/$N$505*MATCH(AE129,'Misc Lists'!$L$2:$L$25,0), "")</f>
        <v/>
      </c>
    </row>
    <row r="130" spans="2:32" hidden="1" outlineLevel="1" x14ac:dyDescent="0.5">
      <c r="B130" s="60" t="str">
        <f ca="1"/>
        <v>02665WFQ9</v>
      </c>
      <c r="C130" s="61" t="str">
        <f ca="1"/>
        <v>N/A</v>
      </c>
      <c r="D130" s="60" t="str">
        <f ca="1"/>
        <v>AMERICAN HONDA FIN  CORP  MTN           4.40000% 09/05/2029 CALL MAKE WHOLE</v>
      </c>
      <c r="E130" s="61" t="str">
        <f ca="1"/>
        <v>Corp</v>
      </c>
      <c r="F130" s="62">
        <f ca="1"/>
        <v>4.4000000000000004</v>
      </c>
      <c r="G130" s="63">
        <f ca="1"/>
        <v>47366</v>
      </c>
      <c r="H130" s="61" t="str">
        <f ca="1"/>
        <v>A3</v>
      </c>
      <c r="I130" s="61" t="str">
        <f ca="1"/>
        <v>A-</v>
      </c>
      <c r="J130" s="64">
        <f ca="1"/>
        <v>98.69</v>
      </c>
      <c r="K130" s="17">
        <f ca="1"/>
        <v>4.7279999999999998</v>
      </c>
      <c r="L130" s="18" t="str">
        <f ca="1"/>
        <v>500(2)</v>
      </c>
      <c r="M130" s="83"/>
      <c r="N130" s="84" t="str">
        <f t="shared" si="22"/>
        <v/>
      </c>
      <c r="O130" s="20" t="str">
        <f t="shared" si="23"/>
        <v/>
      </c>
      <c r="P130" s="64" t="str">
        <f t="shared" si="24"/>
        <v/>
      </c>
      <c r="Q130" s="85" t="str">
        <f t="shared" ca="1" si="25"/>
        <v/>
      </c>
      <c r="R130" s="86" t="str">
        <f t="shared" si="26"/>
        <v/>
      </c>
      <c r="S130" s="86" t="str">
        <f t="shared" si="27"/>
        <v/>
      </c>
      <c r="T130" s="104" t="str">
        <f t="shared" si="28"/>
        <v/>
      </c>
      <c r="U130" s="19" t="str">
        <f>IF(AND(M130&lt;&gt;"",M130&lt;&gt;0), IF(E130 = "Muni", T130, IF(E130="Corp", T130*(1 -'Investor Input'!$C$4-'Investor Input'!$C$5), T130*(1 -'Investor Input'!$C$4))), T130)</f>
        <v/>
      </c>
      <c r="V130" s="84" t="str">
        <f t="shared" si="29"/>
        <v/>
      </c>
      <c r="W130" s="84" t="str">
        <f t="shared" si="15"/>
        <v/>
      </c>
      <c r="X130" s="21" t="str">
        <f t="shared" si="16"/>
        <v/>
      </c>
      <c r="Y130" s="60" t="str">
        <f t="shared" si="17"/>
        <v/>
      </c>
      <c r="Z130" s="60" t="str">
        <f t="shared" si="18"/>
        <v/>
      </c>
      <c r="AA130" s="64" t="str">
        <f t="shared" si="19"/>
        <v/>
      </c>
      <c r="AB130" s="64" t="str">
        <f>IF(AND(AA130&lt;&gt;"",AA130&lt;&gt;0), IF(E130="Muni", AA130, IF(E130 = "Corp", (1-'Investor Input'!$C$4-'Investor Input'!$C$5)*AA130, (1-'Investor Input'!$C$4)*AA130)), AA130)</f>
        <v/>
      </c>
      <c r="AC130" s="94" t="str">
        <f t="shared" si="20"/>
        <v/>
      </c>
      <c r="AD130" s="60" t="str">
        <f>IF(AND(M130&lt;&gt;"", M130&lt;&gt;0), N130/$N$505*MATCH(AC130,'Misc Lists'!$K$2:$K$25,0), "")</f>
        <v/>
      </c>
      <c r="AE130" s="90" t="str">
        <f t="shared" si="21"/>
        <v/>
      </c>
      <c r="AF130" s="99" t="str">
        <f>IF(AND(M130&lt;&gt;"", M130&lt;&gt;0), N130/$N$505*MATCH(AE130,'Misc Lists'!$L$2:$L$25,0), "")</f>
        <v/>
      </c>
    </row>
    <row r="131" spans="2:32" hidden="1" outlineLevel="1" x14ac:dyDescent="0.5">
      <c r="B131" s="60" t="str">
        <f ca="1"/>
        <v>55279HAW0</v>
      </c>
      <c r="C131" s="61" t="str">
        <f ca="1"/>
        <v>N/A</v>
      </c>
      <c r="D131" s="60" t="str">
        <f ca="1"/>
        <v>MANUFACTURERS &amp;TRADERS TR CO NOTE 4.70000% 01/27/2028 CALL MAKE WHOLE</v>
      </c>
      <c r="E131" s="61" t="str">
        <f ca="1"/>
        <v>Corp</v>
      </c>
      <c r="F131" s="62">
        <f ca="1"/>
        <v>4.7</v>
      </c>
      <c r="G131" s="63">
        <f ca="1"/>
        <v>46779</v>
      </c>
      <c r="H131" s="61" t="str">
        <f ca="1"/>
        <v>A3</v>
      </c>
      <c r="I131" s="61" t="str">
        <f ca="1"/>
        <v>A-</v>
      </c>
      <c r="J131" s="64">
        <f ca="1"/>
        <v>99.921999999999997</v>
      </c>
      <c r="K131" s="17">
        <f ca="1"/>
        <v>4.7270000000000003</v>
      </c>
      <c r="L131" s="18" t="str">
        <f ca="1"/>
        <v>1,000(250)</v>
      </c>
      <c r="M131" s="83"/>
      <c r="N131" s="84" t="str">
        <f t="shared" si="22"/>
        <v/>
      </c>
      <c r="O131" s="20" t="str">
        <f t="shared" si="23"/>
        <v/>
      </c>
      <c r="P131" s="64" t="str">
        <f t="shared" si="24"/>
        <v/>
      </c>
      <c r="Q131" s="85" t="str">
        <f t="shared" ca="1" si="25"/>
        <v/>
      </c>
      <c r="R131" s="86" t="str">
        <f t="shared" si="26"/>
        <v/>
      </c>
      <c r="S131" s="86" t="str">
        <f t="shared" si="27"/>
        <v/>
      </c>
      <c r="T131" s="104" t="str">
        <f t="shared" si="28"/>
        <v/>
      </c>
      <c r="U131" s="19" t="str">
        <f>IF(AND(M131&lt;&gt;"",M131&lt;&gt;0), IF(E131 = "Muni", T131, IF(E131="Corp", T131*(1 -'Investor Input'!$C$4-'Investor Input'!$C$5), T131*(1 -'Investor Input'!$C$4))), T131)</f>
        <v/>
      </c>
      <c r="V131" s="84" t="str">
        <f t="shared" si="29"/>
        <v/>
      </c>
      <c r="W131" s="84" t="str">
        <f t="shared" si="15"/>
        <v/>
      </c>
      <c r="X131" s="21" t="str">
        <f t="shared" si="16"/>
        <v/>
      </c>
      <c r="Y131" s="60" t="str">
        <f t="shared" si="17"/>
        <v/>
      </c>
      <c r="Z131" s="60" t="str">
        <f t="shared" si="18"/>
        <v/>
      </c>
      <c r="AA131" s="64" t="str">
        <f t="shared" si="19"/>
        <v/>
      </c>
      <c r="AB131" s="64" t="str">
        <f>IF(AND(AA131&lt;&gt;"",AA131&lt;&gt;0), IF(E131="Muni", AA131, IF(E131 = "Corp", (1-'Investor Input'!$C$4-'Investor Input'!$C$5)*AA131, (1-'Investor Input'!$C$4)*AA131)), AA131)</f>
        <v/>
      </c>
      <c r="AC131" s="94" t="str">
        <f t="shared" si="20"/>
        <v/>
      </c>
      <c r="AD131" s="60" t="str">
        <f>IF(AND(M131&lt;&gt;"", M131&lt;&gt;0), N131/$N$505*MATCH(AC131,'Misc Lists'!$K$2:$K$25,0), "")</f>
        <v/>
      </c>
      <c r="AE131" s="90" t="str">
        <f t="shared" si="21"/>
        <v/>
      </c>
      <c r="AF131" s="99" t="str">
        <f>IF(AND(M131&lt;&gt;"", M131&lt;&gt;0), N131/$N$505*MATCH(AE131,'Misc Lists'!$L$2:$L$25,0), "")</f>
        <v/>
      </c>
    </row>
    <row r="132" spans="2:32" hidden="1" outlineLevel="1" x14ac:dyDescent="0.5">
      <c r="B132" s="60" t="str">
        <f ca="1"/>
        <v>756109CF9</v>
      </c>
      <c r="C132" s="61" t="str">
        <f ca="1"/>
        <v>N/A</v>
      </c>
      <c r="D132" s="60" t="str">
        <f ca="1"/>
        <v>REALTY INCOME CORP  NOTE CALL MAKE WHOLE4.75000% 02/15/2029</v>
      </c>
      <c r="E132" s="61" t="str">
        <f ca="1"/>
        <v>Corp</v>
      </c>
      <c r="F132" s="62">
        <f ca="1"/>
        <v>4.75</v>
      </c>
      <c r="G132" s="63">
        <f ca="1"/>
        <v>47164</v>
      </c>
      <c r="H132" s="61" t="str">
        <f ca="1"/>
        <v>A3</v>
      </c>
      <c r="I132" s="61" t="str">
        <f ca="1"/>
        <v>A-</v>
      </c>
      <c r="J132" s="64">
        <f ca="1"/>
        <v>100.078</v>
      </c>
      <c r="K132" s="17">
        <f ca="1"/>
        <v>4.7270000000000003</v>
      </c>
      <c r="L132" s="18" t="str">
        <f ca="1"/>
        <v>250(2)</v>
      </c>
      <c r="M132" s="83"/>
      <c r="N132" s="84" t="str">
        <f t="shared" si="22"/>
        <v/>
      </c>
      <c r="O132" s="20" t="str">
        <f t="shared" si="23"/>
        <v/>
      </c>
      <c r="P132" s="64" t="str">
        <f t="shared" si="24"/>
        <v/>
      </c>
      <c r="Q132" s="85" t="str">
        <f t="shared" ca="1" si="25"/>
        <v/>
      </c>
      <c r="R132" s="86" t="str">
        <f t="shared" si="26"/>
        <v/>
      </c>
      <c r="S132" s="86" t="str">
        <f t="shared" si="27"/>
        <v/>
      </c>
      <c r="T132" s="104" t="str">
        <f t="shared" si="28"/>
        <v/>
      </c>
      <c r="U132" s="19" t="str">
        <f>IF(AND(M132&lt;&gt;"",M132&lt;&gt;0), IF(E132 = "Muni", T132, IF(E132="Corp", T132*(1 -'Investor Input'!$C$4-'Investor Input'!$C$5), T132*(1 -'Investor Input'!$C$4))), T132)</f>
        <v/>
      </c>
      <c r="V132" s="84" t="str">
        <f t="shared" si="29"/>
        <v/>
      </c>
      <c r="W132" s="84" t="str">
        <f t="shared" ref="W132:W195" si="30">IF(AND(M132&lt;&gt;"",M132&lt;&gt;0),V132-N132,"")</f>
        <v/>
      </c>
      <c r="X132" s="21" t="str">
        <f t="shared" ref="X132:X195" si="31">IF(AND(M132&lt;&gt;"",M132&lt;&gt;0),W132/N132,"")</f>
        <v/>
      </c>
      <c r="Y132" s="60" t="str">
        <f t="shared" ref="Y132:Y195" si="32">IF(AND(M132&lt;&gt;"", M132&lt;&gt;0), MONTH(G132), "")</f>
        <v/>
      </c>
      <c r="Z132" s="60" t="str">
        <f t="shared" ref="Z132:Z195" si="33">IF(AND(M132&lt;&gt;"", M132&lt;&gt;0), MONTH(EDATE(G132, 6)), "")</f>
        <v/>
      </c>
      <c r="AA132" s="64" t="str">
        <f t="shared" ref="AA132:AA195" si="34">IF(AND(M132&lt;&gt;"", M132&lt;&gt;0), F132*1000*M132/(100*2), "")</f>
        <v/>
      </c>
      <c r="AB132" s="64" t="str">
        <f>IF(AND(AA132&lt;&gt;"",AA132&lt;&gt;0), IF(E132="Muni", AA132, IF(E132 = "Corp", (1-'Investor Input'!$C$4-'Investor Input'!$C$5)*AA132, (1-'Investor Input'!$C$4)*AA132)), AA132)</f>
        <v/>
      </c>
      <c r="AC132" s="94" t="str">
        <f t="shared" ref="AC132:AC195" si="35">IF(AND(M132&lt;&gt;"", M132&lt;&gt;0), H132, "")</f>
        <v/>
      </c>
      <c r="AD132" s="60" t="str">
        <f>IF(AND(M132&lt;&gt;"", M132&lt;&gt;0), N132/$N$505*MATCH(AC132,'Misc Lists'!$K$2:$K$25,0), "")</f>
        <v/>
      </c>
      <c r="AE132" s="90" t="str">
        <f t="shared" ref="AE132:AE195" si="36">IF(AND(M132&lt;&gt;"", M132&lt;&gt;0), I132, "")</f>
        <v/>
      </c>
      <c r="AF132" s="99" t="str">
        <f>IF(AND(M132&lt;&gt;"", M132&lt;&gt;0), N132/$N$505*MATCH(AE132,'Misc Lists'!$L$2:$L$25,0), "")</f>
        <v/>
      </c>
    </row>
    <row r="133" spans="2:32" hidden="1" outlineLevel="1" x14ac:dyDescent="0.5">
      <c r="B133" s="60" t="str">
        <f ca="1"/>
        <v>456837AM5</v>
      </c>
      <c r="C133" s="61" t="str">
        <f ca="1"/>
        <v>N/A</v>
      </c>
      <c r="D133" s="60" t="str">
        <f ca="1"/>
        <v>ING GROEP N.V.      NOTE                4.55000% 10/02/2028</v>
      </c>
      <c r="E133" s="61" t="str">
        <f ca="1"/>
        <v>Corp</v>
      </c>
      <c r="F133" s="62">
        <f ca="1"/>
        <v>4.55</v>
      </c>
      <c r="G133" s="63">
        <f ca="1"/>
        <v>47028</v>
      </c>
      <c r="H133" s="61" t="str">
        <f ca="1"/>
        <v>BAA1</v>
      </c>
      <c r="I133" s="61" t="str">
        <f ca="1"/>
        <v>A-</v>
      </c>
      <c r="J133" s="64">
        <f ca="1"/>
        <v>99.430999999999997</v>
      </c>
      <c r="K133" s="17">
        <f ca="1"/>
        <v>4.7249999999999996</v>
      </c>
      <c r="L133" s="18" t="str">
        <f ca="1"/>
        <v>750(200)</v>
      </c>
      <c r="M133" s="83"/>
      <c r="N133" s="84" t="str">
        <f t="shared" ref="N133:N196" si="37">IF(AND(M133&lt;&gt;"", M133&lt;&gt;0), IF(L133 &lt;&gt; "N/A", IF(M133&gt;=VALUE(LEFT(L133, FIND("(", L133)-1)), J133*10*M133, 1000*M133), 1000*M133), "")</f>
        <v/>
      </c>
      <c r="O133" s="20" t="str">
        <f t="shared" ref="O133:O196" si="38">IF(AND(M133&lt;&gt;"",M133&lt;&gt;0),N133/$N$505, "")</f>
        <v/>
      </c>
      <c r="P133" s="64" t="str">
        <f t="shared" ref="P133:P196" si="39">IF(AND(M133&lt;&gt;"", M133&lt;&gt;0), F133*1000/100, "")</f>
        <v/>
      </c>
      <c r="Q133" s="85" t="str">
        <f t="shared" ref="Q133:Q196" ca="1" si="40">IF(AND(M133&lt;&gt;"", M133&lt;&gt;0), NOW(), "")</f>
        <v/>
      </c>
      <c r="R133" s="86" t="str">
        <f t="shared" ref="R133:R196" si="41">IF(AND(M133&lt;&gt;"", M133&lt;&gt;0), ROUND((G133 - Q133)/365, 0), "")</f>
        <v/>
      </c>
      <c r="S133" s="86" t="str">
        <f t="shared" ref="S133:S196" si="42">IF(AND(M133&lt;&gt;"",M133&lt;&gt;0),MDURATION(Q133,G133,F133/100,K133/100,2), "")</f>
        <v/>
      </c>
      <c r="T133" s="104" t="str">
        <f t="shared" ref="T133:T196" si="43">IF(AND(M133&lt;&gt;"",M133&lt;&gt;0),YIELD(Q133,G133,F133/100,N133/(M133*10),100,2),"")</f>
        <v/>
      </c>
      <c r="U133" s="19" t="str">
        <f>IF(AND(M133&lt;&gt;"",M133&lt;&gt;0), IF(E133 = "Muni", T133, IF(E133="Corp", T133*(1 -'Investor Input'!$C$4-'Investor Input'!$C$5), T133*(1 -'Investor Input'!$C$4))), T133)</f>
        <v/>
      </c>
      <c r="V133" s="84" t="str">
        <f t="shared" ref="V133:V196" si="44">IF(AND(M133&lt;&gt;"",M133&lt;&gt;0),(FV(K133/(2*100),(G133-Q133)*2/365, F133*1000/(2*100), -N133/M133))*M133, "")</f>
        <v/>
      </c>
      <c r="W133" s="84" t="str">
        <f t="shared" si="30"/>
        <v/>
      </c>
      <c r="X133" s="21" t="str">
        <f t="shared" si="31"/>
        <v/>
      </c>
      <c r="Y133" s="60" t="str">
        <f t="shared" si="32"/>
        <v/>
      </c>
      <c r="Z133" s="60" t="str">
        <f t="shared" si="33"/>
        <v/>
      </c>
      <c r="AA133" s="64" t="str">
        <f t="shared" si="34"/>
        <v/>
      </c>
      <c r="AB133" s="64" t="str">
        <f>IF(AND(AA133&lt;&gt;"",AA133&lt;&gt;0), IF(E133="Muni", AA133, IF(E133 = "Corp", (1-'Investor Input'!$C$4-'Investor Input'!$C$5)*AA133, (1-'Investor Input'!$C$4)*AA133)), AA133)</f>
        <v/>
      </c>
      <c r="AC133" s="94" t="str">
        <f t="shared" si="35"/>
        <v/>
      </c>
      <c r="AD133" s="60" t="str">
        <f>IF(AND(M133&lt;&gt;"", M133&lt;&gt;0), N133/$N$505*MATCH(AC133,'Misc Lists'!$K$2:$K$25,0), "")</f>
        <v/>
      </c>
      <c r="AE133" s="90" t="str">
        <f t="shared" si="36"/>
        <v/>
      </c>
      <c r="AF133" s="99" t="str">
        <f>IF(AND(M133&lt;&gt;"", M133&lt;&gt;0), N133/$N$505*MATCH(AE133,'Misc Lists'!$L$2:$L$25,0), "")</f>
        <v/>
      </c>
    </row>
    <row r="134" spans="2:32" hidden="1" outlineLevel="1" x14ac:dyDescent="0.5">
      <c r="B134" s="60" t="str">
        <f ca="1"/>
        <v>02665WFE6</v>
      </c>
      <c r="C134" s="61" t="str">
        <f ca="1"/>
        <v>N/A</v>
      </c>
      <c r="D134" s="60" t="str">
        <f ca="1"/>
        <v>AMERICAN HONDA FIN  CORP  SER A MTN     4.90000% 03/13/2029 CALL MAKE WHOLE</v>
      </c>
      <c r="E134" s="61" t="str">
        <f ca="1"/>
        <v>Corp</v>
      </c>
      <c r="F134" s="62">
        <f ca="1"/>
        <v>4.9000000000000004</v>
      </c>
      <c r="G134" s="63">
        <f ca="1"/>
        <v>47190</v>
      </c>
      <c r="H134" s="61" t="str">
        <f ca="1"/>
        <v>A3</v>
      </c>
      <c r="I134" s="61" t="str">
        <f ca="1"/>
        <v>A-</v>
      </c>
      <c r="J134" s="64">
        <f ca="1"/>
        <v>100.636</v>
      </c>
      <c r="K134" s="17">
        <f ca="1"/>
        <v>4.7240000000000002</v>
      </c>
      <c r="L134" s="18" t="str">
        <f ca="1"/>
        <v>500(2)</v>
      </c>
      <c r="M134" s="83"/>
      <c r="N134" s="84" t="str">
        <f t="shared" si="37"/>
        <v/>
      </c>
      <c r="O134" s="20" t="str">
        <f t="shared" si="38"/>
        <v/>
      </c>
      <c r="P134" s="64" t="str">
        <f t="shared" si="39"/>
        <v/>
      </c>
      <c r="Q134" s="85" t="str">
        <f t="shared" ca="1" si="40"/>
        <v/>
      </c>
      <c r="R134" s="86" t="str">
        <f t="shared" si="41"/>
        <v/>
      </c>
      <c r="S134" s="86" t="str">
        <f t="shared" si="42"/>
        <v/>
      </c>
      <c r="T134" s="104" t="str">
        <f t="shared" si="43"/>
        <v/>
      </c>
      <c r="U134" s="19" t="str">
        <f>IF(AND(M134&lt;&gt;"",M134&lt;&gt;0), IF(E134 = "Muni", T134, IF(E134="Corp", T134*(1 -'Investor Input'!$C$4-'Investor Input'!$C$5), T134*(1 -'Investor Input'!$C$4))), T134)</f>
        <v/>
      </c>
      <c r="V134" s="84" t="str">
        <f t="shared" si="44"/>
        <v/>
      </c>
      <c r="W134" s="84" t="str">
        <f t="shared" si="30"/>
        <v/>
      </c>
      <c r="X134" s="21" t="str">
        <f t="shared" si="31"/>
        <v/>
      </c>
      <c r="Y134" s="60" t="str">
        <f t="shared" si="32"/>
        <v/>
      </c>
      <c r="Z134" s="60" t="str">
        <f t="shared" si="33"/>
        <v/>
      </c>
      <c r="AA134" s="64" t="str">
        <f t="shared" si="34"/>
        <v/>
      </c>
      <c r="AB134" s="64" t="str">
        <f>IF(AND(AA134&lt;&gt;"",AA134&lt;&gt;0), IF(E134="Muni", AA134, IF(E134 = "Corp", (1-'Investor Input'!$C$4-'Investor Input'!$C$5)*AA134, (1-'Investor Input'!$C$4)*AA134)), AA134)</f>
        <v/>
      </c>
      <c r="AC134" s="94" t="str">
        <f t="shared" si="35"/>
        <v/>
      </c>
      <c r="AD134" s="60" t="str">
        <f>IF(AND(M134&lt;&gt;"", M134&lt;&gt;0), N134/$N$505*MATCH(AC134,'Misc Lists'!$K$2:$K$25,0), "")</f>
        <v/>
      </c>
      <c r="AE134" s="90" t="str">
        <f t="shared" si="36"/>
        <v/>
      </c>
      <c r="AF134" s="99" t="str">
        <f>IF(AND(M134&lt;&gt;"", M134&lt;&gt;0), N134/$N$505*MATCH(AE134,'Misc Lists'!$L$2:$L$25,0), "")</f>
        <v/>
      </c>
    </row>
    <row r="135" spans="2:32" hidden="1" outlineLevel="1" x14ac:dyDescent="0.5">
      <c r="B135" s="60" t="str">
        <f ca="1"/>
        <v>26884ABL6</v>
      </c>
      <c r="C135" s="61" t="str">
        <f ca="1"/>
        <v>N/A</v>
      </c>
      <c r="D135" s="60" t="str">
        <f ca="1"/>
        <v>ERP OPER LTD        PARTNERSHIP NOTE    3.00000% 07/01/2029 CALL MAKE WHOLE</v>
      </c>
      <c r="E135" s="61" t="str">
        <f ca="1"/>
        <v>Corp</v>
      </c>
      <c r="F135" s="62">
        <f ca="1"/>
        <v>3</v>
      </c>
      <c r="G135" s="63">
        <f ca="1"/>
        <v>47300</v>
      </c>
      <c r="H135" s="61" t="str">
        <f ca="1"/>
        <v>A3</v>
      </c>
      <c r="I135" s="61" t="str">
        <f ca="1"/>
        <v>A-</v>
      </c>
      <c r="J135" s="64">
        <f ca="1"/>
        <v>93.364999999999995</v>
      </c>
      <c r="K135" s="17">
        <f ca="1"/>
        <v>4.7210000000000001</v>
      </c>
      <c r="L135" s="18" t="str">
        <f ca="1"/>
        <v>500(1)</v>
      </c>
      <c r="M135" s="83"/>
      <c r="N135" s="84" t="str">
        <f t="shared" si="37"/>
        <v/>
      </c>
      <c r="O135" s="20" t="str">
        <f t="shared" si="38"/>
        <v/>
      </c>
      <c r="P135" s="64" t="str">
        <f t="shared" si="39"/>
        <v/>
      </c>
      <c r="Q135" s="85" t="str">
        <f t="shared" ca="1" si="40"/>
        <v/>
      </c>
      <c r="R135" s="86" t="str">
        <f t="shared" si="41"/>
        <v/>
      </c>
      <c r="S135" s="86" t="str">
        <f t="shared" si="42"/>
        <v/>
      </c>
      <c r="T135" s="104" t="str">
        <f t="shared" si="43"/>
        <v/>
      </c>
      <c r="U135" s="19" t="str">
        <f>IF(AND(M135&lt;&gt;"",M135&lt;&gt;0), IF(E135 = "Muni", T135, IF(E135="Corp", T135*(1 -'Investor Input'!$C$4-'Investor Input'!$C$5), T135*(1 -'Investor Input'!$C$4))), T135)</f>
        <v/>
      </c>
      <c r="V135" s="84" t="str">
        <f t="shared" si="44"/>
        <v/>
      </c>
      <c r="W135" s="84" t="str">
        <f t="shared" si="30"/>
        <v/>
      </c>
      <c r="X135" s="21" t="str">
        <f t="shared" si="31"/>
        <v/>
      </c>
      <c r="Y135" s="60" t="str">
        <f t="shared" si="32"/>
        <v/>
      </c>
      <c r="Z135" s="60" t="str">
        <f t="shared" si="33"/>
        <v/>
      </c>
      <c r="AA135" s="64" t="str">
        <f t="shared" si="34"/>
        <v/>
      </c>
      <c r="AB135" s="64" t="str">
        <f>IF(AND(AA135&lt;&gt;"",AA135&lt;&gt;0), IF(E135="Muni", AA135, IF(E135 = "Corp", (1-'Investor Input'!$C$4-'Investor Input'!$C$5)*AA135, (1-'Investor Input'!$C$4)*AA135)), AA135)</f>
        <v/>
      </c>
      <c r="AC135" s="94" t="str">
        <f t="shared" si="35"/>
        <v/>
      </c>
      <c r="AD135" s="60" t="str">
        <f>IF(AND(M135&lt;&gt;"", M135&lt;&gt;0), N135/$N$505*MATCH(AC135,'Misc Lists'!$K$2:$K$25,0), "")</f>
        <v/>
      </c>
      <c r="AE135" s="90" t="str">
        <f t="shared" si="36"/>
        <v/>
      </c>
      <c r="AF135" s="99" t="str">
        <f>IF(AND(M135&lt;&gt;"", M135&lt;&gt;0), N135/$N$505*MATCH(AE135,'Misc Lists'!$L$2:$L$25,0), "")</f>
        <v/>
      </c>
    </row>
    <row r="136" spans="2:32" hidden="1" outlineLevel="1" x14ac:dyDescent="0.5">
      <c r="B136" s="60" t="str">
        <f ca="1"/>
        <v>438516CY0</v>
      </c>
      <c r="C136" s="61" t="str">
        <f ca="1"/>
        <v>N/A</v>
      </c>
      <c r="D136" s="60" t="str">
        <f ca="1"/>
        <v>HONEYWELL INTL INC  NOTE CALL MAKE WHOLE4.70000% 02/01/2030</v>
      </c>
      <c r="E136" s="61" t="str">
        <f ca="1"/>
        <v>Corp</v>
      </c>
      <c r="F136" s="62">
        <f ca="1"/>
        <v>4.7</v>
      </c>
      <c r="G136" s="63">
        <f ca="1"/>
        <v>47515</v>
      </c>
      <c r="H136" s="61" t="str">
        <f ca="1"/>
        <v>A2</v>
      </c>
      <c r="I136" s="61" t="str">
        <f ca="1"/>
        <v>A</v>
      </c>
      <c r="J136" s="64">
        <f ca="1"/>
        <v>99.905000000000001</v>
      </c>
      <c r="K136" s="17">
        <f ca="1"/>
        <v>4.7210000000000001</v>
      </c>
      <c r="L136" s="18" t="str">
        <f ca="1"/>
        <v>500(2)</v>
      </c>
      <c r="M136" s="83"/>
      <c r="N136" s="84" t="str">
        <f t="shared" si="37"/>
        <v/>
      </c>
      <c r="O136" s="20" t="str">
        <f t="shared" si="38"/>
        <v/>
      </c>
      <c r="P136" s="64" t="str">
        <f t="shared" si="39"/>
        <v/>
      </c>
      <c r="Q136" s="85" t="str">
        <f t="shared" ca="1" si="40"/>
        <v/>
      </c>
      <c r="R136" s="86" t="str">
        <f t="shared" si="41"/>
        <v/>
      </c>
      <c r="S136" s="86" t="str">
        <f t="shared" si="42"/>
        <v/>
      </c>
      <c r="T136" s="104" t="str">
        <f t="shared" si="43"/>
        <v/>
      </c>
      <c r="U136" s="19" t="str">
        <f>IF(AND(M136&lt;&gt;"",M136&lt;&gt;0), IF(E136 = "Muni", T136, IF(E136="Corp", T136*(1 -'Investor Input'!$C$4-'Investor Input'!$C$5), T136*(1 -'Investor Input'!$C$4))), T136)</f>
        <v/>
      </c>
      <c r="V136" s="84" t="str">
        <f t="shared" si="44"/>
        <v/>
      </c>
      <c r="W136" s="84" t="str">
        <f t="shared" si="30"/>
        <v/>
      </c>
      <c r="X136" s="21" t="str">
        <f t="shared" si="31"/>
        <v/>
      </c>
      <c r="Y136" s="60" t="str">
        <f t="shared" si="32"/>
        <v/>
      </c>
      <c r="Z136" s="60" t="str">
        <f t="shared" si="33"/>
        <v/>
      </c>
      <c r="AA136" s="64" t="str">
        <f t="shared" si="34"/>
        <v/>
      </c>
      <c r="AB136" s="64" t="str">
        <f>IF(AND(AA136&lt;&gt;"",AA136&lt;&gt;0), IF(E136="Muni", AA136, IF(E136 = "Corp", (1-'Investor Input'!$C$4-'Investor Input'!$C$5)*AA136, (1-'Investor Input'!$C$4)*AA136)), AA136)</f>
        <v/>
      </c>
      <c r="AC136" s="94" t="str">
        <f t="shared" si="35"/>
        <v/>
      </c>
      <c r="AD136" s="60" t="str">
        <f>IF(AND(M136&lt;&gt;"", M136&lt;&gt;0), N136/$N$505*MATCH(AC136,'Misc Lists'!$K$2:$K$25,0), "")</f>
        <v/>
      </c>
      <c r="AE136" s="90" t="str">
        <f t="shared" si="36"/>
        <v/>
      </c>
      <c r="AF136" s="99" t="str">
        <f>IF(AND(M136&lt;&gt;"", M136&lt;&gt;0), N136/$N$505*MATCH(AE136,'Misc Lists'!$L$2:$L$25,0), "")</f>
        <v/>
      </c>
    </row>
    <row r="137" spans="2:32" hidden="1" outlineLevel="1" x14ac:dyDescent="0.5">
      <c r="B137" s="60" t="str">
        <f ca="1"/>
        <v>68235PAN8</v>
      </c>
      <c r="C137" s="61" t="str">
        <f ca="1"/>
        <v>N/A</v>
      </c>
      <c r="D137" s="60" t="str">
        <f ca="1"/>
        <v>ONE GAS INC         NOTE CALL MAKE WHOLE5.10000% 04/01/2029</v>
      </c>
      <c r="E137" s="61" t="str">
        <f ca="1"/>
        <v>Corp</v>
      </c>
      <c r="F137" s="62">
        <f ca="1"/>
        <v>5.0999999999999996</v>
      </c>
      <c r="G137" s="63">
        <f ca="1"/>
        <v>47209</v>
      </c>
      <c r="H137" s="61" t="str">
        <f ca="1"/>
        <v>A3</v>
      </c>
      <c r="I137" s="61" t="str">
        <f ca="1"/>
        <v>A-</v>
      </c>
      <c r="J137" s="64">
        <f ca="1"/>
        <v>101.384</v>
      </c>
      <c r="K137" s="17">
        <f ca="1"/>
        <v>4.72</v>
      </c>
      <c r="L137" s="18" t="str">
        <f ca="1"/>
        <v>100(10)</v>
      </c>
      <c r="M137" s="83"/>
      <c r="N137" s="84" t="str">
        <f t="shared" si="37"/>
        <v/>
      </c>
      <c r="O137" s="20" t="str">
        <f t="shared" si="38"/>
        <v/>
      </c>
      <c r="P137" s="64" t="str">
        <f t="shared" si="39"/>
        <v/>
      </c>
      <c r="Q137" s="85" t="str">
        <f t="shared" ca="1" si="40"/>
        <v/>
      </c>
      <c r="R137" s="86" t="str">
        <f t="shared" si="41"/>
        <v/>
      </c>
      <c r="S137" s="86" t="str">
        <f t="shared" si="42"/>
        <v/>
      </c>
      <c r="T137" s="104" t="str">
        <f t="shared" si="43"/>
        <v/>
      </c>
      <c r="U137" s="19" t="str">
        <f>IF(AND(M137&lt;&gt;"",M137&lt;&gt;0), IF(E137 = "Muni", T137, IF(E137="Corp", T137*(1 -'Investor Input'!$C$4-'Investor Input'!$C$5), T137*(1 -'Investor Input'!$C$4))), T137)</f>
        <v/>
      </c>
      <c r="V137" s="84" t="str">
        <f t="shared" si="44"/>
        <v/>
      </c>
      <c r="W137" s="84" t="str">
        <f t="shared" si="30"/>
        <v/>
      </c>
      <c r="X137" s="21" t="str">
        <f t="shared" si="31"/>
        <v/>
      </c>
      <c r="Y137" s="60" t="str">
        <f t="shared" si="32"/>
        <v/>
      </c>
      <c r="Z137" s="60" t="str">
        <f t="shared" si="33"/>
        <v/>
      </c>
      <c r="AA137" s="64" t="str">
        <f t="shared" si="34"/>
        <v/>
      </c>
      <c r="AB137" s="64" t="str">
        <f>IF(AND(AA137&lt;&gt;"",AA137&lt;&gt;0), IF(E137="Muni", AA137, IF(E137 = "Corp", (1-'Investor Input'!$C$4-'Investor Input'!$C$5)*AA137, (1-'Investor Input'!$C$4)*AA137)), AA137)</f>
        <v/>
      </c>
      <c r="AC137" s="94" t="str">
        <f t="shared" si="35"/>
        <v/>
      </c>
      <c r="AD137" s="60" t="str">
        <f>IF(AND(M137&lt;&gt;"", M137&lt;&gt;0), N137/$N$505*MATCH(AC137,'Misc Lists'!$K$2:$K$25,0), "")</f>
        <v/>
      </c>
      <c r="AE137" s="90" t="str">
        <f t="shared" si="36"/>
        <v/>
      </c>
      <c r="AF137" s="99" t="str">
        <f>IF(AND(M137&lt;&gt;"", M137&lt;&gt;0), N137/$N$505*MATCH(AE137,'Misc Lists'!$L$2:$L$25,0), "")</f>
        <v/>
      </c>
    </row>
    <row r="138" spans="2:32" hidden="1" outlineLevel="1" x14ac:dyDescent="0.5">
      <c r="B138" s="60" t="str">
        <f ca="1"/>
        <v>17330R4N2</v>
      </c>
      <c r="C138" s="61" t="str">
        <f ca="1"/>
        <v>N/A</v>
      </c>
      <c r="D138" s="60" t="str">
        <f ca="1"/>
        <v>CITIGROUP GLOBAL    MKTS HLDGS IN SER N 4.70000% 08/30/2029 MTN</v>
      </c>
      <c r="E138" s="61" t="str">
        <f ca="1"/>
        <v>Corp</v>
      </c>
      <c r="F138" s="62">
        <f ca="1"/>
        <v>4.7</v>
      </c>
      <c r="G138" s="63">
        <f ca="1"/>
        <v>47360</v>
      </c>
      <c r="H138" s="61" t="str">
        <f ca="1"/>
        <v>A2</v>
      </c>
      <c r="I138" s="61" t="str">
        <f ca="1"/>
        <v>A</v>
      </c>
      <c r="J138" s="64">
        <f ca="1"/>
        <v>99.917000000000002</v>
      </c>
      <c r="K138" s="17">
        <f ca="1"/>
        <v>4.72</v>
      </c>
      <c r="L138" s="18" t="str">
        <f ca="1"/>
        <v>5(5)</v>
      </c>
      <c r="M138" s="83"/>
      <c r="N138" s="84" t="str">
        <f t="shared" si="37"/>
        <v/>
      </c>
      <c r="O138" s="20" t="str">
        <f t="shared" si="38"/>
        <v/>
      </c>
      <c r="P138" s="64" t="str">
        <f t="shared" si="39"/>
        <v/>
      </c>
      <c r="Q138" s="85" t="str">
        <f t="shared" ca="1" si="40"/>
        <v/>
      </c>
      <c r="R138" s="86" t="str">
        <f t="shared" si="41"/>
        <v/>
      </c>
      <c r="S138" s="86" t="str">
        <f t="shared" si="42"/>
        <v/>
      </c>
      <c r="T138" s="104" t="str">
        <f t="shared" si="43"/>
        <v/>
      </c>
      <c r="U138" s="19" t="str">
        <f>IF(AND(M138&lt;&gt;"",M138&lt;&gt;0), IF(E138 = "Muni", T138, IF(E138="Corp", T138*(1 -'Investor Input'!$C$4-'Investor Input'!$C$5), T138*(1 -'Investor Input'!$C$4))), T138)</f>
        <v/>
      </c>
      <c r="V138" s="84" t="str">
        <f t="shared" si="44"/>
        <v/>
      </c>
      <c r="W138" s="84" t="str">
        <f t="shared" si="30"/>
        <v/>
      </c>
      <c r="X138" s="21" t="str">
        <f t="shared" si="31"/>
        <v/>
      </c>
      <c r="Y138" s="60" t="str">
        <f t="shared" si="32"/>
        <v/>
      </c>
      <c r="Z138" s="60" t="str">
        <f t="shared" si="33"/>
        <v/>
      </c>
      <c r="AA138" s="64" t="str">
        <f t="shared" si="34"/>
        <v/>
      </c>
      <c r="AB138" s="64" t="str">
        <f>IF(AND(AA138&lt;&gt;"",AA138&lt;&gt;0), IF(E138="Muni", AA138, IF(E138 = "Corp", (1-'Investor Input'!$C$4-'Investor Input'!$C$5)*AA138, (1-'Investor Input'!$C$4)*AA138)), AA138)</f>
        <v/>
      </c>
      <c r="AC138" s="94" t="str">
        <f t="shared" si="35"/>
        <v/>
      </c>
      <c r="AD138" s="60" t="str">
        <f>IF(AND(M138&lt;&gt;"", M138&lt;&gt;0), N138/$N$505*MATCH(AC138,'Misc Lists'!$K$2:$K$25,0), "")</f>
        <v/>
      </c>
      <c r="AE138" s="90" t="str">
        <f t="shared" si="36"/>
        <v/>
      </c>
      <c r="AF138" s="99" t="str">
        <f>IF(AND(M138&lt;&gt;"", M138&lt;&gt;0), N138/$N$505*MATCH(AE138,'Misc Lists'!$L$2:$L$25,0), "")</f>
        <v/>
      </c>
    </row>
    <row r="139" spans="2:32" hidden="1" outlineLevel="1" x14ac:dyDescent="0.5">
      <c r="B139" s="60" t="str">
        <f ca="1"/>
        <v>828807DF1</v>
      </c>
      <c r="C139" s="61" t="str">
        <f ca="1"/>
        <v>N/A</v>
      </c>
      <c r="D139" s="60" t="str">
        <f ca="1"/>
        <v>SIMON PPTY GROUP LP NOTE CALL MAKE WHOLE2.45000% 09/13/2029</v>
      </c>
      <c r="E139" s="61" t="str">
        <f ca="1"/>
        <v>Corp</v>
      </c>
      <c r="F139" s="62">
        <f ca="1"/>
        <v>2.4500000000000002</v>
      </c>
      <c r="G139" s="63">
        <f ca="1"/>
        <v>47374</v>
      </c>
      <c r="H139" s="61" t="str">
        <f ca="1"/>
        <v>A3</v>
      </c>
      <c r="I139" s="61" t="str">
        <f ca="1"/>
        <v>A-</v>
      </c>
      <c r="J139" s="64">
        <f ca="1"/>
        <v>90.888999999999996</v>
      </c>
      <c r="K139" s="17">
        <f ca="1"/>
        <v>4.72</v>
      </c>
      <c r="L139" s="18" t="str">
        <f ca="1"/>
        <v>150(10)</v>
      </c>
      <c r="M139" s="83"/>
      <c r="N139" s="84" t="str">
        <f t="shared" si="37"/>
        <v/>
      </c>
      <c r="O139" s="20" t="str">
        <f t="shared" si="38"/>
        <v/>
      </c>
      <c r="P139" s="64" t="str">
        <f t="shared" si="39"/>
        <v/>
      </c>
      <c r="Q139" s="85" t="str">
        <f t="shared" ca="1" si="40"/>
        <v/>
      </c>
      <c r="R139" s="86" t="str">
        <f t="shared" si="41"/>
        <v/>
      </c>
      <c r="S139" s="86" t="str">
        <f t="shared" si="42"/>
        <v/>
      </c>
      <c r="T139" s="104" t="str">
        <f t="shared" si="43"/>
        <v/>
      </c>
      <c r="U139" s="19" t="str">
        <f>IF(AND(M139&lt;&gt;"",M139&lt;&gt;0), IF(E139 = "Muni", T139, IF(E139="Corp", T139*(1 -'Investor Input'!$C$4-'Investor Input'!$C$5), T139*(1 -'Investor Input'!$C$4))), T139)</f>
        <v/>
      </c>
      <c r="V139" s="84" t="str">
        <f t="shared" si="44"/>
        <v/>
      </c>
      <c r="W139" s="84" t="str">
        <f t="shared" si="30"/>
        <v/>
      </c>
      <c r="X139" s="21" t="str">
        <f t="shared" si="31"/>
        <v/>
      </c>
      <c r="Y139" s="60" t="str">
        <f t="shared" si="32"/>
        <v/>
      </c>
      <c r="Z139" s="60" t="str">
        <f t="shared" si="33"/>
        <v/>
      </c>
      <c r="AA139" s="64" t="str">
        <f t="shared" si="34"/>
        <v/>
      </c>
      <c r="AB139" s="64" t="str">
        <f>IF(AND(AA139&lt;&gt;"",AA139&lt;&gt;0), IF(E139="Muni", AA139, IF(E139 = "Corp", (1-'Investor Input'!$C$4-'Investor Input'!$C$5)*AA139, (1-'Investor Input'!$C$4)*AA139)), AA139)</f>
        <v/>
      </c>
      <c r="AC139" s="94" t="str">
        <f t="shared" si="35"/>
        <v/>
      </c>
      <c r="AD139" s="60" t="str">
        <f>IF(AND(M139&lt;&gt;"", M139&lt;&gt;0), N139/$N$505*MATCH(AC139,'Misc Lists'!$K$2:$K$25,0), "")</f>
        <v/>
      </c>
      <c r="AE139" s="90" t="str">
        <f t="shared" si="36"/>
        <v/>
      </c>
      <c r="AF139" s="99" t="str">
        <f>IF(AND(M139&lt;&gt;"", M139&lt;&gt;0), N139/$N$505*MATCH(AE139,'Misc Lists'!$L$2:$L$25,0), "")</f>
        <v/>
      </c>
    </row>
    <row r="140" spans="2:32" hidden="1" outlineLevel="1" x14ac:dyDescent="0.5">
      <c r="B140" s="60" t="str">
        <f ca="1"/>
        <v>373334KY6</v>
      </c>
      <c r="C140" s="61" t="str">
        <f ca="1"/>
        <v>N/A</v>
      </c>
      <c r="D140" s="60" t="str">
        <f ca="1"/>
        <v>GEORGIA PWR CO      SER 2024D NOTE      4.55000% 03/15/2030 CALL MAKE WHOLE</v>
      </c>
      <c r="E140" s="61" t="str">
        <f ca="1"/>
        <v>Corp</v>
      </c>
      <c r="F140" s="62">
        <f ca="1"/>
        <v>4.55</v>
      </c>
      <c r="G140" s="63">
        <f ca="1"/>
        <v>47557</v>
      </c>
      <c r="H140" s="61" t="str">
        <f ca="1"/>
        <v>A3</v>
      </c>
      <c r="I140" s="61" t="str">
        <f ca="1"/>
        <v>A</v>
      </c>
      <c r="J140" s="64">
        <f ca="1"/>
        <v>99.221000000000004</v>
      </c>
      <c r="K140" s="17">
        <f ca="1"/>
        <v>4.72</v>
      </c>
      <c r="L140" s="18" t="str">
        <f ca="1"/>
        <v>200(2)</v>
      </c>
      <c r="M140" s="83"/>
      <c r="N140" s="84" t="str">
        <f t="shared" si="37"/>
        <v/>
      </c>
      <c r="O140" s="20" t="str">
        <f t="shared" si="38"/>
        <v/>
      </c>
      <c r="P140" s="64" t="str">
        <f t="shared" si="39"/>
        <v/>
      </c>
      <c r="Q140" s="85" t="str">
        <f t="shared" ca="1" si="40"/>
        <v/>
      </c>
      <c r="R140" s="86" t="str">
        <f t="shared" si="41"/>
        <v/>
      </c>
      <c r="S140" s="86" t="str">
        <f t="shared" si="42"/>
        <v/>
      </c>
      <c r="T140" s="104" t="str">
        <f t="shared" si="43"/>
        <v/>
      </c>
      <c r="U140" s="19" t="str">
        <f>IF(AND(M140&lt;&gt;"",M140&lt;&gt;0), IF(E140 = "Muni", T140, IF(E140="Corp", T140*(1 -'Investor Input'!$C$4-'Investor Input'!$C$5), T140*(1 -'Investor Input'!$C$4))), T140)</f>
        <v/>
      </c>
      <c r="V140" s="84" t="str">
        <f t="shared" si="44"/>
        <v/>
      </c>
      <c r="W140" s="84" t="str">
        <f t="shared" si="30"/>
        <v/>
      </c>
      <c r="X140" s="21" t="str">
        <f t="shared" si="31"/>
        <v/>
      </c>
      <c r="Y140" s="60" t="str">
        <f t="shared" si="32"/>
        <v/>
      </c>
      <c r="Z140" s="60" t="str">
        <f t="shared" si="33"/>
        <v/>
      </c>
      <c r="AA140" s="64" t="str">
        <f t="shared" si="34"/>
        <v/>
      </c>
      <c r="AB140" s="64" t="str">
        <f>IF(AND(AA140&lt;&gt;"",AA140&lt;&gt;0), IF(E140="Muni", AA140, IF(E140 = "Corp", (1-'Investor Input'!$C$4-'Investor Input'!$C$5)*AA140, (1-'Investor Input'!$C$4)*AA140)), AA140)</f>
        <v/>
      </c>
      <c r="AC140" s="94" t="str">
        <f t="shared" si="35"/>
        <v/>
      </c>
      <c r="AD140" s="60" t="str">
        <f>IF(AND(M140&lt;&gt;"", M140&lt;&gt;0), N140/$N$505*MATCH(AC140,'Misc Lists'!$K$2:$K$25,0), "")</f>
        <v/>
      </c>
      <c r="AE140" s="90" t="str">
        <f t="shared" si="36"/>
        <v/>
      </c>
      <c r="AF140" s="99" t="str">
        <f>IF(AND(M140&lt;&gt;"", M140&lt;&gt;0), N140/$N$505*MATCH(AE140,'Misc Lists'!$L$2:$L$25,0), "")</f>
        <v/>
      </c>
    </row>
    <row r="141" spans="2:32" hidden="1" outlineLevel="1" x14ac:dyDescent="0.5">
      <c r="B141" s="60" t="str">
        <f ca="1"/>
        <v>718172CW7</v>
      </c>
      <c r="C141" s="61" t="str">
        <f ca="1"/>
        <v>N/A</v>
      </c>
      <c r="D141" s="60" t="str">
        <f ca="1"/>
        <v>PHILIP MORRIS INTL  INC NOTE            5.62500% 11/17/2029 CALL MAKE WHOLE</v>
      </c>
      <c r="E141" s="61" t="str">
        <f ca="1"/>
        <v>Corp</v>
      </c>
      <c r="F141" s="62">
        <f ca="1"/>
        <v>5.625</v>
      </c>
      <c r="G141" s="63">
        <f ca="1"/>
        <v>47439</v>
      </c>
      <c r="H141" s="61" t="str">
        <f ca="1"/>
        <v>A2</v>
      </c>
      <c r="I141" s="61" t="str">
        <f ca="1"/>
        <v>A-</v>
      </c>
      <c r="J141" s="64">
        <f ca="1"/>
        <v>103.768</v>
      </c>
      <c r="K141" s="17">
        <f ca="1"/>
        <v>4.7169999999999996</v>
      </c>
      <c r="L141" s="18" t="str">
        <f ca="1"/>
        <v>500(2)</v>
      </c>
      <c r="M141" s="83"/>
      <c r="N141" s="84" t="str">
        <f t="shared" si="37"/>
        <v/>
      </c>
      <c r="O141" s="20" t="str">
        <f t="shared" si="38"/>
        <v/>
      </c>
      <c r="P141" s="64" t="str">
        <f t="shared" si="39"/>
        <v/>
      </c>
      <c r="Q141" s="85" t="str">
        <f t="shared" ca="1" si="40"/>
        <v/>
      </c>
      <c r="R141" s="86" t="str">
        <f t="shared" si="41"/>
        <v/>
      </c>
      <c r="S141" s="86" t="str">
        <f t="shared" si="42"/>
        <v/>
      </c>
      <c r="T141" s="104" t="str">
        <f t="shared" si="43"/>
        <v/>
      </c>
      <c r="U141" s="19" t="str">
        <f>IF(AND(M141&lt;&gt;"",M141&lt;&gt;0), IF(E141 = "Muni", T141, IF(E141="Corp", T141*(1 -'Investor Input'!$C$4-'Investor Input'!$C$5), T141*(1 -'Investor Input'!$C$4))), T141)</f>
        <v/>
      </c>
      <c r="V141" s="84" t="str">
        <f t="shared" si="44"/>
        <v/>
      </c>
      <c r="W141" s="84" t="str">
        <f t="shared" si="30"/>
        <v/>
      </c>
      <c r="X141" s="21" t="str">
        <f t="shared" si="31"/>
        <v/>
      </c>
      <c r="Y141" s="60" t="str">
        <f t="shared" si="32"/>
        <v/>
      </c>
      <c r="Z141" s="60" t="str">
        <f t="shared" si="33"/>
        <v/>
      </c>
      <c r="AA141" s="64" t="str">
        <f t="shared" si="34"/>
        <v/>
      </c>
      <c r="AB141" s="64" t="str">
        <f>IF(AND(AA141&lt;&gt;"",AA141&lt;&gt;0), IF(E141="Muni", AA141, IF(E141 = "Corp", (1-'Investor Input'!$C$4-'Investor Input'!$C$5)*AA141, (1-'Investor Input'!$C$4)*AA141)), AA141)</f>
        <v/>
      </c>
      <c r="AC141" s="94" t="str">
        <f t="shared" si="35"/>
        <v/>
      </c>
      <c r="AD141" s="60" t="str">
        <f>IF(AND(M141&lt;&gt;"", M141&lt;&gt;0), N141/$N$505*MATCH(AC141,'Misc Lists'!$K$2:$K$25,0), "")</f>
        <v/>
      </c>
      <c r="AE141" s="90" t="str">
        <f t="shared" si="36"/>
        <v/>
      </c>
      <c r="AF141" s="99" t="str">
        <f>IF(AND(M141&lt;&gt;"", M141&lt;&gt;0), N141/$N$505*MATCH(AE141,'Misc Lists'!$L$2:$L$25,0), "")</f>
        <v/>
      </c>
    </row>
    <row r="142" spans="2:32" hidden="1" outlineLevel="1" x14ac:dyDescent="0.5">
      <c r="B142" s="60" t="str">
        <f ca="1"/>
        <v>67021CAN7</v>
      </c>
      <c r="C142" s="61" t="str">
        <f ca="1"/>
        <v>N/A</v>
      </c>
      <c r="D142" s="60" t="str">
        <f ca="1"/>
        <v>NSTAR ELEC CO       BOND CALL MAKE WHOLE3.25000% 05/15/2029</v>
      </c>
      <c r="E142" s="61" t="str">
        <f ca="1"/>
        <v>Corp</v>
      </c>
      <c r="F142" s="62">
        <f ca="1"/>
        <v>3.25</v>
      </c>
      <c r="G142" s="63">
        <f ca="1"/>
        <v>47253</v>
      </c>
      <c r="H142" s="61" t="str">
        <f ca="1"/>
        <v>A2</v>
      </c>
      <c r="I142" s="61" t="str">
        <f ca="1"/>
        <v>A-</v>
      </c>
      <c r="J142" s="64">
        <f ca="1"/>
        <v>94.503</v>
      </c>
      <c r="K142" s="17">
        <f ca="1"/>
        <v>4.7149999999999999</v>
      </c>
      <c r="L142" s="18" t="str">
        <f ca="1"/>
        <v>100(9)</v>
      </c>
      <c r="M142" s="83"/>
      <c r="N142" s="84" t="str">
        <f t="shared" si="37"/>
        <v/>
      </c>
      <c r="O142" s="20" t="str">
        <f t="shared" si="38"/>
        <v/>
      </c>
      <c r="P142" s="64" t="str">
        <f t="shared" si="39"/>
        <v/>
      </c>
      <c r="Q142" s="85" t="str">
        <f t="shared" ca="1" si="40"/>
        <v/>
      </c>
      <c r="R142" s="86" t="str">
        <f t="shared" si="41"/>
        <v/>
      </c>
      <c r="S142" s="86" t="str">
        <f t="shared" si="42"/>
        <v/>
      </c>
      <c r="T142" s="104" t="str">
        <f t="shared" si="43"/>
        <v/>
      </c>
      <c r="U142" s="19" t="str">
        <f>IF(AND(M142&lt;&gt;"",M142&lt;&gt;0), IF(E142 = "Muni", T142, IF(E142="Corp", T142*(1 -'Investor Input'!$C$4-'Investor Input'!$C$5), T142*(1 -'Investor Input'!$C$4))), T142)</f>
        <v/>
      </c>
      <c r="V142" s="84" t="str">
        <f t="shared" si="44"/>
        <v/>
      </c>
      <c r="W142" s="84" t="str">
        <f t="shared" si="30"/>
        <v/>
      </c>
      <c r="X142" s="21" t="str">
        <f t="shared" si="31"/>
        <v/>
      </c>
      <c r="Y142" s="60" t="str">
        <f t="shared" si="32"/>
        <v/>
      </c>
      <c r="Z142" s="60" t="str">
        <f t="shared" si="33"/>
        <v/>
      </c>
      <c r="AA142" s="64" t="str">
        <f t="shared" si="34"/>
        <v/>
      </c>
      <c r="AB142" s="64" t="str">
        <f>IF(AND(AA142&lt;&gt;"",AA142&lt;&gt;0), IF(E142="Muni", AA142, IF(E142 = "Corp", (1-'Investor Input'!$C$4-'Investor Input'!$C$5)*AA142, (1-'Investor Input'!$C$4)*AA142)), AA142)</f>
        <v/>
      </c>
      <c r="AC142" s="94" t="str">
        <f t="shared" si="35"/>
        <v/>
      </c>
      <c r="AD142" s="60" t="str">
        <f>IF(AND(M142&lt;&gt;"", M142&lt;&gt;0), N142/$N$505*MATCH(AC142,'Misc Lists'!$K$2:$K$25,0), "")</f>
        <v/>
      </c>
      <c r="AE142" s="90" t="str">
        <f t="shared" si="36"/>
        <v/>
      </c>
      <c r="AF142" s="99" t="str">
        <f>IF(AND(M142&lt;&gt;"", M142&lt;&gt;0), N142/$N$505*MATCH(AE142,'Misc Lists'!$L$2:$L$25,0), "")</f>
        <v/>
      </c>
    </row>
    <row r="143" spans="2:32" hidden="1" outlineLevel="1" x14ac:dyDescent="0.5">
      <c r="B143" s="60" t="str">
        <f ca="1"/>
        <v>032095AJ0</v>
      </c>
      <c r="C143" s="61" t="str">
        <f ca="1"/>
        <v>N/A</v>
      </c>
      <c r="D143" s="60" t="str">
        <f ca="1"/>
        <v>AMPHENOL CORP       NOTE CALL MAKE WHOLE2.80000% 02/15/2030</v>
      </c>
      <c r="E143" s="61" t="str">
        <f ca="1"/>
        <v>Corp</v>
      </c>
      <c r="F143" s="62">
        <f ca="1"/>
        <v>2.8</v>
      </c>
      <c r="G143" s="63">
        <f ca="1"/>
        <v>47529</v>
      </c>
      <c r="H143" s="61" t="str">
        <f ca="1"/>
        <v>A3</v>
      </c>
      <c r="I143" s="61" t="str">
        <f ca="1"/>
        <v>A-</v>
      </c>
      <c r="J143" s="64">
        <f ca="1"/>
        <v>91.668999999999997</v>
      </c>
      <c r="K143" s="17">
        <f ca="1"/>
        <v>4.7149999999999999</v>
      </c>
      <c r="L143" s="18" t="str">
        <f ca="1"/>
        <v>500(2)</v>
      </c>
      <c r="M143" s="83"/>
      <c r="N143" s="84" t="str">
        <f t="shared" si="37"/>
        <v/>
      </c>
      <c r="O143" s="20" t="str">
        <f t="shared" si="38"/>
        <v/>
      </c>
      <c r="P143" s="64" t="str">
        <f t="shared" si="39"/>
        <v/>
      </c>
      <c r="Q143" s="85" t="str">
        <f t="shared" ca="1" si="40"/>
        <v/>
      </c>
      <c r="R143" s="86" t="str">
        <f t="shared" si="41"/>
        <v/>
      </c>
      <c r="S143" s="86" t="str">
        <f t="shared" si="42"/>
        <v/>
      </c>
      <c r="T143" s="104" t="str">
        <f t="shared" si="43"/>
        <v/>
      </c>
      <c r="U143" s="19" t="str">
        <f>IF(AND(M143&lt;&gt;"",M143&lt;&gt;0), IF(E143 = "Muni", T143, IF(E143="Corp", T143*(1 -'Investor Input'!$C$4-'Investor Input'!$C$5), T143*(1 -'Investor Input'!$C$4))), T143)</f>
        <v/>
      </c>
      <c r="V143" s="84" t="str">
        <f t="shared" si="44"/>
        <v/>
      </c>
      <c r="W143" s="84" t="str">
        <f t="shared" si="30"/>
        <v/>
      </c>
      <c r="X143" s="21" t="str">
        <f t="shared" si="31"/>
        <v/>
      </c>
      <c r="Y143" s="60" t="str">
        <f t="shared" si="32"/>
        <v/>
      </c>
      <c r="Z143" s="60" t="str">
        <f t="shared" si="33"/>
        <v/>
      </c>
      <c r="AA143" s="64" t="str">
        <f t="shared" si="34"/>
        <v/>
      </c>
      <c r="AB143" s="64" t="str">
        <f>IF(AND(AA143&lt;&gt;"",AA143&lt;&gt;0), IF(E143="Muni", AA143, IF(E143 = "Corp", (1-'Investor Input'!$C$4-'Investor Input'!$C$5)*AA143, (1-'Investor Input'!$C$4)*AA143)), AA143)</f>
        <v/>
      </c>
      <c r="AC143" s="94" t="str">
        <f t="shared" si="35"/>
        <v/>
      </c>
      <c r="AD143" s="60" t="str">
        <f>IF(AND(M143&lt;&gt;"", M143&lt;&gt;0), N143/$N$505*MATCH(AC143,'Misc Lists'!$K$2:$K$25,0), "")</f>
        <v/>
      </c>
      <c r="AE143" s="90" t="str">
        <f t="shared" si="36"/>
        <v/>
      </c>
      <c r="AF143" s="99" t="str">
        <f>IF(AND(M143&lt;&gt;"", M143&lt;&gt;0), N143/$N$505*MATCH(AE143,'Misc Lists'!$L$2:$L$25,0), "")</f>
        <v/>
      </c>
    </row>
    <row r="144" spans="2:32" hidden="1" outlineLevel="1" x14ac:dyDescent="0.5">
      <c r="B144" s="60" t="str">
        <f ca="1"/>
        <v>05964HAR6</v>
      </c>
      <c r="C144" s="61" t="str">
        <f ca="1"/>
        <v>N/A</v>
      </c>
      <c r="D144" s="60" t="str">
        <f ca="1"/>
        <v>BANCO SANTANDER S.A.SER 164 NOTE        5.14700% 08/18/2025</v>
      </c>
      <c r="E144" s="61" t="str">
        <f ca="1"/>
        <v>Corp</v>
      </c>
      <c r="F144" s="62">
        <f ca="1"/>
        <v>5.1470000000000002</v>
      </c>
      <c r="G144" s="63">
        <f ca="1"/>
        <v>45887</v>
      </c>
      <c r="H144" s="61" t="str">
        <f ca="1"/>
        <v>BAA1</v>
      </c>
      <c r="I144" s="61" t="str">
        <f ca="1"/>
        <v>A-</v>
      </c>
      <c r="J144" s="64">
        <f ca="1"/>
        <v>100.17700000000001</v>
      </c>
      <c r="K144" s="17">
        <f ca="1"/>
        <v>4.7140000000000004</v>
      </c>
      <c r="L144" s="18" t="str">
        <f ca="1"/>
        <v>240(240)</v>
      </c>
      <c r="M144" s="83"/>
      <c r="N144" s="84" t="str">
        <f t="shared" si="37"/>
        <v/>
      </c>
      <c r="O144" s="20" t="str">
        <f t="shared" si="38"/>
        <v/>
      </c>
      <c r="P144" s="64" t="str">
        <f t="shared" si="39"/>
        <v/>
      </c>
      <c r="Q144" s="85" t="str">
        <f t="shared" ca="1" si="40"/>
        <v/>
      </c>
      <c r="R144" s="86" t="str">
        <f t="shared" si="41"/>
        <v/>
      </c>
      <c r="S144" s="86" t="str">
        <f t="shared" si="42"/>
        <v/>
      </c>
      <c r="T144" s="104" t="str">
        <f t="shared" si="43"/>
        <v/>
      </c>
      <c r="U144" s="19" t="str">
        <f>IF(AND(M144&lt;&gt;"",M144&lt;&gt;0), IF(E144 = "Muni", T144, IF(E144="Corp", T144*(1 -'Investor Input'!$C$4-'Investor Input'!$C$5), T144*(1 -'Investor Input'!$C$4))), T144)</f>
        <v/>
      </c>
      <c r="V144" s="84" t="str">
        <f t="shared" si="44"/>
        <v/>
      </c>
      <c r="W144" s="84" t="str">
        <f t="shared" si="30"/>
        <v/>
      </c>
      <c r="X144" s="21" t="str">
        <f t="shared" si="31"/>
        <v/>
      </c>
      <c r="Y144" s="60" t="str">
        <f t="shared" si="32"/>
        <v/>
      </c>
      <c r="Z144" s="60" t="str">
        <f t="shared" si="33"/>
        <v/>
      </c>
      <c r="AA144" s="64" t="str">
        <f t="shared" si="34"/>
        <v/>
      </c>
      <c r="AB144" s="64" t="str">
        <f>IF(AND(AA144&lt;&gt;"",AA144&lt;&gt;0), IF(E144="Muni", AA144, IF(E144 = "Corp", (1-'Investor Input'!$C$4-'Investor Input'!$C$5)*AA144, (1-'Investor Input'!$C$4)*AA144)), AA144)</f>
        <v/>
      </c>
      <c r="AC144" s="94" t="str">
        <f t="shared" si="35"/>
        <v/>
      </c>
      <c r="AD144" s="60" t="str">
        <f>IF(AND(M144&lt;&gt;"", M144&lt;&gt;0), N144/$N$505*MATCH(AC144,'Misc Lists'!$K$2:$K$25,0), "")</f>
        <v/>
      </c>
      <c r="AE144" s="90" t="str">
        <f t="shared" si="36"/>
        <v/>
      </c>
      <c r="AF144" s="99" t="str">
        <f>IF(AND(M144&lt;&gt;"", M144&lt;&gt;0), N144/$N$505*MATCH(AE144,'Misc Lists'!$L$2:$L$25,0), "")</f>
        <v/>
      </c>
    </row>
    <row r="145" spans="2:32" hidden="1" outlineLevel="1" x14ac:dyDescent="0.5">
      <c r="B145" s="60" t="str">
        <f ca="1"/>
        <v>05964HAU9</v>
      </c>
      <c r="C145" s="61" t="str">
        <f ca="1"/>
        <v>N/A</v>
      </c>
      <c r="D145" s="60" t="str">
        <f ca="1"/>
        <v>BANCO SANTANDER S.A.SER SP-179 NOTE     5.58800% 08/08/2028</v>
      </c>
      <c r="E145" s="61" t="str">
        <f ca="1"/>
        <v>Corp</v>
      </c>
      <c r="F145" s="62">
        <f ca="1"/>
        <v>5.5880000000000001</v>
      </c>
      <c r="G145" s="63">
        <f ca="1"/>
        <v>46973</v>
      </c>
      <c r="H145" s="61" t="str">
        <f ca="1"/>
        <v>A2</v>
      </c>
      <c r="I145" s="61" t="str">
        <f ca="1"/>
        <v>A+</v>
      </c>
      <c r="J145" s="64">
        <f ca="1"/>
        <v>102.71599999999999</v>
      </c>
      <c r="K145" s="17">
        <f ca="1"/>
        <v>4.7140000000000004</v>
      </c>
      <c r="L145" s="18" t="str">
        <f ca="1"/>
        <v>475(200)</v>
      </c>
      <c r="M145" s="83"/>
      <c r="N145" s="84" t="str">
        <f t="shared" si="37"/>
        <v/>
      </c>
      <c r="O145" s="20" t="str">
        <f t="shared" si="38"/>
        <v/>
      </c>
      <c r="P145" s="64" t="str">
        <f t="shared" si="39"/>
        <v/>
      </c>
      <c r="Q145" s="85" t="str">
        <f t="shared" ca="1" si="40"/>
        <v/>
      </c>
      <c r="R145" s="86" t="str">
        <f t="shared" si="41"/>
        <v/>
      </c>
      <c r="S145" s="86" t="str">
        <f t="shared" si="42"/>
        <v/>
      </c>
      <c r="T145" s="104" t="str">
        <f t="shared" si="43"/>
        <v/>
      </c>
      <c r="U145" s="19" t="str">
        <f>IF(AND(M145&lt;&gt;"",M145&lt;&gt;0), IF(E145 = "Muni", T145, IF(E145="Corp", T145*(1 -'Investor Input'!$C$4-'Investor Input'!$C$5), T145*(1 -'Investor Input'!$C$4))), T145)</f>
        <v/>
      </c>
      <c r="V145" s="84" t="str">
        <f t="shared" si="44"/>
        <v/>
      </c>
      <c r="W145" s="84" t="str">
        <f t="shared" si="30"/>
        <v/>
      </c>
      <c r="X145" s="21" t="str">
        <f t="shared" si="31"/>
        <v/>
      </c>
      <c r="Y145" s="60" t="str">
        <f t="shared" si="32"/>
        <v/>
      </c>
      <c r="Z145" s="60" t="str">
        <f t="shared" si="33"/>
        <v/>
      </c>
      <c r="AA145" s="64" t="str">
        <f t="shared" si="34"/>
        <v/>
      </c>
      <c r="AB145" s="64" t="str">
        <f>IF(AND(AA145&lt;&gt;"",AA145&lt;&gt;0), IF(E145="Muni", AA145, IF(E145 = "Corp", (1-'Investor Input'!$C$4-'Investor Input'!$C$5)*AA145, (1-'Investor Input'!$C$4)*AA145)), AA145)</f>
        <v/>
      </c>
      <c r="AC145" s="94" t="str">
        <f t="shared" si="35"/>
        <v/>
      </c>
      <c r="AD145" s="60" t="str">
        <f>IF(AND(M145&lt;&gt;"", M145&lt;&gt;0), N145/$N$505*MATCH(AC145,'Misc Lists'!$K$2:$K$25,0), "")</f>
        <v/>
      </c>
      <c r="AE145" s="90" t="str">
        <f t="shared" si="36"/>
        <v/>
      </c>
      <c r="AF145" s="99" t="str">
        <f>IF(AND(M145&lt;&gt;"", M145&lt;&gt;0), N145/$N$505*MATCH(AE145,'Misc Lists'!$L$2:$L$25,0), "")</f>
        <v/>
      </c>
    </row>
    <row r="146" spans="2:32" hidden="1" outlineLevel="1" x14ac:dyDescent="0.5">
      <c r="B146" s="60" t="str">
        <f ca="1"/>
        <v>036752AL7</v>
      </c>
      <c r="C146" s="61" t="str">
        <f ca="1"/>
        <v>N/A</v>
      </c>
      <c r="D146" s="60" t="str">
        <f ca="1"/>
        <v>ELEVANCE HEALTH INC NOTE CALL MAKE WHOLE2.87500% 09/15/2029</v>
      </c>
      <c r="E146" s="61" t="str">
        <f ca="1"/>
        <v>Corp</v>
      </c>
      <c r="F146" s="62">
        <f ca="1"/>
        <v>2.875</v>
      </c>
      <c r="G146" s="63">
        <f ca="1"/>
        <v>47376</v>
      </c>
      <c r="H146" s="61" t="str">
        <f ca="1"/>
        <v>BAA2</v>
      </c>
      <c r="I146" s="61" t="str">
        <f ca="1"/>
        <v>A</v>
      </c>
      <c r="J146" s="64">
        <f ca="1"/>
        <v>92.608999999999995</v>
      </c>
      <c r="K146" s="17">
        <f ca="1"/>
        <v>4.7140000000000004</v>
      </c>
      <c r="L146" s="18" t="str">
        <f ca="1"/>
        <v>500(1)</v>
      </c>
      <c r="M146" s="83"/>
      <c r="N146" s="84" t="str">
        <f t="shared" si="37"/>
        <v/>
      </c>
      <c r="O146" s="20" t="str">
        <f t="shared" si="38"/>
        <v/>
      </c>
      <c r="P146" s="64" t="str">
        <f t="shared" si="39"/>
        <v/>
      </c>
      <c r="Q146" s="85" t="str">
        <f t="shared" ca="1" si="40"/>
        <v/>
      </c>
      <c r="R146" s="86" t="str">
        <f t="shared" si="41"/>
        <v/>
      </c>
      <c r="S146" s="86" t="str">
        <f t="shared" si="42"/>
        <v/>
      </c>
      <c r="T146" s="104" t="str">
        <f t="shared" si="43"/>
        <v/>
      </c>
      <c r="U146" s="19" t="str">
        <f>IF(AND(M146&lt;&gt;"",M146&lt;&gt;0), IF(E146 = "Muni", T146, IF(E146="Corp", T146*(1 -'Investor Input'!$C$4-'Investor Input'!$C$5), T146*(1 -'Investor Input'!$C$4))), T146)</f>
        <v/>
      </c>
      <c r="V146" s="84" t="str">
        <f t="shared" si="44"/>
        <v/>
      </c>
      <c r="W146" s="84" t="str">
        <f t="shared" si="30"/>
        <v/>
      </c>
      <c r="X146" s="21" t="str">
        <f t="shared" si="31"/>
        <v/>
      </c>
      <c r="Y146" s="60" t="str">
        <f t="shared" si="32"/>
        <v/>
      </c>
      <c r="Z146" s="60" t="str">
        <f t="shared" si="33"/>
        <v/>
      </c>
      <c r="AA146" s="64" t="str">
        <f t="shared" si="34"/>
        <v/>
      </c>
      <c r="AB146" s="64" t="str">
        <f>IF(AND(AA146&lt;&gt;"",AA146&lt;&gt;0), IF(E146="Muni", AA146, IF(E146 = "Corp", (1-'Investor Input'!$C$4-'Investor Input'!$C$5)*AA146, (1-'Investor Input'!$C$4)*AA146)), AA146)</f>
        <v/>
      </c>
      <c r="AC146" s="94" t="str">
        <f t="shared" si="35"/>
        <v/>
      </c>
      <c r="AD146" s="60" t="str">
        <f>IF(AND(M146&lt;&gt;"", M146&lt;&gt;0), N146/$N$505*MATCH(AC146,'Misc Lists'!$K$2:$K$25,0), "")</f>
        <v/>
      </c>
      <c r="AE146" s="90" t="str">
        <f t="shared" si="36"/>
        <v/>
      </c>
      <c r="AF146" s="99" t="str">
        <f>IF(AND(M146&lt;&gt;"", M146&lt;&gt;0), N146/$N$505*MATCH(AE146,'Misc Lists'!$L$2:$L$25,0), "")</f>
        <v/>
      </c>
    </row>
    <row r="147" spans="2:32" hidden="1" outlineLevel="1" x14ac:dyDescent="0.5">
      <c r="B147" s="60" t="str">
        <f ca="1"/>
        <v>842400JF1</v>
      </c>
      <c r="C147" s="61" t="str">
        <f ca="1"/>
        <v>N/A</v>
      </c>
      <c r="D147" s="60" t="str">
        <f ca="1"/>
        <v>SOUTHERN CALIF      EDISON CO BOND      4.40000% 09/06/2026 CALL MAKE WHOLE</v>
      </c>
      <c r="E147" s="61" t="str">
        <f ca="1"/>
        <v>Corp</v>
      </c>
      <c r="F147" s="62">
        <f ca="1"/>
        <v>4.4000000000000004</v>
      </c>
      <c r="G147" s="63">
        <f ca="1"/>
        <v>46271</v>
      </c>
      <c r="H147" s="61" t="str">
        <f ca="1"/>
        <v>A2</v>
      </c>
      <c r="I147" s="61" t="str">
        <f ca="1"/>
        <v>A-</v>
      </c>
      <c r="J147" s="64">
        <f ca="1"/>
        <v>99.557000000000002</v>
      </c>
      <c r="K147" s="17">
        <f ca="1"/>
        <v>4.7119999999999997</v>
      </c>
      <c r="L147" s="18" t="str">
        <f ca="1"/>
        <v>200(1)</v>
      </c>
      <c r="M147" s="83"/>
      <c r="N147" s="84" t="str">
        <f t="shared" si="37"/>
        <v/>
      </c>
      <c r="O147" s="20" t="str">
        <f t="shared" si="38"/>
        <v/>
      </c>
      <c r="P147" s="64" t="str">
        <f t="shared" si="39"/>
        <v/>
      </c>
      <c r="Q147" s="85" t="str">
        <f t="shared" ca="1" si="40"/>
        <v/>
      </c>
      <c r="R147" s="86" t="str">
        <f t="shared" si="41"/>
        <v/>
      </c>
      <c r="S147" s="86" t="str">
        <f t="shared" si="42"/>
        <v/>
      </c>
      <c r="T147" s="104" t="str">
        <f t="shared" si="43"/>
        <v/>
      </c>
      <c r="U147" s="19" t="str">
        <f>IF(AND(M147&lt;&gt;"",M147&lt;&gt;0), IF(E147 = "Muni", T147, IF(E147="Corp", T147*(1 -'Investor Input'!$C$4-'Investor Input'!$C$5), T147*(1 -'Investor Input'!$C$4))), T147)</f>
        <v/>
      </c>
      <c r="V147" s="84" t="str">
        <f t="shared" si="44"/>
        <v/>
      </c>
      <c r="W147" s="84" t="str">
        <f t="shared" si="30"/>
        <v/>
      </c>
      <c r="X147" s="21" t="str">
        <f t="shared" si="31"/>
        <v/>
      </c>
      <c r="Y147" s="60" t="str">
        <f t="shared" si="32"/>
        <v/>
      </c>
      <c r="Z147" s="60" t="str">
        <f t="shared" si="33"/>
        <v/>
      </c>
      <c r="AA147" s="64" t="str">
        <f t="shared" si="34"/>
        <v/>
      </c>
      <c r="AB147" s="64" t="str">
        <f>IF(AND(AA147&lt;&gt;"",AA147&lt;&gt;0), IF(E147="Muni", AA147, IF(E147 = "Corp", (1-'Investor Input'!$C$4-'Investor Input'!$C$5)*AA147, (1-'Investor Input'!$C$4)*AA147)), AA147)</f>
        <v/>
      </c>
      <c r="AC147" s="94" t="str">
        <f t="shared" si="35"/>
        <v/>
      </c>
      <c r="AD147" s="60" t="str">
        <f>IF(AND(M147&lt;&gt;"", M147&lt;&gt;0), N147/$N$505*MATCH(AC147,'Misc Lists'!$K$2:$K$25,0), "")</f>
        <v/>
      </c>
      <c r="AE147" s="90" t="str">
        <f t="shared" si="36"/>
        <v/>
      </c>
      <c r="AF147" s="99" t="str">
        <f>IF(AND(M147&lt;&gt;"", M147&lt;&gt;0), N147/$N$505*MATCH(AE147,'Misc Lists'!$L$2:$L$25,0), "")</f>
        <v/>
      </c>
    </row>
    <row r="148" spans="2:32" hidden="1" outlineLevel="1" x14ac:dyDescent="0.5">
      <c r="B148" s="60" t="str">
        <f ca="1"/>
        <v>906548CR1</v>
      </c>
      <c r="C148" s="61" t="str">
        <f ca="1"/>
        <v>N/A</v>
      </c>
      <c r="D148" s="60" t="str">
        <f ca="1"/>
        <v>UNION ELEC CO       BOND CALL MAKE WHOLE2.95000% 03/15/2030</v>
      </c>
      <c r="E148" s="61" t="str">
        <f ca="1"/>
        <v>Corp</v>
      </c>
      <c r="F148" s="62">
        <f ca="1"/>
        <v>2.95</v>
      </c>
      <c r="G148" s="63">
        <f ca="1"/>
        <v>47557</v>
      </c>
      <c r="H148" s="61" t="str">
        <f ca="1"/>
        <v>A2</v>
      </c>
      <c r="I148" s="61" t="str">
        <f ca="1"/>
        <v>A</v>
      </c>
      <c r="J148" s="64">
        <f ca="1"/>
        <v>92.218999999999994</v>
      </c>
      <c r="K148" s="17">
        <f ca="1"/>
        <v>4.7119999999999997</v>
      </c>
      <c r="L148" s="18" t="str">
        <f ca="1"/>
        <v>450(2)</v>
      </c>
      <c r="M148" s="83"/>
      <c r="N148" s="84" t="str">
        <f t="shared" si="37"/>
        <v/>
      </c>
      <c r="O148" s="20" t="str">
        <f t="shared" si="38"/>
        <v/>
      </c>
      <c r="P148" s="64" t="str">
        <f t="shared" si="39"/>
        <v/>
      </c>
      <c r="Q148" s="85" t="str">
        <f t="shared" ca="1" si="40"/>
        <v/>
      </c>
      <c r="R148" s="86" t="str">
        <f t="shared" si="41"/>
        <v/>
      </c>
      <c r="S148" s="86" t="str">
        <f t="shared" si="42"/>
        <v/>
      </c>
      <c r="T148" s="104" t="str">
        <f t="shared" si="43"/>
        <v/>
      </c>
      <c r="U148" s="19" t="str">
        <f>IF(AND(M148&lt;&gt;"",M148&lt;&gt;0), IF(E148 = "Muni", T148, IF(E148="Corp", T148*(1 -'Investor Input'!$C$4-'Investor Input'!$C$5), T148*(1 -'Investor Input'!$C$4))), T148)</f>
        <v/>
      </c>
      <c r="V148" s="84" t="str">
        <f t="shared" si="44"/>
        <v/>
      </c>
      <c r="W148" s="84" t="str">
        <f t="shared" si="30"/>
        <v/>
      </c>
      <c r="X148" s="21" t="str">
        <f t="shared" si="31"/>
        <v/>
      </c>
      <c r="Y148" s="60" t="str">
        <f t="shared" si="32"/>
        <v/>
      </c>
      <c r="Z148" s="60" t="str">
        <f t="shared" si="33"/>
        <v/>
      </c>
      <c r="AA148" s="64" t="str">
        <f t="shared" si="34"/>
        <v/>
      </c>
      <c r="AB148" s="64" t="str">
        <f>IF(AND(AA148&lt;&gt;"",AA148&lt;&gt;0), IF(E148="Muni", AA148, IF(E148 = "Corp", (1-'Investor Input'!$C$4-'Investor Input'!$C$5)*AA148, (1-'Investor Input'!$C$4)*AA148)), AA148)</f>
        <v/>
      </c>
      <c r="AC148" s="94" t="str">
        <f t="shared" si="35"/>
        <v/>
      </c>
      <c r="AD148" s="60" t="str">
        <f>IF(AND(M148&lt;&gt;"", M148&lt;&gt;0), N148/$N$505*MATCH(AC148,'Misc Lists'!$K$2:$K$25,0), "")</f>
        <v/>
      </c>
      <c r="AE148" s="90" t="str">
        <f t="shared" si="36"/>
        <v/>
      </c>
      <c r="AF148" s="99" t="str">
        <f>IF(AND(M148&lt;&gt;"", M148&lt;&gt;0), N148/$N$505*MATCH(AE148,'Misc Lists'!$L$2:$L$25,0), "")</f>
        <v/>
      </c>
    </row>
    <row r="149" spans="2:32" hidden="1" outlineLevel="1" x14ac:dyDescent="0.5">
      <c r="B149" s="60" t="str">
        <f ca="1"/>
        <v>04686JAA9</v>
      </c>
      <c r="C149" s="61" t="str">
        <f ca="1"/>
        <v>N/A</v>
      </c>
      <c r="D149" s="60" t="str">
        <f ca="1"/>
        <v>ATHENE HOLDING LTD  NOTE CALL MAKE WHOLE4.12500% 01/12/2028</v>
      </c>
      <c r="E149" s="61" t="str">
        <f ca="1"/>
        <v>Corp</v>
      </c>
      <c r="F149" s="62">
        <f ca="1"/>
        <v>4.125</v>
      </c>
      <c r="G149" s="63">
        <f ca="1"/>
        <v>46764</v>
      </c>
      <c r="H149" s="61" t="str">
        <f ca="1"/>
        <v>BAA1</v>
      </c>
      <c r="I149" s="61" t="str">
        <f ca="1"/>
        <v>A-</v>
      </c>
      <c r="J149" s="64">
        <f ca="1"/>
        <v>98.46</v>
      </c>
      <c r="K149" s="17">
        <f ca="1"/>
        <v>4.71</v>
      </c>
      <c r="L149" s="18" t="str">
        <f ca="1"/>
        <v>250(10)</v>
      </c>
      <c r="M149" s="83"/>
      <c r="N149" s="84" t="str">
        <f t="shared" si="37"/>
        <v/>
      </c>
      <c r="O149" s="20" t="str">
        <f t="shared" si="38"/>
        <v/>
      </c>
      <c r="P149" s="64" t="str">
        <f t="shared" si="39"/>
        <v/>
      </c>
      <c r="Q149" s="85" t="str">
        <f t="shared" ca="1" si="40"/>
        <v/>
      </c>
      <c r="R149" s="86" t="str">
        <f t="shared" si="41"/>
        <v/>
      </c>
      <c r="S149" s="86" t="str">
        <f t="shared" si="42"/>
        <v/>
      </c>
      <c r="T149" s="104" t="str">
        <f t="shared" si="43"/>
        <v/>
      </c>
      <c r="U149" s="19" t="str">
        <f>IF(AND(M149&lt;&gt;"",M149&lt;&gt;0), IF(E149 = "Muni", T149, IF(E149="Corp", T149*(1 -'Investor Input'!$C$4-'Investor Input'!$C$5), T149*(1 -'Investor Input'!$C$4))), T149)</f>
        <v/>
      </c>
      <c r="V149" s="84" t="str">
        <f t="shared" si="44"/>
        <v/>
      </c>
      <c r="W149" s="84" t="str">
        <f t="shared" si="30"/>
        <v/>
      </c>
      <c r="X149" s="21" t="str">
        <f t="shared" si="31"/>
        <v/>
      </c>
      <c r="Y149" s="60" t="str">
        <f t="shared" si="32"/>
        <v/>
      </c>
      <c r="Z149" s="60" t="str">
        <f t="shared" si="33"/>
        <v/>
      </c>
      <c r="AA149" s="64" t="str">
        <f t="shared" si="34"/>
        <v/>
      </c>
      <c r="AB149" s="64" t="str">
        <f>IF(AND(AA149&lt;&gt;"",AA149&lt;&gt;0), IF(E149="Muni", AA149, IF(E149 = "Corp", (1-'Investor Input'!$C$4-'Investor Input'!$C$5)*AA149, (1-'Investor Input'!$C$4)*AA149)), AA149)</f>
        <v/>
      </c>
      <c r="AC149" s="94" t="str">
        <f t="shared" si="35"/>
        <v/>
      </c>
      <c r="AD149" s="60" t="str">
        <f>IF(AND(M149&lt;&gt;"", M149&lt;&gt;0), N149/$N$505*MATCH(AC149,'Misc Lists'!$K$2:$K$25,0), "")</f>
        <v/>
      </c>
      <c r="AE149" s="90" t="str">
        <f t="shared" si="36"/>
        <v/>
      </c>
      <c r="AF149" s="99" t="str">
        <f>IF(AND(M149&lt;&gt;"", M149&lt;&gt;0), N149/$N$505*MATCH(AE149,'Misc Lists'!$L$2:$L$25,0), "")</f>
        <v/>
      </c>
    </row>
    <row r="150" spans="2:32" hidden="1" outlineLevel="1" x14ac:dyDescent="0.5">
      <c r="B150" s="60" t="str">
        <f ca="1"/>
        <v>29379VBX0</v>
      </c>
      <c r="C150" s="61" t="str">
        <f ca="1"/>
        <v>N/A</v>
      </c>
      <c r="D150" s="60" t="str">
        <f ca="1"/>
        <v>ENTERPRISE PRODS    OPER LLC NOTE       2.80000% 01/31/2030 CALL MAKE WHOLE</v>
      </c>
      <c r="E150" s="61" t="str">
        <f ca="1"/>
        <v>Corp</v>
      </c>
      <c r="F150" s="62">
        <f ca="1"/>
        <v>2.8</v>
      </c>
      <c r="G150" s="63">
        <f ca="1"/>
        <v>47514</v>
      </c>
      <c r="H150" s="61" t="str">
        <f ca="1"/>
        <v>A3</v>
      </c>
      <c r="I150" s="61" t="str">
        <f ca="1"/>
        <v>A-</v>
      </c>
      <c r="J150" s="64">
        <f ca="1"/>
        <v>91.748999999999995</v>
      </c>
      <c r="K150" s="17">
        <f ca="1"/>
        <v>4.71</v>
      </c>
      <c r="L150" s="18" t="str">
        <f ca="1"/>
        <v>500(1)</v>
      </c>
      <c r="M150" s="83"/>
      <c r="N150" s="84" t="str">
        <f t="shared" si="37"/>
        <v/>
      </c>
      <c r="O150" s="20" t="str">
        <f t="shared" si="38"/>
        <v/>
      </c>
      <c r="P150" s="64" t="str">
        <f t="shared" si="39"/>
        <v/>
      </c>
      <c r="Q150" s="85" t="str">
        <f t="shared" ca="1" si="40"/>
        <v/>
      </c>
      <c r="R150" s="86" t="str">
        <f t="shared" si="41"/>
        <v/>
      </c>
      <c r="S150" s="86" t="str">
        <f t="shared" si="42"/>
        <v/>
      </c>
      <c r="T150" s="104" t="str">
        <f t="shared" si="43"/>
        <v/>
      </c>
      <c r="U150" s="19" t="str">
        <f>IF(AND(M150&lt;&gt;"",M150&lt;&gt;0), IF(E150 = "Muni", T150, IF(E150="Corp", T150*(1 -'Investor Input'!$C$4-'Investor Input'!$C$5), T150*(1 -'Investor Input'!$C$4))), T150)</f>
        <v/>
      </c>
      <c r="V150" s="84" t="str">
        <f t="shared" si="44"/>
        <v/>
      </c>
      <c r="W150" s="84" t="str">
        <f t="shared" si="30"/>
        <v/>
      </c>
      <c r="X150" s="21" t="str">
        <f t="shared" si="31"/>
        <v/>
      </c>
      <c r="Y150" s="60" t="str">
        <f t="shared" si="32"/>
        <v/>
      </c>
      <c r="Z150" s="60" t="str">
        <f t="shared" si="33"/>
        <v/>
      </c>
      <c r="AA150" s="64" t="str">
        <f t="shared" si="34"/>
        <v/>
      </c>
      <c r="AB150" s="64" t="str">
        <f>IF(AND(AA150&lt;&gt;"",AA150&lt;&gt;0), IF(E150="Muni", AA150, IF(E150 = "Corp", (1-'Investor Input'!$C$4-'Investor Input'!$C$5)*AA150, (1-'Investor Input'!$C$4)*AA150)), AA150)</f>
        <v/>
      </c>
      <c r="AC150" s="94" t="str">
        <f t="shared" si="35"/>
        <v/>
      </c>
      <c r="AD150" s="60" t="str">
        <f>IF(AND(M150&lt;&gt;"", M150&lt;&gt;0), N150/$N$505*MATCH(AC150,'Misc Lists'!$K$2:$K$25,0), "")</f>
        <v/>
      </c>
      <c r="AE150" s="90" t="str">
        <f t="shared" si="36"/>
        <v/>
      </c>
      <c r="AF150" s="99" t="str">
        <f>IF(AND(M150&lt;&gt;"", M150&lt;&gt;0), N150/$N$505*MATCH(AE150,'Misc Lists'!$L$2:$L$25,0), "")</f>
        <v/>
      </c>
    </row>
    <row r="151" spans="2:32" hidden="1" outlineLevel="1" x14ac:dyDescent="0.5">
      <c r="B151" s="60" t="str">
        <f ca="1"/>
        <v>26442CBP8</v>
      </c>
      <c r="C151" s="61" t="str">
        <f ca="1"/>
        <v>N/A</v>
      </c>
      <c r="D151" s="60" t="str">
        <f ca="1"/>
        <v>DUKE ENERGY         CAROLINAS LLC BOND  4.85000% 03/15/2030 CALL MAKE WHOLE</v>
      </c>
      <c r="E151" s="61" t="str">
        <f ca="1"/>
        <v>Corp</v>
      </c>
      <c r="F151" s="62">
        <f ca="1"/>
        <v>4.8499999999999996</v>
      </c>
      <c r="G151" s="63">
        <f ca="1"/>
        <v>47557</v>
      </c>
      <c r="H151" s="61" t="str">
        <f ca="1"/>
        <v>AA3</v>
      </c>
      <c r="I151" s="61" t="str">
        <f ca="1"/>
        <v>A</v>
      </c>
      <c r="J151" s="64">
        <f ca="1"/>
        <v>100.601</v>
      </c>
      <c r="K151" s="17">
        <f ca="1"/>
        <v>4.7089999999999996</v>
      </c>
      <c r="L151" s="18" t="str">
        <f ca="1"/>
        <v>1,000(15)</v>
      </c>
      <c r="M151" s="83"/>
      <c r="N151" s="84" t="str">
        <f t="shared" si="37"/>
        <v/>
      </c>
      <c r="O151" s="20" t="str">
        <f t="shared" si="38"/>
        <v/>
      </c>
      <c r="P151" s="64" t="str">
        <f t="shared" si="39"/>
        <v/>
      </c>
      <c r="Q151" s="85" t="str">
        <f t="shared" ca="1" si="40"/>
        <v/>
      </c>
      <c r="R151" s="86" t="str">
        <f t="shared" si="41"/>
        <v/>
      </c>
      <c r="S151" s="86" t="str">
        <f t="shared" si="42"/>
        <v/>
      </c>
      <c r="T151" s="104" t="str">
        <f t="shared" si="43"/>
        <v/>
      </c>
      <c r="U151" s="19" t="str">
        <f>IF(AND(M151&lt;&gt;"",M151&lt;&gt;0), IF(E151 = "Muni", T151, IF(E151="Corp", T151*(1 -'Investor Input'!$C$4-'Investor Input'!$C$5), T151*(1 -'Investor Input'!$C$4))), T151)</f>
        <v/>
      </c>
      <c r="V151" s="84" t="str">
        <f t="shared" si="44"/>
        <v/>
      </c>
      <c r="W151" s="84" t="str">
        <f t="shared" si="30"/>
        <v/>
      </c>
      <c r="X151" s="21" t="str">
        <f t="shared" si="31"/>
        <v/>
      </c>
      <c r="Y151" s="60" t="str">
        <f t="shared" si="32"/>
        <v/>
      </c>
      <c r="Z151" s="60" t="str">
        <f t="shared" si="33"/>
        <v/>
      </c>
      <c r="AA151" s="64" t="str">
        <f t="shared" si="34"/>
        <v/>
      </c>
      <c r="AB151" s="64" t="str">
        <f>IF(AND(AA151&lt;&gt;"",AA151&lt;&gt;0), IF(E151="Muni", AA151, IF(E151 = "Corp", (1-'Investor Input'!$C$4-'Investor Input'!$C$5)*AA151, (1-'Investor Input'!$C$4)*AA151)), AA151)</f>
        <v/>
      </c>
      <c r="AC151" s="94" t="str">
        <f t="shared" si="35"/>
        <v/>
      </c>
      <c r="AD151" s="60" t="str">
        <f>IF(AND(M151&lt;&gt;"", M151&lt;&gt;0), N151/$N$505*MATCH(AC151,'Misc Lists'!$K$2:$K$25,0), "")</f>
        <v/>
      </c>
      <c r="AE151" s="90" t="str">
        <f t="shared" si="36"/>
        <v/>
      </c>
      <c r="AF151" s="99" t="str">
        <f>IF(AND(M151&lt;&gt;"", M151&lt;&gt;0), N151/$N$505*MATCH(AE151,'Misc Lists'!$L$2:$L$25,0), "")</f>
        <v/>
      </c>
    </row>
    <row r="152" spans="2:32" hidden="1" outlineLevel="1" x14ac:dyDescent="0.5">
      <c r="B152" s="60" t="str">
        <f ca="1"/>
        <v>168863EB0</v>
      </c>
      <c r="C152" s="61" t="str">
        <f ca="1"/>
        <v>N/A</v>
      </c>
      <c r="D152" s="60" t="str">
        <f ca="1"/>
        <v>CHILE REP           NOTE CALL MAKE WHOLE4.85000% 01/22/2029</v>
      </c>
      <c r="E152" s="61" t="str">
        <f ca="1"/>
        <v>Corp</v>
      </c>
      <c r="F152" s="62">
        <f ca="1"/>
        <v>4.8499999999999996</v>
      </c>
      <c r="G152" s="63">
        <f ca="1"/>
        <v>47140</v>
      </c>
      <c r="H152" s="61" t="str">
        <f ca="1"/>
        <v>A2</v>
      </c>
      <c r="I152" s="61" t="str">
        <f ca="1"/>
        <v>A</v>
      </c>
      <c r="J152" s="64">
        <f ca="1"/>
        <v>100.49</v>
      </c>
      <c r="K152" s="17">
        <f ca="1"/>
        <v>4.7080000000000002</v>
      </c>
      <c r="L152" s="18" t="str">
        <f ca="1"/>
        <v>200(200)</v>
      </c>
      <c r="M152" s="83"/>
      <c r="N152" s="84" t="str">
        <f t="shared" si="37"/>
        <v/>
      </c>
      <c r="O152" s="20" t="str">
        <f t="shared" si="38"/>
        <v/>
      </c>
      <c r="P152" s="64" t="str">
        <f t="shared" si="39"/>
        <v/>
      </c>
      <c r="Q152" s="85" t="str">
        <f t="shared" ca="1" si="40"/>
        <v/>
      </c>
      <c r="R152" s="86" t="str">
        <f t="shared" si="41"/>
        <v/>
      </c>
      <c r="S152" s="86" t="str">
        <f t="shared" si="42"/>
        <v/>
      </c>
      <c r="T152" s="104" t="str">
        <f t="shared" si="43"/>
        <v/>
      </c>
      <c r="U152" s="19" t="str">
        <f>IF(AND(M152&lt;&gt;"",M152&lt;&gt;0), IF(E152 = "Muni", T152, IF(E152="Corp", T152*(1 -'Investor Input'!$C$4-'Investor Input'!$C$5), T152*(1 -'Investor Input'!$C$4))), T152)</f>
        <v/>
      </c>
      <c r="V152" s="84" t="str">
        <f t="shared" si="44"/>
        <v/>
      </c>
      <c r="W152" s="84" t="str">
        <f t="shared" si="30"/>
        <v/>
      </c>
      <c r="X152" s="21" t="str">
        <f t="shared" si="31"/>
        <v/>
      </c>
      <c r="Y152" s="60" t="str">
        <f t="shared" si="32"/>
        <v/>
      </c>
      <c r="Z152" s="60" t="str">
        <f t="shared" si="33"/>
        <v/>
      </c>
      <c r="AA152" s="64" t="str">
        <f t="shared" si="34"/>
        <v/>
      </c>
      <c r="AB152" s="64" t="str">
        <f>IF(AND(AA152&lt;&gt;"",AA152&lt;&gt;0), IF(E152="Muni", AA152, IF(E152 = "Corp", (1-'Investor Input'!$C$4-'Investor Input'!$C$5)*AA152, (1-'Investor Input'!$C$4)*AA152)), AA152)</f>
        <v/>
      </c>
      <c r="AC152" s="94" t="str">
        <f t="shared" si="35"/>
        <v/>
      </c>
      <c r="AD152" s="60" t="str">
        <f>IF(AND(M152&lt;&gt;"", M152&lt;&gt;0), N152/$N$505*MATCH(AC152,'Misc Lists'!$K$2:$K$25,0), "")</f>
        <v/>
      </c>
      <c r="AE152" s="90" t="str">
        <f t="shared" si="36"/>
        <v/>
      </c>
      <c r="AF152" s="99" t="str">
        <f>IF(AND(M152&lt;&gt;"", M152&lt;&gt;0), N152/$N$505*MATCH(AE152,'Misc Lists'!$L$2:$L$25,0), "")</f>
        <v/>
      </c>
    </row>
    <row r="153" spans="2:32" hidden="1" outlineLevel="1" x14ac:dyDescent="0.5">
      <c r="B153" s="60" t="str">
        <f ca="1"/>
        <v>207597ET8</v>
      </c>
      <c r="C153" s="61" t="str">
        <f ca="1"/>
        <v>N/A</v>
      </c>
      <c r="D153" s="60" t="str">
        <f ca="1"/>
        <v>CONNECTICUT LT &amp;PWR CO SER 2025 A BOND  4.95000% 01/15/2030 CALL MAKE WHOLE</v>
      </c>
      <c r="E153" s="61" t="str">
        <f ca="1"/>
        <v>Corp</v>
      </c>
      <c r="F153" s="62">
        <f ca="1"/>
        <v>4.95</v>
      </c>
      <c r="G153" s="63">
        <f ca="1"/>
        <v>47498</v>
      </c>
      <c r="H153" s="61" t="str">
        <f ca="1"/>
        <v>A1</v>
      </c>
      <c r="I153" s="61" t="str">
        <f ca="1"/>
        <v>A</v>
      </c>
      <c r="J153" s="64">
        <f ca="1"/>
        <v>101.029</v>
      </c>
      <c r="K153" s="17">
        <f ca="1"/>
        <v>4.7080000000000002</v>
      </c>
      <c r="L153" s="18" t="str">
        <f ca="1"/>
        <v>450(2)</v>
      </c>
      <c r="M153" s="83"/>
      <c r="N153" s="84" t="str">
        <f t="shared" si="37"/>
        <v/>
      </c>
      <c r="O153" s="20" t="str">
        <f t="shared" si="38"/>
        <v/>
      </c>
      <c r="P153" s="64" t="str">
        <f t="shared" si="39"/>
        <v/>
      </c>
      <c r="Q153" s="85" t="str">
        <f t="shared" ca="1" si="40"/>
        <v/>
      </c>
      <c r="R153" s="86" t="str">
        <f t="shared" si="41"/>
        <v/>
      </c>
      <c r="S153" s="86" t="str">
        <f t="shared" si="42"/>
        <v/>
      </c>
      <c r="T153" s="104" t="str">
        <f t="shared" si="43"/>
        <v/>
      </c>
      <c r="U153" s="19" t="str">
        <f>IF(AND(M153&lt;&gt;"",M153&lt;&gt;0), IF(E153 = "Muni", T153, IF(E153="Corp", T153*(1 -'Investor Input'!$C$4-'Investor Input'!$C$5), T153*(1 -'Investor Input'!$C$4))), T153)</f>
        <v/>
      </c>
      <c r="V153" s="84" t="str">
        <f t="shared" si="44"/>
        <v/>
      </c>
      <c r="W153" s="84" t="str">
        <f t="shared" si="30"/>
        <v/>
      </c>
      <c r="X153" s="21" t="str">
        <f t="shared" si="31"/>
        <v/>
      </c>
      <c r="Y153" s="60" t="str">
        <f t="shared" si="32"/>
        <v/>
      </c>
      <c r="Z153" s="60" t="str">
        <f t="shared" si="33"/>
        <v/>
      </c>
      <c r="AA153" s="64" t="str">
        <f t="shared" si="34"/>
        <v/>
      </c>
      <c r="AB153" s="64" t="str">
        <f>IF(AND(AA153&lt;&gt;"",AA153&lt;&gt;0), IF(E153="Muni", AA153, IF(E153 = "Corp", (1-'Investor Input'!$C$4-'Investor Input'!$C$5)*AA153, (1-'Investor Input'!$C$4)*AA153)), AA153)</f>
        <v/>
      </c>
      <c r="AC153" s="94" t="str">
        <f t="shared" si="35"/>
        <v/>
      </c>
      <c r="AD153" s="60" t="str">
        <f>IF(AND(M153&lt;&gt;"", M153&lt;&gt;0), N153/$N$505*MATCH(AC153,'Misc Lists'!$K$2:$K$25,0), "")</f>
        <v/>
      </c>
      <c r="AE153" s="90" t="str">
        <f t="shared" si="36"/>
        <v/>
      </c>
      <c r="AF153" s="99" t="str">
        <f>IF(AND(M153&lt;&gt;"", M153&lt;&gt;0), N153/$N$505*MATCH(AE153,'Misc Lists'!$L$2:$L$25,0), "")</f>
        <v/>
      </c>
    </row>
    <row r="154" spans="2:32" hidden="1" outlineLevel="1" x14ac:dyDescent="0.5">
      <c r="B154" s="60" t="str">
        <f ca="1"/>
        <v>74340XBM2</v>
      </c>
      <c r="C154" s="61" t="str">
        <f ca="1"/>
        <v>N/A</v>
      </c>
      <c r="D154" s="60" t="str">
        <f ca="1"/>
        <v>PROLOGIS L P        NOTE CALL MAKE WHOLE2.25000% 04/15/2030</v>
      </c>
      <c r="E154" s="61" t="str">
        <f ca="1"/>
        <v>Corp</v>
      </c>
      <c r="F154" s="62">
        <f ca="1"/>
        <v>2.25</v>
      </c>
      <c r="G154" s="63">
        <f ca="1"/>
        <v>47588</v>
      </c>
      <c r="H154" s="61" t="str">
        <f ca="1"/>
        <v>A2</v>
      </c>
      <c r="I154" s="61" t="str">
        <f ca="1"/>
        <v>A</v>
      </c>
      <c r="J154" s="64">
        <f ca="1"/>
        <v>88.981999999999999</v>
      </c>
      <c r="K154" s="17">
        <f ca="1"/>
        <v>4.7080000000000002</v>
      </c>
      <c r="L154" s="18" t="str">
        <f ca="1"/>
        <v>6(6)</v>
      </c>
      <c r="M154" s="83"/>
      <c r="N154" s="84" t="str">
        <f t="shared" si="37"/>
        <v/>
      </c>
      <c r="O154" s="20" t="str">
        <f t="shared" si="38"/>
        <v/>
      </c>
      <c r="P154" s="64" t="str">
        <f t="shared" si="39"/>
        <v/>
      </c>
      <c r="Q154" s="85" t="str">
        <f t="shared" ca="1" si="40"/>
        <v/>
      </c>
      <c r="R154" s="86" t="str">
        <f t="shared" si="41"/>
        <v/>
      </c>
      <c r="S154" s="86" t="str">
        <f t="shared" si="42"/>
        <v/>
      </c>
      <c r="T154" s="104" t="str">
        <f t="shared" si="43"/>
        <v/>
      </c>
      <c r="U154" s="19" t="str">
        <f>IF(AND(M154&lt;&gt;"",M154&lt;&gt;0), IF(E154 = "Muni", T154, IF(E154="Corp", T154*(1 -'Investor Input'!$C$4-'Investor Input'!$C$5), T154*(1 -'Investor Input'!$C$4))), T154)</f>
        <v/>
      </c>
      <c r="V154" s="84" t="str">
        <f t="shared" si="44"/>
        <v/>
      </c>
      <c r="W154" s="84" t="str">
        <f t="shared" si="30"/>
        <v/>
      </c>
      <c r="X154" s="21" t="str">
        <f t="shared" si="31"/>
        <v/>
      </c>
      <c r="Y154" s="60" t="str">
        <f t="shared" si="32"/>
        <v/>
      </c>
      <c r="Z154" s="60" t="str">
        <f t="shared" si="33"/>
        <v/>
      </c>
      <c r="AA154" s="64" t="str">
        <f t="shared" si="34"/>
        <v/>
      </c>
      <c r="AB154" s="64" t="str">
        <f>IF(AND(AA154&lt;&gt;"",AA154&lt;&gt;0), IF(E154="Muni", AA154, IF(E154 = "Corp", (1-'Investor Input'!$C$4-'Investor Input'!$C$5)*AA154, (1-'Investor Input'!$C$4)*AA154)), AA154)</f>
        <v/>
      </c>
      <c r="AC154" s="94" t="str">
        <f t="shared" si="35"/>
        <v/>
      </c>
      <c r="AD154" s="60" t="str">
        <f>IF(AND(M154&lt;&gt;"", M154&lt;&gt;0), N154/$N$505*MATCH(AC154,'Misc Lists'!$K$2:$K$25,0), "")</f>
        <v/>
      </c>
      <c r="AE154" s="90" t="str">
        <f t="shared" si="36"/>
        <v/>
      </c>
      <c r="AF154" s="99" t="str">
        <f>IF(AND(M154&lt;&gt;"", M154&lt;&gt;0), N154/$N$505*MATCH(AE154,'Misc Lists'!$L$2:$L$25,0), "")</f>
        <v/>
      </c>
    </row>
    <row r="155" spans="2:32" hidden="1" outlineLevel="1" x14ac:dyDescent="0.5">
      <c r="B155" s="60" t="str">
        <f ca="1"/>
        <v>02665WEB3</v>
      </c>
      <c r="C155" s="61" t="str">
        <f ca="1"/>
        <v>N/A</v>
      </c>
      <c r="D155" s="60" t="str">
        <f ca="1"/>
        <v>AMERICAN HONDA FIN  CORP  SER A MTN     2.25000% 01/12/2029 CALL MAKE WHOLE</v>
      </c>
      <c r="E155" s="61" t="str">
        <f ca="1"/>
        <v>Corp</v>
      </c>
      <c r="F155" s="62">
        <f ca="1"/>
        <v>2.25</v>
      </c>
      <c r="G155" s="63">
        <f ca="1"/>
        <v>47130</v>
      </c>
      <c r="H155" s="61" t="str">
        <f ca="1"/>
        <v>A3</v>
      </c>
      <c r="I155" s="61" t="str">
        <f ca="1"/>
        <v>A-</v>
      </c>
      <c r="J155" s="64">
        <f ca="1"/>
        <v>91.471999999999994</v>
      </c>
      <c r="K155" s="17">
        <f ca="1"/>
        <v>4.7069999999999999</v>
      </c>
      <c r="L155" s="18" t="str">
        <f ca="1"/>
        <v>500(2)</v>
      </c>
      <c r="M155" s="83"/>
      <c r="N155" s="84" t="str">
        <f t="shared" si="37"/>
        <v/>
      </c>
      <c r="O155" s="20" t="str">
        <f t="shared" si="38"/>
        <v/>
      </c>
      <c r="P155" s="64" t="str">
        <f t="shared" si="39"/>
        <v/>
      </c>
      <c r="Q155" s="85" t="str">
        <f t="shared" ca="1" si="40"/>
        <v/>
      </c>
      <c r="R155" s="86" t="str">
        <f t="shared" si="41"/>
        <v/>
      </c>
      <c r="S155" s="86" t="str">
        <f t="shared" si="42"/>
        <v/>
      </c>
      <c r="T155" s="104" t="str">
        <f t="shared" si="43"/>
        <v/>
      </c>
      <c r="U155" s="19" t="str">
        <f>IF(AND(M155&lt;&gt;"",M155&lt;&gt;0), IF(E155 = "Muni", T155, IF(E155="Corp", T155*(1 -'Investor Input'!$C$4-'Investor Input'!$C$5), T155*(1 -'Investor Input'!$C$4))), T155)</f>
        <v/>
      </c>
      <c r="V155" s="84" t="str">
        <f t="shared" si="44"/>
        <v/>
      </c>
      <c r="W155" s="84" t="str">
        <f t="shared" si="30"/>
        <v/>
      </c>
      <c r="X155" s="21" t="str">
        <f t="shared" si="31"/>
        <v/>
      </c>
      <c r="Y155" s="60" t="str">
        <f t="shared" si="32"/>
        <v/>
      </c>
      <c r="Z155" s="60" t="str">
        <f t="shared" si="33"/>
        <v/>
      </c>
      <c r="AA155" s="64" t="str">
        <f t="shared" si="34"/>
        <v/>
      </c>
      <c r="AB155" s="64" t="str">
        <f>IF(AND(AA155&lt;&gt;"",AA155&lt;&gt;0), IF(E155="Muni", AA155, IF(E155 = "Corp", (1-'Investor Input'!$C$4-'Investor Input'!$C$5)*AA155, (1-'Investor Input'!$C$4)*AA155)), AA155)</f>
        <v/>
      </c>
      <c r="AC155" s="94" t="str">
        <f t="shared" si="35"/>
        <v/>
      </c>
      <c r="AD155" s="60" t="str">
        <f>IF(AND(M155&lt;&gt;"", M155&lt;&gt;0), N155/$N$505*MATCH(AC155,'Misc Lists'!$K$2:$K$25,0), "")</f>
        <v/>
      </c>
      <c r="AE155" s="90" t="str">
        <f t="shared" si="36"/>
        <v/>
      </c>
      <c r="AF155" s="99" t="str">
        <f>IF(AND(M155&lt;&gt;"", M155&lt;&gt;0), N155/$N$505*MATCH(AE155,'Misc Lists'!$L$2:$L$25,0), "")</f>
        <v/>
      </c>
    </row>
    <row r="156" spans="2:32" hidden="1" outlineLevel="1" x14ac:dyDescent="0.5">
      <c r="B156" s="60" t="str">
        <f ca="1"/>
        <v>857524AF9</v>
      </c>
      <c r="C156" s="61" t="str">
        <f ca="1"/>
        <v>N/A</v>
      </c>
      <c r="D156" s="60" t="str">
        <f ca="1"/>
        <v>POLAND REP          NOTE                4.87500% 02/12/2030</v>
      </c>
      <c r="E156" s="61" t="str">
        <f ca="1"/>
        <v>Corp</v>
      </c>
      <c r="F156" s="62">
        <f ca="1"/>
        <v>4.875</v>
      </c>
      <c r="G156" s="63">
        <f ca="1"/>
        <v>47526</v>
      </c>
      <c r="H156" s="61" t="str">
        <f ca="1"/>
        <v>A2</v>
      </c>
      <c r="I156" s="61" t="str">
        <f ca="1"/>
        <v>A-</v>
      </c>
      <c r="J156" s="64">
        <f ca="1"/>
        <v>100.727</v>
      </c>
      <c r="K156" s="17">
        <f ca="1"/>
        <v>4.7069999999999999</v>
      </c>
      <c r="L156" s="18" t="str">
        <f ca="1"/>
        <v>200(1)</v>
      </c>
      <c r="M156" s="83"/>
      <c r="N156" s="84" t="str">
        <f t="shared" si="37"/>
        <v/>
      </c>
      <c r="O156" s="20" t="str">
        <f t="shared" si="38"/>
        <v/>
      </c>
      <c r="P156" s="64" t="str">
        <f t="shared" si="39"/>
        <v/>
      </c>
      <c r="Q156" s="85" t="str">
        <f t="shared" ca="1" si="40"/>
        <v/>
      </c>
      <c r="R156" s="86" t="str">
        <f t="shared" si="41"/>
        <v/>
      </c>
      <c r="S156" s="86" t="str">
        <f t="shared" si="42"/>
        <v/>
      </c>
      <c r="T156" s="104" t="str">
        <f t="shared" si="43"/>
        <v/>
      </c>
      <c r="U156" s="19" t="str">
        <f>IF(AND(M156&lt;&gt;"",M156&lt;&gt;0), IF(E156 = "Muni", T156, IF(E156="Corp", T156*(1 -'Investor Input'!$C$4-'Investor Input'!$C$5), T156*(1 -'Investor Input'!$C$4))), T156)</f>
        <v/>
      </c>
      <c r="V156" s="84" t="str">
        <f t="shared" si="44"/>
        <v/>
      </c>
      <c r="W156" s="84" t="str">
        <f t="shared" si="30"/>
        <v/>
      </c>
      <c r="X156" s="21" t="str">
        <f t="shared" si="31"/>
        <v/>
      </c>
      <c r="Y156" s="60" t="str">
        <f t="shared" si="32"/>
        <v/>
      </c>
      <c r="Z156" s="60" t="str">
        <f t="shared" si="33"/>
        <v/>
      </c>
      <c r="AA156" s="64" t="str">
        <f t="shared" si="34"/>
        <v/>
      </c>
      <c r="AB156" s="64" t="str">
        <f>IF(AND(AA156&lt;&gt;"",AA156&lt;&gt;0), IF(E156="Muni", AA156, IF(E156 = "Corp", (1-'Investor Input'!$C$4-'Investor Input'!$C$5)*AA156, (1-'Investor Input'!$C$4)*AA156)), AA156)</f>
        <v/>
      </c>
      <c r="AC156" s="94" t="str">
        <f t="shared" si="35"/>
        <v/>
      </c>
      <c r="AD156" s="60" t="str">
        <f>IF(AND(M156&lt;&gt;"", M156&lt;&gt;0), N156/$N$505*MATCH(AC156,'Misc Lists'!$K$2:$K$25,0), "")</f>
        <v/>
      </c>
      <c r="AE156" s="90" t="str">
        <f t="shared" si="36"/>
        <v/>
      </c>
      <c r="AF156" s="99" t="str">
        <f>IF(AND(M156&lt;&gt;"", M156&lt;&gt;0), N156/$N$505*MATCH(AE156,'Misc Lists'!$L$2:$L$25,0), "")</f>
        <v/>
      </c>
    </row>
    <row r="157" spans="2:32" hidden="1" outlineLevel="1" x14ac:dyDescent="0.5">
      <c r="B157" s="60" t="str">
        <f ca="1"/>
        <v>842400JA2</v>
      </c>
      <c r="C157" s="61" t="str">
        <f ca="1"/>
        <v>N/A</v>
      </c>
      <c r="D157" s="60" t="str">
        <f ca="1"/>
        <v>SOUTHERN CALIF      EDISON CO SER 2024A 4.87500% 02/01/2027 BOND CALL MAKE WHOLE</v>
      </c>
      <c r="E157" s="61" t="str">
        <f ca="1"/>
        <v>Corp</v>
      </c>
      <c r="F157" s="62">
        <f ca="1"/>
        <v>4.875</v>
      </c>
      <c r="G157" s="63">
        <f ca="1"/>
        <v>46419</v>
      </c>
      <c r="H157" s="61" t="str">
        <f ca="1"/>
        <v>A2</v>
      </c>
      <c r="I157" s="61" t="str">
        <f ca="1"/>
        <v>A-</v>
      </c>
      <c r="J157" s="64">
        <f ca="1"/>
        <v>100.301</v>
      </c>
      <c r="K157" s="17">
        <f ca="1"/>
        <v>4.7039999999999997</v>
      </c>
      <c r="L157" s="18" t="str">
        <f ca="1"/>
        <v>625(1)</v>
      </c>
      <c r="M157" s="83"/>
      <c r="N157" s="84" t="str">
        <f t="shared" si="37"/>
        <v/>
      </c>
      <c r="O157" s="20" t="str">
        <f t="shared" si="38"/>
        <v/>
      </c>
      <c r="P157" s="64" t="str">
        <f t="shared" si="39"/>
        <v/>
      </c>
      <c r="Q157" s="85" t="str">
        <f t="shared" ca="1" si="40"/>
        <v/>
      </c>
      <c r="R157" s="86" t="str">
        <f t="shared" si="41"/>
        <v/>
      </c>
      <c r="S157" s="86" t="str">
        <f t="shared" si="42"/>
        <v/>
      </c>
      <c r="T157" s="104" t="str">
        <f t="shared" si="43"/>
        <v/>
      </c>
      <c r="U157" s="19" t="str">
        <f>IF(AND(M157&lt;&gt;"",M157&lt;&gt;0), IF(E157 = "Muni", T157, IF(E157="Corp", T157*(1 -'Investor Input'!$C$4-'Investor Input'!$C$5), T157*(1 -'Investor Input'!$C$4))), T157)</f>
        <v/>
      </c>
      <c r="V157" s="84" t="str">
        <f t="shared" si="44"/>
        <v/>
      </c>
      <c r="W157" s="84" t="str">
        <f t="shared" si="30"/>
        <v/>
      </c>
      <c r="X157" s="21" t="str">
        <f t="shared" si="31"/>
        <v/>
      </c>
      <c r="Y157" s="60" t="str">
        <f t="shared" si="32"/>
        <v/>
      </c>
      <c r="Z157" s="60" t="str">
        <f t="shared" si="33"/>
        <v/>
      </c>
      <c r="AA157" s="64" t="str">
        <f t="shared" si="34"/>
        <v/>
      </c>
      <c r="AB157" s="64" t="str">
        <f>IF(AND(AA157&lt;&gt;"",AA157&lt;&gt;0), IF(E157="Muni", AA157, IF(E157 = "Corp", (1-'Investor Input'!$C$4-'Investor Input'!$C$5)*AA157, (1-'Investor Input'!$C$4)*AA157)), AA157)</f>
        <v/>
      </c>
      <c r="AC157" s="94" t="str">
        <f t="shared" si="35"/>
        <v/>
      </c>
      <c r="AD157" s="60" t="str">
        <f>IF(AND(M157&lt;&gt;"", M157&lt;&gt;0), N157/$N$505*MATCH(AC157,'Misc Lists'!$K$2:$K$25,0), "")</f>
        <v/>
      </c>
      <c r="AE157" s="90" t="str">
        <f t="shared" si="36"/>
        <v/>
      </c>
      <c r="AF157" s="99" t="str">
        <f>IF(AND(M157&lt;&gt;"", M157&lt;&gt;0), N157/$N$505*MATCH(AE157,'Misc Lists'!$L$2:$L$25,0), "")</f>
        <v/>
      </c>
    </row>
    <row r="158" spans="2:32" hidden="1" outlineLevel="1" x14ac:dyDescent="0.5">
      <c r="B158" s="60" t="str">
        <f ca="1"/>
        <v>756109AW4</v>
      </c>
      <c r="C158" s="61" t="str">
        <f ca="1"/>
        <v>N/A</v>
      </c>
      <c r="D158" s="60" t="str">
        <f ca="1"/>
        <v>REALTY INCOME CORP  NOTE CALL MAKE WHOLE3.25000% 06/15/2029</v>
      </c>
      <c r="E158" s="61" t="str">
        <f ca="1"/>
        <v>Corp</v>
      </c>
      <c r="F158" s="62">
        <f ca="1"/>
        <v>3.25</v>
      </c>
      <c r="G158" s="63">
        <f ca="1"/>
        <v>47284</v>
      </c>
      <c r="H158" s="61" t="str">
        <f ca="1"/>
        <v>A3</v>
      </c>
      <c r="I158" s="61" t="str">
        <f ca="1"/>
        <v>A-</v>
      </c>
      <c r="J158" s="64">
        <f ca="1"/>
        <v>94.441999999999993</v>
      </c>
      <c r="K158" s="17">
        <f ca="1"/>
        <v>4.7039999999999997</v>
      </c>
      <c r="L158" s="18" t="str">
        <f ca="1"/>
        <v>1,000(10)</v>
      </c>
      <c r="M158" s="83"/>
      <c r="N158" s="84" t="str">
        <f t="shared" si="37"/>
        <v/>
      </c>
      <c r="O158" s="20" t="str">
        <f t="shared" si="38"/>
        <v/>
      </c>
      <c r="P158" s="64" t="str">
        <f t="shared" si="39"/>
        <v/>
      </c>
      <c r="Q158" s="85" t="str">
        <f t="shared" ca="1" si="40"/>
        <v/>
      </c>
      <c r="R158" s="86" t="str">
        <f t="shared" si="41"/>
        <v/>
      </c>
      <c r="S158" s="86" t="str">
        <f t="shared" si="42"/>
        <v/>
      </c>
      <c r="T158" s="104" t="str">
        <f t="shared" si="43"/>
        <v/>
      </c>
      <c r="U158" s="19" t="str">
        <f>IF(AND(M158&lt;&gt;"",M158&lt;&gt;0), IF(E158 = "Muni", T158, IF(E158="Corp", T158*(1 -'Investor Input'!$C$4-'Investor Input'!$C$5), T158*(1 -'Investor Input'!$C$4))), T158)</f>
        <v/>
      </c>
      <c r="V158" s="84" t="str">
        <f t="shared" si="44"/>
        <v/>
      </c>
      <c r="W158" s="84" t="str">
        <f t="shared" si="30"/>
        <v/>
      </c>
      <c r="X158" s="21" t="str">
        <f t="shared" si="31"/>
        <v/>
      </c>
      <c r="Y158" s="60" t="str">
        <f t="shared" si="32"/>
        <v/>
      </c>
      <c r="Z158" s="60" t="str">
        <f t="shared" si="33"/>
        <v/>
      </c>
      <c r="AA158" s="64" t="str">
        <f t="shared" si="34"/>
        <v/>
      </c>
      <c r="AB158" s="64" t="str">
        <f>IF(AND(AA158&lt;&gt;"",AA158&lt;&gt;0), IF(E158="Muni", AA158, IF(E158 = "Corp", (1-'Investor Input'!$C$4-'Investor Input'!$C$5)*AA158, (1-'Investor Input'!$C$4)*AA158)), AA158)</f>
        <v/>
      </c>
      <c r="AC158" s="94" t="str">
        <f t="shared" si="35"/>
        <v/>
      </c>
      <c r="AD158" s="60" t="str">
        <f>IF(AND(M158&lt;&gt;"", M158&lt;&gt;0), N158/$N$505*MATCH(AC158,'Misc Lists'!$K$2:$K$25,0), "")</f>
        <v/>
      </c>
      <c r="AE158" s="90" t="str">
        <f t="shared" si="36"/>
        <v/>
      </c>
      <c r="AF158" s="99" t="str">
        <f>IF(AND(M158&lt;&gt;"", M158&lt;&gt;0), N158/$N$505*MATCH(AE158,'Misc Lists'!$L$2:$L$25,0), "")</f>
        <v/>
      </c>
    </row>
    <row r="159" spans="2:32" hidden="1" outlineLevel="1" x14ac:dyDescent="0.5">
      <c r="B159" s="60" t="str">
        <f ca="1"/>
        <v>902133BA4</v>
      </c>
      <c r="C159" s="61" t="str">
        <f ca="1"/>
        <v>N/A</v>
      </c>
      <c r="D159" s="60" t="str">
        <f ca="1"/>
        <v>TYCO ELECTRONICS    GROUP S A NOTE      4.62500% 02/01/2030 CALL MAKE WHOLE</v>
      </c>
      <c r="E159" s="61" t="str">
        <f ca="1"/>
        <v>Corp</v>
      </c>
      <c r="F159" s="62">
        <f ca="1"/>
        <v>4.625</v>
      </c>
      <c r="G159" s="63">
        <f ca="1"/>
        <v>47515</v>
      </c>
      <c r="H159" s="61" t="str">
        <f ca="1"/>
        <v>A3</v>
      </c>
      <c r="I159" s="61" t="str">
        <f ca="1"/>
        <v>A-</v>
      </c>
      <c r="J159" s="64">
        <f ca="1"/>
        <v>99.658000000000001</v>
      </c>
      <c r="K159" s="17">
        <f ca="1"/>
        <v>4.7030000000000003</v>
      </c>
      <c r="L159" s="18" t="str">
        <f ca="1"/>
        <v>500(10)</v>
      </c>
      <c r="M159" s="83"/>
      <c r="N159" s="84" t="str">
        <f t="shared" si="37"/>
        <v/>
      </c>
      <c r="O159" s="20" t="str">
        <f t="shared" si="38"/>
        <v/>
      </c>
      <c r="P159" s="64" t="str">
        <f t="shared" si="39"/>
        <v/>
      </c>
      <c r="Q159" s="85" t="str">
        <f t="shared" ca="1" si="40"/>
        <v/>
      </c>
      <c r="R159" s="86" t="str">
        <f t="shared" si="41"/>
        <v/>
      </c>
      <c r="S159" s="86" t="str">
        <f t="shared" si="42"/>
        <v/>
      </c>
      <c r="T159" s="104" t="str">
        <f t="shared" si="43"/>
        <v/>
      </c>
      <c r="U159" s="19" t="str">
        <f>IF(AND(M159&lt;&gt;"",M159&lt;&gt;0), IF(E159 = "Muni", T159, IF(E159="Corp", T159*(1 -'Investor Input'!$C$4-'Investor Input'!$C$5), T159*(1 -'Investor Input'!$C$4))), T159)</f>
        <v/>
      </c>
      <c r="V159" s="84" t="str">
        <f t="shared" si="44"/>
        <v/>
      </c>
      <c r="W159" s="84" t="str">
        <f t="shared" si="30"/>
        <v/>
      </c>
      <c r="X159" s="21" t="str">
        <f t="shared" si="31"/>
        <v/>
      </c>
      <c r="Y159" s="60" t="str">
        <f t="shared" si="32"/>
        <v/>
      </c>
      <c r="Z159" s="60" t="str">
        <f t="shared" si="33"/>
        <v/>
      </c>
      <c r="AA159" s="64" t="str">
        <f t="shared" si="34"/>
        <v/>
      </c>
      <c r="AB159" s="64" t="str">
        <f>IF(AND(AA159&lt;&gt;"",AA159&lt;&gt;0), IF(E159="Muni", AA159, IF(E159 = "Corp", (1-'Investor Input'!$C$4-'Investor Input'!$C$5)*AA159, (1-'Investor Input'!$C$4)*AA159)), AA159)</f>
        <v/>
      </c>
      <c r="AC159" s="94" t="str">
        <f t="shared" si="35"/>
        <v/>
      </c>
      <c r="AD159" s="60" t="str">
        <f>IF(AND(M159&lt;&gt;"", M159&lt;&gt;0), N159/$N$505*MATCH(AC159,'Misc Lists'!$K$2:$K$25,0), "")</f>
        <v/>
      </c>
      <c r="AE159" s="90" t="str">
        <f t="shared" si="36"/>
        <v/>
      </c>
      <c r="AF159" s="99" t="str">
        <f>IF(AND(M159&lt;&gt;"", M159&lt;&gt;0), N159/$N$505*MATCH(AE159,'Misc Lists'!$L$2:$L$25,0), "")</f>
        <v/>
      </c>
    </row>
    <row r="160" spans="2:32" hidden="1" outlineLevel="1" x14ac:dyDescent="0.5">
      <c r="B160" s="60" t="str">
        <f ca="1"/>
        <v>036752AY9</v>
      </c>
      <c r="C160" s="61" t="str">
        <f ca="1"/>
        <v>N/A</v>
      </c>
      <c r="D160" s="60" t="str">
        <f ca="1"/>
        <v>ELEVANCE HEALTH INC NOTE CALL MAKE WHOLE5.15000% 06/15/2029</v>
      </c>
      <c r="E160" s="61" t="str">
        <f ca="1"/>
        <v>Corp</v>
      </c>
      <c r="F160" s="62">
        <f ca="1"/>
        <v>5.15</v>
      </c>
      <c r="G160" s="63">
        <f ca="1"/>
        <v>47284</v>
      </c>
      <c r="H160" s="61" t="str">
        <f ca="1"/>
        <v>BAA2</v>
      </c>
      <c r="I160" s="61" t="str">
        <f ca="1"/>
        <v>A</v>
      </c>
      <c r="J160" s="64">
        <f ca="1"/>
        <v>101.705</v>
      </c>
      <c r="K160" s="17">
        <f ca="1"/>
        <v>4.702</v>
      </c>
      <c r="L160" s="18" t="str">
        <f ca="1"/>
        <v>500(1)</v>
      </c>
      <c r="M160" s="83"/>
      <c r="N160" s="84" t="str">
        <f t="shared" si="37"/>
        <v/>
      </c>
      <c r="O160" s="20" t="str">
        <f t="shared" si="38"/>
        <v/>
      </c>
      <c r="P160" s="64" t="str">
        <f t="shared" si="39"/>
        <v/>
      </c>
      <c r="Q160" s="85" t="str">
        <f t="shared" ca="1" si="40"/>
        <v/>
      </c>
      <c r="R160" s="86" t="str">
        <f t="shared" si="41"/>
        <v/>
      </c>
      <c r="S160" s="86" t="str">
        <f t="shared" si="42"/>
        <v/>
      </c>
      <c r="T160" s="104" t="str">
        <f t="shared" si="43"/>
        <v/>
      </c>
      <c r="U160" s="19" t="str">
        <f>IF(AND(M160&lt;&gt;"",M160&lt;&gt;0), IF(E160 = "Muni", T160, IF(E160="Corp", T160*(1 -'Investor Input'!$C$4-'Investor Input'!$C$5), T160*(1 -'Investor Input'!$C$4))), T160)</f>
        <v/>
      </c>
      <c r="V160" s="84" t="str">
        <f t="shared" si="44"/>
        <v/>
      </c>
      <c r="W160" s="84" t="str">
        <f t="shared" si="30"/>
        <v/>
      </c>
      <c r="X160" s="21" t="str">
        <f t="shared" si="31"/>
        <v/>
      </c>
      <c r="Y160" s="60" t="str">
        <f t="shared" si="32"/>
        <v/>
      </c>
      <c r="Z160" s="60" t="str">
        <f t="shared" si="33"/>
        <v/>
      </c>
      <c r="AA160" s="64" t="str">
        <f t="shared" si="34"/>
        <v/>
      </c>
      <c r="AB160" s="64" t="str">
        <f>IF(AND(AA160&lt;&gt;"",AA160&lt;&gt;0), IF(E160="Muni", AA160, IF(E160 = "Corp", (1-'Investor Input'!$C$4-'Investor Input'!$C$5)*AA160, (1-'Investor Input'!$C$4)*AA160)), AA160)</f>
        <v/>
      </c>
      <c r="AC160" s="94" t="str">
        <f t="shared" si="35"/>
        <v/>
      </c>
      <c r="AD160" s="60" t="str">
        <f>IF(AND(M160&lt;&gt;"", M160&lt;&gt;0), N160/$N$505*MATCH(AC160,'Misc Lists'!$K$2:$K$25,0), "")</f>
        <v/>
      </c>
      <c r="AE160" s="90" t="str">
        <f t="shared" si="36"/>
        <v/>
      </c>
      <c r="AF160" s="99" t="str">
        <f>IF(AND(M160&lt;&gt;"", M160&lt;&gt;0), N160/$N$505*MATCH(AE160,'Misc Lists'!$L$2:$L$25,0), "")</f>
        <v/>
      </c>
    </row>
    <row r="161" spans="2:32" hidden="1" outlineLevel="1" x14ac:dyDescent="0.5">
      <c r="B161" s="60" t="str">
        <f ca="1"/>
        <v>75884RAZ6</v>
      </c>
      <c r="C161" s="61" t="str">
        <f ca="1"/>
        <v>N/A</v>
      </c>
      <c r="D161" s="60" t="str">
        <f ca="1"/>
        <v>REGENCY CTRS L P    NOTE CALL MAKE WHOLE2.95000% 09/15/2029</v>
      </c>
      <c r="E161" s="61" t="str">
        <f ca="1"/>
        <v>Corp</v>
      </c>
      <c r="F161" s="62">
        <f ca="1"/>
        <v>2.95</v>
      </c>
      <c r="G161" s="63">
        <f ca="1"/>
        <v>47376</v>
      </c>
      <c r="H161" s="61" t="str">
        <f ca="1"/>
        <v>A3</v>
      </c>
      <c r="I161" s="61" t="str">
        <f ca="1"/>
        <v>A-</v>
      </c>
      <c r="J161" s="64">
        <f ca="1"/>
        <v>92.956000000000003</v>
      </c>
      <c r="K161" s="17">
        <f ca="1"/>
        <v>4.702</v>
      </c>
      <c r="L161" s="18" t="str">
        <f ca="1"/>
        <v>250(10)</v>
      </c>
      <c r="M161" s="83"/>
      <c r="N161" s="84" t="str">
        <f t="shared" si="37"/>
        <v/>
      </c>
      <c r="O161" s="20" t="str">
        <f t="shared" si="38"/>
        <v/>
      </c>
      <c r="P161" s="64" t="str">
        <f t="shared" si="39"/>
        <v/>
      </c>
      <c r="Q161" s="85" t="str">
        <f t="shared" ca="1" si="40"/>
        <v/>
      </c>
      <c r="R161" s="86" t="str">
        <f t="shared" si="41"/>
        <v/>
      </c>
      <c r="S161" s="86" t="str">
        <f t="shared" si="42"/>
        <v/>
      </c>
      <c r="T161" s="104" t="str">
        <f t="shared" si="43"/>
        <v/>
      </c>
      <c r="U161" s="19" t="str">
        <f>IF(AND(M161&lt;&gt;"",M161&lt;&gt;0), IF(E161 = "Muni", T161, IF(E161="Corp", T161*(1 -'Investor Input'!$C$4-'Investor Input'!$C$5), T161*(1 -'Investor Input'!$C$4))), T161)</f>
        <v/>
      </c>
      <c r="V161" s="84" t="str">
        <f t="shared" si="44"/>
        <v/>
      </c>
      <c r="W161" s="84" t="str">
        <f t="shared" si="30"/>
        <v/>
      </c>
      <c r="X161" s="21" t="str">
        <f t="shared" si="31"/>
        <v/>
      </c>
      <c r="Y161" s="60" t="str">
        <f t="shared" si="32"/>
        <v/>
      </c>
      <c r="Z161" s="60" t="str">
        <f t="shared" si="33"/>
        <v/>
      </c>
      <c r="AA161" s="64" t="str">
        <f t="shared" si="34"/>
        <v/>
      </c>
      <c r="AB161" s="64" t="str">
        <f>IF(AND(AA161&lt;&gt;"",AA161&lt;&gt;0), IF(E161="Muni", AA161, IF(E161 = "Corp", (1-'Investor Input'!$C$4-'Investor Input'!$C$5)*AA161, (1-'Investor Input'!$C$4)*AA161)), AA161)</f>
        <v/>
      </c>
      <c r="AC161" s="94" t="str">
        <f t="shared" si="35"/>
        <v/>
      </c>
      <c r="AD161" s="60" t="str">
        <f>IF(AND(M161&lt;&gt;"", M161&lt;&gt;0), N161/$N$505*MATCH(AC161,'Misc Lists'!$K$2:$K$25,0), "")</f>
        <v/>
      </c>
      <c r="AE161" s="90" t="str">
        <f t="shared" si="36"/>
        <v/>
      </c>
      <c r="AF161" s="99" t="str">
        <f>IF(AND(M161&lt;&gt;"", M161&lt;&gt;0), N161/$N$505*MATCH(AE161,'Misc Lists'!$L$2:$L$25,0), "")</f>
        <v/>
      </c>
    </row>
    <row r="162" spans="2:32" hidden="1" outlineLevel="1" x14ac:dyDescent="0.5">
      <c r="B162" s="60" t="str">
        <f ca="1"/>
        <v>210518DX1</v>
      </c>
      <c r="C162" s="61" t="str">
        <f ca="1"/>
        <v>N/A</v>
      </c>
      <c r="D162" s="60" t="str">
        <f ca="1"/>
        <v>CONSUMERS ENERGY CO BOND CALL MAKE WHOLE4.70000% 01/15/2030</v>
      </c>
      <c r="E162" s="61" t="str">
        <f ca="1"/>
        <v>Corp</v>
      </c>
      <c r="F162" s="62">
        <f ca="1"/>
        <v>4.7</v>
      </c>
      <c r="G162" s="63">
        <f ca="1"/>
        <v>47498</v>
      </c>
      <c r="H162" s="61" t="str">
        <f ca="1"/>
        <v>A1</v>
      </c>
      <c r="I162" s="61" t="str">
        <f ca="1"/>
        <v>A</v>
      </c>
      <c r="J162" s="64">
        <f ca="1"/>
        <v>99.986000000000004</v>
      </c>
      <c r="K162" s="17">
        <f ca="1"/>
        <v>4.702</v>
      </c>
      <c r="L162" s="18" t="str">
        <f ca="1"/>
        <v>200(2)</v>
      </c>
      <c r="M162" s="83"/>
      <c r="N162" s="84" t="str">
        <f t="shared" si="37"/>
        <v/>
      </c>
      <c r="O162" s="20" t="str">
        <f t="shared" si="38"/>
        <v/>
      </c>
      <c r="P162" s="64" t="str">
        <f t="shared" si="39"/>
        <v/>
      </c>
      <c r="Q162" s="85" t="str">
        <f t="shared" ca="1" si="40"/>
        <v/>
      </c>
      <c r="R162" s="86" t="str">
        <f t="shared" si="41"/>
        <v/>
      </c>
      <c r="S162" s="86" t="str">
        <f t="shared" si="42"/>
        <v/>
      </c>
      <c r="T162" s="104" t="str">
        <f t="shared" si="43"/>
        <v/>
      </c>
      <c r="U162" s="19" t="str">
        <f>IF(AND(M162&lt;&gt;"",M162&lt;&gt;0), IF(E162 = "Muni", T162, IF(E162="Corp", T162*(1 -'Investor Input'!$C$4-'Investor Input'!$C$5), T162*(1 -'Investor Input'!$C$4))), T162)</f>
        <v/>
      </c>
      <c r="V162" s="84" t="str">
        <f t="shared" si="44"/>
        <v/>
      </c>
      <c r="W162" s="84" t="str">
        <f t="shared" si="30"/>
        <v/>
      </c>
      <c r="X162" s="21" t="str">
        <f t="shared" si="31"/>
        <v/>
      </c>
      <c r="Y162" s="60" t="str">
        <f t="shared" si="32"/>
        <v/>
      </c>
      <c r="Z162" s="60" t="str">
        <f t="shared" si="33"/>
        <v/>
      </c>
      <c r="AA162" s="64" t="str">
        <f t="shared" si="34"/>
        <v/>
      </c>
      <c r="AB162" s="64" t="str">
        <f>IF(AND(AA162&lt;&gt;"",AA162&lt;&gt;0), IF(E162="Muni", AA162, IF(E162 = "Corp", (1-'Investor Input'!$C$4-'Investor Input'!$C$5)*AA162, (1-'Investor Input'!$C$4)*AA162)), AA162)</f>
        <v/>
      </c>
      <c r="AC162" s="94" t="str">
        <f t="shared" si="35"/>
        <v/>
      </c>
      <c r="AD162" s="60" t="str">
        <f>IF(AND(M162&lt;&gt;"", M162&lt;&gt;0), N162/$N$505*MATCH(AC162,'Misc Lists'!$K$2:$K$25,0), "")</f>
        <v/>
      </c>
      <c r="AE162" s="90" t="str">
        <f t="shared" si="36"/>
        <v/>
      </c>
      <c r="AF162" s="99" t="str">
        <f>IF(AND(M162&lt;&gt;"", M162&lt;&gt;0), N162/$N$505*MATCH(AE162,'Misc Lists'!$L$2:$L$25,0), "")</f>
        <v/>
      </c>
    </row>
    <row r="163" spans="2:32" hidden="1" outlineLevel="1" x14ac:dyDescent="0.5">
      <c r="B163" s="60" t="str">
        <f ca="1"/>
        <v>13607XGB7</v>
      </c>
      <c r="C163" s="61" t="str">
        <f ca="1"/>
        <v>N/A</v>
      </c>
      <c r="D163" s="60" t="str">
        <f ca="1"/>
        <v>CANADIAN IMPERIAL BKCOMM MTN            5.55000% 03/16/2026</v>
      </c>
      <c r="E163" s="61" t="str">
        <f ca="1"/>
        <v>Corp</v>
      </c>
      <c r="F163" s="62">
        <f ca="1"/>
        <v>5.55</v>
      </c>
      <c r="G163" s="63">
        <f ca="1"/>
        <v>46097</v>
      </c>
      <c r="H163" s="61" t="str">
        <f ca="1"/>
        <v>A2</v>
      </c>
      <c r="I163" s="61" t="str">
        <f ca="1"/>
        <v>A-</v>
      </c>
      <c r="J163" s="64">
        <f ca="1"/>
        <v>100.82899999999999</v>
      </c>
      <c r="K163" s="17">
        <f ca="1"/>
        <v>4.7</v>
      </c>
      <c r="L163" s="18" t="str">
        <f ca="1"/>
        <v>15(15)</v>
      </c>
      <c r="M163" s="83"/>
      <c r="N163" s="84" t="str">
        <f t="shared" si="37"/>
        <v/>
      </c>
      <c r="O163" s="20" t="str">
        <f t="shared" si="38"/>
        <v/>
      </c>
      <c r="P163" s="64" t="str">
        <f t="shared" si="39"/>
        <v/>
      </c>
      <c r="Q163" s="85" t="str">
        <f t="shared" ca="1" si="40"/>
        <v/>
      </c>
      <c r="R163" s="86" t="str">
        <f t="shared" si="41"/>
        <v/>
      </c>
      <c r="S163" s="86" t="str">
        <f t="shared" si="42"/>
        <v/>
      </c>
      <c r="T163" s="104" t="str">
        <f t="shared" si="43"/>
        <v/>
      </c>
      <c r="U163" s="19" t="str">
        <f>IF(AND(M163&lt;&gt;"",M163&lt;&gt;0), IF(E163 = "Muni", T163, IF(E163="Corp", T163*(1 -'Investor Input'!$C$4-'Investor Input'!$C$5), T163*(1 -'Investor Input'!$C$4))), T163)</f>
        <v/>
      </c>
      <c r="V163" s="84" t="str">
        <f t="shared" si="44"/>
        <v/>
      </c>
      <c r="W163" s="84" t="str">
        <f t="shared" si="30"/>
        <v/>
      </c>
      <c r="X163" s="21" t="str">
        <f t="shared" si="31"/>
        <v/>
      </c>
      <c r="Y163" s="60" t="str">
        <f t="shared" si="32"/>
        <v/>
      </c>
      <c r="Z163" s="60" t="str">
        <f t="shared" si="33"/>
        <v/>
      </c>
      <c r="AA163" s="64" t="str">
        <f t="shared" si="34"/>
        <v/>
      </c>
      <c r="AB163" s="64" t="str">
        <f>IF(AND(AA163&lt;&gt;"",AA163&lt;&gt;0), IF(E163="Muni", AA163, IF(E163 = "Corp", (1-'Investor Input'!$C$4-'Investor Input'!$C$5)*AA163, (1-'Investor Input'!$C$4)*AA163)), AA163)</f>
        <v/>
      </c>
      <c r="AC163" s="94" t="str">
        <f t="shared" si="35"/>
        <v/>
      </c>
      <c r="AD163" s="60" t="str">
        <f>IF(AND(M163&lt;&gt;"", M163&lt;&gt;0), N163/$N$505*MATCH(AC163,'Misc Lists'!$K$2:$K$25,0), "")</f>
        <v/>
      </c>
      <c r="AE163" s="90" t="str">
        <f t="shared" si="36"/>
        <v/>
      </c>
      <c r="AF163" s="99" t="str">
        <f>IF(AND(M163&lt;&gt;"", M163&lt;&gt;0), N163/$N$505*MATCH(AE163,'Misc Lists'!$L$2:$L$25,0), "")</f>
        <v/>
      </c>
    </row>
    <row r="164" spans="2:32" hidden="1" outlineLevel="1" x14ac:dyDescent="0.5">
      <c r="B164" s="60" t="str">
        <f ca="1"/>
        <v>754730AG4</v>
      </c>
      <c r="C164" s="61" t="str">
        <f ca="1"/>
        <v>N/A</v>
      </c>
      <c r="D164" s="60" t="str">
        <f ca="1"/>
        <v>RAYMOND JAMES FINL  INC NOTE            4.65000% 04/01/2030 CALL MAKE WHOLE</v>
      </c>
      <c r="E164" s="61" t="str">
        <f ca="1"/>
        <v>Corp</v>
      </c>
      <c r="F164" s="62">
        <f ca="1"/>
        <v>4.6500000000000004</v>
      </c>
      <c r="G164" s="63">
        <f ca="1"/>
        <v>47574</v>
      </c>
      <c r="H164" s="61" t="str">
        <f ca="1"/>
        <v>A3</v>
      </c>
      <c r="I164" s="61" t="str">
        <f ca="1"/>
        <v>A-</v>
      </c>
      <c r="J164" s="64">
        <f ca="1"/>
        <v>99.774000000000001</v>
      </c>
      <c r="K164" s="17">
        <f ca="1"/>
        <v>4.7</v>
      </c>
      <c r="L164" s="18" t="str">
        <f ca="1"/>
        <v>500(2)</v>
      </c>
      <c r="M164" s="83"/>
      <c r="N164" s="84" t="str">
        <f t="shared" si="37"/>
        <v/>
      </c>
      <c r="O164" s="20" t="str">
        <f t="shared" si="38"/>
        <v/>
      </c>
      <c r="P164" s="64" t="str">
        <f t="shared" si="39"/>
        <v/>
      </c>
      <c r="Q164" s="85" t="str">
        <f t="shared" ca="1" si="40"/>
        <v/>
      </c>
      <c r="R164" s="86" t="str">
        <f t="shared" si="41"/>
        <v/>
      </c>
      <c r="S164" s="86" t="str">
        <f t="shared" si="42"/>
        <v/>
      </c>
      <c r="T164" s="104" t="str">
        <f t="shared" si="43"/>
        <v/>
      </c>
      <c r="U164" s="19" t="str">
        <f>IF(AND(M164&lt;&gt;"",M164&lt;&gt;0), IF(E164 = "Muni", T164, IF(E164="Corp", T164*(1 -'Investor Input'!$C$4-'Investor Input'!$C$5), T164*(1 -'Investor Input'!$C$4))), T164)</f>
        <v/>
      </c>
      <c r="V164" s="84" t="str">
        <f t="shared" si="44"/>
        <v/>
      </c>
      <c r="W164" s="84" t="str">
        <f t="shared" si="30"/>
        <v/>
      </c>
      <c r="X164" s="21" t="str">
        <f t="shared" si="31"/>
        <v/>
      </c>
      <c r="Y164" s="60" t="str">
        <f t="shared" si="32"/>
        <v/>
      </c>
      <c r="Z164" s="60" t="str">
        <f t="shared" si="33"/>
        <v/>
      </c>
      <c r="AA164" s="64" t="str">
        <f t="shared" si="34"/>
        <v/>
      </c>
      <c r="AB164" s="64" t="str">
        <f>IF(AND(AA164&lt;&gt;"",AA164&lt;&gt;0), IF(E164="Muni", AA164, IF(E164 = "Corp", (1-'Investor Input'!$C$4-'Investor Input'!$C$5)*AA164, (1-'Investor Input'!$C$4)*AA164)), AA164)</f>
        <v/>
      </c>
      <c r="AC164" s="94" t="str">
        <f t="shared" si="35"/>
        <v/>
      </c>
      <c r="AD164" s="60" t="str">
        <f>IF(AND(M164&lt;&gt;"", M164&lt;&gt;0), N164/$N$505*MATCH(AC164,'Misc Lists'!$K$2:$K$25,0), "")</f>
        <v/>
      </c>
      <c r="AE164" s="90" t="str">
        <f t="shared" si="36"/>
        <v/>
      </c>
      <c r="AF164" s="99" t="str">
        <f>IF(AND(M164&lt;&gt;"", M164&lt;&gt;0), N164/$N$505*MATCH(AE164,'Misc Lists'!$L$2:$L$25,0), "")</f>
        <v/>
      </c>
    </row>
    <row r="165" spans="2:32" hidden="1" outlineLevel="1" x14ac:dyDescent="0.5">
      <c r="B165" s="60" t="str">
        <f ca="1"/>
        <v>05971KAE9</v>
      </c>
      <c r="C165" s="61" t="str">
        <f ca="1"/>
        <v>N/A</v>
      </c>
      <c r="D165" s="60" t="str">
        <f ca="1"/>
        <v>BANCO SANTANDER S.A.NOTE                2.74600% 05/28/2025</v>
      </c>
      <c r="E165" s="61" t="str">
        <f ca="1"/>
        <v>Corp</v>
      </c>
      <c r="F165" s="62">
        <f ca="1"/>
        <v>2.746</v>
      </c>
      <c r="G165" s="63">
        <f ca="1"/>
        <v>45805</v>
      </c>
      <c r="H165" s="61" t="str">
        <f ca="1"/>
        <v>BAA1</v>
      </c>
      <c r="I165" s="61" t="str">
        <f ca="1"/>
        <v>A-</v>
      </c>
      <c r="J165" s="64">
        <f ca="1"/>
        <v>99.584000000000003</v>
      </c>
      <c r="K165" s="17">
        <f ca="1"/>
        <v>4.6989999999999998</v>
      </c>
      <c r="L165" s="18" t="str">
        <f ca="1"/>
        <v>222(200)</v>
      </c>
      <c r="M165" s="83"/>
      <c r="N165" s="84" t="str">
        <f t="shared" si="37"/>
        <v/>
      </c>
      <c r="O165" s="20" t="str">
        <f t="shared" si="38"/>
        <v/>
      </c>
      <c r="P165" s="64" t="str">
        <f t="shared" si="39"/>
        <v/>
      </c>
      <c r="Q165" s="85" t="str">
        <f t="shared" ca="1" si="40"/>
        <v/>
      </c>
      <c r="R165" s="86" t="str">
        <f t="shared" si="41"/>
        <v/>
      </c>
      <c r="S165" s="86" t="str">
        <f t="shared" si="42"/>
        <v/>
      </c>
      <c r="T165" s="104" t="str">
        <f t="shared" si="43"/>
        <v/>
      </c>
      <c r="U165" s="19" t="str">
        <f>IF(AND(M165&lt;&gt;"",M165&lt;&gt;0), IF(E165 = "Muni", T165, IF(E165="Corp", T165*(1 -'Investor Input'!$C$4-'Investor Input'!$C$5), T165*(1 -'Investor Input'!$C$4))), T165)</f>
        <v/>
      </c>
      <c r="V165" s="84" t="str">
        <f t="shared" si="44"/>
        <v/>
      </c>
      <c r="W165" s="84" t="str">
        <f t="shared" si="30"/>
        <v/>
      </c>
      <c r="X165" s="21" t="str">
        <f t="shared" si="31"/>
        <v/>
      </c>
      <c r="Y165" s="60" t="str">
        <f t="shared" si="32"/>
        <v/>
      </c>
      <c r="Z165" s="60" t="str">
        <f t="shared" si="33"/>
        <v/>
      </c>
      <c r="AA165" s="64" t="str">
        <f t="shared" si="34"/>
        <v/>
      </c>
      <c r="AB165" s="64" t="str">
        <f>IF(AND(AA165&lt;&gt;"",AA165&lt;&gt;0), IF(E165="Muni", AA165, IF(E165 = "Corp", (1-'Investor Input'!$C$4-'Investor Input'!$C$5)*AA165, (1-'Investor Input'!$C$4)*AA165)), AA165)</f>
        <v/>
      </c>
      <c r="AC165" s="94" t="str">
        <f t="shared" si="35"/>
        <v/>
      </c>
      <c r="AD165" s="60" t="str">
        <f>IF(AND(M165&lt;&gt;"", M165&lt;&gt;0), N165/$N$505*MATCH(AC165,'Misc Lists'!$K$2:$K$25,0), "")</f>
        <v/>
      </c>
      <c r="AE165" s="90" t="str">
        <f t="shared" si="36"/>
        <v/>
      </c>
      <c r="AF165" s="99" t="str">
        <f>IF(AND(M165&lt;&gt;"", M165&lt;&gt;0), N165/$N$505*MATCH(AE165,'Misc Lists'!$L$2:$L$25,0), "")</f>
        <v/>
      </c>
    </row>
    <row r="166" spans="2:32" hidden="1" outlineLevel="1" x14ac:dyDescent="0.5">
      <c r="B166" s="60" t="str">
        <f ca="1"/>
        <v>89115A2U5</v>
      </c>
      <c r="C166" s="61" t="str">
        <f ca="1"/>
        <v>N/A</v>
      </c>
      <c r="D166" s="60" t="str">
        <f ca="1"/>
        <v>TORONTO DOMINION BK ONT SER C MTN       5.52300% 07/17/2028 CALL MAKE WHOLE     ISIN #US89115A2U52</v>
      </c>
      <c r="E166" s="61" t="str">
        <f ca="1"/>
        <v>Corp</v>
      </c>
      <c r="F166" s="62">
        <f ca="1"/>
        <v>5.5229999999999997</v>
      </c>
      <c r="G166" s="63">
        <f ca="1"/>
        <v>46951</v>
      </c>
      <c r="H166" s="61" t="str">
        <f ca="1"/>
        <v>A2</v>
      </c>
      <c r="I166" s="61" t="str">
        <f ca="1"/>
        <v>A-</v>
      </c>
      <c r="J166" s="64">
        <f ca="1"/>
        <v>102.52</v>
      </c>
      <c r="K166" s="17">
        <f ca="1"/>
        <v>4.6980000000000004</v>
      </c>
      <c r="L166" s="18" t="str">
        <f ca="1"/>
        <v>500(2)</v>
      </c>
      <c r="M166" s="83"/>
      <c r="N166" s="84" t="str">
        <f t="shared" si="37"/>
        <v/>
      </c>
      <c r="O166" s="20" t="str">
        <f t="shared" si="38"/>
        <v/>
      </c>
      <c r="P166" s="64" t="str">
        <f t="shared" si="39"/>
        <v/>
      </c>
      <c r="Q166" s="85" t="str">
        <f t="shared" ca="1" si="40"/>
        <v/>
      </c>
      <c r="R166" s="86" t="str">
        <f t="shared" si="41"/>
        <v/>
      </c>
      <c r="S166" s="86" t="str">
        <f t="shared" si="42"/>
        <v/>
      </c>
      <c r="T166" s="104" t="str">
        <f t="shared" si="43"/>
        <v/>
      </c>
      <c r="U166" s="19" t="str">
        <f>IF(AND(M166&lt;&gt;"",M166&lt;&gt;0), IF(E166 = "Muni", T166, IF(E166="Corp", T166*(1 -'Investor Input'!$C$4-'Investor Input'!$C$5), T166*(1 -'Investor Input'!$C$4))), T166)</f>
        <v/>
      </c>
      <c r="V166" s="84" t="str">
        <f t="shared" si="44"/>
        <v/>
      </c>
      <c r="W166" s="84" t="str">
        <f t="shared" si="30"/>
        <v/>
      </c>
      <c r="X166" s="21" t="str">
        <f t="shared" si="31"/>
        <v/>
      </c>
      <c r="Y166" s="60" t="str">
        <f t="shared" si="32"/>
        <v/>
      </c>
      <c r="Z166" s="60" t="str">
        <f t="shared" si="33"/>
        <v/>
      </c>
      <c r="AA166" s="64" t="str">
        <f t="shared" si="34"/>
        <v/>
      </c>
      <c r="AB166" s="64" t="str">
        <f>IF(AND(AA166&lt;&gt;"",AA166&lt;&gt;0), IF(E166="Muni", AA166, IF(E166 = "Corp", (1-'Investor Input'!$C$4-'Investor Input'!$C$5)*AA166, (1-'Investor Input'!$C$4)*AA166)), AA166)</f>
        <v/>
      </c>
      <c r="AC166" s="94" t="str">
        <f t="shared" si="35"/>
        <v/>
      </c>
      <c r="AD166" s="60" t="str">
        <f>IF(AND(M166&lt;&gt;"", M166&lt;&gt;0), N166/$N$505*MATCH(AC166,'Misc Lists'!$K$2:$K$25,0), "")</f>
        <v/>
      </c>
      <c r="AE166" s="90" t="str">
        <f t="shared" si="36"/>
        <v/>
      </c>
      <c r="AF166" s="99" t="str">
        <f>IF(AND(M166&lt;&gt;"", M166&lt;&gt;0), N166/$N$505*MATCH(AE166,'Misc Lists'!$L$2:$L$25,0), "")</f>
        <v/>
      </c>
    </row>
    <row r="167" spans="2:32" hidden="1" outlineLevel="1" x14ac:dyDescent="0.5">
      <c r="B167" s="60" t="str">
        <f ca="1"/>
        <v>263534CN7</v>
      </c>
      <c r="C167" s="61" t="str">
        <f ca="1"/>
        <v>N/A</v>
      </c>
      <c r="D167" s="60" t="str">
        <f ca="1"/>
        <v>EIDP INC            NOTE CALL MAKE WHOLE1.70000% 07/15/2025</v>
      </c>
      <c r="E167" s="61" t="str">
        <f ca="1"/>
        <v>Corp</v>
      </c>
      <c r="F167" s="62">
        <f ca="1"/>
        <v>1.7</v>
      </c>
      <c r="G167" s="63">
        <f ca="1"/>
        <v>45853</v>
      </c>
      <c r="H167" s="61" t="str">
        <f ca="1"/>
        <v>A3</v>
      </c>
      <c r="I167" s="61" t="str">
        <f ca="1"/>
        <v>A-</v>
      </c>
      <c r="J167" s="64">
        <f ca="1"/>
        <v>98.989000000000004</v>
      </c>
      <c r="K167" s="17">
        <f ca="1"/>
        <v>4.694</v>
      </c>
      <c r="L167" s="18" t="str">
        <f ca="1"/>
        <v>470(2)</v>
      </c>
      <c r="M167" s="83"/>
      <c r="N167" s="84" t="str">
        <f t="shared" si="37"/>
        <v/>
      </c>
      <c r="O167" s="20" t="str">
        <f t="shared" si="38"/>
        <v/>
      </c>
      <c r="P167" s="64" t="str">
        <f t="shared" si="39"/>
        <v/>
      </c>
      <c r="Q167" s="85" t="str">
        <f t="shared" ca="1" si="40"/>
        <v/>
      </c>
      <c r="R167" s="86" t="str">
        <f t="shared" si="41"/>
        <v/>
      </c>
      <c r="S167" s="86" t="str">
        <f t="shared" si="42"/>
        <v/>
      </c>
      <c r="T167" s="104" t="str">
        <f t="shared" si="43"/>
        <v/>
      </c>
      <c r="U167" s="19" t="str">
        <f>IF(AND(M167&lt;&gt;"",M167&lt;&gt;0), IF(E167 = "Muni", T167, IF(E167="Corp", T167*(1 -'Investor Input'!$C$4-'Investor Input'!$C$5), T167*(1 -'Investor Input'!$C$4))), T167)</f>
        <v/>
      </c>
      <c r="V167" s="84" t="str">
        <f t="shared" si="44"/>
        <v/>
      </c>
      <c r="W167" s="84" t="str">
        <f t="shared" si="30"/>
        <v/>
      </c>
      <c r="X167" s="21" t="str">
        <f t="shared" si="31"/>
        <v/>
      </c>
      <c r="Y167" s="60" t="str">
        <f t="shared" si="32"/>
        <v/>
      </c>
      <c r="Z167" s="60" t="str">
        <f t="shared" si="33"/>
        <v/>
      </c>
      <c r="AA167" s="64" t="str">
        <f t="shared" si="34"/>
        <v/>
      </c>
      <c r="AB167" s="64" t="str">
        <f>IF(AND(AA167&lt;&gt;"",AA167&lt;&gt;0), IF(E167="Muni", AA167, IF(E167 = "Corp", (1-'Investor Input'!$C$4-'Investor Input'!$C$5)*AA167, (1-'Investor Input'!$C$4)*AA167)), AA167)</f>
        <v/>
      </c>
      <c r="AC167" s="94" t="str">
        <f t="shared" si="35"/>
        <v/>
      </c>
      <c r="AD167" s="60" t="str">
        <f>IF(AND(M167&lt;&gt;"", M167&lt;&gt;0), N167/$N$505*MATCH(AC167,'Misc Lists'!$K$2:$K$25,0), "")</f>
        <v/>
      </c>
      <c r="AE167" s="90" t="str">
        <f t="shared" si="36"/>
        <v/>
      </c>
      <c r="AF167" s="99" t="str">
        <f>IF(AND(M167&lt;&gt;"", M167&lt;&gt;0), N167/$N$505*MATCH(AE167,'Misc Lists'!$L$2:$L$25,0), "")</f>
        <v/>
      </c>
    </row>
    <row r="168" spans="2:32" hidden="1" outlineLevel="1" x14ac:dyDescent="0.5">
      <c r="B168" s="60" t="str">
        <f ca="1"/>
        <v>25243YBD0</v>
      </c>
      <c r="C168" s="61" t="str">
        <f ca="1"/>
        <v>N/A</v>
      </c>
      <c r="D168" s="60" t="str">
        <f ca="1"/>
        <v>DIAGEO CAP PLC      NOTE CALL MAKE WHOLE2.00000% 04/29/2030</v>
      </c>
      <c r="E168" s="61" t="str">
        <f ca="1"/>
        <v>Corp</v>
      </c>
      <c r="F168" s="62">
        <f ca="1"/>
        <v>2</v>
      </c>
      <c r="G168" s="63">
        <f ca="1"/>
        <v>47602</v>
      </c>
      <c r="H168" s="61" t="str">
        <f ca="1"/>
        <v>A3</v>
      </c>
      <c r="I168" s="61" t="str">
        <f ca="1"/>
        <v>A-</v>
      </c>
      <c r="J168" s="64">
        <f ca="1"/>
        <v>87.843000000000004</v>
      </c>
      <c r="K168" s="17">
        <f ca="1"/>
        <v>4.6929999999999996</v>
      </c>
      <c r="L168" s="18" t="str">
        <f ca="1"/>
        <v>500(200)</v>
      </c>
      <c r="M168" s="83"/>
      <c r="N168" s="84" t="str">
        <f t="shared" si="37"/>
        <v/>
      </c>
      <c r="O168" s="20" t="str">
        <f t="shared" si="38"/>
        <v/>
      </c>
      <c r="P168" s="64" t="str">
        <f t="shared" si="39"/>
        <v/>
      </c>
      <c r="Q168" s="85" t="str">
        <f t="shared" ca="1" si="40"/>
        <v/>
      </c>
      <c r="R168" s="86" t="str">
        <f t="shared" si="41"/>
        <v/>
      </c>
      <c r="S168" s="86" t="str">
        <f t="shared" si="42"/>
        <v/>
      </c>
      <c r="T168" s="104" t="str">
        <f t="shared" si="43"/>
        <v/>
      </c>
      <c r="U168" s="19" t="str">
        <f>IF(AND(M168&lt;&gt;"",M168&lt;&gt;0), IF(E168 = "Muni", T168, IF(E168="Corp", T168*(1 -'Investor Input'!$C$4-'Investor Input'!$C$5), T168*(1 -'Investor Input'!$C$4))), T168)</f>
        <v/>
      </c>
      <c r="V168" s="84" t="str">
        <f t="shared" si="44"/>
        <v/>
      </c>
      <c r="W168" s="84" t="str">
        <f t="shared" si="30"/>
        <v/>
      </c>
      <c r="X168" s="21" t="str">
        <f t="shared" si="31"/>
        <v/>
      </c>
      <c r="Y168" s="60" t="str">
        <f t="shared" si="32"/>
        <v/>
      </c>
      <c r="Z168" s="60" t="str">
        <f t="shared" si="33"/>
        <v/>
      </c>
      <c r="AA168" s="64" t="str">
        <f t="shared" si="34"/>
        <v/>
      </c>
      <c r="AB168" s="64" t="str">
        <f>IF(AND(AA168&lt;&gt;"",AA168&lt;&gt;0), IF(E168="Muni", AA168, IF(E168 = "Corp", (1-'Investor Input'!$C$4-'Investor Input'!$C$5)*AA168, (1-'Investor Input'!$C$4)*AA168)), AA168)</f>
        <v/>
      </c>
      <c r="AC168" s="94" t="str">
        <f t="shared" si="35"/>
        <v/>
      </c>
      <c r="AD168" s="60" t="str">
        <f>IF(AND(M168&lt;&gt;"", M168&lt;&gt;0), N168/$N$505*MATCH(AC168,'Misc Lists'!$K$2:$K$25,0), "")</f>
        <v/>
      </c>
      <c r="AE168" s="90" t="str">
        <f t="shared" si="36"/>
        <v/>
      </c>
      <c r="AF168" s="99" t="str">
        <f>IF(AND(M168&lt;&gt;"", M168&lt;&gt;0), N168/$N$505*MATCH(AE168,'Misc Lists'!$L$2:$L$25,0), "")</f>
        <v/>
      </c>
    </row>
    <row r="169" spans="2:32" hidden="1" outlineLevel="1" x14ac:dyDescent="0.5">
      <c r="B169" s="60" t="str">
        <f ca="1"/>
        <v>91324PEQ1</v>
      </c>
      <c r="C169" s="61" t="str">
        <f ca="1"/>
        <v>N/A</v>
      </c>
      <c r="D169" s="60" t="str">
        <f ca="1"/>
        <v>UNITEDHEALTH GROUP  INC NOTE            5.30000% 02/15/2030 CALL MAKE WHOLE</v>
      </c>
      <c r="E169" s="61" t="str">
        <f ca="1"/>
        <v>Corp</v>
      </c>
      <c r="F169" s="62">
        <f ca="1"/>
        <v>5.3</v>
      </c>
      <c r="G169" s="63">
        <f ca="1"/>
        <v>47529</v>
      </c>
      <c r="H169" s="61" t="str">
        <f ca="1"/>
        <v>A2</v>
      </c>
      <c r="I169" s="61" t="str">
        <f ca="1"/>
        <v>A+</v>
      </c>
      <c r="J169" s="64">
        <f ca="1"/>
        <v>102.64700000000001</v>
      </c>
      <c r="K169" s="17">
        <f ca="1"/>
        <v>4.6909999999999998</v>
      </c>
      <c r="L169" s="18" t="str">
        <f ca="1"/>
        <v>200(2)</v>
      </c>
      <c r="M169" s="83"/>
      <c r="N169" s="84" t="str">
        <f t="shared" si="37"/>
        <v/>
      </c>
      <c r="O169" s="20" t="str">
        <f t="shared" si="38"/>
        <v/>
      </c>
      <c r="P169" s="64" t="str">
        <f t="shared" si="39"/>
        <v/>
      </c>
      <c r="Q169" s="85" t="str">
        <f t="shared" ca="1" si="40"/>
        <v/>
      </c>
      <c r="R169" s="86" t="str">
        <f t="shared" si="41"/>
        <v/>
      </c>
      <c r="S169" s="86" t="str">
        <f t="shared" si="42"/>
        <v/>
      </c>
      <c r="T169" s="104" t="str">
        <f t="shared" si="43"/>
        <v/>
      </c>
      <c r="U169" s="19" t="str">
        <f>IF(AND(M169&lt;&gt;"",M169&lt;&gt;0), IF(E169 = "Muni", T169, IF(E169="Corp", T169*(1 -'Investor Input'!$C$4-'Investor Input'!$C$5), T169*(1 -'Investor Input'!$C$4))), T169)</f>
        <v/>
      </c>
      <c r="V169" s="84" t="str">
        <f t="shared" si="44"/>
        <v/>
      </c>
      <c r="W169" s="84" t="str">
        <f t="shared" si="30"/>
        <v/>
      </c>
      <c r="X169" s="21" t="str">
        <f t="shared" si="31"/>
        <v/>
      </c>
      <c r="Y169" s="60" t="str">
        <f t="shared" si="32"/>
        <v/>
      </c>
      <c r="Z169" s="60" t="str">
        <f t="shared" si="33"/>
        <v/>
      </c>
      <c r="AA169" s="64" t="str">
        <f t="shared" si="34"/>
        <v/>
      </c>
      <c r="AB169" s="64" t="str">
        <f>IF(AND(AA169&lt;&gt;"",AA169&lt;&gt;0), IF(E169="Muni", AA169, IF(E169 = "Corp", (1-'Investor Input'!$C$4-'Investor Input'!$C$5)*AA169, (1-'Investor Input'!$C$4)*AA169)), AA169)</f>
        <v/>
      </c>
      <c r="AC169" s="94" t="str">
        <f t="shared" si="35"/>
        <v/>
      </c>
      <c r="AD169" s="60" t="str">
        <f>IF(AND(M169&lt;&gt;"", M169&lt;&gt;0), N169/$N$505*MATCH(AC169,'Misc Lists'!$K$2:$K$25,0), "")</f>
        <v/>
      </c>
      <c r="AE169" s="90" t="str">
        <f t="shared" si="36"/>
        <v/>
      </c>
      <c r="AF169" s="99" t="str">
        <f>IF(AND(M169&lt;&gt;"", M169&lt;&gt;0), N169/$N$505*MATCH(AE169,'Misc Lists'!$L$2:$L$25,0), "")</f>
        <v/>
      </c>
    </row>
    <row r="170" spans="2:32" hidden="1" outlineLevel="1" x14ac:dyDescent="0.5">
      <c r="B170" s="60" t="str">
        <f ca="1"/>
        <v>125523CT5</v>
      </c>
      <c r="C170" s="61" t="str">
        <f ca="1"/>
        <v>N/A</v>
      </c>
      <c r="D170" s="60" t="str">
        <f ca="1"/>
        <v>THE CIGNA GROUP     NOTE CALL MAKE WHOLE5.00000% 05/15/2029</v>
      </c>
      <c r="E170" s="61" t="str">
        <f ca="1"/>
        <v>Corp</v>
      </c>
      <c r="F170" s="62">
        <f ca="1"/>
        <v>5</v>
      </c>
      <c r="G170" s="63">
        <f ca="1"/>
        <v>47253</v>
      </c>
      <c r="H170" s="61" t="str">
        <f ca="1"/>
        <v>BAA1</v>
      </c>
      <c r="I170" s="61" t="str">
        <f ca="1"/>
        <v>A-</v>
      </c>
      <c r="J170" s="64">
        <f ca="1"/>
        <v>101.158</v>
      </c>
      <c r="K170" s="17">
        <f ca="1"/>
        <v>4.6900000000000004</v>
      </c>
      <c r="L170" s="18" t="str">
        <f ca="1"/>
        <v>500(2)</v>
      </c>
      <c r="M170" s="83"/>
      <c r="N170" s="84" t="str">
        <f t="shared" si="37"/>
        <v/>
      </c>
      <c r="O170" s="20" t="str">
        <f t="shared" si="38"/>
        <v/>
      </c>
      <c r="P170" s="64" t="str">
        <f t="shared" si="39"/>
        <v/>
      </c>
      <c r="Q170" s="85" t="str">
        <f t="shared" ca="1" si="40"/>
        <v/>
      </c>
      <c r="R170" s="86" t="str">
        <f t="shared" si="41"/>
        <v/>
      </c>
      <c r="S170" s="86" t="str">
        <f t="shared" si="42"/>
        <v/>
      </c>
      <c r="T170" s="104" t="str">
        <f t="shared" si="43"/>
        <v/>
      </c>
      <c r="U170" s="19" t="str">
        <f>IF(AND(M170&lt;&gt;"",M170&lt;&gt;0), IF(E170 = "Muni", T170, IF(E170="Corp", T170*(1 -'Investor Input'!$C$4-'Investor Input'!$C$5), T170*(1 -'Investor Input'!$C$4))), T170)</f>
        <v/>
      </c>
      <c r="V170" s="84" t="str">
        <f t="shared" si="44"/>
        <v/>
      </c>
      <c r="W170" s="84" t="str">
        <f t="shared" si="30"/>
        <v/>
      </c>
      <c r="X170" s="21" t="str">
        <f t="shared" si="31"/>
        <v/>
      </c>
      <c r="Y170" s="60" t="str">
        <f t="shared" si="32"/>
        <v/>
      </c>
      <c r="Z170" s="60" t="str">
        <f t="shared" si="33"/>
        <v/>
      </c>
      <c r="AA170" s="64" t="str">
        <f t="shared" si="34"/>
        <v/>
      </c>
      <c r="AB170" s="64" t="str">
        <f>IF(AND(AA170&lt;&gt;"",AA170&lt;&gt;0), IF(E170="Muni", AA170, IF(E170 = "Corp", (1-'Investor Input'!$C$4-'Investor Input'!$C$5)*AA170, (1-'Investor Input'!$C$4)*AA170)), AA170)</f>
        <v/>
      </c>
      <c r="AC170" s="94" t="str">
        <f t="shared" si="35"/>
        <v/>
      </c>
      <c r="AD170" s="60" t="str">
        <f>IF(AND(M170&lt;&gt;"", M170&lt;&gt;0), N170/$N$505*MATCH(AC170,'Misc Lists'!$K$2:$K$25,0), "")</f>
        <v/>
      </c>
      <c r="AE170" s="90" t="str">
        <f t="shared" si="36"/>
        <v/>
      </c>
      <c r="AF170" s="99" t="str">
        <f>IF(AND(M170&lt;&gt;"", M170&lt;&gt;0), N170/$N$505*MATCH(AE170,'Misc Lists'!$L$2:$L$25,0), "")</f>
        <v/>
      </c>
    </row>
    <row r="171" spans="2:32" hidden="1" outlineLevel="1" x14ac:dyDescent="0.5">
      <c r="B171" s="60" t="str">
        <f ca="1"/>
        <v>05964HAB1</v>
      </c>
      <c r="C171" s="61" t="str">
        <f ca="1"/>
        <v>N/A</v>
      </c>
      <c r="D171" s="60" t="str">
        <f ca="1"/>
        <v>BANCO SANTANDER SA  SER 6 NOTE          4.25000% 04/11/2027</v>
      </c>
      <c r="E171" s="61" t="str">
        <f ca="1"/>
        <v>Corp</v>
      </c>
      <c r="F171" s="62">
        <f ca="1"/>
        <v>4.25</v>
      </c>
      <c r="G171" s="63">
        <f ca="1"/>
        <v>46488</v>
      </c>
      <c r="H171" s="61" t="str">
        <f ca="1"/>
        <v>BAA1</v>
      </c>
      <c r="I171" s="61" t="str">
        <f ca="1"/>
        <v>A-</v>
      </c>
      <c r="J171" s="64">
        <f ca="1"/>
        <v>99.14</v>
      </c>
      <c r="K171" s="17">
        <f ca="1"/>
        <v>4.6870000000000003</v>
      </c>
      <c r="L171" s="18" t="str">
        <f ca="1"/>
        <v>200(200)</v>
      </c>
      <c r="M171" s="83"/>
      <c r="N171" s="84" t="str">
        <f t="shared" si="37"/>
        <v/>
      </c>
      <c r="O171" s="20" t="str">
        <f t="shared" si="38"/>
        <v/>
      </c>
      <c r="P171" s="64" t="str">
        <f t="shared" si="39"/>
        <v/>
      </c>
      <c r="Q171" s="85" t="str">
        <f t="shared" ca="1" si="40"/>
        <v/>
      </c>
      <c r="R171" s="86" t="str">
        <f t="shared" si="41"/>
        <v/>
      </c>
      <c r="S171" s="86" t="str">
        <f t="shared" si="42"/>
        <v/>
      </c>
      <c r="T171" s="104" t="str">
        <f t="shared" si="43"/>
        <v/>
      </c>
      <c r="U171" s="19" t="str">
        <f>IF(AND(M171&lt;&gt;"",M171&lt;&gt;0), IF(E171 = "Muni", T171, IF(E171="Corp", T171*(1 -'Investor Input'!$C$4-'Investor Input'!$C$5), T171*(1 -'Investor Input'!$C$4))), T171)</f>
        <v/>
      </c>
      <c r="V171" s="84" t="str">
        <f t="shared" si="44"/>
        <v/>
      </c>
      <c r="W171" s="84" t="str">
        <f t="shared" si="30"/>
        <v/>
      </c>
      <c r="X171" s="21" t="str">
        <f t="shared" si="31"/>
        <v/>
      </c>
      <c r="Y171" s="60" t="str">
        <f t="shared" si="32"/>
        <v/>
      </c>
      <c r="Z171" s="60" t="str">
        <f t="shared" si="33"/>
        <v/>
      </c>
      <c r="AA171" s="64" t="str">
        <f t="shared" si="34"/>
        <v/>
      </c>
      <c r="AB171" s="64" t="str">
        <f>IF(AND(AA171&lt;&gt;"",AA171&lt;&gt;0), IF(E171="Muni", AA171, IF(E171 = "Corp", (1-'Investor Input'!$C$4-'Investor Input'!$C$5)*AA171, (1-'Investor Input'!$C$4)*AA171)), AA171)</f>
        <v/>
      </c>
      <c r="AC171" s="94" t="str">
        <f t="shared" si="35"/>
        <v/>
      </c>
      <c r="AD171" s="60" t="str">
        <f>IF(AND(M171&lt;&gt;"", M171&lt;&gt;0), N171/$N$505*MATCH(AC171,'Misc Lists'!$K$2:$K$25,0), "")</f>
        <v/>
      </c>
      <c r="AE171" s="90" t="str">
        <f t="shared" si="36"/>
        <v/>
      </c>
      <c r="AF171" s="99" t="str">
        <f>IF(AND(M171&lt;&gt;"", M171&lt;&gt;0), N171/$N$505*MATCH(AE171,'Misc Lists'!$L$2:$L$25,0), "")</f>
        <v/>
      </c>
    </row>
    <row r="172" spans="2:32" hidden="1" outlineLevel="1" x14ac:dyDescent="0.5">
      <c r="B172" s="60" t="str">
        <f ca="1"/>
        <v>695114CU0</v>
      </c>
      <c r="C172" s="61" t="str">
        <f ca="1"/>
        <v>N/A</v>
      </c>
      <c r="D172" s="60" t="str">
        <f ca="1"/>
        <v>PACIFICORP          BOND CALL MAKE WHOLE3.50000% 06/15/2029</v>
      </c>
      <c r="E172" s="61" t="str">
        <f ca="1"/>
        <v>Corp</v>
      </c>
      <c r="F172" s="62">
        <f ca="1"/>
        <v>3.5</v>
      </c>
      <c r="G172" s="63">
        <f ca="1"/>
        <v>47284</v>
      </c>
      <c r="H172" s="61" t="str">
        <f ca="1"/>
        <v>A2</v>
      </c>
      <c r="I172" s="61" t="str">
        <f ca="1"/>
        <v>A</v>
      </c>
      <c r="J172" s="64">
        <f ca="1"/>
        <v>95.465000000000003</v>
      </c>
      <c r="K172" s="17">
        <f ca="1"/>
        <v>4.6859999999999999</v>
      </c>
      <c r="L172" s="18" t="str">
        <f ca="1"/>
        <v>1,000(9)</v>
      </c>
      <c r="M172" s="83"/>
      <c r="N172" s="84" t="str">
        <f t="shared" si="37"/>
        <v/>
      </c>
      <c r="O172" s="20" t="str">
        <f t="shared" si="38"/>
        <v/>
      </c>
      <c r="P172" s="64" t="str">
        <f t="shared" si="39"/>
        <v/>
      </c>
      <c r="Q172" s="85" t="str">
        <f t="shared" ca="1" si="40"/>
        <v/>
      </c>
      <c r="R172" s="86" t="str">
        <f t="shared" si="41"/>
        <v/>
      </c>
      <c r="S172" s="86" t="str">
        <f t="shared" si="42"/>
        <v/>
      </c>
      <c r="T172" s="104" t="str">
        <f t="shared" si="43"/>
        <v/>
      </c>
      <c r="U172" s="19" t="str">
        <f>IF(AND(M172&lt;&gt;"",M172&lt;&gt;0), IF(E172 = "Muni", T172, IF(E172="Corp", T172*(1 -'Investor Input'!$C$4-'Investor Input'!$C$5), T172*(1 -'Investor Input'!$C$4))), T172)</f>
        <v/>
      </c>
      <c r="V172" s="84" t="str">
        <f t="shared" si="44"/>
        <v/>
      </c>
      <c r="W172" s="84" t="str">
        <f t="shared" si="30"/>
        <v/>
      </c>
      <c r="X172" s="21" t="str">
        <f t="shared" si="31"/>
        <v/>
      </c>
      <c r="Y172" s="60" t="str">
        <f t="shared" si="32"/>
        <v/>
      </c>
      <c r="Z172" s="60" t="str">
        <f t="shared" si="33"/>
        <v/>
      </c>
      <c r="AA172" s="64" t="str">
        <f t="shared" si="34"/>
        <v/>
      </c>
      <c r="AB172" s="64" t="str">
        <f>IF(AND(AA172&lt;&gt;"",AA172&lt;&gt;0), IF(E172="Muni", AA172, IF(E172 = "Corp", (1-'Investor Input'!$C$4-'Investor Input'!$C$5)*AA172, (1-'Investor Input'!$C$4)*AA172)), AA172)</f>
        <v/>
      </c>
      <c r="AC172" s="94" t="str">
        <f t="shared" si="35"/>
        <v/>
      </c>
      <c r="AD172" s="60" t="str">
        <f>IF(AND(M172&lt;&gt;"", M172&lt;&gt;0), N172/$N$505*MATCH(AC172,'Misc Lists'!$K$2:$K$25,0), "")</f>
        <v/>
      </c>
      <c r="AE172" s="90" t="str">
        <f t="shared" si="36"/>
        <v/>
      </c>
      <c r="AF172" s="99" t="str">
        <f>IF(AND(M172&lt;&gt;"", M172&lt;&gt;0), N172/$N$505*MATCH(AE172,'Misc Lists'!$L$2:$L$25,0), "")</f>
        <v/>
      </c>
    </row>
    <row r="173" spans="2:32" hidden="1" outlineLevel="1" x14ac:dyDescent="0.5">
      <c r="B173" s="60" t="str">
        <f ca="1"/>
        <v>039482AB0</v>
      </c>
      <c r="C173" s="61" t="str">
        <f ca="1"/>
        <v>N/A</v>
      </c>
      <c r="D173" s="60" t="str">
        <f ca="1"/>
        <v>ARCHER DANIELS      MIDLAND CO NOTE     3.25000% 03/27/2030 CALL MAKE WHOLE</v>
      </c>
      <c r="E173" s="61" t="str">
        <f ca="1"/>
        <v>Corp</v>
      </c>
      <c r="F173" s="62">
        <f ca="1"/>
        <v>3.25</v>
      </c>
      <c r="G173" s="63">
        <f ca="1"/>
        <v>47569</v>
      </c>
      <c r="H173" s="61" t="str">
        <f ca="1"/>
        <v>A2</v>
      </c>
      <c r="I173" s="61" t="str">
        <f ca="1"/>
        <v>A</v>
      </c>
      <c r="J173" s="64">
        <f ca="1"/>
        <v>93.614999999999995</v>
      </c>
      <c r="K173" s="17">
        <f ca="1"/>
        <v>4.6859999999999999</v>
      </c>
      <c r="L173" s="18" t="str">
        <f ca="1"/>
        <v>500(2)</v>
      </c>
      <c r="M173" s="83"/>
      <c r="N173" s="84" t="str">
        <f t="shared" si="37"/>
        <v/>
      </c>
      <c r="O173" s="20" t="str">
        <f t="shared" si="38"/>
        <v/>
      </c>
      <c r="P173" s="64" t="str">
        <f t="shared" si="39"/>
        <v/>
      </c>
      <c r="Q173" s="85" t="str">
        <f t="shared" ca="1" si="40"/>
        <v/>
      </c>
      <c r="R173" s="86" t="str">
        <f t="shared" si="41"/>
        <v/>
      </c>
      <c r="S173" s="86" t="str">
        <f t="shared" si="42"/>
        <v/>
      </c>
      <c r="T173" s="104" t="str">
        <f t="shared" si="43"/>
        <v/>
      </c>
      <c r="U173" s="19" t="str">
        <f>IF(AND(M173&lt;&gt;"",M173&lt;&gt;0), IF(E173 = "Muni", T173, IF(E173="Corp", T173*(1 -'Investor Input'!$C$4-'Investor Input'!$C$5), T173*(1 -'Investor Input'!$C$4))), T173)</f>
        <v/>
      </c>
      <c r="V173" s="84" t="str">
        <f t="shared" si="44"/>
        <v/>
      </c>
      <c r="W173" s="84" t="str">
        <f t="shared" si="30"/>
        <v/>
      </c>
      <c r="X173" s="21" t="str">
        <f t="shared" si="31"/>
        <v/>
      </c>
      <c r="Y173" s="60" t="str">
        <f t="shared" si="32"/>
        <v/>
      </c>
      <c r="Z173" s="60" t="str">
        <f t="shared" si="33"/>
        <v/>
      </c>
      <c r="AA173" s="64" t="str">
        <f t="shared" si="34"/>
        <v/>
      </c>
      <c r="AB173" s="64" t="str">
        <f>IF(AND(AA173&lt;&gt;"",AA173&lt;&gt;0), IF(E173="Muni", AA173, IF(E173 = "Corp", (1-'Investor Input'!$C$4-'Investor Input'!$C$5)*AA173, (1-'Investor Input'!$C$4)*AA173)), AA173)</f>
        <v/>
      </c>
      <c r="AC173" s="94" t="str">
        <f t="shared" si="35"/>
        <v/>
      </c>
      <c r="AD173" s="60" t="str">
        <f>IF(AND(M173&lt;&gt;"", M173&lt;&gt;0), N173/$N$505*MATCH(AC173,'Misc Lists'!$K$2:$K$25,0), "")</f>
        <v/>
      </c>
      <c r="AE173" s="90" t="str">
        <f t="shared" si="36"/>
        <v/>
      </c>
      <c r="AF173" s="99" t="str">
        <f>IF(AND(M173&lt;&gt;"", M173&lt;&gt;0), N173/$N$505*MATCH(AE173,'Misc Lists'!$L$2:$L$25,0), "")</f>
        <v/>
      </c>
    </row>
    <row r="174" spans="2:32" hidden="1" outlineLevel="1" x14ac:dyDescent="0.5">
      <c r="B174" s="60" t="str">
        <f ca="1"/>
        <v>06741RHF1</v>
      </c>
      <c r="C174" s="61" t="str">
        <f ca="1"/>
        <v>N/A</v>
      </c>
      <c r="D174" s="60" t="str">
        <f ca="1"/>
        <v>BARCLAYS BANK PLC   MTN                  3.00000% 06/20/2028</v>
      </c>
      <c r="E174" s="61" t="str">
        <f ca="1"/>
        <v>Corp</v>
      </c>
      <c r="F174" s="62">
        <f ca="1"/>
        <v>3</v>
      </c>
      <c r="G174" s="63">
        <f ca="1"/>
        <v>46924</v>
      </c>
      <c r="H174" s="61" t="str">
        <f ca="1"/>
        <v>A1</v>
      </c>
      <c r="I174" s="61" t="str">
        <f ca="1"/>
        <v>A+</v>
      </c>
      <c r="J174" s="64">
        <f ca="1"/>
        <v>94.938999999999993</v>
      </c>
      <c r="K174" s="17">
        <f ca="1"/>
        <v>4.6849999999999996</v>
      </c>
      <c r="L174" s="18" t="str">
        <f ca="1"/>
        <v>4(1)</v>
      </c>
      <c r="M174" s="83"/>
      <c r="N174" s="84" t="str">
        <f t="shared" si="37"/>
        <v/>
      </c>
      <c r="O174" s="20" t="str">
        <f t="shared" si="38"/>
        <v/>
      </c>
      <c r="P174" s="64" t="str">
        <f t="shared" si="39"/>
        <v/>
      </c>
      <c r="Q174" s="85" t="str">
        <f t="shared" ca="1" si="40"/>
        <v/>
      </c>
      <c r="R174" s="86" t="str">
        <f t="shared" si="41"/>
        <v/>
      </c>
      <c r="S174" s="86" t="str">
        <f t="shared" si="42"/>
        <v/>
      </c>
      <c r="T174" s="104" t="str">
        <f t="shared" si="43"/>
        <v/>
      </c>
      <c r="U174" s="19" t="str">
        <f>IF(AND(M174&lt;&gt;"",M174&lt;&gt;0), IF(E174 = "Muni", T174, IF(E174="Corp", T174*(1 -'Investor Input'!$C$4-'Investor Input'!$C$5), T174*(1 -'Investor Input'!$C$4))), T174)</f>
        <v/>
      </c>
      <c r="V174" s="84" t="str">
        <f t="shared" si="44"/>
        <v/>
      </c>
      <c r="W174" s="84" t="str">
        <f t="shared" si="30"/>
        <v/>
      </c>
      <c r="X174" s="21" t="str">
        <f t="shared" si="31"/>
        <v/>
      </c>
      <c r="Y174" s="60" t="str">
        <f t="shared" si="32"/>
        <v/>
      </c>
      <c r="Z174" s="60" t="str">
        <f t="shared" si="33"/>
        <v/>
      </c>
      <c r="AA174" s="64" t="str">
        <f t="shared" si="34"/>
        <v/>
      </c>
      <c r="AB174" s="64" t="str">
        <f>IF(AND(AA174&lt;&gt;"",AA174&lt;&gt;0), IF(E174="Muni", AA174, IF(E174 = "Corp", (1-'Investor Input'!$C$4-'Investor Input'!$C$5)*AA174, (1-'Investor Input'!$C$4)*AA174)), AA174)</f>
        <v/>
      </c>
      <c r="AC174" s="94" t="str">
        <f t="shared" si="35"/>
        <v/>
      </c>
      <c r="AD174" s="60" t="str">
        <f>IF(AND(M174&lt;&gt;"", M174&lt;&gt;0), N174/$N$505*MATCH(AC174,'Misc Lists'!$K$2:$K$25,0), "")</f>
        <v/>
      </c>
      <c r="AE174" s="90" t="str">
        <f t="shared" si="36"/>
        <v/>
      </c>
      <c r="AF174" s="99" t="str">
        <f>IF(AND(M174&lt;&gt;"", M174&lt;&gt;0), N174/$N$505*MATCH(AE174,'Misc Lists'!$L$2:$L$25,0), "")</f>
        <v/>
      </c>
    </row>
    <row r="175" spans="2:32" hidden="1" outlineLevel="1" x14ac:dyDescent="0.5">
      <c r="B175" s="60" t="str">
        <f ca="1"/>
        <v>822905AB1</v>
      </c>
      <c r="C175" s="61" t="str">
        <f ca="1"/>
        <v>N/A</v>
      </c>
      <c r="D175" s="60" t="str">
        <f ca="1"/>
        <v>SHELL FIN US INC    SER B NOTE          2.75000% 04/06/2030 CALL MAKE WHOLE</v>
      </c>
      <c r="E175" s="61" t="str">
        <f ca="1"/>
        <v>Corp</v>
      </c>
      <c r="F175" s="62">
        <f ca="1"/>
        <v>2.75</v>
      </c>
      <c r="G175" s="63">
        <f ca="1"/>
        <v>47579</v>
      </c>
      <c r="H175" s="61" t="str">
        <f ca="1"/>
        <v>AA2</v>
      </c>
      <c r="I175" s="61" t="str">
        <f ca="1"/>
        <v>A+</v>
      </c>
      <c r="J175" s="64">
        <f ca="1"/>
        <v>91.364999999999995</v>
      </c>
      <c r="K175" s="17">
        <f ca="1"/>
        <v>4.6840000000000002</v>
      </c>
      <c r="L175" s="18" t="str">
        <f ca="1"/>
        <v>500(1)</v>
      </c>
      <c r="M175" s="83"/>
      <c r="N175" s="84" t="str">
        <f t="shared" si="37"/>
        <v/>
      </c>
      <c r="O175" s="20" t="str">
        <f t="shared" si="38"/>
        <v/>
      </c>
      <c r="P175" s="64" t="str">
        <f t="shared" si="39"/>
        <v/>
      </c>
      <c r="Q175" s="85" t="str">
        <f t="shared" ca="1" si="40"/>
        <v/>
      </c>
      <c r="R175" s="86" t="str">
        <f t="shared" si="41"/>
        <v/>
      </c>
      <c r="S175" s="86" t="str">
        <f t="shared" si="42"/>
        <v/>
      </c>
      <c r="T175" s="104" t="str">
        <f t="shared" si="43"/>
        <v/>
      </c>
      <c r="U175" s="19" t="str">
        <f>IF(AND(M175&lt;&gt;"",M175&lt;&gt;0), IF(E175 = "Muni", T175, IF(E175="Corp", T175*(1 -'Investor Input'!$C$4-'Investor Input'!$C$5), T175*(1 -'Investor Input'!$C$4))), T175)</f>
        <v/>
      </c>
      <c r="V175" s="84" t="str">
        <f t="shared" si="44"/>
        <v/>
      </c>
      <c r="W175" s="84" t="str">
        <f t="shared" si="30"/>
        <v/>
      </c>
      <c r="X175" s="21" t="str">
        <f t="shared" si="31"/>
        <v/>
      </c>
      <c r="Y175" s="60" t="str">
        <f t="shared" si="32"/>
        <v/>
      </c>
      <c r="Z175" s="60" t="str">
        <f t="shared" si="33"/>
        <v/>
      </c>
      <c r="AA175" s="64" t="str">
        <f t="shared" si="34"/>
        <v/>
      </c>
      <c r="AB175" s="64" t="str">
        <f>IF(AND(AA175&lt;&gt;"",AA175&lt;&gt;0), IF(E175="Muni", AA175, IF(E175 = "Corp", (1-'Investor Input'!$C$4-'Investor Input'!$C$5)*AA175, (1-'Investor Input'!$C$4)*AA175)), AA175)</f>
        <v/>
      </c>
      <c r="AC175" s="94" t="str">
        <f t="shared" si="35"/>
        <v/>
      </c>
      <c r="AD175" s="60" t="str">
        <f>IF(AND(M175&lt;&gt;"", M175&lt;&gt;0), N175/$N$505*MATCH(AC175,'Misc Lists'!$K$2:$K$25,0), "")</f>
        <v/>
      </c>
      <c r="AE175" s="90" t="str">
        <f t="shared" si="36"/>
        <v/>
      </c>
      <c r="AF175" s="99" t="str">
        <f>IF(AND(M175&lt;&gt;"", M175&lt;&gt;0), N175/$N$505*MATCH(AE175,'Misc Lists'!$L$2:$L$25,0), "")</f>
        <v/>
      </c>
    </row>
    <row r="176" spans="2:32" hidden="1" outlineLevel="1" x14ac:dyDescent="0.5">
      <c r="B176" s="60" t="str">
        <f ca="1"/>
        <v>74251VAR3</v>
      </c>
      <c r="C176" s="61" t="str">
        <f ca="1"/>
        <v>N/A</v>
      </c>
      <c r="D176" s="60" t="str">
        <f ca="1"/>
        <v>PRINCIPAL FINANCIAL GROUP INC NOTE      3.70000% 05/15/2029 CALL MAKE WHOLE</v>
      </c>
      <c r="E176" s="61" t="str">
        <f ca="1"/>
        <v>Corp</v>
      </c>
      <c r="F176" s="62">
        <f ca="1"/>
        <v>3.7</v>
      </c>
      <c r="G176" s="63">
        <f ca="1"/>
        <v>47253</v>
      </c>
      <c r="H176" s="61" t="str">
        <f ca="1"/>
        <v>BAA1</v>
      </c>
      <c r="I176" s="61" t="str">
        <f ca="1"/>
        <v>A-</v>
      </c>
      <c r="J176" s="64">
        <f ca="1"/>
        <v>96.311000000000007</v>
      </c>
      <c r="K176" s="17">
        <f ca="1"/>
        <v>4.6820000000000004</v>
      </c>
      <c r="L176" s="18" t="str">
        <f ca="1"/>
        <v>500(2)</v>
      </c>
      <c r="M176" s="83"/>
      <c r="N176" s="84" t="str">
        <f t="shared" si="37"/>
        <v/>
      </c>
      <c r="O176" s="20" t="str">
        <f t="shared" si="38"/>
        <v/>
      </c>
      <c r="P176" s="64" t="str">
        <f t="shared" si="39"/>
        <v/>
      </c>
      <c r="Q176" s="85" t="str">
        <f t="shared" ca="1" si="40"/>
        <v/>
      </c>
      <c r="R176" s="86" t="str">
        <f t="shared" si="41"/>
        <v/>
      </c>
      <c r="S176" s="86" t="str">
        <f t="shared" si="42"/>
        <v/>
      </c>
      <c r="T176" s="104" t="str">
        <f t="shared" si="43"/>
        <v/>
      </c>
      <c r="U176" s="19" t="str">
        <f>IF(AND(M176&lt;&gt;"",M176&lt;&gt;0), IF(E176 = "Muni", T176, IF(E176="Corp", T176*(1 -'Investor Input'!$C$4-'Investor Input'!$C$5), T176*(1 -'Investor Input'!$C$4))), T176)</f>
        <v/>
      </c>
      <c r="V176" s="84" t="str">
        <f t="shared" si="44"/>
        <v/>
      </c>
      <c r="W176" s="84" t="str">
        <f t="shared" si="30"/>
        <v/>
      </c>
      <c r="X176" s="21" t="str">
        <f t="shared" si="31"/>
        <v/>
      </c>
      <c r="Y176" s="60" t="str">
        <f t="shared" si="32"/>
        <v/>
      </c>
      <c r="Z176" s="60" t="str">
        <f t="shared" si="33"/>
        <v/>
      </c>
      <c r="AA176" s="64" t="str">
        <f t="shared" si="34"/>
        <v/>
      </c>
      <c r="AB176" s="64" t="str">
        <f>IF(AND(AA176&lt;&gt;"",AA176&lt;&gt;0), IF(E176="Muni", AA176, IF(E176 = "Corp", (1-'Investor Input'!$C$4-'Investor Input'!$C$5)*AA176, (1-'Investor Input'!$C$4)*AA176)), AA176)</f>
        <v/>
      </c>
      <c r="AC176" s="94" t="str">
        <f t="shared" si="35"/>
        <v/>
      </c>
      <c r="AD176" s="60" t="str">
        <f>IF(AND(M176&lt;&gt;"", M176&lt;&gt;0), N176/$N$505*MATCH(AC176,'Misc Lists'!$K$2:$K$25,0), "")</f>
        <v/>
      </c>
      <c r="AE176" s="90" t="str">
        <f t="shared" si="36"/>
        <v/>
      </c>
      <c r="AF176" s="99" t="str">
        <f>IF(AND(M176&lt;&gt;"", M176&lt;&gt;0), N176/$N$505*MATCH(AE176,'Misc Lists'!$L$2:$L$25,0), "")</f>
        <v/>
      </c>
    </row>
    <row r="177" spans="2:32" hidden="1" outlineLevel="1" x14ac:dyDescent="0.5">
      <c r="B177" s="60" t="str">
        <f ca="1"/>
        <v>276480AH3</v>
      </c>
      <c r="C177" s="61" t="str">
        <f ca="1"/>
        <v>N/A</v>
      </c>
      <c r="D177" s="60" t="str">
        <f ca="1"/>
        <v>EASTERN GAS         TRANSMISSION AND S  3.00000% 11/15/2029 SER B NOTE          CALL MAKE WHOLE</v>
      </c>
      <c r="E177" s="61" t="str">
        <f ca="1"/>
        <v>Corp</v>
      </c>
      <c r="F177" s="62">
        <f ca="1"/>
        <v>3</v>
      </c>
      <c r="G177" s="63">
        <f ca="1"/>
        <v>47437</v>
      </c>
      <c r="H177" s="61" t="str">
        <f ca="1"/>
        <v>A3</v>
      </c>
      <c r="I177" s="61" t="str">
        <f ca="1"/>
        <v>A-</v>
      </c>
      <c r="J177" s="64">
        <f ca="1"/>
        <v>93.004999999999995</v>
      </c>
      <c r="K177" s="17">
        <f ca="1"/>
        <v>4.6820000000000004</v>
      </c>
      <c r="L177" s="18" t="str">
        <f ca="1"/>
        <v>500(15)</v>
      </c>
      <c r="M177" s="83"/>
      <c r="N177" s="84" t="str">
        <f t="shared" si="37"/>
        <v/>
      </c>
      <c r="O177" s="20" t="str">
        <f t="shared" si="38"/>
        <v/>
      </c>
      <c r="P177" s="64" t="str">
        <f t="shared" si="39"/>
        <v/>
      </c>
      <c r="Q177" s="85" t="str">
        <f t="shared" ca="1" si="40"/>
        <v/>
      </c>
      <c r="R177" s="86" t="str">
        <f t="shared" si="41"/>
        <v/>
      </c>
      <c r="S177" s="86" t="str">
        <f t="shared" si="42"/>
        <v/>
      </c>
      <c r="T177" s="104" t="str">
        <f t="shared" si="43"/>
        <v/>
      </c>
      <c r="U177" s="19" t="str">
        <f>IF(AND(M177&lt;&gt;"",M177&lt;&gt;0), IF(E177 = "Muni", T177, IF(E177="Corp", T177*(1 -'Investor Input'!$C$4-'Investor Input'!$C$5), T177*(1 -'Investor Input'!$C$4))), T177)</f>
        <v/>
      </c>
      <c r="V177" s="84" t="str">
        <f t="shared" si="44"/>
        <v/>
      </c>
      <c r="W177" s="84" t="str">
        <f t="shared" si="30"/>
        <v/>
      </c>
      <c r="X177" s="21" t="str">
        <f t="shared" si="31"/>
        <v/>
      </c>
      <c r="Y177" s="60" t="str">
        <f t="shared" si="32"/>
        <v/>
      </c>
      <c r="Z177" s="60" t="str">
        <f t="shared" si="33"/>
        <v/>
      </c>
      <c r="AA177" s="64" t="str">
        <f t="shared" si="34"/>
        <v/>
      </c>
      <c r="AB177" s="64" t="str">
        <f>IF(AND(AA177&lt;&gt;"",AA177&lt;&gt;0), IF(E177="Muni", AA177, IF(E177 = "Corp", (1-'Investor Input'!$C$4-'Investor Input'!$C$5)*AA177, (1-'Investor Input'!$C$4)*AA177)), AA177)</f>
        <v/>
      </c>
      <c r="AC177" s="94" t="str">
        <f t="shared" si="35"/>
        <v/>
      </c>
      <c r="AD177" s="60" t="str">
        <f>IF(AND(M177&lt;&gt;"", M177&lt;&gt;0), N177/$N$505*MATCH(AC177,'Misc Lists'!$K$2:$K$25,0), "")</f>
        <v/>
      </c>
      <c r="AE177" s="90" t="str">
        <f t="shared" si="36"/>
        <v/>
      </c>
      <c r="AF177" s="99" t="str">
        <f>IF(AND(M177&lt;&gt;"", M177&lt;&gt;0), N177/$N$505*MATCH(AE177,'Misc Lists'!$L$2:$L$25,0), "")</f>
        <v/>
      </c>
    </row>
    <row r="178" spans="2:32" hidden="1" outlineLevel="1" x14ac:dyDescent="0.5">
      <c r="B178" s="60" t="str">
        <f ca="1"/>
        <v>857477CW1</v>
      </c>
      <c r="C178" s="61" t="str">
        <f ca="1"/>
        <v>N/A</v>
      </c>
      <c r="D178" s="60" t="str">
        <f ca="1"/>
        <v>STATE STR CORP      NOTE                4.72900% 02/28/2030</v>
      </c>
      <c r="E178" s="61" t="str">
        <f ca="1"/>
        <v>Corp</v>
      </c>
      <c r="F178" s="62">
        <f ca="1"/>
        <v>4.7290000000000001</v>
      </c>
      <c r="G178" s="63">
        <f ca="1"/>
        <v>47542</v>
      </c>
      <c r="H178" s="61" t="str">
        <f ca="1"/>
        <v>--</v>
      </c>
      <c r="I178" s="61" t="str">
        <f ca="1"/>
        <v>A</v>
      </c>
      <c r="J178" s="64">
        <f ca="1"/>
        <v>100.21</v>
      </c>
      <c r="K178" s="17">
        <f ca="1"/>
        <v>4.681</v>
      </c>
      <c r="L178" s="18" t="str">
        <f ca="1"/>
        <v>500(9)</v>
      </c>
      <c r="M178" s="83"/>
      <c r="N178" s="84" t="str">
        <f t="shared" si="37"/>
        <v/>
      </c>
      <c r="O178" s="20" t="str">
        <f t="shared" si="38"/>
        <v/>
      </c>
      <c r="P178" s="64" t="str">
        <f t="shared" si="39"/>
        <v/>
      </c>
      <c r="Q178" s="85" t="str">
        <f t="shared" ca="1" si="40"/>
        <v/>
      </c>
      <c r="R178" s="86" t="str">
        <f t="shared" si="41"/>
        <v/>
      </c>
      <c r="S178" s="86" t="str">
        <f t="shared" si="42"/>
        <v/>
      </c>
      <c r="T178" s="104" t="str">
        <f t="shared" si="43"/>
        <v/>
      </c>
      <c r="U178" s="19" t="str">
        <f>IF(AND(M178&lt;&gt;"",M178&lt;&gt;0), IF(E178 = "Muni", T178, IF(E178="Corp", T178*(1 -'Investor Input'!$C$4-'Investor Input'!$C$5), T178*(1 -'Investor Input'!$C$4))), T178)</f>
        <v/>
      </c>
      <c r="V178" s="84" t="str">
        <f t="shared" si="44"/>
        <v/>
      </c>
      <c r="W178" s="84" t="str">
        <f t="shared" si="30"/>
        <v/>
      </c>
      <c r="X178" s="21" t="str">
        <f t="shared" si="31"/>
        <v/>
      </c>
      <c r="Y178" s="60" t="str">
        <f t="shared" si="32"/>
        <v/>
      </c>
      <c r="Z178" s="60" t="str">
        <f t="shared" si="33"/>
        <v/>
      </c>
      <c r="AA178" s="64" t="str">
        <f t="shared" si="34"/>
        <v/>
      </c>
      <c r="AB178" s="64" t="str">
        <f>IF(AND(AA178&lt;&gt;"",AA178&lt;&gt;0), IF(E178="Muni", AA178, IF(E178 = "Corp", (1-'Investor Input'!$C$4-'Investor Input'!$C$5)*AA178, (1-'Investor Input'!$C$4)*AA178)), AA178)</f>
        <v/>
      </c>
      <c r="AC178" s="94" t="str">
        <f t="shared" si="35"/>
        <v/>
      </c>
      <c r="AD178" s="60" t="str">
        <f>IF(AND(M178&lt;&gt;"", M178&lt;&gt;0), N178/$N$505*MATCH(AC178,'Misc Lists'!$K$2:$K$25,0), "")</f>
        <v/>
      </c>
      <c r="AE178" s="90" t="str">
        <f t="shared" si="36"/>
        <v/>
      </c>
      <c r="AF178" s="99" t="str">
        <f>IF(AND(M178&lt;&gt;"", M178&lt;&gt;0), N178/$N$505*MATCH(AE178,'Misc Lists'!$L$2:$L$25,0), "")</f>
        <v/>
      </c>
    </row>
    <row r="179" spans="2:32" hidden="1" outlineLevel="1" x14ac:dyDescent="0.5">
      <c r="B179" s="60" t="str">
        <f ca="1"/>
        <v>78014RFM7</v>
      </c>
      <c r="C179" s="61" t="str">
        <f ca="1"/>
        <v>N/A</v>
      </c>
      <c r="D179" s="60" t="str">
        <f ca="1"/>
        <v>ROYAL BK CDA        SER I MTN           4.27000% 12/28/2029</v>
      </c>
      <c r="E179" s="61" t="str">
        <f ca="1"/>
        <v>Corp</v>
      </c>
      <c r="F179" s="62">
        <f ca="1"/>
        <v>4.2699999999999996</v>
      </c>
      <c r="G179" s="63">
        <f ca="1"/>
        <v>47480</v>
      </c>
      <c r="H179" s="61" t="str">
        <f ca="1"/>
        <v>A1</v>
      </c>
      <c r="I179" s="61" t="str">
        <f ca="1"/>
        <v>A</v>
      </c>
      <c r="J179" s="64">
        <f ca="1"/>
        <v>98.25</v>
      </c>
      <c r="K179" s="17">
        <f ca="1"/>
        <v>4.68</v>
      </c>
      <c r="L179" s="18" t="str">
        <f ca="1"/>
        <v>721(1)</v>
      </c>
      <c r="M179" s="83"/>
      <c r="N179" s="84" t="str">
        <f t="shared" si="37"/>
        <v/>
      </c>
      <c r="O179" s="20" t="str">
        <f t="shared" si="38"/>
        <v/>
      </c>
      <c r="P179" s="64" t="str">
        <f t="shared" si="39"/>
        <v/>
      </c>
      <c r="Q179" s="85" t="str">
        <f t="shared" ca="1" si="40"/>
        <v/>
      </c>
      <c r="R179" s="86" t="str">
        <f t="shared" si="41"/>
        <v/>
      </c>
      <c r="S179" s="86" t="str">
        <f t="shared" si="42"/>
        <v/>
      </c>
      <c r="T179" s="104" t="str">
        <f t="shared" si="43"/>
        <v/>
      </c>
      <c r="U179" s="19" t="str">
        <f>IF(AND(M179&lt;&gt;"",M179&lt;&gt;0), IF(E179 = "Muni", T179, IF(E179="Corp", T179*(1 -'Investor Input'!$C$4-'Investor Input'!$C$5), T179*(1 -'Investor Input'!$C$4))), T179)</f>
        <v/>
      </c>
      <c r="V179" s="84" t="str">
        <f t="shared" si="44"/>
        <v/>
      </c>
      <c r="W179" s="84" t="str">
        <f t="shared" si="30"/>
        <v/>
      </c>
      <c r="X179" s="21" t="str">
        <f t="shared" si="31"/>
        <v/>
      </c>
      <c r="Y179" s="60" t="str">
        <f t="shared" si="32"/>
        <v/>
      </c>
      <c r="Z179" s="60" t="str">
        <f t="shared" si="33"/>
        <v/>
      </c>
      <c r="AA179" s="64" t="str">
        <f t="shared" si="34"/>
        <v/>
      </c>
      <c r="AB179" s="64" t="str">
        <f>IF(AND(AA179&lt;&gt;"",AA179&lt;&gt;0), IF(E179="Muni", AA179, IF(E179 = "Corp", (1-'Investor Input'!$C$4-'Investor Input'!$C$5)*AA179, (1-'Investor Input'!$C$4)*AA179)), AA179)</f>
        <v/>
      </c>
      <c r="AC179" s="94" t="str">
        <f t="shared" si="35"/>
        <v/>
      </c>
      <c r="AD179" s="60" t="str">
        <f>IF(AND(M179&lt;&gt;"", M179&lt;&gt;0), N179/$N$505*MATCH(AC179,'Misc Lists'!$K$2:$K$25,0), "")</f>
        <v/>
      </c>
      <c r="AE179" s="90" t="str">
        <f t="shared" si="36"/>
        <v/>
      </c>
      <c r="AF179" s="99" t="str">
        <f>IF(AND(M179&lt;&gt;"", M179&lt;&gt;0), N179/$N$505*MATCH(AE179,'Misc Lists'!$L$2:$L$25,0), "")</f>
        <v/>
      </c>
    </row>
    <row r="180" spans="2:32" hidden="1" outlineLevel="1" x14ac:dyDescent="0.5">
      <c r="B180" s="60" t="str">
        <f ca="1"/>
        <v>03040WAU9</v>
      </c>
      <c r="C180" s="61" t="str">
        <f ca="1"/>
        <v>N/A</v>
      </c>
      <c r="D180" s="60" t="str">
        <f ca="1"/>
        <v>AMERICAN WTR CAP    CORP NOTE           3.45000% 06/01/2029 CALL MAKE WHOLE</v>
      </c>
      <c r="E180" s="61" t="str">
        <f ca="1"/>
        <v>Corp</v>
      </c>
      <c r="F180" s="62">
        <f ca="1"/>
        <v>3.45</v>
      </c>
      <c r="G180" s="63">
        <f ca="1"/>
        <v>47270</v>
      </c>
      <c r="H180" s="61" t="str">
        <f ca="1"/>
        <v>BAA1</v>
      </c>
      <c r="I180" s="61" t="str">
        <f ca="1"/>
        <v>A</v>
      </c>
      <c r="J180" s="64">
        <f ca="1"/>
        <v>95.340999999999994</v>
      </c>
      <c r="K180" s="17">
        <f ca="1"/>
        <v>4.6779999999999999</v>
      </c>
      <c r="L180" s="18" t="str">
        <f ca="1"/>
        <v>250(10)</v>
      </c>
      <c r="M180" s="83"/>
      <c r="N180" s="84" t="str">
        <f t="shared" si="37"/>
        <v/>
      </c>
      <c r="O180" s="20" t="str">
        <f t="shared" si="38"/>
        <v/>
      </c>
      <c r="P180" s="64" t="str">
        <f t="shared" si="39"/>
        <v/>
      </c>
      <c r="Q180" s="85" t="str">
        <f t="shared" ca="1" si="40"/>
        <v/>
      </c>
      <c r="R180" s="86" t="str">
        <f t="shared" si="41"/>
        <v/>
      </c>
      <c r="S180" s="86" t="str">
        <f t="shared" si="42"/>
        <v/>
      </c>
      <c r="T180" s="104" t="str">
        <f t="shared" si="43"/>
        <v/>
      </c>
      <c r="U180" s="19" t="str">
        <f>IF(AND(M180&lt;&gt;"",M180&lt;&gt;0), IF(E180 = "Muni", T180, IF(E180="Corp", T180*(1 -'Investor Input'!$C$4-'Investor Input'!$C$5), T180*(1 -'Investor Input'!$C$4))), T180)</f>
        <v/>
      </c>
      <c r="V180" s="84" t="str">
        <f t="shared" si="44"/>
        <v/>
      </c>
      <c r="W180" s="84" t="str">
        <f t="shared" si="30"/>
        <v/>
      </c>
      <c r="X180" s="21" t="str">
        <f t="shared" si="31"/>
        <v/>
      </c>
      <c r="Y180" s="60" t="str">
        <f t="shared" si="32"/>
        <v/>
      </c>
      <c r="Z180" s="60" t="str">
        <f t="shared" si="33"/>
        <v/>
      </c>
      <c r="AA180" s="64" t="str">
        <f t="shared" si="34"/>
        <v/>
      </c>
      <c r="AB180" s="64" t="str">
        <f>IF(AND(AA180&lt;&gt;"",AA180&lt;&gt;0), IF(E180="Muni", AA180, IF(E180 = "Corp", (1-'Investor Input'!$C$4-'Investor Input'!$C$5)*AA180, (1-'Investor Input'!$C$4)*AA180)), AA180)</f>
        <v/>
      </c>
      <c r="AC180" s="94" t="str">
        <f t="shared" si="35"/>
        <v/>
      </c>
      <c r="AD180" s="60" t="str">
        <f>IF(AND(M180&lt;&gt;"", M180&lt;&gt;0), N180/$N$505*MATCH(AC180,'Misc Lists'!$K$2:$K$25,0), "")</f>
        <v/>
      </c>
      <c r="AE180" s="90" t="str">
        <f t="shared" si="36"/>
        <v/>
      </c>
      <c r="AF180" s="99" t="str">
        <f>IF(AND(M180&lt;&gt;"", M180&lt;&gt;0), N180/$N$505*MATCH(AE180,'Misc Lists'!$L$2:$L$25,0), "")</f>
        <v/>
      </c>
    </row>
    <row r="181" spans="2:32" hidden="1" outlineLevel="1" x14ac:dyDescent="0.5">
      <c r="B181" s="60" t="str">
        <f ca="1"/>
        <v>976826BM8</v>
      </c>
      <c r="C181" s="61" t="str">
        <f ca="1"/>
        <v>N/A</v>
      </c>
      <c r="D181" s="60" t="str">
        <f ca="1"/>
        <v>WISCONSIN PWR &amp;LT COBOND CALL MAKE WHOLE3.00000% 07/01/2029</v>
      </c>
      <c r="E181" s="61" t="str">
        <f ca="1"/>
        <v>Corp</v>
      </c>
      <c r="F181" s="62">
        <f ca="1"/>
        <v>3</v>
      </c>
      <c r="G181" s="63">
        <f ca="1"/>
        <v>47300</v>
      </c>
      <c r="H181" s="61" t="str">
        <f ca="1"/>
        <v>BAA1</v>
      </c>
      <c r="I181" s="61" t="str">
        <f ca="1"/>
        <v>A-</v>
      </c>
      <c r="J181" s="64">
        <f ca="1"/>
        <v>93.525000000000006</v>
      </c>
      <c r="K181" s="17">
        <f ca="1"/>
        <v>4.6779999999999999</v>
      </c>
      <c r="L181" s="18" t="str">
        <f ca="1"/>
        <v>250(5)</v>
      </c>
      <c r="M181" s="83"/>
      <c r="N181" s="84" t="str">
        <f t="shared" si="37"/>
        <v/>
      </c>
      <c r="O181" s="20" t="str">
        <f t="shared" si="38"/>
        <v/>
      </c>
      <c r="P181" s="64" t="str">
        <f t="shared" si="39"/>
        <v/>
      </c>
      <c r="Q181" s="85" t="str">
        <f t="shared" ca="1" si="40"/>
        <v/>
      </c>
      <c r="R181" s="86" t="str">
        <f t="shared" si="41"/>
        <v/>
      </c>
      <c r="S181" s="86" t="str">
        <f t="shared" si="42"/>
        <v/>
      </c>
      <c r="T181" s="104" t="str">
        <f t="shared" si="43"/>
        <v/>
      </c>
      <c r="U181" s="19" t="str">
        <f>IF(AND(M181&lt;&gt;"",M181&lt;&gt;0), IF(E181 = "Muni", T181, IF(E181="Corp", T181*(1 -'Investor Input'!$C$4-'Investor Input'!$C$5), T181*(1 -'Investor Input'!$C$4))), T181)</f>
        <v/>
      </c>
      <c r="V181" s="84" t="str">
        <f t="shared" si="44"/>
        <v/>
      </c>
      <c r="W181" s="84" t="str">
        <f t="shared" si="30"/>
        <v/>
      </c>
      <c r="X181" s="21" t="str">
        <f t="shared" si="31"/>
        <v/>
      </c>
      <c r="Y181" s="60" t="str">
        <f t="shared" si="32"/>
        <v/>
      </c>
      <c r="Z181" s="60" t="str">
        <f t="shared" si="33"/>
        <v/>
      </c>
      <c r="AA181" s="64" t="str">
        <f t="shared" si="34"/>
        <v/>
      </c>
      <c r="AB181" s="64" t="str">
        <f>IF(AND(AA181&lt;&gt;"",AA181&lt;&gt;0), IF(E181="Muni", AA181, IF(E181 = "Corp", (1-'Investor Input'!$C$4-'Investor Input'!$C$5)*AA181, (1-'Investor Input'!$C$4)*AA181)), AA181)</f>
        <v/>
      </c>
      <c r="AC181" s="94" t="str">
        <f t="shared" si="35"/>
        <v/>
      </c>
      <c r="AD181" s="60" t="str">
        <f>IF(AND(M181&lt;&gt;"", M181&lt;&gt;0), N181/$N$505*MATCH(AC181,'Misc Lists'!$K$2:$K$25,0), "")</f>
        <v/>
      </c>
      <c r="AE181" s="90" t="str">
        <f t="shared" si="36"/>
        <v/>
      </c>
      <c r="AF181" s="99" t="str">
        <f>IF(AND(M181&lt;&gt;"", M181&lt;&gt;0), N181/$N$505*MATCH(AE181,'Misc Lists'!$L$2:$L$25,0), "")</f>
        <v/>
      </c>
    </row>
    <row r="182" spans="2:32" hidden="1" outlineLevel="1" x14ac:dyDescent="0.5">
      <c r="B182" s="60" t="str">
        <f ca="1"/>
        <v>48128GU81</v>
      </c>
      <c r="C182" s="61" t="str">
        <f ca="1"/>
        <v>N/A</v>
      </c>
      <c r="D182" s="60" t="str">
        <f ca="1"/>
        <v>JPMORGAN CHASE &amp;CO  SER E MTN           1.50000% 10/31/2028</v>
      </c>
      <c r="E182" s="61" t="str">
        <f ca="1"/>
        <v>Corp</v>
      </c>
      <c r="F182" s="62">
        <f ca="1"/>
        <v>1.5</v>
      </c>
      <c r="G182" s="63">
        <f ca="1"/>
        <v>47057</v>
      </c>
      <c r="H182" s="61" t="str">
        <f ca="1"/>
        <v>A1</v>
      </c>
      <c r="I182" s="61" t="str">
        <f ca="1"/>
        <v>A</v>
      </c>
      <c r="J182" s="64">
        <f ca="1"/>
        <v>89.445999999999998</v>
      </c>
      <c r="K182" s="17">
        <f ca="1"/>
        <v>4.6749999999999998</v>
      </c>
      <c r="L182" s="18" t="str">
        <f ca="1"/>
        <v>100(5)</v>
      </c>
      <c r="M182" s="83"/>
      <c r="N182" s="84" t="str">
        <f t="shared" si="37"/>
        <v/>
      </c>
      <c r="O182" s="20" t="str">
        <f t="shared" si="38"/>
        <v/>
      </c>
      <c r="P182" s="64" t="str">
        <f t="shared" si="39"/>
        <v/>
      </c>
      <c r="Q182" s="85" t="str">
        <f t="shared" ca="1" si="40"/>
        <v/>
      </c>
      <c r="R182" s="86" t="str">
        <f t="shared" si="41"/>
        <v/>
      </c>
      <c r="S182" s="86" t="str">
        <f t="shared" si="42"/>
        <v/>
      </c>
      <c r="T182" s="104" t="str">
        <f t="shared" si="43"/>
        <v/>
      </c>
      <c r="U182" s="19" t="str">
        <f>IF(AND(M182&lt;&gt;"",M182&lt;&gt;0), IF(E182 = "Muni", T182, IF(E182="Corp", T182*(1 -'Investor Input'!$C$4-'Investor Input'!$C$5), T182*(1 -'Investor Input'!$C$4))), T182)</f>
        <v/>
      </c>
      <c r="V182" s="84" t="str">
        <f t="shared" si="44"/>
        <v/>
      </c>
      <c r="W182" s="84" t="str">
        <f t="shared" si="30"/>
        <v/>
      </c>
      <c r="X182" s="21" t="str">
        <f t="shared" si="31"/>
        <v/>
      </c>
      <c r="Y182" s="60" t="str">
        <f t="shared" si="32"/>
        <v/>
      </c>
      <c r="Z182" s="60" t="str">
        <f t="shared" si="33"/>
        <v/>
      </c>
      <c r="AA182" s="64" t="str">
        <f t="shared" si="34"/>
        <v/>
      </c>
      <c r="AB182" s="64" t="str">
        <f>IF(AND(AA182&lt;&gt;"",AA182&lt;&gt;0), IF(E182="Muni", AA182, IF(E182 = "Corp", (1-'Investor Input'!$C$4-'Investor Input'!$C$5)*AA182, (1-'Investor Input'!$C$4)*AA182)), AA182)</f>
        <v/>
      </c>
      <c r="AC182" s="94" t="str">
        <f t="shared" si="35"/>
        <v/>
      </c>
      <c r="AD182" s="60" t="str">
        <f>IF(AND(M182&lt;&gt;"", M182&lt;&gt;0), N182/$N$505*MATCH(AC182,'Misc Lists'!$K$2:$K$25,0), "")</f>
        <v/>
      </c>
      <c r="AE182" s="90" t="str">
        <f t="shared" si="36"/>
        <v/>
      </c>
      <c r="AF182" s="99" t="str">
        <f>IF(AND(M182&lt;&gt;"", M182&lt;&gt;0), N182/$N$505*MATCH(AE182,'Misc Lists'!$L$2:$L$25,0), "")</f>
        <v/>
      </c>
    </row>
    <row r="183" spans="2:32" hidden="1" outlineLevel="1" x14ac:dyDescent="0.5">
      <c r="B183" s="60" t="str">
        <f ca="1"/>
        <v>06745PWE7</v>
      </c>
      <c r="C183" s="61" t="str">
        <f ca="1"/>
        <v>N/A</v>
      </c>
      <c r="D183" s="60" t="str">
        <f ca="1"/>
        <v>BARCLAYS BANK PLC   SER A MTN           5.00000% 02/28/2029</v>
      </c>
      <c r="E183" s="61" t="str">
        <f ca="1"/>
        <v>Corp</v>
      </c>
      <c r="F183" s="62">
        <f ca="1"/>
        <v>5</v>
      </c>
      <c r="G183" s="63">
        <f ca="1"/>
        <v>47177</v>
      </c>
      <c r="H183" s="61" t="str">
        <f ca="1"/>
        <v>A1</v>
      </c>
      <c r="I183" s="61" t="str">
        <f ca="1"/>
        <v>A+</v>
      </c>
      <c r="J183" s="64">
        <f ca="1"/>
        <v>101.16</v>
      </c>
      <c r="K183" s="17">
        <f ca="1"/>
        <v>4.6749999999999998</v>
      </c>
      <c r="L183" s="18" t="str">
        <f ca="1"/>
        <v>9(9)</v>
      </c>
      <c r="M183" s="83"/>
      <c r="N183" s="84" t="str">
        <f t="shared" si="37"/>
        <v/>
      </c>
      <c r="O183" s="20" t="str">
        <f t="shared" si="38"/>
        <v/>
      </c>
      <c r="P183" s="64" t="str">
        <f t="shared" si="39"/>
        <v/>
      </c>
      <c r="Q183" s="85" t="str">
        <f t="shared" ca="1" si="40"/>
        <v/>
      </c>
      <c r="R183" s="86" t="str">
        <f t="shared" si="41"/>
        <v/>
      </c>
      <c r="S183" s="86" t="str">
        <f t="shared" si="42"/>
        <v/>
      </c>
      <c r="T183" s="104" t="str">
        <f t="shared" si="43"/>
        <v/>
      </c>
      <c r="U183" s="19" t="str">
        <f>IF(AND(M183&lt;&gt;"",M183&lt;&gt;0), IF(E183 = "Muni", T183, IF(E183="Corp", T183*(1 -'Investor Input'!$C$4-'Investor Input'!$C$5), T183*(1 -'Investor Input'!$C$4))), T183)</f>
        <v/>
      </c>
      <c r="V183" s="84" t="str">
        <f t="shared" si="44"/>
        <v/>
      </c>
      <c r="W183" s="84" t="str">
        <f t="shared" si="30"/>
        <v/>
      </c>
      <c r="X183" s="21" t="str">
        <f t="shared" si="31"/>
        <v/>
      </c>
      <c r="Y183" s="60" t="str">
        <f t="shared" si="32"/>
        <v/>
      </c>
      <c r="Z183" s="60" t="str">
        <f t="shared" si="33"/>
        <v/>
      </c>
      <c r="AA183" s="64" t="str">
        <f t="shared" si="34"/>
        <v/>
      </c>
      <c r="AB183" s="64" t="str">
        <f>IF(AND(AA183&lt;&gt;"",AA183&lt;&gt;0), IF(E183="Muni", AA183, IF(E183 = "Corp", (1-'Investor Input'!$C$4-'Investor Input'!$C$5)*AA183, (1-'Investor Input'!$C$4)*AA183)), AA183)</f>
        <v/>
      </c>
      <c r="AC183" s="94" t="str">
        <f t="shared" si="35"/>
        <v/>
      </c>
      <c r="AD183" s="60" t="str">
        <f>IF(AND(M183&lt;&gt;"", M183&lt;&gt;0), N183/$N$505*MATCH(AC183,'Misc Lists'!$K$2:$K$25,0), "")</f>
        <v/>
      </c>
      <c r="AE183" s="90" t="str">
        <f t="shared" si="36"/>
        <v/>
      </c>
      <c r="AF183" s="99" t="str">
        <f>IF(AND(M183&lt;&gt;"", M183&lt;&gt;0), N183/$N$505*MATCH(AE183,'Misc Lists'!$L$2:$L$25,0), "")</f>
        <v/>
      </c>
    </row>
    <row r="184" spans="2:32" hidden="1" outlineLevel="1" x14ac:dyDescent="0.5">
      <c r="B184" s="60" t="str">
        <f ca="1"/>
        <v>23338VAK2</v>
      </c>
      <c r="C184" s="61" t="str">
        <f ca="1"/>
        <v>N/A</v>
      </c>
      <c r="D184" s="60" t="str">
        <f ca="1"/>
        <v>DTE ELEC CO         SER 2020 A BOND     2.25000% 03/01/2030 CALL MAKE WHOLE</v>
      </c>
      <c r="E184" s="61" t="str">
        <f ca="1"/>
        <v>Corp</v>
      </c>
      <c r="F184" s="62">
        <f ca="1"/>
        <v>2.25</v>
      </c>
      <c r="G184" s="63">
        <f ca="1"/>
        <v>47543</v>
      </c>
      <c r="H184" s="61" t="str">
        <f ca="1"/>
        <v>AA3</v>
      </c>
      <c r="I184" s="61" t="str">
        <f ca="1"/>
        <v>A</v>
      </c>
      <c r="J184" s="64">
        <f ca="1"/>
        <v>89.361000000000004</v>
      </c>
      <c r="K184" s="17">
        <f ca="1"/>
        <v>4.6740000000000004</v>
      </c>
      <c r="L184" s="18" t="str">
        <f ca="1"/>
        <v>500(2)</v>
      </c>
      <c r="M184" s="83"/>
      <c r="N184" s="84" t="str">
        <f t="shared" si="37"/>
        <v/>
      </c>
      <c r="O184" s="20" t="str">
        <f t="shared" si="38"/>
        <v/>
      </c>
      <c r="P184" s="64" t="str">
        <f t="shared" si="39"/>
        <v/>
      </c>
      <c r="Q184" s="85" t="str">
        <f t="shared" ca="1" si="40"/>
        <v/>
      </c>
      <c r="R184" s="86" t="str">
        <f t="shared" si="41"/>
        <v/>
      </c>
      <c r="S184" s="86" t="str">
        <f t="shared" si="42"/>
        <v/>
      </c>
      <c r="T184" s="104" t="str">
        <f t="shared" si="43"/>
        <v/>
      </c>
      <c r="U184" s="19" t="str">
        <f>IF(AND(M184&lt;&gt;"",M184&lt;&gt;0), IF(E184 = "Muni", T184, IF(E184="Corp", T184*(1 -'Investor Input'!$C$4-'Investor Input'!$C$5), T184*(1 -'Investor Input'!$C$4))), T184)</f>
        <v/>
      </c>
      <c r="V184" s="84" t="str">
        <f t="shared" si="44"/>
        <v/>
      </c>
      <c r="W184" s="84" t="str">
        <f t="shared" si="30"/>
        <v/>
      </c>
      <c r="X184" s="21" t="str">
        <f t="shared" si="31"/>
        <v/>
      </c>
      <c r="Y184" s="60" t="str">
        <f t="shared" si="32"/>
        <v/>
      </c>
      <c r="Z184" s="60" t="str">
        <f t="shared" si="33"/>
        <v/>
      </c>
      <c r="AA184" s="64" t="str">
        <f t="shared" si="34"/>
        <v/>
      </c>
      <c r="AB184" s="64" t="str">
        <f>IF(AND(AA184&lt;&gt;"",AA184&lt;&gt;0), IF(E184="Muni", AA184, IF(E184 = "Corp", (1-'Investor Input'!$C$4-'Investor Input'!$C$5)*AA184, (1-'Investor Input'!$C$4)*AA184)), AA184)</f>
        <v/>
      </c>
      <c r="AC184" s="94" t="str">
        <f t="shared" si="35"/>
        <v/>
      </c>
      <c r="AD184" s="60" t="str">
        <f>IF(AND(M184&lt;&gt;"", M184&lt;&gt;0), N184/$N$505*MATCH(AC184,'Misc Lists'!$K$2:$K$25,0), "")</f>
        <v/>
      </c>
      <c r="AE184" s="90" t="str">
        <f t="shared" si="36"/>
        <v/>
      </c>
      <c r="AF184" s="99" t="str">
        <f>IF(AND(M184&lt;&gt;"", M184&lt;&gt;0), N184/$N$505*MATCH(AE184,'Misc Lists'!$L$2:$L$25,0), "")</f>
        <v/>
      </c>
    </row>
    <row r="185" spans="2:32" hidden="1" outlineLevel="1" x14ac:dyDescent="0.5">
      <c r="B185" s="60" t="str">
        <f ca="1"/>
        <v>459200KA8</v>
      </c>
      <c r="C185" s="61" t="str">
        <f ca="1"/>
        <v>N/A</v>
      </c>
      <c r="D185" s="60" t="str">
        <f ca="1"/>
        <v>INTERNATIONAL       BUSINESS MACHS NOTE 3.50000% 05/15/2029 CALL MAKE WHOLE</v>
      </c>
      <c r="E185" s="61" t="str">
        <f ca="1"/>
        <v>Corp</v>
      </c>
      <c r="F185" s="62">
        <f ca="1"/>
        <v>3.5</v>
      </c>
      <c r="G185" s="63">
        <f ca="1"/>
        <v>47253</v>
      </c>
      <c r="H185" s="61" t="str">
        <f ca="1"/>
        <v>A3</v>
      </c>
      <c r="I185" s="61" t="str">
        <f ca="1"/>
        <v>A-</v>
      </c>
      <c r="J185" s="64">
        <f ca="1"/>
        <v>95.591999999999999</v>
      </c>
      <c r="K185" s="17">
        <f ca="1"/>
        <v>4.673</v>
      </c>
      <c r="L185" s="18" t="str">
        <f ca="1"/>
        <v>500(100)</v>
      </c>
      <c r="M185" s="83"/>
      <c r="N185" s="84" t="str">
        <f t="shared" si="37"/>
        <v/>
      </c>
      <c r="O185" s="20" t="str">
        <f t="shared" si="38"/>
        <v/>
      </c>
      <c r="P185" s="64" t="str">
        <f t="shared" si="39"/>
        <v/>
      </c>
      <c r="Q185" s="85" t="str">
        <f t="shared" ca="1" si="40"/>
        <v/>
      </c>
      <c r="R185" s="86" t="str">
        <f t="shared" si="41"/>
        <v/>
      </c>
      <c r="S185" s="86" t="str">
        <f t="shared" si="42"/>
        <v/>
      </c>
      <c r="T185" s="104" t="str">
        <f t="shared" si="43"/>
        <v/>
      </c>
      <c r="U185" s="19" t="str">
        <f>IF(AND(M185&lt;&gt;"",M185&lt;&gt;0), IF(E185 = "Muni", T185, IF(E185="Corp", T185*(1 -'Investor Input'!$C$4-'Investor Input'!$C$5), T185*(1 -'Investor Input'!$C$4))), T185)</f>
        <v/>
      </c>
      <c r="V185" s="84" t="str">
        <f t="shared" si="44"/>
        <v/>
      </c>
      <c r="W185" s="84" t="str">
        <f t="shared" si="30"/>
        <v/>
      </c>
      <c r="X185" s="21" t="str">
        <f t="shared" si="31"/>
        <v/>
      </c>
      <c r="Y185" s="60" t="str">
        <f t="shared" si="32"/>
        <v/>
      </c>
      <c r="Z185" s="60" t="str">
        <f t="shared" si="33"/>
        <v/>
      </c>
      <c r="AA185" s="64" t="str">
        <f t="shared" si="34"/>
        <v/>
      </c>
      <c r="AB185" s="64" t="str">
        <f>IF(AND(AA185&lt;&gt;"",AA185&lt;&gt;0), IF(E185="Muni", AA185, IF(E185 = "Corp", (1-'Investor Input'!$C$4-'Investor Input'!$C$5)*AA185, (1-'Investor Input'!$C$4)*AA185)), AA185)</f>
        <v/>
      </c>
      <c r="AC185" s="94" t="str">
        <f t="shared" si="35"/>
        <v/>
      </c>
      <c r="AD185" s="60" t="str">
        <f>IF(AND(M185&lt;&gt;"", M185&lt;&gt;0), N185/$N$505*MATCH(AC185,'Misc Lists'!$K$2:$K$25,0), "")</f>
        <v/>
      </c>
      <c r="AE185" s="90" t="str">
        <f t="shared" si="36"/>
        <v/>
      </c>
      <c r="AF185" s="99" t="str">
        <f>IF(AND(M185&lt;&gt;"", M185&lt;&gt;0), N185/$N$505*MATCH(AE185,'Misc Lists'!$L$2:$L$25,0), "")</f>
        <v/>
      </c>
    </row>
    <row r="186" spans="2:32" hidden="1" outlineLevel="1" x14ac:dyDescent="0.5">
      <c r="B186" s="60" t="str">
        <f ca="1"/>
        <v>47215PAE6</v>
      </c>
      <c r="C186" s="61" t="str">
        <f ca="1"/>
        <v>N/A</v>
      </c>
      <c r="D186" s="60" t="str">
        <f ca="1"/>
        <v>JD.COM INC          NOTE CALL MAKE WHOLE3.37500% 01/14/2030</v>
      </c>
      <c r="E186" s="61" t="str">
        <f ca="1"/>
        <v>Corp</v>
      </c>
      <c r="F186" s="62">
        <f ca="1"/>
        <v>3.375</v>
      </c>
      <c r="G186" s="63">
        <f ca="1"/>
        <v>47497</v>
      </c>
      <c r="H186" s="61" t="str">
        <f ca="1"/>
        <v>A3</v>
      </c>
      <c r="I186" s="61" t="str">
        <f ca="1"/>
        <v>A-</v>
      </c>
      <c r="J186" s="64">
        <f ca="1"/>
        <v>94.436000000000007</v>
      </c>
      <c r="K186" s="17">
        <f ca="1"/>
        <v>4.6719999999999997</v>
      </c>
      <c r="L186" s="18" t="str">
        <f ca="1"/>
        <v>200(200)</v>
      </c>
      <c r="M186" s="83"/>
      <c r="N186" s="84" t="str">
        <f t="shared" si="37"/>
        <v/>
      </c>
      <c r="O186" s="20" t="str">
        <f t="shared" si="38"/>
        <v/>
      </c>
      <c r="P186" s="64" t="str">
        <f t="shared" si="39"/>
        <v/>
      </c>
      <c r="Q186" s="85" t="str">
        <f t="shared" ca="1" si="40"/>
        <v/>
      </c>
      <c r="R186" s="86" t="str">
        <f t="shared" si="41"/>
        <v/>
      </c>
      <c r="S186" s="86" t="str">
        <f t="shared" si="42"/>
        <v/>
      </c>
      <c r="T186" s="104" t="str">
        <f t="shared" si="43"/>
        <v/>
      </c>
      <c r="U186" s="19" t="str">
        <f>IF(AND(M186&lt;&gt;"",M186&lt;&gt;0), IF(E186 = "Muni", T186, IF(E186="Corp", T186*(1 -'Investor Input'!$C$4-'Investor Input'!$C$5), T186*(1 -'Investor Input'!$C$4))), T186)</f>
        <v/>
      </c>
      <c r="V186" s="84" t="str">
        <f t="shared" si="44"/>
        <v/>
      </c>
      <c r="W186" s="84" t="str">
        <f t="shared" si="30"/>
        <v/>
      </c>
      <c r="X186" s="21" t="str">
        <f t="shared" si="31"/>
        <v/>
      </c>
      <c r="Y186" s="60" t="str">
        <f t="shared" si="32"/>
        <v/>
      </c>
      <c r="Z186" s="60" t="str">
        <f t="shared" si="33"/>
        <v/>
      </c>
      <c r="AA186" s="64" t="str">
        <f t="shared" si="34"/>
        <v/>
      </c>
      <c r="AB186" s="64" t="str">
        <f>IF(AND(AA186&lt;&gt;"",AA186&lt;&gt;0), IF(E186="Muni", AA186, IF(E186 = "Corp", (1-'Investor Input'!$C$4-'Investor Input'!$C$5)*AA186, (1-'Investor Input'!$C$4)*AA186)), AA186)</f>
        <v/>
      </c>
      <c r="AC186" s="94" t="str">
        <f t="shared" si="35"/>
        <v/>
      </c>
      <c r="AD186" s="60" t="str">
        <f>IF(AND(M186&lt;&gt;"", M186&lt;&gt;0), N186/$N$505*MATCH(AC186,'Misc Lists'!$K$2:$K$25,0), "")</f>
        <v/>
      </c>
      <c r="AE186" s="90" t="str">
        <f t="shared" si="36"/>
        <v/>
      </c>
      <c r="AF186" s="99" t="str">
        <f>IF(AND(M186&lt;&gt;"", M186&lt;&gt;0), N186/$N$505*MATCH(AE186,'Misc Lists'!$L$2:$L$25,0), "")</f>
        <v/>
      </c>
    </row>
    <row r="187" spans="2:32" hidden="1" outlineLevel="1" x14ac:dyDescent="0.5">
      <c r="B187" s="60" t="str">
        <f ca="1"/>
        <v>67021CAP2</v>
      </c>
      <c r="C187" s="61" t="str">
        <f ca="1"/>
        <v>N/A</v>
      </c>
      <c r="D187" s="60" t="str">
        <f ca="1"/>
        <v>NSTAR ELEC CO       BOND CALL MAKE WHOLE3.95000% 04/01/2030</v>
      </c>
      <c r="E187" s="61" t="str">
        <f ca="1"/>
        <v>Corp</v>
      </c>
      <c r="F187" s="62">
        <f ca="1"/>
        <v>3.95</v>
      </c>
      <c r="G187" s="63">
        <f ca="1"/>
        <v>47574</v>
      </c>
      <c r="H187" s="61" t="str">
        <f ca="1"/>
        <v>A2</v>
      </c>
      <c r="I187" s="61" t="str">
        <f ca="1"/>
        <v>A-</v>
      </c>
      <c r="J187" s="64">
        <f ca="1"/>
        <v>96.783000000000001</v>
      </c>
      <c r="K187" s="17">
        <f ca="1"/>
        <v>4.6719999999999997</v>
      </c>
      <c r="L187" s="18" t="str">
        <f ca="1"/>
        <v>500(2)</v>
      </c>
      <c r="M187" s="83"/>
      <c r="N187" s="84" t="str">
        <f t="shared" si="37"/>
        <v/>
      </c>
      <c r="O187" s="20" t="str">
        <f t="shared" si="38"/>
        <v/>
      </c>
      <c r="P187" s="64" t="str">
        <f t="shared" si="39"/>
        <v/>
      </c>
      <c r="Q187" s="85" t="str">
        <f t="shared" ca="1" si="40"/>
        <v/>
      </c>
      <c r="R187" s="86" t="str">
        <f t="shared" si="41"/>
        <v/>
      </c>
      <c r="S187" s="86" t="str">
        <f t="shared" si="42"/>
        <v/>
      </c>
      <c r="T187" s="104" t="str">
        <f t="shared" si="43"/>
        <v/>
      </c>
      <c r="U187" s="19" t="str">
        <f>IF(AND(M187&lt;&gt;"",M187&lt;&gt;0), IF(E187 = "Muni", T187, IF(E187="Corp", T187*(1 -'Investor Input'!$C$4-'Investor Input'!$C$5), T187*(1 -'Investor Input'!$C$4))), T187)</f>
        <v/>
      </c>
      <c r="V187" s="84" t="str">
        <f t="shared" si="44"/>
        <v/>
      </c>
      <c r="W187" s="84" t="str">
        <f t="shared" si="30"/>
        <v/>
      </c>
      <c r="X187" s="21" t="str">
        <f t="shared" si="31"/>
        <v/>
      </c>
      <c r="Y187" s="60" t="str">
        <f t="shared" si="32"/>
        <v/>
      </c>
      <c r="Z187" s="60" t="str">
        <f t="shared" si="33"/>
        <v/>
      </c>
      <c r="AA187" s="64" t="str">
        <f t="shared" si="34"/>
        <v/>
      </c>
      <c r="AB187" s="64" t="str">
        <f>IF(AND(AA187&lt;&gt;"",AA187&lt;&gt;0), IF(E187="Muni", AA187, IF(E187 = "Corp", (1-'Investor Input'!$C$4-'Investor Input'!$C$5)*AA187, (1-'Investor Input'!$C$4)*AA187)), AA187)</f>
        <v/>
      </c>
      <c r="AC187" s="94" t="str">
        <f t="shared" si="35"/>
        <v/>
      </c>
      <c r="AD187" s="60" t="str">
        <f>IF(AND(M187&lt;&gt;"", M187&lt;&gt;0), N187/$N$505*MATCH(AC187,'Misc Lists'!$K$2:$K$25,0), "")</f>
        <v/>
      </c>
      <c r="AE187" s="90" t="str">
        <f t="shared" si="36"/>
        <v/>
      </c>
      <c r="AF187" s="99" t="str">
        <f>IF(AND(M187&lt;&gt;"", M187&lt;&gt;0), N187/$N$505*MATCH(AE187,'Misc Lists'!$L$2:$L$25,0), "")</f>
        <v/>
      </c>
    </row>
    <row r="188" spans="2:32" hidden="1" outlineLevel="1" x14ac:dyDescent="0.5">
      <c r="B188" s="60" t="str">
        <f ca="1"/>
        <v>20826FBJ4</v>
      </c>
      <c r="C188" s="61" t="str">
        <f ca="1"/>
        <v>N/A</v>
      </c>
      <c r="D188" s="60" t="str">
        <f ca="1"/>
        <v>CONOCOPHILLIPS      COMPANY NOTE        4.70000% 01/15/2030 CALL MAKE WHOLE</v>
      </c>
      <c r="E188" s="61" t="str">
        <f ca="1"/>
        <v>Corp</v>
      </c>
      <c r="F188" s="62">
        <f ca="1"/>
        <v>4.7</v>
      </c>
      <c r="G188" s="63">
        <f ca="1"/>
        <v>47498</v>
      </c>
      <c r="H188" s="61" t="str">
        <f ca="1"/>
        <v>A2</v>
      </c>
      <c r="I188" s="61" t="str">
        <f ca="1"/>
        <v>A-</v>
      </c>
      <c r="J188" s="64">
        <f ca="1"/>
        <v>100.10899999999999</v>
      </c>
      <c r="K188" s="17">
        <f ca="1"/>
        <v>4.6710000000000003</v>
      </c>
      <c r="L188" s="18" t="str">
        <f ca="1"/>
        <v>500(2)</v>
      </c>
      <c r="M188" s="83"/>
      <c r="N188" s="84" t="str">
        <f t="shared" si="37"/>
        <v/>
      </c>
      <c r="O188" s="20" t="str">
        <f t="shared" si="38"/>
        <v/>
      </c>
      <c r="P188" s="64" t="str">
        <f t="shared" si="39"/>
        <v/>
      </c>
      <c r="Q188" s="85" t="str">
        <f t="shared" ca="1" si="40"/>
        <v/>
      </c>
      <c r="R188" s="86" t="str">
        <f t="shared" si="41"/>
        <v/>
      </c>
      <c r="S188" s="86" t="str">
        <f t="shared" si="42"/>
        <v/>
      </c>
      <c r="T188" s="104" t="str">
        <f t="shared" si="43"/>
        <v/>
      </c>
      <c r="U188" s="19" t="str">
        <f>IF(AND(M188&lt;&gt;"",M188&lt;&gt;0), IF(E188 = "Muni", T188, IF(E188="Corp", T188*(1 -'Investor Input'!$C$4-'Investor Input'!$C$5), T188*(1 -'Investor Input'!$C$4))), T188)</f>
        <v/>
      </c>
      <c r="V188" s="84" t="str">
        <f t="shared" si="44"/>
        <v/>
      </c>
      <c r="W188" s="84" t="str">
        <f t="shared" si="30"/>
        <v/>
      </c>
      <c r="X188" s="21" t="str">
        <f t="shared" si="31"/>
        <v/>
      </c>
      <c r="Y188" s="60" t="str">
        <f t="shared" si="32"/>
        <v/>
      </c>
      <c r="Z188" s="60" t="str">
        <f t="shared" si="33"/>
        <v/>
      </c>
      <c r="AA188" s="64" t="str">
        <f t="shared" si="34"/>
        <v/>
      </c>
      <c r="AB188" s="64" t="str">
        <f>IF(AND(AA188&lt;&gt;"",AA188&lt;&gt;0), IF(E188="Muni", AA188, IF(E188 = "Corp", (1-'Investor Input'!$C$4-'Investor Input'!$C$5)*AA188, (1-'Investor Input'!$C$4)*AA188)), AA188)</f>
        <v/>
      </c>
      <c r="AC188" s="94" t="str">
        <f t="shared" si="35"/>
        <v/>
      </c>
      <c r="AD188" s="60" t="str">
        <f>IF(AND(M188&lt;&gt;"", M188&lt;&gt;0), N188/$N$505*MATCH(AC188,'Misc Lists'!$K$2:$K$25,0), "")</f>
        <v/>
      </c>
      <c r="AE188" s="90" t="str">
        <f t="shared" si="36"/>
        <v/>
      </c>
      <c r="AF188" s="99" t="str">
        <f>IF(AND(M188&lt;&gt;"", M188&lt;&gt;0), N188/$N$505*MATCH(AE188,'Misc Lists'!$L$2:$L$25,0), "")</f>
        <v/>
      </c>
    </row>
    <row r="189" spans="2:32" hidden="1" outlineLevel="1" x14ac:dyDescent="0.5">
      <c r="B189" s="60" t="str">
        <f ca="1"/>
        <v>89236TNA9</v>
      </c>
      <c r="C189" s="61" t="str">
        <f ca="1"/>
        <v>N/A</v>
      </c>
      <c r="D189" s="60" t="str">
        <f ca="1"/>
        <v>TOYOTA MTR CR CORP  SER B MTN           4.95000% 01/09/2030 CALL MAKE WHOLE</v>
      </c>
      <c r="E189" s="61" t="str">
        <f ca="1"/>
        <v>Corp</v>
      </c>
      <c r="F189" s="62">
        <f ca="1"/>
        <v>4.95</v>
      </c>
      <c r="G189" s="63">
        <f ca="1"/>
        <v>47492</v>
      </c>
      <c r="H189" s="61" t="str">
        <f ca="1"/>
        <v>A1</v>
      </c>
      <c r="I189" s="61" t="str">
        <f ca="1"/>
        <v>A+</v>
      </c>
      <c r="J189" s="64">
        <f ca="1"/>
        <v>101.19</v>
      </c>
      <c r="K189" s="17">
        <f ca="1"/>
        <v>4.67</v>
      </c>
      <c r="L189" s="18" t="str">
        <f ca="1"/>
        <v>200(2)</v>
      </c>
      <c r="M189" s="83"/>
      <c r="N189" s="84" t="str">
        <f t="shared" si="37"/>
        <v/>
      </c>
      <c r="O189" s="20" t="str">
        <f t="shared" si="38"/>
        <v/>
      </c>
      <c r="P189" s="64" t="str">
        <f t="shared" si="39"/>
        <v/>
      </c>
      <c r="Q189" s="85" t="str">
        <f t="shared" ca="1" si="40"/>
        <v/>
      </c>
      <c r="R189" s="86" t="str">
        <f t="shared" si="41"/>
        <v/>
      </c>
      <c r="S189" s="86" t="str">
        <f t="shared" si="42"/>
        <v/>
      </c>
      <c r="T189" s="104" t="str">
        <f t="shared" si="43"/>
        <v/>
      </c>
      <c r="U189" s="19" t="str">
        <f>IF(AND(M189&lt;&gt;"",M189&lt;&gt;0), IF(E189 = "Muni", T189, IF(E189="Corp", T189*(1 -'Investor Input'!$C$4-'Investor Input'!$C$5), T189*(1 -'Investor Input'!$C$4))), T189)</f>
        <v/>
      </c>
      <c r="V189" s="84" t="str">
        <f t="shared" si="44"/>
        <v/>
      </c>
      <c r="W189" s="84" t="str">
        <f t="shared" si="30"/>
        <v/>
      </c>
      <c r="X189" s="21" t="str">
        <f t="shared" si="31"/>
        <v/>
      </c>
      <c r="Y189" s="60" t="str">
        <f t="shared" si="32"/>
        <v/>
      </c>
      <c r="Z189" s="60" t="str">
        <f t="shared" si="33"/>
        <v/>
      </c>
      <c r="AA189" s="64" t="str">
        <f t="shared" si="34"/>
        <v/>
      </c>
      <c r="AB189" s="64" t="str">
        <f>IF(AND(AA189&lt;&gt;"",AA189&lt;&gt;0), IF(E189="Muni", AA189, IF(E189 = "Corp", (1-'Investor Input'!$C$4-'Investor Input'!$C$5)*AA189, (1-'Investor Input'!$C$4)*AA189)), AA189)</f>
        <v/>
      </c>
      <c r="AC189" s="94" t="str">
        <f t="shared" si="35"/>
        <v/>
      </c>
      <c r="AD189" s="60" t="str">
        <f>IF(AND(M189&lt;&gt;"", M189&lt;&gt;0), N189/$N$505*MATCH(AC189,'Misc Lists'!$K$2:$K$25,0), "")</f>
        <v/>
      </c>
      <c r="AE189" s="90" t="str">
        <f t="shared" si="36"/>
        <v/>
      </c>
      <c r="AF189" s="99" t="str">
        <f>IF(AND(M189&lt;&gt;"", M189&lt;&gt;0), N189/$N$505*MATCH(AE189,'Misc Lists'!$L$2:$L$25,0), "")</f>
        <v/>
      </c>
    </row>
    <row r="190" spans="2:32" hidden="1" outlineLevel="1" x14ac:dyDescent="0.5">
      <c r="B190" s="60" t="str">
        <f ca="1"/>
        <v>22553QFC6</v>
      </c>
      <c r="C190" s="61" t="str">
        <f ca="1"/>
        <v>N/A</v>
      </c>
      <c r="D190" s="60" t="str">
        <f ca="1"/>
        <v>UBS AG LONDON BRANCHMTN                 4.25000% 08/17/2025</v>
      </c>
      <c r="E190" s="61" t="str">
        <f ca="1"/>
        <v>Corp</v>
      </c>
      <c r="F190" s="62">
        <f ca="1"/>
        <v>4.25</v>
      </c>
      <c r="G190" s="63">
        <f ca="1"/>
        <v>45886</v>
      </c>
      <c r="H190" s="61" t="str">
        <f ca="1"/>
        <v>AA2</v>
      </c>
      <c r="I190" s="61" t="str">
        <f ca="1"/>
        <v>--</v>
      </c>
      <c r="J190" s="64">
        <f ca="1"/>
        <v>99.820999999999998</v>
      </c>
      <c r="K190" s="17">
        <f ca="1"/>
        <v>4.6689999999999996</v>
      </c>
      <c r="L190" s="18" t="str">
        <f ca="1"/>
        <v>40(20)</v>
      </c>
      <c r="M190" s="83"/>
      <c r="N190" s="84" t="str">
        <f t="shared" si="37"/>
        <v/>
      </c>
      <c r="O190" s="20" t="str">
        <f t="shared" si="38"/>
        <v/>
      </c>
      <c r="P190" s="64" t="str">
        <f t="shared" si="39"/>
        <v/>
      </c>
      <c r="Q190" s="85" t="str">
        <f t="shared" ca="1" si="40"/>
        <v/>
      </c>
      <c r="R190" s="86" t="str">
        <f t="shared" si="41"/>
        <v/>
      </c>
      <c r="S190" s="86" t="str">
        <f t="shared" si="42"/>
        <v/>
      </c>
      <c r="T190" s="104" t="str">
        <f t="shared" si="43"/>
        <v/>
      </c>
      <c r="U190" s="19" t="str">
        <f>IF(AND(M190&lt;&gt;"",M190&lt;&gt;0), IF(E190 = "Muni", T190, IF(E190="Corp", T190*(1 -'Investor Input'!$C$4-'Investor Input'!$C$5), T190*(1 -'Investor Input'!$C$4))), T190)</f>
        <v/>
      </c>
      <c r="V190" s="84" t="str">
        <f t="shared" si="44"/>
        <v/>
      </c>
      <c r="W190" s="84" t="str">
        <f t="shared" si="30"/>
        <v/>
      </c>
      <c r="X190" s="21" t="str">
        <f t="shared" si="31"/>
        <v/>
      </c>
      <c r="Y190" s="60" t="str">
        <f t="shared" si="32"/>
        <v/>
      </c>
      <c r="Z190" s="60" t="str">
        <f t="shared" si="33"/>
        <v/>
      </c>
      <c r="AA190" s="64" t="str">
        <f t="shared" si="34"/>
        <v/>
      </c>
      <c r="AB190" s="64" t="str">
        <f>IF(AND(AA190&lt;&gt;"",AA190&lt;&gt;0), IF(E190="Muni", AA190, IF(E190 = "Corp", (1-'Investor Input'!$C$4-'Investor Input'!$C$5)*AA190, (1-'Investor Input'!$C$4)*AA190)), AA190)</f>
        <v/>
      </c>
      <c r="AC190" s="94" t="str">
        <f t="shared" si="35"/>
        <v/>
      </c>
      <c r="AD190" s="60" t="str">
        <f>IF(AND(M190&lt;&gt;"", M190&lt;&gt;0), N190/$N$505*MATCH(AC190,'Misc Lists'!$K$2:$K$25,0), "")</f>
        <v/>
      </c>
      <c r="AE190" s="90" t="str">
        <f t="shared" si="36"/>
        <v/>
      </c>
      <c r="AF190" s="99" t="str">
        <f>IF(AND(M190&lt;&gt;"", M190&lt;&gt;0), N190/$N$505*MATCH(AE190,'Misc Lists'!$L$2:$L$25,0), "")</f>
        <v/>
      </c>
    </row>
    <row r="191" spans="2:32" hidden="1" outlineLevel="1" x14ac:dyDescent="0.5">
      <c r="B191" s="60" t="str">
        <f ca="1"/>
        <v>86562MDB3</v>
      </c>
      <c r="C191" s="61" t="str">
        <f ca="1"/>
        <v>N/A</v>
      </c>
      <c r="D191" s="60" t="str">
        <f ca="1"/>
        <v>SUMITOMO MITSUI FIN GRP INC NOTE        5.80000% 07/13/2028</v>
      </c>
      <c r="E191" s="61" t="str">
        <f ca="1"/>
        <v>Corp</v>
      </c>
      <c r="F191" s="62">
        <f ca="1"/>
        <v>5.8</v>
      </c>
      <c r="G191" s="63">
        <f ca="1"/>
        <v>46947</v>
      </c>
      <c r="H191" s="61" t="str">
        <f ca="1"/>
        <v>A1</v>
      </c>
      <c r="I191" s="61" t="str">
        <f ca="1"/>
        <v>A-</v>
      </c>
      <c r="J191" s="64">
        <f ca="1"/>
        <v>103.449</v>
      </c>
      <c r="K191" s="17">
        <f ca="1"/>
        <v>4.6689999999999996</v>
      </c>
      <c r="L191" s="18" t="str">
        <f ca="1"/>
        <v>200(200)</v>
      </c>
      <c r="M191" s="83"/>
      <c r="N191" s="84" t="str">
        <f t="shared" si="37"/>
        <v/>
      </c>
      <c r="O191" s="20" t="str">
        <f t="shared" si="38"/>
        <v/>
      </c>
      <c r="P191" s="64" t="str">
        <f t="shared" si="39"/>
        <v/>
      </c>
      <c r="Q191" s="85" t="str">
        <f t="shared" ca="1" si="40"/>
        <v/>
      </c>
      <c r="R191" s="86" t="str">
        <f t="shared" si="41"/>
        <v/>
      </c>
      <c r="S191" s="86" t="str">
        <f t="shared" si="42"/>
        <v/>
      </c>
      <c r="T191" s="104" t="str">
        <f t="shared" si="43"/>
        <v/>
      </c>
      <c r="U191" s="19" t="str">
        <f>IF(AND(M191&lt;&gt;"",M191&lt;&gt;0), IF(E191 = "Muni", T191, IF(E191="Corp", T191*(1 -'Investor Input'!$C$4-'Investor Input'!$C$5), T191*(1 -'Investor Input'!$C$4))), T191)</f>
        <v/>
      </c>
      <c r="V191" s="84" t="str">
        <f t="shared" si="44"/>
        <v/>
      </c>
      <c r="W191" s="84" t="str">
        <f t="shared" si="30"/>
        <v/>
      </c>
      <c r="X191" s="21" t="str">
        <f t="shared" si="31"/>
        <v/>
      </c>
      <c r="Y191" s="60" t="str">
        <f t="shared" si="32"/>
        <v/>
      </c>
      <c r="Z191" s="60" t="str">
        <f t="shared" si="33"/>
        <v/>
      </c>
      <c r="AA191" s="64" t="str">
        <f t="shared" si="34"/>
        <v/>
      </c>
      <c r="AB191" s="64" t="str">
        <f>IF(AND(AA191&lt;&gt;"",AA191&lt;&gt;0), IF(E191="Muni", AA191, IF(E191 = "Corp", (1-'Investor Input'!$C$4-'Investor Input'!$C$5)*AA191, (1-'Investor Input'!$C$4)*AA191)), AA191)</f>
        <v/>
      </c>
      <c r="AC191" s="94" t="str">
        <f t="shared" si="35"/>
        <v/>
      </c>
      <c r="AD191" s="60" t="str">
        <f>IF(AND(M191&lt;&gt;"", M191&lt;&gt;0), N191/$N$505*MATCH(AC191,'Misc Lists'!$K$2:$K$25,0), "")</f>
        <v/>
      </c>
      <c r="AE191" s="90" t="str">
        <f t="shared" si="36"/>
        <v/>
      </c>
      <c r="AF191" s="99" t="str">
        <f>IF(AND(M191&lt;&gt;"", M191&lt;&gt;0), N191/$N$505*MATCH(AE191,'Misc Lists'!$L$2:$L$25,0), "")</f>
        <v/>
      </c>
    </row>
    <row r="192" spans="2:32" hidden="1" outlineLevel="1" x14ac:dyDescent="0.5">
      <c r="B192" s="60" t="str">
        <f ca="1"/>
        <v>891027AS3</v>
      </c>
      <c r="C192" s="61" t="str">
        <f ca="1"/>
        <v>N/A</v>
      </c>
      <c r="D192" s="60" t="str">
        <f ca="1"/>
        <v>GLOBE LIFE INC      NOTE CALL MAKE WHOLE4.55000% 09/15/2028</v>
      </c>
      <c r="E192" s="61" t="str">
        <f ca="1"/>
        <v>Corp</v>
      </c>
      <c r="F192" s="62">
        <f ca="1"/>
        <v>4.55</v>
      </c>
      <c r="G192" s="63">
        <f ca="1"/>
        <v>47011</v>
      </c>
      <c r="H192" s="61" t="str">
        <f ca="1"/>
        <v>BAA1</v>
      </c>
      <c r="I192" s="61" t="str">
        <f ca="1"/>
        <v>A</v>
      </c>
      <c r="J192" s="64">
        <f ca="1"/>
        <v>99.619</v>
      </c>
      <c r="K192" s="17">
        <f ca="1"/>
        <v>4.6689999999999996</v>
      </c>
      <c r="L192" s="18" t="str">
        <f ca="1"/>
        <v>100(9)</v>
      </c>
      <c r="M192" s="83"/>
      <c r="N192" s="84" t="str">
        <f t="shared" si="37"/>
        <v/>
      </c>
      <c r="O192" s="20" t="str">
        <f t="shared" si="38"/>
        <v/>
      </c>
      <c r="P192" s="64" t="str">
        <f t="shared" si="39"/>
        <v/>
      </c>
      <c r="Q192" s="85" t="str">
        <f t="shared" ca="1" si="40"/>
        <v/>
      </c>
      <c r="R192" s="86" t="str">
        <f t="shared" si="41"/>
        <v/>
      </c>
      <c r="S192" s="86" t="str">
        <f t="shared" si="42"/>
        <v/>
      </c>
      <c r="T192" s="104" t="str">
        <f t="shared" si="43"/>
        <v/>
      </c>
      <c r="U192" s="19" t="str">
        <f>IF(AND(M192&lt;&gt;"",M192&lt;&gt;0), IF(E192 = "Muni", T192, IF(E192="Corp", T192*(1 -'Investor Input'!$C$4-'Investor Input'!$C$5), T192*(1 -'Investor Input'!$C$4))), T192)</f>
        <v/>
      </c>
      <c r="V192" s="84" t="str">
        <f t="shared" si="44"/>
        <v/>
      </c>
      <c r="W192" s="84" t="str">
        <f t="shared" si="30"/>
        <v/>
      </c>
      <c r="X192" s="21" t="str">
        <f t="shared" si="31"/>
        <v/>
      </c>
      <c r="Y192" s="60" t="str">
        <f t="shared" si="32"/>
        <v/>
      </c>
      <c r="Z192" s="60" t="str">
        <f t="shared" si="33"/>
        <v/>
      </c>
      <c r="AA192" s="64" t="str">
        <f t="shared" si="34"/>
        <v/>
      </c>
      <c r="AB192" s="64" t="str">
        <f>IF(AND(AA192&lt;&gt;"",AA192&lt;&gt;0), IF(E192="Muni", AA192, IF(E192 = "Corp", (1-'Investor Input'!$C$4-'Investor Input'!$C$5)*AA192, (1-'Investor Input'!$C$4)*AA192)), AA192)</f>
        <v/>
      </c>
      <c r="AC192" s="94" t="str">
        <f t="shared" si="35"/>
        <v/>
      </c>
      <c r="AD192" s="60" t="str">
        <f>IF(AND(M192&lt;&gt;"", M192&lt;&gt;0), N192/$N$505*MATCH(AC192,'Misc Lists'!$K$2:$K$25,0), "")</f>
        <v/>
      </c>
      <c r="AE192" s="90" t="str">
        <f t="shared" si="36"/>
        <v/>
      </c>
      <c r="AF192" s="99" t="str">
        <f>IF(AND(M192&lt;&gt;"", M192&lt;&gt;0), N192/$N$505*MATCH(AE192,'Misc Lists'!$L$2:$L$25,0), "")</f>
        <v/>
      </c>
    </row>
    <row r="193" spans="2:32" hidden="1" outlineLevel="1" x14ac:dyDescent="0.5">
      <c r="B193" s="60" t="str">
        <f ca="1"/>
        <v>13607LWV1</v>
      </c>
      <c r="C193" s="61" t="str">
        <f ca="1"/>
        <v>N/A</v>
      </c>
      <c r="D193" s="60" t="str">
        <f ca="1"/>
        <v>CANADIAN IMPERIAL BKCOMM NOTE           5.98600% 10/03/2028 CALL MAKE WHOLE     ISIN #US13607LWV16</v>
      </c>
      <c r="E193" s="61" t="str">
        <f ca="1"/>
        <v>Corp</v>
      </c>
      <c r="F193" s="62">
        <f ca="1"/>
        <v>5.9859999999999998</v>
      </c>
      <c r="G193" s="63">
        <f ca="1"/>
        <v>47029</v>
      </c>
      <c r="H193" s="61" t="str">
        <f ca="1"/>
        <v>A2</v>
      </c>
      <c r="I193" s="61" t="str">
        <f ca="1"/>
        <v>A-</v>
      </c>
      <c r="J193" s="64">
        <f ca="1"/>
        <v>104.27</v>
      </c>
      <c r="K193" s="17">
        <f ca="1"/>
        <v>4.6689999999999996</v>
      </c>
      <c r="L193" s="18" t="str">
        <f ca="1"/>
        <v>425(2)</v>
      </c>
      <c r="M193" s="83"/>
      <c r="N193" s="84" t="str">
        <f t="shared" si="37"/>
        <v/>
      </c>
      <c r="O193" s="20" t="str">
        <f t="shared" si="38"/>
        <v/>
      </c>
      <c r="P193" s="64" t="str">
        <f t="shared" si="39"/>
        <v/>
      </c>
      <c r="Q193" s="85" t="str">
        <f t="shared" ca="1" si="40"/>
        <v/>
      </c>
      <c r="R193" s="86" t="str">
        <f t="shared" si="41"/>
        <v/>
      </c>
      <c r="S193" s="86" t="str">
        <f t="shared" si="42"/>
        <v/>
      </c>
      <c r="T193" s="104" t="str">
        <f t="shared" si="43"/>
        <v/>
      </c>
      <c r="U193" s="19" t="str">
        <f>IF(AND(M193&lt;&gt;"",M193&lt;&gt;0), IF(E193 = "Muni", T193, IF(E193="Corp", T193*(1 -'Investor Input'!$C$4-'Investor Input'!$C$5), T193*(1 -'Investor Input'!$C$4))), T193)</f>
        <v/>
      </c>
      <c r="V193" s="84" t="str">
        <f t="shared" si="44"/>
        <v/>
      </c>
      <c r="W193" s="84" t="str">
        <f t="shared" si="30"/>
        <v/>
      </c>
      <c r="X193" s="21" t="str">
        <f t="shared" si="31"/>
        <v/>
      </c>
      <c r="Y193" s="60" t="str">
        <f t="shared" si="32"/>
        <v/>
      </c>
      <c r="Z193" s="60" t="str">
        <f t="shared" si="33"/>
        <v/>
      </c>
      <c r="AA193" s="64" t="str">
        <f t="shared" si="34"/>
        <v/>
      </c>
      <c r="AB193" s="64" t="str">
        <f>IF(AND(AA193&lt;&gt;"",AA193&lt;&gt;0), IF(E193="Muni", AA193, IF(E193 = "Corp", (1-'Investor Input'!$C$4-'Investor Input'!$C$5)*AA193, (1-'Investor Input'!$C$4)*AA193)), AA193)</f>
        <v/>
      </c>
      <c r="AC193" s="94" t="str">
        <f t="shared" si="35"/>
        <v/>
      </c>
      <c r="AD193" s="60" t="str">
        <f>IF(AND(M193&lt;&gt;"", M193&lt;&gt;0), N193/$N$505*MATCH(AC193,'Misc Lists'!$K$2:$K$25,0), "")</f>
        <v/>
      </c>
      <c r="AE193" s="90" t="str">
        <f t="shared" si="36"/>
        <v/>
      </c>
      <c r="AF193" s="99" t="str">
        <f>IF(AND(M193&lt;&gt;"", M193&lt;&gt;0), N193/$N$505*MATCH(AE193,'Misc Lists'!$L$2:$L$25,0), "")</f>
        <v/>
      </c>
    </row>
    <row r="194" spans="2:32" hidden="1" outlineLevel="1" x14ac:dyDescent="0.5">
      <c r="B194" s="60" t="str">
        <f ca="1"/>
        <v>17325FBK3</v>
      </c>
      <c r="C194" s="61" t="str">
        <f ca="1"/>
        <v>N/A</v>
      </c>
      <c r="D194" s="60" t="str">
        <f ca="1"/>
        <v>CITIBANK N A        NOTE CALL MAKE WHOLE4.83800% 08/06/2029</v>
      </c>
      <c r="E194" s="61" t="str">
        <f ca="1"/>
        <v>Corp</v>
      </c>
      <c r="F194" s="62">
        <f ca="1"/>
        <v>4.8380000000000001</v>
      </c>
      <c r="G194" s="63">
        <f ca="1"/>
        <v>47336</v>
      </c>
      <c r="H194" s="61" t="str">
        <f ca="1"/>
        <v>AA3</v>
      </c>
      <c r="I194" s="61" t="str">
        <f ca="1"/>
        <v>A+</v>
      </c>
      <c r="J194" s="64">
        <f ca="1"/>
        <v>100.65900000000001</v>
      </c>
      <c r="K194" s="17">
        <f ca="1"/>
        <v>4.6689999999999996</v>
      </c>
      <c r="L194" s="18" t="str">
        <f ca="1"/>
        <v>1,500(250)</v>
      </c>
      <c r="M194" s="83"/>
      <c r="N194" s="84" t="str">
        <f t="shared" si="37"/>
        <v/>
      </c>
      <c r="O194" s="20" t="str">
        <f t="shared" si="38"/>
        <v/>
      </c>
      <c r="P194" s="64" t="str">
        <f t="shared" si="39"/>
        <v/>
      </c>
      <c r="Q194" s="85" t="str">
        <f t="shared" ca="1" si="40"/>
        <v/>
      </c>
      <c r="R194" s="86" t="str">
        <f t="shared" si="41"/>
        <v/>
      </c>
      <c r="S194" s="86" t="str">
        <f t="shared" si="42"/>
        <v/>
      </c>
      <c r="T194" s="104" t="str">
        <f t="shared" si="43"/>
        <v/>
      </c>
      <c r="U194" s="19" t="str">
        <f>IF(AND(M194&lt;&gt;"",M194&lt;&gt;0), IF(E194 = "Muni", T194, IF(E194="Corp", T194*(1 -'Investor Input'!$C$4-'Investor Input'!$C$5), T194*(1 -'Investor Input'!$C$4))), T194)</f>
        <v/>
      </c>
      <c r="V194" s="84" t="str">
        <f t="shared" si="44"/>
        <v/>
      </c>
      <c r="W194" s="84" t="str">
        <f t="shared" si="30"/>
        <v/>
      </c>
      <c r="X194" s="21" t="str">
        <f t="shared" si="31"/>
        <v/>
      </c>
      <c r="Y194" s="60" t="str">
        <f t="shared" si="32"/>
        <v/>
      </c>
      <c r="Z194" s="60" t="str">
        <f t="shared" si="33"/>
        <v/>
      </c>
      <c r="AA194" s="64" t="str">
        <f t="shared" si="34"/>
        <v/>
      </c>
      <c r="AB194" s="64" t="str">
        <f>IF(AND(AA194&lt;&gt;"",AA194&lt;&gt;0), IF(E194="Muni", AA194, IF(E194 = "Corp", (1-'Investor Input'!$C$4-'Investor Input'!$C$5)*AA194, (1-'Investor Input'!$C$4)*AA194)), AA194)</f>
        <v/>
      </c>
      <c r="AC194" s="94" t="str">
        <f t="shared" si="35"/>
        <v/>
      </c>
      <c r="AD194" s="60" t="str">
        <f>IF(AND(M194&lt;&gt;"", M194&lt;&gt;0), N194/$N$505*MATCH(AC194,'Misc Lists'!$K$2:$K$25,0), "")</f>
        <v/>
      </c>
      <c r="AE194" s="90" t="str">
        <f t="shared" si="36"/>
        <v/>
      </c>
      <c r="AF194" s="99" t="str">
        <f>IF(AND(M194&lt;&gt;"", M194&lt;&gt;0), N194/$N$505*MATCH(AE194,'Misc Lists'!$L$2:$L$25,0), "")</f>
        <v/>
      </c>
    </row>
    <row r="195" spans="2:32" hidden="1" outlineLevel="1" x14ac:dyDescent="0.5">
      <c r="B195" s="60" t="str">
        <f ca="1"/>
        <v>10373QBZ2</v>
      </c>
      <c r="C195" s="61" t="str">
        <f ca="1"/>
        <v>N/A</v>
      </c>
      <c r="D195" s="60" t="str">
        <f ca="1"/>
        <v>BP CAP MKTS AMER INCNOTE CALL MAKE WHOLE4.97000% 10/17/2029</v>
      </c>
      <c r="E195" s="61" t="str">
        <f ca="1"/>
        <v>Corp</v>
      </c>
      <c r="F195" s="62">
        <f ca="1"/>
        <v>4.97</v>
      </c>
      <c r="G195" s="63">
        <f ca="1"/>
        <v>47408</v>
      </c>
      <c r="H195" s="61" t="str">
        <f ca="1"/>
        <v>A1</v>
      </c>
      <c r="I195" s="61" t="str">
        <f ca="1"/>
        <v>A-</v>
      </c>
      <c r="J195" s="64">
        <f ca="1"/>
        <v>101.236</v>
      </c>
      <c r="K195" s="17">
        <f ca="1"/>
        <v>4.6669999999999998</v>
      </c>
      <c r="L195" s="18" t="str">
        <f ca="1"/>
        <v>72(10)</v>
      </c>
      <c r="M195" s="83"/>
      <c r="N195" s="84" t="str">
        <f t="shared" si="37"/>
        <v/>
      </c>
      <c r="O195" s="20" t="str">
        <f t="shared" si="38"/>
        <v/>
      </c>
      <c r="P195" s="64" t="str">
        <f t="shared" si="39"/>
        <v/>
      </c>
      <c r="Q195" s="85" t="str">
        <f t="shared" ca="1" si="40"/>
        <v/>
      </c>
      <c r="R195" s="86" t="str">
        <f t="shared" si="41"/>
        <v/>
      </c>
      <c r="S195" s="86" t="str">
        <f t="shared" si="42"/>
        <v/>
      </c>
      <c r="T195" s="104" t="str">
        <f t="shared" si="43"/>
        <v/>
      </c>
      <c r="U195" s="19" t="str">
        <f>IF(AND(M195&lt;&gt;"",M195&lt;&gt;0), IF(E195 = "Muni", T195, IF(E195="Corp", T195*(1 -'Investor Input'!$C$4-'Investor Input'!$C$5), T195*(1 -'Investor Input'!$C$4))), T195)</f>
        <v/>
      </c>
      <c r="V195" s="84" t="str">
        <f t="shared" si="44"/>
        <v/>
      </c>
      <c r="W195" s="84" t="str">
        <f t="shared" si="30"/>
        <v/>
      </c>
      <c r="X195" s="21" t="str">
        <f t="shared" si="31"/>
        <v/>
      </c>
      <c r="Y195" s="60" t="str">
        <f t="shared" si="32"/>
        <v/>
      </c>
      <c r="Z195" s="60" t="str">
        <f t="shared" si="33"/>
        <v/>
      </c>
      <c r="AA195" s="64" t="str">
        <f t="shared" si="34"/>
        <v/>
      </c>
      <c r="AB195" s="64" t="str">
        <f>IF(AND(AA195&lt;&gt;"",AA195&lt;&gt;0), IF(E195="Muni", AA195, IF(E195 = "Corp", (1-'Investor Input'!$C$4-'Investor Input'!$C$5)*AA195, (1-'Investor Input'!$C$4)*AA195)), AA195)</f>
        <v/>
      </c>
      <c r="AC195" s="94" t="str">
        <f t="shared" si="35"/>
        <v/>
      </c>
      <c r="AD195" s="60" t="str">
        <f>IF(AND(M195&lt;&gt;"", M195&lt;&gt;0), N195/$N$505*MATCH(AC195,'Misc Lists'!$K$2:$K$25,0), "")</f>
        <v/>
      </c>
      <c r="AE195" s="90" t="str">
        <f t="shared" si="36"/>
        <v/>
      </c>
      <c r="AF195" s="99" t="str">
        <f>IF(AND(M195&lt;&gt;"", M195&lt;&gt;0), N195/$N$505*MATCH(AE195,'Misc Lists'!$L$2:$L$25,0), "")</f>
        <v/>
      </c>
    </row>
    <row r="196" spans="2:32" hidden="1" outlineLevel="1" x14ac:dyDescent="0.5">
      <c r="B196" s="60" t="str">
        <f ca="1"/>
        <v>756109BS2</v>
      </c>
      <c r="C196" s="61" t="str">
        <f ca="1"/>
        <v>N/A</v>
      </c>
      <c r="D196" s="60" t="str">
        <f ca="1"/>
        <v>REALTY INCOME CORP  NOTE CALL MAKE WHOLE4.70000% 12/15/2028</v>
      </c>
      <c r="E196" s="61" t="str">
        <f ca="1"/>
        <v>Corp</v>
      </c>
      <c r="F196" s="62">
        <f ca="1"/>
        <v>4.7</v>
      </c>
      <c r="G196" s="63">
        <f ca="1"/>
        <v>47102</v>
      </c>
      <c r="H196" s="61" t="str">
        <f ca="1"/>
        <v>A3</v>
      </c>
      <c r="I196" s="61" t="str">
        <f ca="1"/>
        <v>A-</v>
      </c>
      <c r="J196" s="64">
        <f ca="1"/>
        <v>100.111</v>
      </c>
      <c r="K196" s="17">
        <f ca="1"/>
        <v>4.665</v>
      </c>
      <c r="L196" s="18" t="str">
        <f ca="1"/>
        <v>250(10)</v>
      </c>
      <c r="M196" s="83"/>
      <c r="N196" s="84" t="str">
        <f t="shared" si="37"/>
        <v/>
      </c>
      <c r="O196" s="20" t="str">
        <f t="shared" si="38"/>
        <v/>
      </c>
      <c r="P196" s="64" t="str">
        <f t="shared" si="39"/>
        <v/>
      </c>
      <c r="Q196" s="85" t="str">
        <f t="shared" ca="1" si="40"/>
        <v/>
      </c>
      <c r="R196" s="86" t="str">
        <f t="shared" si="41"/>
        <v/>
      </c>
      <c r="S196" s="86" t="str">
        <f t="shared" si="42"/>
        <v/>
      </c>
      <c r="T196" s="104" t="str">
        <f t="shared" si="43"/>
        <v/>
      </c>
      <c r="U196" s="19" t="str">
        <f>IF(AND(M196&lt;&gt;"",M196&lt;&gt;0), IF(E196 = "Muni", T196, IF(E196="Corp", T196*(1 -'Investor Input'!$C$4-'Investor Input'!$C$5), T196*(1 -'Investor Input'!$C$4))), T196)</f>
        <v/>
      </c>
      <c r="V196" s="84" t="str">
        <f t="shared" si="44"/>
        <v/>
      </c>
      <c r="W196" s="84" t="str">
        <f t="shared" ref="W196:W259" si="45">IF(AND(M196&lt;&gt;"",M196&lt;&gt;0),V196-N196,"")</f>
        <v/>
      </c>
      <c r="X196" s="21" t="str">
        <f t="shared" ref="X196:X259" si="46">IF(AND(M196&lt;&gt;"",M196&lt;&gt;0),W196/N196,"")</f>
        <v/>
      </c>
      <c r="Y196" s="60" t="str">
        <f t="shared" ref="Y196:Y259" si="47">IF(AND(M196&lt;&gt;"", M196&lt;&gt;0), MONTH(G196), "")</f>
        <v/>
      </c>
      <c r="Z196" s="60" t="str">
        <f t="shared" ref="Z196:Z259" si="48">IF(AND(M196&lt;&gt;"", M196&lt;&gt;0), MONTH(EDATE(G196, 6)), "")</f>
        <v/>
      </c>
      <c r="AA196" s="64" t="str">
        <f t="shared" ref="AA196:AA259" si="49">IF(AND(M196&lt;&gt;"", M196&lt;&gt;0), F196*1000*M196/(100*2), "")</f>
        <v/>
      </c>
      <c r="AB196" s="64" t="str">
        <f>IF(AND(AA196&lt;&gt;"",AA196&lt;&gt;0), IF(E196="Muni", AA196, IF(E196 = "Corp", (1-'Investor Input'!$C$4-'Investor Input'!$C$5)*AA196, (1-'Investor Input'!$C$4)*AA196)), AA196)</f>
        <v/>
      </c>
      <c r="AC196" s="94" t="str">
        <f t="shared" ref="AC196:AC259" si="50">IF(AND(M196&lt;&gt;"", M196&lt;&gt;0), H196, "")</f>
        <v/>
      </c>
      <c r="AD196" s="60" t="str">
        <f>IF(AND(M196&lt;&gt;"", M196&lt;&gt;0), N196/$N$505*MATCH(AC196,'Misc Lists'!$K$2:$K$25,0), "")</f>
        <v/>
      </c>
      <c r="AE196" s="90" t="str">
        <f t="shared" ref="AE196:AE259" si="51">IF(AND(M196&lt;&gt;"", M196&lt;&gt;0), I196, "")</f>
        <v/>
      </c>
      <c r="AF196" s="99" t="str">
        <f>IF(AND(M196&lt;&gt;"", M196&lt;&gt;0), N196/$N$505*MATCH(AE196,'Misc Lists'!$L$2:$L$25,0), "")</f>
        <v/>
      </c>
    </row>
    <row r="197" spans="2:32" hidden="1" outlineLevel="1" x14ac:dyDescent="0.5">
      <c r="B197" s="60" t="str">
        <f ca="1"/>
        <v>86562MCN8</v>
      </c>
      <c r="C197" s="61" t="str">
        <f ca="1"/>
        <v>N/A</v>
      </c>
      <c r="D197" s="60" t="str">
        <f ca="1"/>
        <v>SUMITOMO MITSUI FIN GRP INC NOTE        2.47200% 01/14/2029</v>
      </c>
      <c r="E197" s="61" t="str">
        <f ca="1"/>
        <v>Corp</v>
      </c>
      <c r="F197" s="62">
        <f ca="1"/>
        <v>2.472</v>
      </c>
      <c r="G197" s="63">
        <f ca="1"/>
        <v>47132</v>
      </c>
      <c r="H197" s="61" t="str">
        <f ca="1"/>
        <v>A1</v>
      </c>
      <c r="I197" s="61" t="str">
        <f ca="1"/>
        <v>A-</v>
      </c>
      <c r="J197" s="64">
        <f ca="1"/>
        <v>92.37</v>
      </c>
      <c r="K197" s="17">
        <f ca="1"/>
        <v>4.665</v>
      </c>
      <c r="L197" s="18" t="str">
        <f ca="1"/>
        <v>200(200)</v>
      </c>
      <c r="M197" s="83"/>
      <c r="N197" s="84" t="str">
        <f t="shared" ref="N197:N260" si="52">IF(AND(M197&lt;&gt;"", M197&lt;&gt;0), IF(L197 &lt;&gt; "N/A", IF(M197&gt;=VALUE(LEFT(L197, FIND("(", L197)-1)), J197*10*M197, 1000*M197), 1000*M197), "")</f>
        <v/>
      </c>
      <c r="O197" s="20" t="str">
        <f t="shared" ref="O197:O260" si="53">IF(AND(M197&lt;&gt;"",M197&lt;&gt;0),N197/$N$505, "")</f>
        <v/>
      </c>
      <c r="P197" s="64" t="str">
        <f t="shared" ref="P197:P260" si="54">IF(AND(M197&lt;&gt;"", M197&lt;&gt;0), F197*1000/100, "")</f>
        <v/>
      </c>
      <c r="Q197" s="85" t="str">
        <f t="shared" ref="Q197:Q260" ca="1" si="55">IF(AND(M197&lt;&gt;"", M197&lt;&gt;0), NOW(), "")</f>
        <v/>
      </c>
      <c r="R197" s="86" t="str">
        <f t="shared" ref="R197:R260" si="56">IF(AND(M197&lt;&gt;"", M197&lt;&gt;0), ROUND((G197 - Q197)/365, 0), "")</f>
        <v/>
      </c>
      <c r="S197" s="86" t="str">
        <f t="shared" ref="S197:S260" si="57">IF(AND(M197&lt;&gt;"",M197&lt;&gt;0),MDURATION(Q197,G197,F197/100,K197/100,2), "")</f>
        <v/>
      </c>
      <c r="T197" s="104" t="str">
        <f t="shared" ref="T197:T260" si="58">IF(AND(M197&lt;&gt;"",M197&lt;&gt;0),YIELD(Q197,G197,F197/100,N197/(M197*10),100,2),"")</f>
        <v/>
      </c>
      <c r="U197" s="19" t="str">
        <f>IF(AND(M197&lt;&gt;"",M197&lt;&gt;0), IF(E197 = "Muni", T197, IF(E197="Corp", T197*(1 -'Investor Input'!$C$4-'Investor Input'!$C$5), T197*(1 -'Investor Input'!$C$4))), T197)</f>
        <v/>
      </c>
      <c r="V197" s="84" t="str">
        <f t="shared" ref="V197:V260" si="59">IF(AND(M197&lt;&gt;"",M197&lt;&gt;0),(FV(K197/(2*100),(G197-Q197)*2/365, F197*1000/(2*100), -N197/M197))*M197, "")</f>
        <v/>
      </c>
      <c r="W197" s="84" t="str">
        <f t="shared" si="45"/>
        <v/>
      </c>
      <c r="X197" s="21" t="str">
        <f t="shared" si="46"/>
        <v/>
      </c>
      <c r="Y197" s="60" t="str">
        <f t="shared" si="47"/>
        <v/>
      </c>
      <c r="Z197" s="60" t="str">
        <f t="shared" si="48"/>
        <v/>
      </c>
      <c r="AA197" s="64" t="str">
        <f t="shared" si="49"/>
        <v/>
      </c>
      <c r="AB197" s="64" t="str">
        <f>IF(AND(AA197&lt;&gt;"",AA197&lt;&gt;0), IF(E197="Muni", AA197, IF(E197 = "Corp", (1-'Investor Input'!$C$4-'Investor Input'!$C$5)*AA197, (1-'Investor Input'!$C$4)*AA197)), AA197)</f>
        <v/>
      </c>
      <c r="AC197" s="94" t="str">
        <f t="shared" si="50"/>
        <v/>
      </c>
      <c r="AD197" s="60" t="str">
        <f>IF(AND(M197&lt;&gt;"", M197&lt;&gt;0), N197/$N$505*MATCH(AC197,'Misc Lists'!$K$2:$K$25,0), "")</f>
        <v/>
      </c>
      <c r="AE197" s="90" t="str">
        <f t="shared" si="51"/>
        <v/>
      </c>
      <c r="AF197" s="99" t="str">
        <f>IF(AND(M197&lt;&gt;"", M197&lt;&gt;0), N197/$N$505*MATCH(AE197,'Misc Lists'!$L$2:$L$25,0), "")</f>
        <v/>
      </c>
    </row>
    <row r="198" spans="2:32" hidden="1" outlineLevel="1" x14ac:dyDescent="0.5">
      <c r="B198" s="60" t="str">
        <f ca="1"/>
        <v>02665WEV9</v>
      </c>
      <c r="C198" s="61" t="str">
        <f ca="1"/>
        <v>N/A</v>
      </c>
      <c r="D198" s="60" t="str">
        <f ca="1"/>
        <v>AMERICAN HONDA FIN  CORP  SER A MTN     5.65000% 11/15/2028 CALL MAKE WHOLE</v>
      </c>
      <c r="E198" s="61" t="str">
        <f ca="1"/>
        <v>Corp</v>
      </c>
      <c r="F198" s="62">
        <f ca="1"/>
        <v>5.65</v>
      </c>
      <c r="G198" s="63">
        <f ca="1"/>
        <v>47072</v>
      </c>
      <c r="H198" s="61" t="str">
        <f ca="1"/>
        <v>A3</v>
      </c>
      <c r="I198" s="61" t="str">
        <f ca="1"/>
        <v>A-</v>
      </c>
      <c r="J198" s="64">
        <f ca="1"/>
        <v>103.28700000000001</v>
      </c>
      <c r="K198" s="17">
        <f ca="1"/>
        <v>4.6639999999999997</v>
      </c>
      <c r="L198" s="18" t="str">
        <f ca="1"/>
        <v>500(2)</v>
      </c>
      <c r="M198" s="83"/>
      <c r="N198" s="84" t="str">
        <f t="shared" si="52"/>
        <v/>
      </c>
      <c r="O198" s="20" t="str">
        <f t="shared" si="53"/>
        <v/>
      </c>
      <c r="P198" s="64" t="str">
        <f t="shared" si="54"/>
        <v/>
      </c>
      <c r="Q198" s="85" t="str">
        <f t="shared" ca="1" si="55"/>
        <v/>
      </c>
      <c r="R198" s="86" t="str">
        <f t="shared" si="56"/>
        <v/>
      </c>
      <c r="S198" s="86" t="str">
        <f t="shared" si="57"/>
        <v/>
      </c>
      <c r="T198" s="104" t="str">
        <f t="shared" si="58"/>
        <v/>
      </c>
      <c r="U198" s="19" t="str">
        <f>IF(AND(M198&lt;&gt;"",M198&lt;&gt;0), IF(E198 = "Muni", T198, IF(E198="Corp", T198*(1 -'Investor Input'!$C$4-'Investor Input'!$C$5), T198*(1 -'Investor Input'!$C$4))), T198)</f>
        <v/>
      </c>
      <c r="V198" s="84" t="str">
        <f t="shared" si="59"/>
        <v/>
      </c>
      <c r="W198" s="84" t="str">
        <f t="shared" si="45"/>
        <v/>
      </c>
      <c r="X198" s="21" t="str">
        <f t="shared" si="46"/>
        <v/>
      </c>
      <c r="Y198" s="60" t="str">
        <f t="shared" si="47"/>
        <v/>
      </c>
      <c r="Z198" s="60" t="str">
        <f t="shared" si="48"/>
        <v/>
      </c>
      <c r="AA198" s="64" t="str">
        <f t="shared" si="49"/>
        <v/>
      </c>
      <c r="AB198" s="64" t="str">
        <f>IF(AND(AA198&lt;&gt;"",AA198&lt;&gt;0), IF(E198="Muni", AA198, IF(E198 = "Corp", (1-'Investor Input'!$C$4-'Investor Input'!$C$5)*AA198, (1-'Investor Input'!$C$4)*AA198)), AA198)</f>
        <v/>
      </c>
      <c r="AC198" s="94" t="str">
        <f t="shared" si="50"/>
        <v/>
      </c>
      <c r="AD198" s="60" t="str">
        <f>IF(AND(M198&lt;&gt;"", M198&lt;&gt;0), N198/$N$505*MATCH(AC198,'Misc Lists'!$K$2:$K$25,0), "")</f>
        <v/>
      </c>
      <c r="AE198" s="90" t="str">
        <f t="shared" si="51"/>
        <v/>
      </c>
      <c r="AF198" s="99" t="str">
        <f>IF(AND(M198&lt;&gt;"", M198&lt;&gt;0), N198/$N$505*MATCH(AE198,'Misc Lists'!$L$2:$L$25,0), "")</f>
        <v/>
      </c>
    </row>
    <row r="199" spans="2:32" hidden="1" outlineLevel="1" x14ac:dyDescent="0.5">
      <c r="B199" s="60" t="str">
        <f ca="1"/>
        <v>693475AW5</v>
      </c>
      <c r="C199" s="61" t="str">
        <f ca="1"/>
        <v>N/A</v>
      </c>
      <c r="D199" s="60" t="str">
        <f ca="1"/>
        <v>PNC FINL SVCS GROUP INC NOTE            3.45000% 04/23/2029</v>
      </c>
      <c r="E199" s="61" t="str">
        <f ca="1"/>
        <v>Corp</v>
      </c>
      <c r="F199" s="62">
        <f ca="1"/>
        <v>3.45</v>
      </c>
      <c r="G199" s="63">
        <f ca="1"/>
        <v>47231</v>
      </c>
      <c r="H199" s="61" t="str">
        <f ca="1"/>
        <v>A3</v>
      </c>
      <c r="I199" s="61" t="str">
        <f ca="1"/>
        <v>A-</v>
      </c>
      <c r="J199" s="64">
        <f ca="1"/>
        <v>95.5</v>
      </c>
      <c r="K199" s="17">
        <f ca="1"/>
        <v>4.6639999999999997</v>
      </c>
      <c r="L199" s="18" t="str">
        <f ca="1"/>
        <v>200(2)</v>
      </c>
      <c r="M199" s="83"/>
      <c r="N199" s="84" t="str">
        <f t="shared" si="52"/>
        <v/>
      </c>
      <c r="O199" s="20" t="str">
        <f t="shared" si="53"/>
        <v/>
      </c>
      <c r="P199" s="64" t="str">
        <f t="shared" si="54"/>
        <v/>
      </c>
      <c r="Q199" s="85" t="str">
        <f t="shared" ca="1" si="55"/>
        <v/>
      </c>
      <c r="R199" s="86" t="str">
        <f t="shared" si="56"/>
        <v/>
      </c>
      <c r="S199" s="86" t="str">
        <f t="shared" si="57"/>
        <v/>
      </c>
      <c r="T199" s="104" t="str">
        <f t="shared" si="58"/>
        <v/>
      </c>
      <c r="U199" s="19" t="str">
        <f>IF(AND(M199&lt;&gt;"",M199&lt;&gt;0), IF(E199 = "Muni", T199, IF(E199="Corp", T199*(1 -'Investor Input'!$C$4-'Investor Input'!$C$5), T199*(1 -'Investor Input'!$C$4))), T199)</f>
        <v/>
      </c>
      <c r="V199" s="84" t="str">
        <f t="shared" si="59"/>
        <v/>
      </c>
      <c r="W199" s="84" t="str">
        <f t="shared" si="45"/>
        <v/>
      </c>
      <c r="X199" s="21" t="str">
        <f t="shared" si="46"/>
        <v/>
      </c>
      <c r="Y199" s="60" t="str">
        <f t="shared" si="47"/>
        <v/>
      </c>
      <c r="Z199" s="60" t="str">
        <f t="shared" si="48"/>
        <v/>
      </c>
      <c r="AA199" s="64" t="str">
        <f t="shared" si="49"/>
        <v/>
      </c>
      <c r="AB199" s="64" t="str">
        <f>IF(AND(AA199&lt;&gt;"",AA199&lt;&gt;0), IF(E199="Muni", AA199, IF(E199 = "Corp", (1-'Investor Input'!$C$4-'Investor Input'!$C$5)*AA199, (1-'Investor Input'!$C$4)*AA199)), AA199)</f>
        <v/>
      </c>
      <c r="AC199" s="94" t="str">
        <f t="shared" si="50"/>
        <v/>
      </c>
      <c r="AD199" s="60" t="str">
        <f>IF(AND(M199&lt;&gt;"", M199&lt;&gt;0), N199/$N$505*MATCH(AC199,'Misc Lists'!$K$2:$K$25,0), "")</f>
        <v/>
      </c>
      <c r="AE199" s="90" t="str">
        <f t="shared" si="51"/>
        <v/>
      </c>
      <c r="AF199" s="99" t="str">
        <f>IF(AND(M199&lt;&gt;"", M199&lt;&gt;0), N199/$N$505*MATCH(AE199,'Misc Lists'!$L$2:$L$25,0), "")</f>
        <v/>
      </c>
    </row>
    <row r="200" spans="2:32" hidden="1" outlineLevel="1" x14ac:dyDescent="0.5">
      <c r="B200" s="60" t="str">
        <f ca="1"/>
        <v>68233JCW2</v>
      </c>
      <c r="C200" s="61" t="str">
        <f ca="1"/>
        <v>N/A</v>
      </c>
      <c r="D200" s="60" t="str">
        <f ca="1"/>
        <v>ONCOR ELEC DELIVERY CO LLC SER B NOTE   4.65000% 11/01/2029 CALL MAKE WHOLE</v>
      </c>
      <c r="E200" s="61" t="str">
        <f ca="1"/>
        <v>Corp</v>
      </c>
      <c r="F200" s="62">
        <f ca="1"/>
        <v>4.6500000000000004</v>
      </c>
      <c r="G200" s="63">
        <f ca="1"/>
        <v>47423</v>
      </c>
      <c r="H200" s="61" t="str">
        <f ca="1"/>
        <v>A2</v>
      </c>
      <c r="I200" s="61" t="str">
        <f ca="1"/>
        <v>A+</v>
      </c>
      <c r="J200" s="64">
        <f ca="1"/>
        <v>99.936999999999998</v>
      </c>
      <c r="K200" s="17">
        <f ca="1"/>
        <v>4.6639999999999997</v>
      </c>
      <c r="L200" s="18" t="str">
        <f ca="1"/>
        <v>50(10)</v>
      </c>
      <c r="M200" s="83"/>
      <c r="N200" s="84" t="str">
        <f t="shared" si="52"/>
        <v/>
      </c>
      <c r="O200" s="20" t="str">
        <f t="shared" si="53"/>
        <v/>
      </c>
      <c r="P200" s="64" t="str">
        <f t="shared" si="54"/>
        <v/>
      </c>
      <c r="Q200" s="85" t="str">
        <f t="shared" ca="1" si="55"/>
        <v/>
      </c>
      <c r="R200" s="86" t="str">
        <f t="shared" si="56"/>
        <v/>
      </c>
      <c r="S200" s="86" t="str">
        <f t="shared" si="57"/>
        <v/>
      </c>
      <c r="T200" s="104" t="str">
        <f t="shared" si="58"/>
        <v/>
      </c>
      <c r="U200" s="19" t="str">
        <f>IF(AND(M200&lt;&gt;"",M200&lt;&gt;0), IF(E200 = "Muni", T200, IF(E200="Corp", T200*(1 -'Investor Input'!$C$4-'Investor Input'!$C$5), T200*(1 -'Investor Input'!$C$4))), T200)</f>
        <v/>
      </c>
      <c r="V200" s="84" t="str">
        <f t="shared" si="59"/>
        <v/>
      </c>
      <c r="W200" s="84" t="str">
        <f t="shared" si="45"/>
        <v/>
      </c>
      <c r="X200" s="21" t="str">
        <f t="shared" si="46"/>
        <v/>
      </c>
      <c r="Y200" s="60" t="str">
        <f t="shared" si="47"/>
        <v/>
      </c>
      <c r="Z200" s="60" t="str">
        <f t="shared" si="48"/>
        <v/>
      </c>
      <c r="AA200" s="64" t="str">
        <f t="shared" si="49"/>
        <v/>
      </c>
      <c r="AB200" s="64" t="str">
        <f>IF(AND(AA200&lt;&gt;"",AA200&lt;&gt;0), IF(E200="Muni", AA200, IF(E200 = "Corp", (1-'Investor Input'!$C$4-'Investor Input'!$C$5)*AA200, (1-'Investor Input'!$C$4)*AA200)), AA200)</f>
        <v/>
      </c>
      <c r="AC200" s="94" t="str">
        <f t="shared" si="50"/>
        <v/>
      </c>
      <c r="AD200" s="60" t="str">
        <f>IF(AND(M200&lt;&gt;"", M200&lt;&gt;0), N200/$N$505*MATCH(AC200,'Misc Lists'!$K$2:$K$25,0), "")</f>
        <v/>
      </c>
      <c r="AE200" s="90" t="str">
        <f t="shared" si="51"/>
        <v/>
      </c>
      <c r="AF200" s="99" t="str">
        <f>IF(AND(M200&lt;&gt;"", M200&lt;&gt;0), N200/$N$505*MATCH(AE200,'Misc Lists'!$L$2:$L$25,0), "")</f>
        <v/>
      </c>
    </row>
    <row r="201" spans="2:32" hidden="1" outlineLevel="1" x14ac:dyDescent="0.5">
      <c r="B201" s="60" t="str">
        <f ca="1"/>
        <v>670346AR6</v>
      </c>
      <c r="C201" s="61" t="str">
        <f ca="1"/>
        <v>N/A</v>
      </c>
      <c r="D201" s="60" t="str">
        <f ca="1"/>
        <v>NUCOR CORP          NOTE CALL MAKE WHOLE2.00000% 06/01/2025</v>
      </c>
      <c r="E201" s="61" t="str">
        <f ca="1"/>
        <v>Corp</v>
      </c>
      <c r="F201" s="62">
        <f ca="1"/>
        <v>2</v>
      </c>
      <c r="G201" s="63">
        <f ca="1"/>
        <v>45809</v>
      </c>
      <c r="H201" s="61" t="str">
        <f ca="1"/>
        <v>BAA1</v>
      </c>
      <c r="I201" s="61" t="str">
        <f ca="1"/>
        <v>A-</v>
      </c>
      <c r="J201" s="64">
        <f ca="1"/>
        <v>99.415999999999997</v>
      </c>
      <c r="K201" s="17">
        <f ca="1"/>
        <v>4.6619999999999999</v>
      </c>
      <c r="L201" s="17" t="str">
        <f ca="1"/>
        <v>21(2)</v>
      </c>
      <c r="M201" s="83"/>
      <c r="N201" s="84" t="str">
        <f t="shared" si="52"/>
        <v/>
      </c>
      <c r="O201" s="20" t="str">
        <f t="shared" si="53"/>
        <v/>
      </c>
      <c r="P201" s="64" t="str">
        <f t="shared" si="54"/>
        <v/>
      </c>
      <c r="Q201" s="85" t="str">
        <f t="shared" ca="1" si="55"/>
        <v/>
      </c>
      <c r="R201" s="86" t="str">
        <f t="shared" si="56"/>
        <v/>
      </c>
      <c r="S201" s="86" t="str">
        <f t="shared" si="57"/>
        <v/>
      </c>
      <c r="T201" s="104" t="str">
        <f t="shared" si="58"/>
        <v/>
      </c>
      <c r="U201" s="19" t="str">
        <f>IF(AND(M201&lt;&gt;"",M201&lt;&gt;0), IF(E201 = "Muni", T201, IF(E201="Corp", T201*(1 -'Investor Input'!$C$4-'Investor Input'!$C$5), T201*(1 -'Investor Input'!$C$4))), T201)</f>
        <v/>
      </c>
      <c r="V201" s="84" t="str">
        <f t="shared" si="59"/>
        <v/>
      </c>
      <c r="W201" s="84" t="str">
        <f t="shared" si="45"/>
        <v/>
      </c>
      <c r="X201" s="21" t="str">
        <f t="shared" si="46"/>
        <v/>
      </c>
      <c r="Y201" s="60" t="str">
        <f t="shared" si="47"/>
        <v/>
      </c>
      <c r="Z201" s="60" t="str">
        <f t="shared" si="48"/>
        <v/>
      </c>
      <c r="AA201" s="64" t="str">
        <f t="shared" si="49"/>
        <v/>
      </c>
      <c r="AB201" s="64" t="str">
        <f>IF(AND(AA201&lt;&gt;"",AA201&lt;&gt;0), IF(E201="Muni", AA201, IF(E201 = "Corp", (1-'Investor Input'!$C$4-'Investor Input'!$C$5)*AA201, (1-'Investor Input'!$C$4)*AA201)), AA201)</f>
        <v/>
      </c>
      <c r="AC201" s="94" t="str">
        <f t="shared" si="50"/>
        <v/>
      </c>
      <c r="AD201" s="60" t="str">
        <f>IF(AND(M201&lt;&gt;"", M201&lt;&gt;0), N201/$N$505*MATCH(AC201,'Misc Lists'!$K$2:$K$25,0), "")</f>
        <v/>
      </c>
      <c r="AE201" s="90" t="str">
        <f t="shared" si="51"/>
        <v/>
      </c>
      <c r="AF201" s="99" t="str">
        <f>IF(AND(M201&lt;&gt;"", M201&lt;&gt;0), N201/$N$505*MATCH(AE201,'Misc Lists'!$L$2:$L$25,0), "")</f>
        <v/>
      </c>
    </row>
    <row r="202" spans="2:32" hidden="1" outlineLevel="1" x14ac:dyDescent="0.5">
      <c r="B202" s="60" t="str">
        <f ca="1"/>
        <v>78016HZV5</v>
      </c>
      <c r="C202" s="61" t="str">
        <f ca="1"/>
        <v>N/A</v>
      </c>
      <c r="D202" s="60" t="str">
        <f ca="1"/>
        <v>ROYAL BK CDA        MTN CALL MAKE WHOLE 4.95000% 02/01/2029 ISIN #US78016HZV58</v>
      </c>
      <c r="E202" s="61" t="str">
        <f ca="1"/>
        <v>Corp</v>
      </c>
      <c r="F202" s="62">
        <f ca="1"/>
        <v>4.95</v>
      </c>
      <c r="G202" s="63">
        <f ca="1"/>
        <v>47150</v>
      </c>
      <c r="H202" s="61" t="str">
        <f ca="1"/>
        <v>A1</v>
      </c>
      <c r="I202" s="61" t="str">
        <f ca="1"/>
        <v>A</v>
      </c>
      <c r="J202" s="64">
        <f ca="1"/>
        <v>101.01300000000001</v>
      </c>
      <c r="K202" s="17">
        <f ca="1"/>
        <v>4.6609999999999996</v>
      </c>
      <c r="L202" s="17" t="str">
        <f ca="1"/>
        <v>500(2)</v>
      </c>
      <c r="M202" s="83"/>
      <c r="N202" s="84" t="str">
        <f t="shared" si="52"/>
        <v/>
      </c>
      <c r="O202" s="20" t="str">
        <f t="shared" si="53"/>
        <v/>
      </c>
      <c r="P202" s="64" t="str">
        <f t="shared" si="54"/>
        <v/>
      </c>
      <c r="Q202" s="85" t="str">
        <f t="shared" ca="1" si="55"/>
        <v/>
      </c>
      <c r="R202" s="86" t="str">
        <f t="shared" si="56"/>
        <v/>
      </c>
      <c r="S202" s="86" t="str">
        <f t="shared" si="57"/>
        <v/>
      </c>
      <c r="T202" s="104" t="str">
        <f t="shared" si="58"/>
        <v/>
      </c>
      <c r="U202" s="19" t="str">
        <f>IF(AND(M202&lt;&gt;"",M202&lt;&gt;0), IF(E202 = "Muni", T202, IF(E202="Corp", T202*(1 -'Investor Input'!$C$4-'Investor Input'!$C$5), T202*(1 -'Investor Input'!$C$4))), T202)</f>
        <v/>
      </c>
      <c r="V202" s="84" t="str">
        <f t="shared" si="59"/>
        <v/>
      </c>
      <c r="W202" s="84" t="str">
        <f t="shared" si="45"/>
        <v/>
      </c>
      <c r="X202" s="21" t="str">
        <f t="shared" si="46"/>
        <v/>
      </c>
      <c r="Y202" s="60" t="str">
        <f t="shared" si="47"/>
        <v/>
      </c>
      <c r="Z202" s="60" t="str">
        <f t="shared" si="48"/>
        <v/>
      </c>
      <c r="AA202" s="64" t="str">
        <f t="shared" si="49"/>
        <v/>
      </c>
      <c r="AB202" s="64" t="str">
        <f>IF(AND(AA202&lt;&gt;"",AA202&lt;&gt;0), IF(E202="Muni", AA202, IF(E202 = "Corp", (1-'Investor Input'!$C$4-'Investor Input'!$C$5)*AA202, (1-'Investor Input'!$C$4)*AA202)), AA202)</f>
        <v/>
      </c>
      <c r="AC202" s="94" t="str">
        <f t="shared" si="50"/>
        <v/>
      </c>
      <c r="AD202" s="60" t="str">
        <f>IF(AND(M202&lt;&gt;"", M202&lt;&gt;0), N202/$N$505*MATCH(AC202,'Misc Lists'!$K$2:$K$25,0), "")</f>
        <v/>
      </c>
      <c r="AE202" s="90" t="str">
        <f t="shared" si="51"/>
        <v/>
      </c>
      <c r="AF202" s="99" t="str">
        <f>IF(AND(M202&lt;&gt;"", M202&lt;&gt;0), N202/$N$505*MATCH(AE202,'Misc Lists'!$L$2:$L$25,0), "")</f>
        <v/>
      </c>
    </row>
    <row r="203" spans="2:32" hidden="1" outlineLevel="1" x14ac:dyDescent="0.5">
      <c r="B203" s="60" t="str">
        <f ca="1"/>
        <v>665859AV6</v>
      </c>
      <c r="C203" s="61" t="str">
        <f ca="1"/>
        <v>N/A</v>
      </c>
      <c r="D203" s="60" t="str">
        <f ca="1"/>
        <v>NORTHERN TR CORP    NOTE                1.95000% 05/01/2030</v>
      </c>
      <c r="E203" s="61" t="str">
        <f ca="1"/>
        <v>Corp</v>
      </c>
      <c r="F203" s="62">
        <f ca="1"/>
        <v>1.95</v>
      </c>
      <c r="G203" s="63">
        <f ca="1"/>
        <v>47604</v>
      </c>
      <c r="H203" s="61" t="str">
        <f ca="1"/>
        <v>A2</v>
      </c>
      <c r="I203" s="61" t="str">
        <f ca="1"/>
        <v>A+</v>
      </c>
      <c r="J203" s="64">
        <f ca="1"/>
        <v>87.741</v>
      </c>
      <c r="K203" s="17">
        <f ca="1"/>
        <v>4.6609999999999996</v>
      </c>
      <c r="L203" s="17" t="str">
        <f ca="1"/>
        <v>500(2)</v>
      </c>
      <c r="M203" s="83"/>
      <c r="N203" s="84" t="str">
        <f t="shared" si="52"/>
        <v/>
      </c>
      <c r="O203" s="20" t="str">
        <f t="shared" si="53"/>
        <v/>
      </c>
      <c r="P203" s="64" t="str">
        <f t="shared" si="54"/>
        <v/>
      </c>
      <c r="Q203" s="85" t="str">
        <f t="shared" ca="1" si="55"/>
        <v/>
      </c>
      <c r="R203" s="86" t="str">
        <f t="shared" si="56"/>
        <v/>
      </c>
      <c r="S203" s="86" t="str">
        <f t="shared" si="57"/>
        <v/>
      </c>
      <c r="T203" s="104" t="str">
        <f t="shared" si="58"/>
        <v/>
      </c>
      <c r="U203" s="19" t="str">
        <f>IF(AND(M203&lt;&gt;"",M203&lt;&gt;0), IF(E203 = "Muni", T203, IF(E203="Corp", T203*(1 -'Investor Input'!$C$4-'Investor Input'!$C$5), T203*(1 -'Investor Input'!$C$4))), T203)</f>
        <v/>
      </c>
      <c r="V203" s="84" t="str">
        <f t="shared" si="59"/>
        <v/>
      </c>
      <c r="W203" s="84" t="str">
        <f t="shared" si="45"/>
        <v/>
      </c>
      <c r="X203" s="21" t="str">
        <f t="shared" si="46"/>
        <v/>
      </c>
      <c r="Y203" s="60" t="str">
        <f t="shared" si="47"/>
        <v/>
      </c>
      <c r="Z203" s="60" t="str">
        <f t="shared" si="48"/>
        <v/>
      </c>
      <c r="AA203" s="64" t="str">
        <f t="shared" si="49"/>
        <v/>
      </c>
      <c r="AB203" s="64" t="str">
        <f>IF(AND(AA203&lt;&gt;"",AA203&lt;&gt;0), IF(E203="Muni", AA203, IF(E203 = "Corp", (1-'Investor Input'!$C$4-'Investor Input'!$C$5)*AA203, (1-'Investor Input'!$C$4)*AA203)), AA203)</f>
        <v/>
      </c>
      <c r="AC203" s="94" t="str">
        <f t="shared" si="50"/>
        <v/>
      </c>
      <c r="AD203" s="60" t="str">
        <f>IF(AND(M203&lt;&gt;"", M203&lt;&gt;0), N203/$N$505*MATCH(AC203,'Misc Lists'!$K$2:$K$25,0), "")</f>
        <v/>
      </c>
      <c r="AE203" s="90" t="str">
        <f t="shared" si="51"/>
        <v/>
      </c>
      <c r="AF203" s="99" t="str">
        <f>IF(AND(M203&lt;&gt;"", M203&lt;&gt;0), N203/$N$505*MATCH(AE203,'Misc Lists'!$L$2:$L$25,0), "")</f>
        <v/>
      </c>
    </row>
    <row r="204" spans="2:32" hidden="1" outlineLevel="1" x14ac:dyDescent="0.5">
      <c r="B204" s="60" t="str">
        <f ca="1"/>
        <v>001055BJ0</v>
      </c>
      <c r="C204" s="61" t="str">
        <f ca="1"/>
        <v>N/A</v>
      </c>
      <c r="D204" s="60" t="str">
        <f ca="1"/>
        <v>AFLAC INC           NOTE CALL MAKE WHOLE3.60000% 04/01/2030</v>
      </c>
      <c r="E204" s="61" t="str">
        <f ca="1"/>
        <v>Corp</v>
      </c>
      <c r="F204" s="62">
        <f ca="1"/>
        <v>3.6</v>
      </c>
      <c r="G204" s="63">
        <f ca="1"/>
        <v>47574</v>
      </c>
      <c r="H204" s="61" t="str">
        <f ca="1"/>
        <v>A3</v>
      </c>
      <c r="I204" s="61" t="str">
        <f ca="1"/>
        <v>A-</v>
      </c>
      <c r="J204" s="64">
        <f ca="1"/>
        <v>95.278999999999996</v>
      </c>
      <c r="K204" s="17">
        <f ca="1"/>
        <v>4.6589999999999998</v>
      </c>
      <c r="L204" s="17" t="str">
        <f ca="1"/>
        <v>500(2)</v>
      </c>
      <c r="M204" s="83"/>
      <c r="N204" s="84" t="str">
        <f t="shared" si="52"/>
        <v/>
      </c>
      <c r="O204" s="20" t="str">
        <f t="shared" si="53"/>
        <v/>
      </c>
      <c r="P204" s="64" t="str">
        <f t="shared" si="54"/>
        <v/>
      </c>
      <c r="Q204" s="85" t="str">
        <f t="shared" ca="1" si="55"/>
        <v/>
      </c>
      <c r="R204" s="86" t="str">
        <f t="shared" si="56"/>
        <v/>
      </c>
      <c r="S204" s="86" t="str">
        <f t="shared" si="57"/>
        <v/>
      </c>
      <c r="T204" s="104" t="str">
        <f t="shared" si="58"/>
        <v/>
      </c>
      <c r="U204" s="19" t="str">
        <f>IF(AND(M204&lt;&gt;"",M204&lt;&gt;0), IF(E204 = "Muni", T204, IF(E204="Corp", T204*(1 -'Investor Input'!$C$4-'Investor Input'!$C$5), T204*(1 -'Investor Input'!$C$4))), T204)</f>
        <v/>
      </c>
      <c r="V204" s="84" t="str">
        <f t="shared" si="59"/>
        <v/>
      </c>
      <c r="W204" s="84" t="str">
        <f t="shared" si="45"/>
        <v/>
      </c>
      <c r="X204" s="21" t="str">
        <f t="shared" si="46"/>
        <v/>
      </c>
      <c r="Y204" s="60" t="str">
        <f t="shared" si="47"/>
        <v/>
      </c>
      <c r="Z204" s="60" t="str">
        <f t="shared" si="48"/>
        <v/>
      </c>
      <c r="AA204" s="64" t="str">
        <f t="shared" si="49"/>
        <v/>
      </c>
      <c r="AB204" s="64" t="str">
        <f>IF(AND(AA204&lt;&gt;"",AA204&lt;&gt;0), IF(E204="Muni", AA204, IF(E204 = "Corp", (1-'Investor Input'!$C$4-'Investor Input'!$C$5)*AA204, (1-'Investor Input'!$C$4)*AA204)), AA204)</f>
        <v/>
      </c>
      <c r="AC204" s="94" t="str">
        <f t="shared" si="50"/>
        <v/>
      </c>
      <c r="AD204" s="60" t="str">
        <f>IF(AND(M204&lt;&gt;"", M204&lt;&gt;0), N204/$N$505*MATCH(AC204,'Misc Lists'!$K$2:$K$25,0), "")</f>
        <v/>
      </c>
      <c r="AE204" s="90" t="str">
        <f t="shared" si="51"/>
        <v/>
      </c>
      <c r="AF204" s="99" t="str">
        <f>IF(AND(M204&lt;&gt;"", M204&lt;&gt;0), N204/$N$505*MATCH(AE204,'Misc Lists'!$L$2:$L$25,0), "")</f>
        <v/>
      </c>
    </row>
    <row r="205" spans="2:32" hidden="1" outlineLevel="1" x14ac:dyDescent="0.5">
      <c r="B205" s="60" t="str">
        <f ca="1"/>
        <v>89236TGY5</v>
      </c>
      <c r="C205" s="61" t="str">
        <f ca="1"/>
        <v>N/A</v>
      </c>
      <c r="D205" s="60" t="str">
        <f ca="1"/>
        <v>TOYOTA MTR CR CORP  SER B MTN           3.37500% 04/01/2030 CALL MAKE WHOLE</v>
      </c>
      <c r="E205" s="61" t="str">
        <f ca="1"/>
        <v>Corp</v>
      </c>
      <c r="F205" s="62">
        <f ca="1"/>
        <v>3.375</v>
      </c>
      <c r="G205" s="63">
        <f ca="1"/>
        <v>47574</v>
      </c>
      <c r="H205" s="61" t="str">
        <f ca="1"/>
        <v>A1</v>
      </c>
      <c r="I205" s="61" t="str">
        <f ca="1"/>
        <v>A+</v>
      </c>
      <c r="J205" s="64">
        <f ca="1"/>
        <v>94.277000000000001</v>
      </c>
      <c r="K205" s="17">
        <f ca="1"/>
        <v>4.6589999999999998</v>
      </c>
      <c r="L205" s="17" t="str">
        <f ca="1"/>
        <v>500(5)</v>
      </c>
      <c r="M205" s="83"/>
      <c r="N205" s="84" t="str">
        <f t="shared" si="52"/>
        <v/>
      </c>
      <c r="O205" s="20" t="str">
        <f t="shared" si="53"/>
        <v/>
      </c>
      <c r="P205" s="64" t="str">
        <f t="shared" si="54"/>
        <v/>
      </c>
      <c r="Q205" s="85" t="str">
        <f t="shared" ca="1" si="55"/>
        <v/>
      </c>
      <c r="R205" s="86" t="str">
        <f t="shared" si="56"/>
        <v/>
      </c>
      <c r="S205" s="86" t="str">
        <f t="shared" si="57"/>
        <v/>
      </c>
      <c r="T205" s="104" t="str">
        <f t="shared" si="58"/>
        <v/>
      </c>
      <c r="U205" s="19" t="str">
        <f>IF(AND(M205&lt;&gt;"",M205&lt;&gt;0), IF(E205 = "Muni", T205, IF(E205="Corp", T205*(1 -'Investor Input'!$C$4-'Investor Input'!$C$5), T205*(1 -'Investor Input'!$C$4))), T205)</f>
        <v/>
      </c>
      <c r="V205" s="84" t="str">
        <f t="shared" si="59"/>
        <v/>
      </c>
      <c r="W205" s="84" t="str">
        <f t="shared" si="45"/>
        <v/>
      </c>
      <c r="X205" s="21" t="str">
        <f t="shared" si="46"/>
        <v/>
      </c>
      <c r="Y205" s="60" t="str">
        <f t="shared" si="47"/>
        <v/>
      </c>
      <c r="Z205" s="60" t="str">
        <f t="shared" si="48"/>
        <v/>
      </c>
      <c r="AA205" s="64" t="str">
        <f t="shared" si="49"/>
        <v/>
      </c>
      <c r="AB205" s="64" t="str">
        <f>IF(AND(AA205&lt;&gt;"",AA205&lt;&gt;0), IF(E205="Muni", AA205, IF(E205 = "Corp", (1-'Investor Input'!$C$4-'Investor Input'!$C$5)*AA205, (1-'Investor Input'!$C$4)*AA205)), AA205)</f>
        <v/>
      </c>
      <c r="AC205" s="94" t="str">
        <f t="shared" si="50"/>
        <v/>
      </c>
      <c r="AD205" s="60" t="str">
        <f>IF(AND(M205&lt;&gt;"", M205&lt;&gt;0), N205/$N$505*MATCH(AC205,'Misc Lists'!$K$2:$K$25,0), "")</f>
        <v/>
      </c>
      <c r="AE205" s="90" t="str">
        <f t="shared" si="51"/>
        <v/>
      </c>
      <c r="AF205" s="99" t="str">
        <f>IF(AND(M205&lt;&gt;"", M205&lt;&gt;0), N205/$N$505*MATCH(AE205,'Misc Lists'!$L$2:$L$25,0), "")</f>
        <v/>
      </c>
    </row>
    <row r="206" spans="2:32" hidden="1" outlineLevel="1" x14ac:dyDescent="0.5">
      <c r="B206" s="60" t="str">
        <f ca="1"/>
        <v>133131AX0</v>
      </c>
      <c r="C206" s="61" t="str">
        <f ca="1"/>
        <v>N/A</v>
      </c>
      <c r="D206" s="60" t="str">
        <f ca="1"/>
        <v>CAMDEN PPTY TR      NOTE CALL MAKE WHOLE3.15000% 07/01/2029</v>
      </c>
      <c r="E206" s="61" t="str">
        <f ca="1"/>
        <v>Corp</v>
      </c>
      <c r="F206" s="62">
        <f ca="1"/>
        <v>3.15</v>
      </c>
      <c r="G206" s="63">
        <f ca="1"/>
        <v>47300</v>
      </c>
      <c r="H206" s="61" t="str">
        <f ca="1"/>
        <v>A3</v>
      </c>
      <c r="I206" s="61" t="str">
        <f ca="1"/>
        <v>A-</v>
      </c>
      <c r="J206" s="64">
        <f ca="1"/>
        <v>94.176000000000002</v>
      </c>
      <c r="K206" s="17">
        <f ca="1"/>
        <v>4.6580000000000004</v>
      </c>
      <c r="L206" s="17" t="str">
        <f ca="1"/>
        <v>250(10)</v>
      </c>
      <c r="M206" s="83"/>
      <c r="N206" s="84" t="str">
        <f t="shared" si="52"/>
        <v/>
      </c>
      <c r="O206" s="20" t="str">
        <f t="shared" si="53"/>
        <v/>
      </c>
      <c r="P206" s="64" t="str">
        <f t="shared" si="54"/>
        <v/>
      </c>
      <c r="Q206" s="85" t="str">
        <f t="shared" ca="1" si="55"/>
        <v/>
      </c>
      <c r="R206" s="86" t="str">
        <f t="shared" si="56"/>
        <v/>
      </c>
      <c r="S206" s="86" t="str">
        <f t="shared" si="57"/>
        <v/>
      </c>
      <c r="T206" s="104" t="str">
        <f t="shared" si="58"/>
        <v/>
      </c>
      <c r="U206" s="19" t="str">
        <f>IF(AND(M206&lt;&gt;"",M206&lt;&gt;0), IF(E206 = "Muni", T206, IF(E206="Corp", T206*(1 -'Investor Input'!$C$4-'Investor Input'!$C$5), T206*(1 -'Investor Input'!$C$4))), T206)</f>
        <v/>
      </c>
      <c r="V206" s="84" t="str">
        <f t="shared" si="59"/>
        <v/>
      </c>
      <c r="W206" s="84" t="str">
        <f t="shared" si="45"/>
        <v/>
      </c>
      <c r="X206" s="21" t="str">
        <f t="shared" si="46"/>
        <v/>
      </c>
      <c r="Y206" s="60" t="str">
        <f t="shared" si="47"/>
        <v/>
      </c>
      <c r="Z206" s="60" t="str">
        <f t="shared" si="48"/>
        <v/>
      </c>
      <c r="AA206" s="64" t="str">
        <f t="shared" si="49"/>
        <v/>
      </c>
      <c r="AB206" s="64" t="str">
        <f>IF(AND(AA206&lt;&gt;"",AA206&lt;&gt;0), IF(E206="Muni", AA206, IF(E206 = "Corp", (1-'Investor Input'!$C$4-'Investor Input'!$C$5)*AA206, (1-'Investor Input'!$C$4)*AA206)), AA206)</f>
        <v/>
      </c>
      <c r="AC206" s="94" t="str">
        <f t="shared" si="50"/>
        <v/>
      </c>
      <c r="AD206" s="60" t="str">
        <f>IF(AND(M206&lt;&gt;"", M206&lt;&gt;0), N206/$N$505*MATCH(AC206,'Misc Lists'!$K$2:$K$25,0), "")</f>
        <v/>
      </c>
      <c r="AE206" s="90" t="str">
        <f t="shared" si="51"/>
        <v/>
      </c>
      <c r="AF206" s="99" t="str">
        <f>IF(AND(M206&lt;&gt;"", M206&lt;&gt;0), N206/$N$505*MATCH(AE206,'Misc Lists'!$L$2:$L$25,0), "")</f>
        <v/>
      </c>
    </row>
    <row r="207" spans="2:32" hidden="1" outlineLevel="1" x14ac:dyDescent="0.5">
      <c r="B207" s="60" t="str">
        <f ca="1"/>
        <v>437076CB6</v>
      </c>
      <c r="C207" s="61" t="str">
        <f ca="1"/>
        <v>N/A</v>
      </c>
      <c r="D207" s="60" t="str">
        <f ca="1"/>
        <v>HOME DEPOT INC      NOTE CALL MAKE WHOLE2.70000% 04/15/2030</v>
      </c>
      <c r="E207" s="61" t="str">
        <f ca="1"/>
        <v>Corp</v>
      </c>
      <c r="F207" s="62">
        <f ca="1"/>
        <v>2.7</v>
      </c>
      <c r="G207" s="63">
        <f ca="1"/>
        <v>47588</v>
      </c>
      <c r="H207" s="61" t="str">
        <f ca="1"/>
        <v>A2</v>
      </c>
      <c r="I207" s="61" t="str">
        <f ca="1"/>
        <v>A</v>
      </c>
      <c r="J207" s="64">
        <f ca="1"/>
        <v>91.210999999999999</v>
      </c>
      <c r="K207" s="17">
        <f ca="1"/>
        <v>4.6580000000000004</v>
      </c>
      <c r="L207" s="17" t="str">
        <f ca="1"/>
        <v>500(2)</v>
      </c>
      <c r="M207" s="83"/>
      <c r="N207" s="84" t="str">
        <f t="shared" si="52"/>
        <v/>
      </c>
      <c r="O207" s="20" t="str">
        <f t="shared" si="53"/>
        <v/>
      </c>
      <c r="P207" s="64" t="str">
        <f t="shared" si="54"/>
        <v/>
      </c>
      <c r="Q207" s="85" t="str">
        <f t="shared" ca="1" si="55"/>
        <v/>
      </c>
      <c r="R207" s="86" t="str">
        <f t="shared" si="56"/>
        <v/>
      </c>
      <c r="S207" s="86" t="str">
        <f t="shared" si="57"/>
        <v/>
      </c>
      <c r="T207" s="104" t="str">
        <f t="shared" si="58"/>
        <v/>
      </c>
      <c r="U207" s="19" t="str">
        <f>IF(AND(M207&lt;&gt;"",M207&lt;&gt;0), IF(E207 = "Muni", T207, IF(E207="Corp", T207*(1 -'Investor Input'!$C$4-'Investor Input'!$C$5), T207*(1 -'Investor Input'!$C$4))), T207)</f>
        <v/>
      </c>
      <c r="V207" s="84" t="str">
        <f t="shared" si="59"/>
        <v/>
      </c>
      <c r="W207" s="84" t="str">
        <f t="shared" si="45"/>
        <v/>
      </c>
      <c r="X207" s="21" t="str">
        <f t="shared" si="46"/>
        <v/>
      </c>
      <c r="Y207" s="60" t="str">
        <f t="shared" si="47"/>
        <v/>
      </c>
      <c r="Z207" s="60" t="str">
        <f t="shared" si="48"/>
        <v/>
      </c>
      <c r="AA207" s="64" t="str">
        <f t="shared" si="49"/>
        <v/>
      </c>
      <c r="AB207" s="64" t="str">
        <f>IF(AND(AA207&lt;&gt;"",AA207&lt;&gt;0), IF(E207="Muni", AA207, IF(E207 = "Corp", (1-'Investor Input'!$C$4-'Investor Input'!$C$5)*AA207, (1-'Investor Input'!$C$4)*AA207)), AA207)</f>
        <v/>
      </c>
      <c r="AC207" s="94" t="str">
        <f t="shared" si="50"/>
        <v/>
      </c>
      <c r="AD207" s="60" t="str">
        <f>IF(AND(M207&lt;&gt;"", M207&lt;&gt;0), N207/$N$505*MATCH(AC207,'Misc Lists'!$K$2:$K$25,0), "")</f>
        <v/>
      </c>
      <c r="AE207" s="90" t="str">
        <f t="shared" si="51"/>
        <v/>
      </c>
      <c r="AF207" s="99" t="str">
        <f>IF(AND(M207&lt;&gt;"", M207&lt;&gt;0), N207/$N$505*MATCH(AE207,'Misc Lists'!$L$2:$L$25,0), "")</f>
        <v/>
      </c>
    </row>
    <row r="208" spans="2:32" hidden="1" outlineLevel="1" x14ac:dyDescent="0.5">
      <c r="B208" s="60" t="str">
        <f ca="1"/>
        <v>00287YDZ9</v>
      </c>
      <c r="C208" s="61" t="str">
        <f ca="1"/>
        <v>N/A</v>
      </c>
      <c r="D208" s="60" t="str">
        <f ca="1"/>
        <v>ABBVIE INC          NOTE CALL MAKE WHOLE4.87500% 03/15/2030</v>
      </c>
      <c r="E208" s="61" t="str">
        <f ca="1"/>
        <v>Corp</v>
      </c>
      <c r="F208" s="62">
        <f ca="1"/>
        <v>4.875</v>
      </c>
      <c r="G208" s="63">
        <f ca="1"/>
        <v>47557</v>
      </c>
      <c r="H208" s="61" t="str">
        <f ca="1"/>
        <v>A3</v>
      </c>
      <c r="I208" s="61" t="str">
        <f ca="1"/>
        <v>A-</v>
      </c>
      <c r="J208" s="64">
        <f ca="1"/>
        <v>100.95699999999999</v>
      </c>
      <c r="K208" s="17">
        <f ca="1"/>
        <v>4.657</v>
      </c>
      <c r="L208" s="17" t="str">
        <f ca="1"/>
        <v>500(2)</v>
      </c>
      <c r="M208" s="83"/>
      <c r="N208" s="84" t="str">
        <f t="shared" si="52"/>
        <v/>
      </c>
      <c r="O208" s="20" t="str">
        <f t="shared" si="53"/>
        <v/>
      </c>
      <c r="P208" s="64" t="str">
        <f t="shared" si="54"/>
        <v/>
      </c>
      <c r="Q208" s="85" t="str">
        <f t="shared" ca="1" si="55"/>
        <v/>
      </c>
      <c r="R208" s="86" t="str">
        <f t="shared" si="56"/>
        <v/>
      </c>
      <c r="S208" s="86" t="str">
        <f t="shared" si="57"/>
        <v/>
      </c>
      <c r="T208" s="104" t="str">
        <f t="shared" si="58"/>
        <v/>
      </c>
      <c r="U208" s="19" t="str">
        <f>IF(AND(M208&lt;&gt;"",M208&lt;&gt;0), IF(E208 = "Muni", T208, IF(E208="Corp", T208*(1 -'Investor Input'!$C$4-'Investor Input'!$C$5), T208*(1 -'Investor Input'!$C$4))), T208)</f>
        <v/>
      </c>
      <c r="V208" s="84" t="str">
        <f t="shared" si="59"/>
        <v/>
      </c>
      <c r="W208" s="84" t="str">
        <f t="shared" si="45"/>
        <v/>
      </c>
      <c r="X208" s="21" t="str">
        <f t="shared" si="46"/>
        <v/>
      </c>
      <c r="Y208" s="60" t="str">
        <f t="shared" si="47"/>
        <v/>
      </c>
      <c r="Z208" s="60" t="str">
        <f t="shared" si="48"/>
        <v/>
      </c>
      <c r="AA208" s="64" t="str">
        <f t="shared" si="49"/>
        <v/>
      </c>
      <c r="AB208" s="64" t="str">
        <f>IF(AND(AA208&lt;&gt;"",AA208&lt;&gt;0), IF(E208="Muni", AA208, IF(E208 = "Corp", (1-'Investor Input'!$C$4-'Investor Input'!$C$5)*AA208, (1-'Investor Input'!$C$4)*AA208)), AA208)</f>
        <v/>
      </c>
      <c r="AC208" s="94" t="str">
        <f t="shared" si="50"/>
        <v/>
      </c>
      <c r="AD208" s="60" t="str">
        <f>IF(AND(M208&lt;&gt;"", M208&lt;&gt;0), N208/$N$505*MATCH(AC208,'Misc Lists'!$K$2:$K$25,0), "")</f>
        <v/>
      </c>
      <c r="AE208" s="90" t="str">
        <f t="shared" si="51"/>
        <v/>
      </c>
      <c r="AF208" s="99" t="str">
        <f>IF(AND(M208&lt;&gt;"", M208&lt;&gt;0), N208/$N$505*MATCH(AE208,'Misc Lists'!$L$2:$L$25,0), "")</f>
        <v/>
      </c>
    </row>
    <row r="209" spans="2:32" hidden="1" outlineLevel="1" x14ac:dyDescent="0.5">
      <c r="B209" s="60" t="str">
        <f ca="1"/>
        <v>797440CE2</v>
      </c>
      <c r="C209" s="61" t="str">
        <f ca="1"/>
        <v>N/A</v>
      </c>
      <c r="D209" s="60" t="str">
        <f ca="1"/>
        <v>SAN DIEGO GAS &amp;ELEC CO SER AAAA BOND    4.95000% 08/15/2028 CALL MAKE WHOLE</v>
      </c>
      <c r="E209" s="61" t="str">
        <f ca="1"/>
        <v>Corp</v>
      </c>
      <c r="F209" s="62">
        <f ca="1"/>
        <v>4.95</v>
      </c>
      <c r="G209" s="63">
        <f ca="1"/>
        <v>46980</v>
      </c>
      <c r="H209" s="61" t="str">
        <f ca="1"/>
        <v>A1</v>
      </c>
      <c r="I209" s="61" t="str">
        <f ca="1"/>
        <v>A</v>
      </c>
      <c r="J209" s="64">
        <f ca="1"/>
        <v>100.925</v>
      </c>
      <c r="K209" s="17">
        <f ca="1"/>
        <v>4.6539999999999999</v>
      </c>
      <c r="L209" s="17" t="str">
        <f ca="1"/>
        <v>500(1)</v>
      </c>
      <c r="M209" s="83"/>
      <c r="N209" s="84" t="str">
        <f t="shared" si="52"/>
        <v/>
      </c>
      <c r="O209" s="20" t="str">
        <f t="shared" si="53"/>
        <v/>
      </c>
      <c r="P209" s="64" t="str">
        <f t="shared" si="54"/>
        <v/>
      </c>
      <c r="Q209" s="85" t="str">
        <f t="shared" ca="1" si="55"/>
        <v/>
      </c>
      <c r="R209" s="86" t="str">
        <f t="shared" si="56"/>
        <v/>
      </c>
      <c r="S209" s="86" t="str">
        <f t="shared" si="57"/>
        <v/>
      </c>
      <c r="T209" s="104" t="str">
        <f t="shared" si="58"/>
        <v/>
      </c>
      <c r="U209" s="19" t="str">
        <f>IF(AND(M209&lt;&gt;"",M209&lt;&gt;0), IF(E209 = "Muni", T209, IF(E209="Corp", T209*(1 -'Investor Input'!$C$4-'Investor Input'!$C$5), T209*(1 -'Investor Input'!$C$4))), T209)</f>
        <v/>
      </c>
      <c r="V209" s="84" t="str">
        <f t="shared" si="59"/>
        <v/>
      </c>
      <c r="W209" s="84" t="str">
        <f t="shared" si="45"/>
        <v/>
      </c>
      <c r="X209" s="21" t="str">
        <f t="shared" si="46"/>
        <v/>
      </c>
      <c r="Y209" s="60" t="str">
        <f t="shared" si="47"/>
        <v/>
      </c>
      <c r="Z209" s="60" t="str">
        <f t="shared" si="48"/>
        <v/>
      </c>
      <c r="AA209" s="64" t="str">
        <f t="shared" si="49"/>
        <v/>
      </c>
      <c r="AB209" s="64" t="str">
        <f>IF(AND(AA209&lt;&gt;"",AA209&lt;&gt;0), IF(E209="Muni", AA209, IF(E209 = "Corp", (1-'Investor Input'!$C$4-'Investor Input'!$C$5)*AA209, (1-'Investor Input'!$C$4)*AA209)), AA209)</f>
        <v/>
      </c>
      <c r="AC209" s="94" t="str">
        <f t="shared" si="50"/>
        <v/>
      </c>
      <c r="AD209" s="60" t="str">
        <f>IF(AND(M209&lt;&gt;"", M209&lt;&gt;0), N209/$N$505*MATCH(AC209,'Misc Lists'!$K$2:$K$25,0), "")</f>
        <v/>
      </c>
      <c r="AE209" s="90" t="str">
        <f t="shared" si="51"/>
        <v/>
      </c>
      <c r="AF209" s="99" t="str">
        <f>IF(AND(M209&lt;&gt;"", M209&lt;&gt;0), N209/$N$505*MATCH(AE209,'Misc Lists'!$L$2:$L$25,0), "")</f>
        <v/>
      </c>
    </row>
    <row r="210" spans="2:32" hidden="1" outlineLevel="1" x14ac:dyDescent="0.5">
      <c r="B210" s="60" t="str">
        <f ca="1"/>
        <v>808513BX2</v>
      </c>
      <c r="C210" s="61" t="str">
        <f ca="1"/>
        <v>N/A</v>
      </c>
      <c r="D210" s="60" t="str">
        <f ca="1"/>
        <v>SCHWAB CHARLES CORP SER A NOTE          2.75000% 10/01/2029 CALL MAKE WHOLE</v>
      </c>
      <c r="E210" s="61" t="str">
        <f ca="1"/>
        <v>Corp</v>
      </c>
      <c r="F210" s="62">
        <f ca="1"/>
        <v>2.75</v>
      </c>
      <c r="G210" s="63">
        <f ca="1"/>
        <v>47392</v>
      </c>
      <c r="H210" s="61" t="str">
        <f ca="1"/>
        <v>A2</v>
      </c>
      <c r="I210" s="61" t="str">
        <f ca="1"/>
        <v>A-</v>
      </c>
      <c r="J210" s="64">
        <f ca="1"/>
        <v>92.272999999999996</v>
      </c>
      <c r="K210" s="17">
        <f ca="1"/>
        <v>4.6529999999999996</v>
      </c>
      <c r="L210" s="17" t="str">
        <f ca="1"/>
        <v>10(10)</v>
      </c>
      <c r="M210" s="83"/>
      <c r="N210" s="84" t="str">
        <f t="shared" si="52"/>
        <v/>
      </c>
      <c r="O210" s="20" t="str">
        <f t="shared" si="53"/>
        <v/>
      </c>
      <c r="P210" s="64" t="str">
        <f t="shared" si="54"/>
        <v/>
      </c>
      <c r="Q210" s="85" t="str">
        <f t="shared" ca="1" si="55"/>
        <v/>
      </c>
      <c r="R210" s="86" t="str">
        <f t="shared" si="56"/>
        <v/>
      </c>
      <c r="S210" s="86" t="str">
        <f t="shared" si="57"/>
        <v/>
      </c>
      <c r="T210" s="104" t="str">
        <f t="shared" si="58"/>
        <v/>
      </c>
      <c r="U210" s="19" t="str">
        <f>IF(AND(M210&lt;&gt;"",M210&lt;&gt;0), IF(E210 = "Muni", T210, IF(E210="Corp", T210*(1 -'Investor Input'!$C$4-'Investor Input'!$C$5), T210*(1 -'Investor Input'!$C$4))), T210)</f>
        <v/>
      </c>
      <c r="V210" s="84" t="str">
        <f t="shared" si="59"/>
        <v/>
      </c>
      <c r="W210" s="84" t="str">
        <f t="shared" si="45"/>
        <v/>
      </c>
      <c r="X210" s="21" t="str">
        <f t="shared" si="46"/>
        <v/>
      </c>
      <c r="Y210" s="60" t="str">
        <f t="shared" si="47"/>
        <v/>
      </c>
      <c r="Z210" s="60" t="str">
        <f t="shared" si="48"/>
        <v/>
      </c>
      <c r="AA210" s="64" t="str">
        <f t="shared" si="49"/>
        <v/>
      </c>
      <c r="AB210" s="64" t="str">
        <f>IF(AND(AA210&lt;&gt;"",AA210&lt;&gt;0), IF(E210="Muni", AA210, IF(E210 = "Corp", (1-'Investor Input'!$C$4-'Investor Input'!$C$5)*AA210, (1-'Investor Input'!$C$4)*AA210)), AA210)</f>
        <v/>
      </c>
      <c r="AC210" s="94" t="str">
        <f t="shared" si="50"/>
        <v/>
      </c>
      <c r="AD210" s="60" t="str">
        <f>IF(AND(M210&lt;&gt;"", M210&lt;&gt;0), N210/$N$505*MATCH(AC210,'Misc Lists'!$K$2:$K$25,0), "")</f>
        <v/>
      </c>
      <c r="AE210" s="90" t="str">
        <f t="shared" si="51"/>
        <v/>
      </c>
      <c r="AF210" s="99" t="str">
        <f>IF(AND(M210&lt;&gt;"", M210&lt;&gt;0), N210/$N$505*MATCH(AE210,'Misc Lists'!$L$2:$L$25,0), "")</f>
        <v/>
      </c>
    </row>
    <row r="211" spans="2:32" hidden="1" outlineLevel="1" x14ac:dyDescent="0.5">
      <c r="B211" s="60" t="str">
        <f ca="1"/>
        <v>13607XKE6</v>
      </c>
      <c r="C211" s="61" t="str">
        <f ca="1"/>
        <v>N/A</v>
      </c>
      <c r="D211" s="60" t="str">
        <f ca="1"/>
        <v>CANADIAN IMPERIAL BKCOMM MTN            6.00000% 07/21/2025</v>
      </c>
      <c r="E211" s="61" t="str">
        <f ca="1"/>
        <v>Corp</v>
      </c>
      <c r="F211" s="62">
        <f ca="1"/>
        <v>6</v>
      </c>
      <c r="G211" s="63">
        <f ca="1"/>
        <v>45859</v>
      </c>
      <c r="H211" s="61" t="str">
        <f ca="1"/>
        <v>A2</v>
      </c>
      <c r="I211" s="61" t="str">
        <f ca="1"/>
        <v>A-</v>
      </c>
      <c r="J211" s="64">
        <f ca="1"/>
        <v>100.461</v>
      </c>
      <c r="K211" s="17">
        <f ca="1"/>
        <v>4.6520000000000001</v>
      </c>
      <c r="L211" s="17" t="str">
        <f ca="1"/>
        <v>100(1)</v>
      </c>
      <c r="M211" s="83"/>
      <c r="N211" s="84" t="str">
        <f t="shared" si="52"/>
        <v/>
      </c>
      <c r="O211" s="20" t="str">
        <f t="shared" si="53"/>
        <v/>
      </c>
      <c r="P211" s="64" t="str">
        <f t="shared" si="54"/>
        <v/>
      </c>
      <c r="Q211" s="85" t="str">
        <f t="shared" ca="1" si="55"/>
        <v/>
      </c>
      <c r="R211" s="86" t="str">
        <f t="shared" si="56"/>
        <v/>
      </c>
      <c r="S211" s="86" t="str">
        <f t="shared" si="57"/>
        <v/>
      </c>
      <c r="T211" s="104" t="str">
        <f t="shared" si="58"/>
        <v/>
      </c>
      <c r="U211" s="19" t="str">
        <f>IF(AND(M211&lt;&gt;"",M211&lt;&gt;0), IF(E211 = "Muni", T211, IF(E211="Corp", T211*(1 -'Investor Input'!$C$4-'Investor Input'!$C$5), T211*(1 -'Investor Input'!$C$4))), T211)</f>
        <v/>
      </c>
      <c r="V211" s="84" t="str">
        <f t="shared" si="59"/>
        <v/>
      </c>
      <c r="W211" s="84" t="str">
        <f t="shared" si="45"/>
        <v/>
      </c>
      <c r="X211" s="21" t="str">
        <f t="shared" si="46"/>
        <v/>
      </c>
      <c r="Y211" s="60" t="str">
        <f t="shared" si="47"/>
        <v/>
      </c>
      <c r="Z211" s="60" t="str">
        <f t="shared" si="48"/>
        <v/>
      </c>
      <c r="AA211" s="64" t="str">
        <f t="shared" si="49"/>
        <v/>
      </c>
      <c r="AB211" s="64" t="str">
        <f>IF(AND(AA211&lt;&gt;"",AA211&lt;&gt;0), IF(E211="Muni", AA211, IF(E211 = "Corp", (1-'Investor Input'!$C$4-'Investor Input'!$C$5)*AA211, (1-'Investor Input'!$C$4)*AA211)), AA211)</f>
        <v/>
      </c>
      <c r="AC211" s="94" t="str">
        <f t="shared" si="50"/>
        <v/>
      </c>
      <c r="AD211" s="60" t="str">
        <f>IF(AND(M211&lt;&gt;"", M211&lt;&gt;0), N211/$N$505*MATCH(AC211,'Misc Lists'!$K$2:$K$25,0), "")</f>
        <v/>
      </c>
      <c r="AE211" s="90" t="str">
        <f t="shared" si="51"/>
        <v/>
      </c>
      <c r="AF211" s="99" t="str">
        <f>IF(AND(M211&lt;&gt;"", M211&lt;&gt;0), N211/$N$505*MATCH(AE211,'Misc Lists'!$L$2:$L$25,0), "")</f>
        <v/>
      </c>
    </row>
    <row r="212" spans="2:32" hidden="1" outlineLevel="1" x14ac:dyDescent="0.5">
      <c r="B212" s="60" t="str">
        <f ca="1"/>
        <v>68233JBK9</v>
      </c>
      <c r="C212" s="61" t="str">
        <f ca="1"/>
        <v>N/A</v>
      </c>
      <c r="D212" s="60" t="str">
        <f ca="1"/>
        <v>ONCOR ELEC DELIVERY CO LLC SER B NOTE   5.75000% 03/15/2029 CALL MAKE WHOLE</v>
      </c>
      <c r="E212" s="61" t="str">
        <f ca="1"/>
        <v>Corp</v>
      </c>
      <c r="F212" s="62">
        <f ca="1"/>
        <v>5.75</v>
      </c>
      <c r="G212" s="63">
        <f ca="1"/>
        <v>47192</v>
      </c>
      <c r="H212" s="61" t="str">
        <f ca="1"/>
        <v>A2</v>
      </c>
      <c r="I212" s="61" t="str">
        <f ca="1"/>
        <v>A+</v>
      </c>
      <c r="J212" s="64">
        <f ca="1"/>
        <v>103.974</v>
      </c>
      <c r="K212" s="17">
        <f ca="1"/>
        <v>4.6520000000000001</v>
      </c>
      <c r="L212" s="17" t="str">
        <f ca="1"/>
        <v>250(2)</v>
      </c>
      <c r="M212" s="83"/>
      <c r="N212" s="84" t="str">
        <f t="shared" si="52"/>
        <v/>
      </c>
      <c r="O212" s="20" t="str">
        <f t="shared" si="53"/>
        <v/>
      </c>
      <c r="P212" s="64" t="str">
        <f t="shared" si="54"/>
        <v/>
      </c>
      <c r="Q212" s="85" t="str">
        <f t="shared" ca="1" si="55"/>
        <v/>
      </c>
      <c r="R212" s="86" t="str">
        <f t="shared" si="56"/>
        <v/>
      </c>
      <c r="S212" s="86" t="str">
        <f t="shared" si="57"/>
        <v/>
      </c>
      <c r="T212" s="104" t="str">
        <f t="shared" si="58"/>
        <v/>
      </c>
      <c r="U212" s="19" t="str">
        <f>IF(AND(M212&lt;&gt;"",M212&lt;&gt;0), IF(E212 = "Muni", T212, IF(E212="Corp", T212*(1 -'Investor Input'!$C$4-'Investor Input'!$C$5), T212*(1 -'Investor Input'!$C$4))), T212)</f>
        <v/>
      </c>
      <c r="V212" s="84" t="str">
        <f t="shared" si="59"/>
        <v/>
      </c>
      <c r="W212" s="84" t="str">
        <f t="shared" si="45"/>
        <v/>
      </c>
      <c r="X212" s="21" t="str">
        <f t="shared" si="46"/>
        <v/>
      </c>
      <c r="Y212" s="60" t="str">
        <f t="shared" si="47"/>
        <v/>
      </c>
      <c r="Z212" s="60" t="str">
        <f t="shared" si="48"/>
        <v/>
      </c>
      <c r="AA212" s="64" t="str">
        <f t="shared" si="49"/>
        <v/>
      </c>
      <c r="AB212" s="64" t="str">
        <f>IF(AND(AA212&lt;&gt;"",AA212&lt;&gt;0), IF(E212="Muni", AA212, IF(E212 = "Corp", (1-'Investor Input'!$C$4-'Investor Input'!$C$5)*AA212, (1-'Investor Input'!$C$4)*AA212)), AA212)</f>
        <v/>
      </c>
      <c r="AC212" s="94" t="str">
        <f t="shared" si="50"/>
        <v/>
      </c>
      <c r="AD212" s="60" t="str">
        <f>IF(AND(M212&lt;&gt;"", M212&lt;&gt;0), N212/$N$505*MATCH(AC212,'Misc Lists'!$K$2:$K$25,0), "")</f>
        <v/>
      </c>
      <c r="AE212" s="90" t="str">
        <f t="shared" si="51"/>
        <v/>
      </c>
      <c r="AF212" s="99" t="str">
        <f>IF(AND(M212&lt;&gt;"", M212&lt;&gt;0), N212/$N$505*MATCH(AE212,'Misc Lists'!$L$2:$L$25,0), "")</f>
        <v/>
      </c>
    </row>
    <row r="213" spans="2:32" hidden="1" outlineLevel="1" x14ac:dyDescent="0.5">
      <c r="B213" s="60" t="str">
        <f ca="1"/>
        <v>718172CJ6</v>
      </c>
      <c r="C213" s="61" t="str">
        <f ca="1"/>
        <v>N/A</v>
      </c>
      <c r="D213" s="60" t="str">
        <f ca="1"/>
        <v>PHILIP MORRIS INTL  INC NOTE            3.37500% 08/15/2029</v>
      </c>
      <c r="E213" s="61" t="str">
        <f ca="1"/>
        <v>Corp</v>
      </c>
      <c r="F213" s="62">
        <f ca="1"/>
        <v>3.375</v>
      </c>
      <c r="G213" s="63">
        <f ca="1"/>
        <v>47345</v>
      </c>
      <c r="H213" s="61" t="str">
        <f ca="1"/>
        <v>A2</v>
      </c>
      <c r="I213" s="61" t="str">
        <f ca="1"/>
        <v>A-</v>
      </c>
      <c r="J213" s="64">
        <f ca="1"/>
        <v>94.944999999999993</v>
      </c>
      <c r="K213" s="17">
        <f ca="1"/>
        <v>4.6520000000000001</v>
      </c>
      <c r="L213" s="17" t="str">
        <f ca="1"/>
        <v>500(2)</v>
      </c>
      <c r="M213" s="83"/>
      <c r="N213" s="84" t="str">
        <f t="shared" si="52"/>
        <v/>
      </c>
      <c r="O213" s="20" t="str">
        <f t="shared" si="53"/>
        <v/>
      </c>
      <c r="P213" s="64" t="str">
        <f t="shared" si="54"/>
        <v/>
      </c>
      <c r="Q213" s="85" t="str">
        <f t="shared" ca="1" si="55"/>
        <v/>
      </c>
      <c r="R213" s="86" t="str">
        <f t="shared" si="56"/>
        <v/>
      </c>
      <c r="S213" s="86" t="str">
        <f t="shared" si="57"/>
        <v/>
      </c>
      <c r="T213" s="104" t="str">
        <f t="shared" si="58"/>
        <v/>
      </c>
      <c r="U213" s="19" t="str">
        <f>IF(AND(M213&lt;&gt;"",M213&lt;&gt;0), IF(E213 = "Muni", T213, IF(E213="Corp", T213*(1 -'Investor Input'!$C$4-'Investor Input'!$C$5), T213*(1 -'Investor Input'!$C$4))), T213)</f>
        <v/>
      </c>
      <c r="V213" s="84" t="str">
        <f t="shared" si="59"/>
        <v/>
      </c>
      <c r="W213" s="84" t="str">
        <f t="shared" si="45"/>
        <v/>
      </c>
      <c r="X213" s="21" t="str">
        <f t="shared" si="46"/>
        <v/>
      </c>
      <c r="Y213" s="60" t="str">
        <f t="shared" si="47"/>
        <v/>
      </c>
      <c r="Z213" s="60" t="str">
        <f t="shared" si="48"/>
        <v/>
      </c>
      <c r="AA213" s="64" t="str">
        <f t="shared" si="49"/>
        <v/>
      </c>
      <c r="AB213" s="64" t="str">
        <f>IF(AND(AA213&lt;&gt;"",AA213&lt;&gt;0), IF(E213="Muni", AA213, IF(E213 = "Corp", (1-'Investor Input'!$C$4-'Investor Input'!$C$5)*AA213, (1-'Investor Input'!$C$4)*AA213)), AA213)</f>
        <v/>
      </c>
      <c r="AC213" s="94" t="str">
        <f t="shared" si="50"/>
        <v/>
      </c>
      <c r="AD213" s="60" t="str">
        <f>IF(AND(M213&lt;&gt;"", M213&lt;&gt;0), N213/$N$505*MATCH(AC213,'Misc Lists'!$K$2:$K$25,0), "")</f>
        <v/>
      </c>
      <c r="AE213" s="90" t="str">
        <f t="shared" si="51"/>
        <v/>
      </c>
      <c r="AF213" s="99" t="str">
        <f>IF(AND(M213&lt;&gt;"", M213&lt;&gt;0), N213/$N$505*MATCH(AE213,'Misc Lists'!$L$2:$L$25,0), "")</f>
        <v/>
      </c>
    </row>
    <row r="214" spans="2:32" hidden="1" outlineLevel="1" x14ac:dyDescent="0.5">
      <c r="B214" s="60" t="str">
        <f ca="1"/>
        <v>637432NV3</v>
      </c>
      <c r="C214" s="61" t="str">
        <f ca="1"/>
        <v>N/A</v>
      </c>
      <c r="D214" s="60" t="str">
        <f ca="1"/>
        <v>NATIONAL RURAL UTILSCOOP FIN BOND       2.40000% 03/15/2030 CALL MAKE WHOLE</v>
      </c>
      <c r="E214" s="61" t="str">
        <f ca="1"/>
        <v>Corp</v>
      </c>
      <c r="F214" s="62">
        <f ca="1"/>
        <v>2.4</v>
      </c>
      <c r="G214" s="63">
        <f ca="1"/>
        <v>47557</v>
      </c>
      <c r="H214" s="61" t="str">
        <f ca="1"/>
        <v>A1</v>
      </c>
      <c r="I214" s="61" t="str">
        <f ca="1"/>
        <v>A-</v>
      </c>
      <c r="J214" s="64">
        <f ca="1"/>
        <v>90.039000000000001</v>
      </c>
      <c r="K214" s="17">
        <f ca="1"/>
        <v>4.6520000000000001</v>
      </c>
      <c r="L214" s="17" t="str">
        <f ca="1"/>
        <v>580(2)</v>
      </c>
      <c r="M214" s="83"/>
      <c r="N214" s="84" t="str">
        <f t="shared" si="52"/>
        <v/>
      </c>
      <c r="O214" s="20" t="str">
        <f t="shared" si="53"/>
        <v/>
      </c>
      <c r="P214" s="64" t="str">
        <f t="shared" si="54"/>
        <v/>
      </c>
      <c r="Q214" s="85" t="str">
        <f t="shared" ca="1" si="55"/>
        <v/>
      </c>
      <c r="R214" s="86" t="str">
        <f t="shared" si="56"/>
        <v/>
      </c>
      <c r="S214" s="86" t="str">
        <f t="shared" si="57"/>
        <v/>
      </c>
      <c r="T214" s="104" t="str">
        <f t="shared" si="58"/>
        <v/>
      </c>
      <c r="U214" s="19" t="str">
        <f>IF(AND(M214&lt;&gt;"",M214&lt;&gt;0), IF(E214 = "Muni", T214, IF(E214="Corp", T214*(1 -'Investor Input'!$C$4-'Investor Input'!$C$5), T214*(1 -'Investor Input'!$C$4))), T214)</f>
        <v/>
      </c>
      <c r="V214" s="84" t="str">
        <f t="shared" si="59"/>
        <v/>
      </c>
      <c r="W214" s="84" t="str">
        <f t="shared" si="45"/>
        <v/>
      </c>
      <c r="X214" s="21" t="str">
        <f t="shared" si="46"/>
        <v/>
      </c>
      <c r="Y214" s="60" t="str">
        <f t="shared" si="47"/>
        <v/>
      </c>
      <c r="Z214" s="60" t="str">
        <f t="shared" si="48"/>
        <v/>
      </c>
      <c r="AA214" s="64" t="str">
        <f t="shared" si="49"/>
        <v/>
      </c>
      <c r="AB214" s="64" t="str">
        <f>IF(AND(AA214&lt;&gt;"",AA214&lt;&gt;0), IF(E214="Muni", AA214, IF(E214 = "Corp", (1-'Investor Input'!$C$4-'Investor Input'!$C$5)*AA214, (1-'Investor Input'!$C$4)*AA214)), AA214)</f>
        <v/>
      </c>
      <c r="AC214" s="94" t="str">
        <f t="shared" si="50"/>
        <v/>
      </c>
      <c r="AD214" s="60" t="str">
        <f>IF(AND(M214&lt;&gt;"", M214&lt;&gt;0), N214/$N$505*MATCH(AC214,'Misc Lists'!$K$2:$K$25,0), "")</f>
        <v/>
      </c>
      <c r="AE214" s="90" t="str">
        <f t="shared" si="51"/>
        <v/>
      </c>
      <c r="AF214" s="99" t="str">
        <f>IF(AND(M214&lt;&gt;"", M214&lt;&gt;0), N214/$N$505*MATCH(AE214,'Misc Lists'!$L$2:$L$25,0), "")</f>
        <v/>
      </c>
    </row>
    <row r="215" spans="2:32" hidden="1" outlineLevel="1" x14ac:dyDescent="0.5">
      <c r="B215" s="60" t="str">
        <f ca="1"/>
        <v>06368LWU6</v>
      </c>
      <c r="C215" s="61" t="str">
        <f ca="1"/>
        <v>N/A</v>
      </c>
      <c r="D215" s="60" t="str">
        <f ca="1"/>
        <v>BANK MONTREAL MEDIUMSER H MTN           5.71700% 09/25/2028 CALL MAKE WHOLE</v>
      </c>
      <c r="E215" s="61" t="str">
        <f ca="1"/>
        <v>Corp</v>
      </c>
      <c r="F215" s="62">
        <f ca="1"/>
        <v>5.7169999999999996</v>
      </c>
      <c r="G215" s="63">
        <f ca="1"/>
        <v>47021</v>
      </c>
      <c r="H215" s="61" t="str">
        <f ca="1"/>
        <v>A2</v>
      </c>
      <c r="I215" s="61" t="str">
        <f ca="1"/>
        <v>A-</v>
      </c>
      <c r="J215" s="64">
        <f ca="1"/>
        <v>103.437</v>
      </c>
      <c r="K215" s="17">
        <f ca="1"/>
        <v>4.6509999999999998</v>
      </c>
      <c r="L215" s="17" t="str">
        <f ca="1"/>
        <v>250(10)</v>
      </c>
      <c r="M215" s="83"/>
      <c r="N215" s="84" t="str">
        <f t="shared" si="52"/>
        <v/>
      </c>
      <c r="O215" s="20" t="str">
        <f t="shared" si="53"/>
        <v/>
      </c>
      <c r="P215" s="64" t="str">
        <f t="shared" si="54"/>
        <v/>
      </c>
      <c r="Q215" s="85" t="str">
        <f t="shared" ca="1" si="55"/>
        <v/>
      </c>
      <c r="R215" s="86" t="str">
        <f t="shared" si="56"/>
        <v/>
      </c>
      <c r="S215" s="86" t="str">
        <f t="shared" si="57"/>
        <v/>
      </c>
      <c r="T215" s="104" t="str">
        <f t="shared" si="58"/>
        <v/>
      </c>
      <c r="U215" s="19" t="str">
        <f>IF(AND(M215&lt;&gt;"",M215&lt;&gt;0), IF(E215 = "Muni", T215, IF(E215="Corp", T215*(1 -'Investor Input'!$C$4-'Investor Input'!$C$5), T215*(1 -'Investor Input'!$C$4))), T215)</f>
        <v/>
      </c>
      <c r="V215" s="84" t="str">
        <f t="shared" si="59"/>
        <v/>
      </c>
      <c r="W215" s="84" t="str">
        <f t="shared" si="45"/>
        <v/>
      </c>
      <c r="X215" s="21" t="str">
        <f t="shared" si="46"/>
        <v/>
      </c>
      <c r="Y215" s="60" t="str">
        <f t="shared" si="47"/>
        <v/>
      </c>
      <c r="Z215" s="60" t="str">
        <f t="shared" si="48"/>
        <v/>
      </c>
      <c r="AA215" s="64" t="str">
        <f t="shared" si="49"/>
        <v/>
      </c>
      <c r="AB215" s="64" t="str">
        <f>IF(AND(AA215&lt;&gt;"",AA215&lt;&gt;0), IF(E215="Muni", AA215, IF(E215 = "Corp", (1-'Investor Input'!$C$4-'Investor Input'!$C$5)*AA215, (1-'Investor Input'!$C$4)*AA215)), AA215)</f>
        <v/>
      </c>
      <c r="AC215" s="94" t="str">
        <f t="shared" si="50"/>
        <v/>
      </c>
      <c r="AD215" s="60" t="str">
        <f>IF(AND(M215&lt;&gt;"", M215&lt;&gt;0), N215/$N$505*MATCH(AC215,'Misc Lists'!$K$2:$K$25,0), "")</f>
        <v/>
      </c>
      <c r="AE215" s="90" t="str">
        <f t="shared" si="51"/>
        <v/>
      </c>
      <c r="AF215" s="99" t="str">
        <f>IF(AND(M215&lt;&gt;"", M215&lt;&gt;0), N215/$N$505*MATCH(AE215,'Misc Lists'!$L$2:$L$25,0), "")</f>
        <v/>
      </c>
    </row>
    <row r="216" spans="2:32" hidden="1" outlineLevel="1" x14ac:dyDescent="0.5">
      <c r="B216" s="60" t="str">
        <f ca="1"/>
        <v>718172DG1</v>
      </c>
      <c r="C216" s="61" t="str">
        <f ca="1"/>
        <v>N/A</v>
      </c>
      <c r="D216" s="60" t="str">
        <f ca="1"/>
        <v>PHILIP MORRIS INTL  INC NOTE            4.87500% 02/13/2029 CALL MAKE WHOLE</v>
      </c>
      <c r="E216" s="61" t="str">
        <f ca="1"/>
        <v>Corp</v>
      </c>
      <c r="F216" s="62">
        <f ca="1"/>
        <v>4.875</v>
      </c>
      <c r="G216" s="63">
        <f ca="1"/>
        <v>47162</v>
      </c>
      <c r="H216" s="61" t="str">
        <f ca="1"/>
        <v>A2</v>
      </c>
      <c r="I216" s="61" t="str">
        <f ca="1"/>
        <v>A-</v>
      </c>
      <c r="J216" s="64">
        <f ca="1"/>
        <v>100.791</v>
      </c>
      <c r="K216" s="17">
        <f ca="1"/>
        <v>4.6509999999999998</v>
      </c>
      <c r="L216" s="17" t="str">
        <f ca="1"/>
        <v>500(2)</v>
      </c>
      <c r="M216" s="83"/>
      <c r="N216" s="84" t="str">
        <f t="shared" si="52"/>
        <v/>
      </c>
      <c r="O216" s="20" t="str">
        <f t="shared" si="53"/>
        <v/>
      </c>
      <c r="P216" s="64" t="str">
        <f t="shared" si="54"/>
        <v/>
      </c>
      <c r="Q216" s="85" t="str">
        <f t="shared" ca="1" si="55"/>
        <v/>
      </c>
      <c r="R216" s="86" t="str">
        <f t="shared" si="56"/>
        <v/>
      </c>
      <c r="S216" s="86" t="str">
        <f t="shared" si="57"/>
        <v/>
      </c>
      <c r="T216" s="104" t="str">
        <f t="shared" si="58"/>
        <v/>
      </c>
      <c r="U216" s="19" t="str">
        <f>IF(AND(M216&lt;&gt;"",M216&lt;&gt;0), IF(E216 = "Muni", T216, IF(E216="Corp", T216*(1 -'Investor Input'!$C$4-'Investor Input'!$C$5), T216*(1 -'Investor Input'!$C$4))), T216)</f>
        <v/>
      </c>
      <c r="V216" s="84" t="str">
        <f t="shared" si="59"/>
        <v/>
      </c>
      <c r="W216" s="84" t="str">
        <f t="shared" si="45"/>
        <v/>
      </c>
      <c r="X216" s="21" t="str">
        <f t="shared" si="46"/>
        <v/>
      </c>
      <c r="Y216" s="60" t="str">
        <f t="shared" si="47"/>
        <v/>
      </c>
      <c r="Z216" s="60" t="str">
        <f t="shared" si="48"/>
        <v/>
      </c>
      <c r="AA216" s="64" t="str">
        <f t="shared" si="49"/>
        <v/>
      </c>
      <c r="AB216" s="64" t="str">
        <f>IF(AND(AA216&lt;&gt;"",AA216&lt;&gt;0), IF(E216="Muni", AA216, IF(E216 = "Corp", (1-'Investor Input'!$C$4-'Investor Input'!$C$5)*AA216, (1-'Investor Input'!$C$4)*AA216)), AA216)</f>
        <v/>
      </c>
      <c r="AC216" s="94" t="str">
        <f t="shared" si="50"/>
        <v/>
      </c>
      <c r="AD216" s="60" t="str">
        <f>IF(AND(M216&lt;&gt;"", M216&lt;&gt;0), N216/$N$505*MATCH(AC216,'Misc Lists'!$K$2:$K$25,0), "")</f>
        <v/>
      </c>
      <c r="AE216" s="90" t="str">
        <f t="shared" si="51"/>
        <v/>
      </c>
      <c r="AF216" s="99" t="str">
        <f>IF(AND(M216&lt;&gt;"", M216&lt;&gt;0), N216/$N$505*MATCH(AE216,'Misc Lists'!$L$2:$L$25,0), "")</f>
        <v/>
      </c>
    </row>
    <row r="217" spans="2:32" hidden="1" outlineLevel="1" x14ac:dyDescent="0.5">
      <c r="B217" s="60" t="str">
        <f ca="1"/>
        <v>209111FX6</v>
      </c>
      <c r="C217" s="61" t="str">
        <f ca="1"/>
        <v>N/A</v>
      </c>
      <c r="D217" s="60" t="str">
        <f ca="1"/>
        <v>CONSOLIDATED EDISON CO N Y INC SER 2020A3.35000% 04/01/2030 BOND CALL MAKE WHOLE</v>
      </c>
      <c r="E217" s="61" t="str">
        <f ca="1"/>
        <v>Corp</v>
      </c>
      <c r="F217" s="62">
        <f ca="1"/>
        <v>3.35</v>
      </c>
      <c r="G217" s="63">
        <f ca="1"/>
        <v>47574</v>
      </c>
      <c r="H217" s="61" t="str">
        <f ca="1"/>
        <v>A3</v>
      </c>
      <c r="I217" s="61" t="str">
        <f ca="1"/>
        <v>A-</v>
      </c>
      <c r="J217" s="64">
        <f ca="1"/>
        <v>94.198999999999998</v>
      </c>
      <c r="K217" s="17">
        <f ca="1"/>
        <v>4.6509999999999998</v>
      </c>
      <c r="L217" s="17" t="str">
        <f ca="1"/>
        <v>190(15)</v>
      </c>
      <c r="M217" s="83"/>
      <c r="N217" s="84" t="str">
        <f t="shared" si="52"/>
        <v/>
      </c>
      <c r="O217" s="20" t="str">
        <f t="shared" si="53"/>
        <v/>
      </c>
      <c r="P217" s="64" t="str">
        <f t="shared" si="54"/>
        <v/>
      </c>
      <c r="Q217" s="85" t="str">
        <f t="shared" ca="1" si="55"/>
        <v/>
      </c>
      <c r="R217" s="86" t="str">
        <f t="shared" si="56"/>
        <v/>
      </c>
      <c r="S217" s="86" t="str">
        <f t="shared" si="57"/>
        <v/>
      </c>
      <c r="T217" s="104" t="str">
        <f t="shared" si="58"/>
        <v/>
      </c>
      <c r="U217" s="19" t="str">
        <f>IF(AND(M217&lt;&gt;"",M217&lt;&gt;0), IF(E217 = "Muni", T217, IF(E217="Corp", T217*(1 -'Investor Input'!$C$4-'Investor Input'!$C$5), T217*(1 -'Investor Input'!$C$4))), T217)</f>
        <v/>
      </c>
      <c r="V217" s="84" t="str">
        <f t="shared" si="59"/>
        <v/>
      </c>
      <c r="W217" s="84" t="str">
        <f t="shared" si="45"/>
        <v/>
      </c>
      <c r="X217" s="21" t="str">
        <f t="shared" si="46"/>
        <v/>
      </c>
      <c r="Y217" s="60" t="str">
        <f t="shared" si="47"/>
        <v/>
      </c>
      <c r="Z217" s="60" t="str">
        <f t="shared" si="48"/>
        <v/>
      </c>
      <c r="AA217" s="64" t="str">
        <f t="shared" si="49"/>
        <v/>
      </c>
      <c r="AB217" s="64" t="str">
        <f>IF(AND(AA217&lt;&gt;"",AA217&lt;&gt;0), IF(E217="Muni", AA217, IF(E217 = "Corp", (1-'Investor Input'!$C$4-'Investor Input'!$C$5)*AA217, (1-'Investor Input'!$C$4)*AA217)), AA217)</f>
        <v/>
      </c>
      <c r="AC217" s="94" t="str">
        <f t="shared" si="50"/>
        <v/>
      </c>
      <c r="AD217" s="60" t="str">
        <f>IF(AND(M217&lt;&gt;"", M217&lt;&gt;0), N217/$N$505*MATCH(AC217,'Misc Lists'!$K$2:$K$25,0), "")</f>
        <v/>
      </c>
      <c r="AE217" s="90" t="str">
        <f t="shared" si="51"/>
        <v/>
      </c>
      <c r="AF217" s="99" t="str">
        <f>IF(AND(M217&lt;&gt;"", M217&lt;&gt;0), N217/$N$505*MATCH(AE217,'Misc Lists'!$L$2:$L$25,0), "")</f>
        <v/>
      </c>
    </row>
    <row r="218" spans="2:32" hidden="1" outlineLevel="1" x14ac:dyDescent="0.5">
      <c r="B218" s="60" t="str">
        <f ca="1"/>
        <v>808513BA2</v>
      </c>
      <c r="C218" s="61" t="str">
        <f ca="1"/>
        <v>N/A</v>
      </c>
      <c r="D218" s="60" t="str">
        <f ca="1"/>
        <v>SCHWAB CHARLES CORP NOTE CALL MAKE WHOLE3.25000% 05/22/2029</v>
      </c>
      <c r="E218" s="61" t="str">
        <f ca="1"/>
        <v>Corp</v>
      </c>
      <c r="F218" s="62">
        <f ca="1"/>
        <v>3.25</v>
      </c>
      <c r="G218" s="63">
        <f ca="1"/>
        <v>47260</v>
      </c>
      <c r="H218" s="61" t="str">
        <f ca="1"/>
        <v>A2</v>
      </c>
      <c r="I218" s="61" t="str">
        <f ca="1"/>
        <v>A-</v>
      </c>
      <c r="J218" s="64">
        <f ca="1"/>
        <v>94.715000000000003</v>
      </c>
      <c r="K218" s="17">
        <f ca="1"/>
        <v>4.6500000000000004</v>
      </c>
      <c r="L218" s="17" t="str">
        <f ca="1"/>
        <v>73(10)</v>
      </c>
      <c r="M218" s="83"/>
      <c r="N218" s="84" t="str">
        <f t="shared" si="52"/>
        <v/>
      </c>
      <c r="O218" s="20" t="str">
        <f t="shared" si="53"/>
        <v/>
      </c>
      <c r="P218" s="64" t="str">
        <f t="shared" si="54"/>
        <v/>
      </c>
      <c r="Q218" s="85" t="str">
        <f t="shared" ca="1" si="55"/>
        <v/>
      </c>
      <c r="R218" s="86" t="str">
        <f t="shared" si="56"/>
        <v/>
      </c>
      <c r="S218" s="86" t="str">
        <f t="shared" si="57"/>
        <v/>
      </c>
      <c r="T218" s="104" t="str">
        <f t="shared" si="58"/>
        <v/>
      </c>
      <c r="U218" s="19" t="str">
        <f>IF(AND(M218&lt;&gt;"",M218&lt;&gt;0), IF(E218 = "Muni", T218, IF(E218="Corp", T218*(1 -'Investor Input'!$C$4-'Investor Input'!$C$5), T218*(1 -'Investor Input'!$C$4))), T218)</f>
        <v/>
      </c>
      <c r="V218" s="84" t="str">
        <f t="shared" si="59"/>
        <v/>
      </c>
      <c r="W218" s="84" t="str">
        <f t="shared" si="45"/>
        <v/>
      </c>
      <c r="X218" s="21" t="str">
        <f t="shared" si="46"/>
        <v/>
      </c>
      <c r="Y218" s="60" t="str">
        <f t="shared" si="47"/>
        <v/>
      </c>
      <c r="Z218" s="60" t="str">
        <f t="shared" si="48"/>
        <v/>
      </c>
      <c r="AA218" s="64" t="str">
        <f t="shared" si="49"/>
        <v/>
      </c>
      <c r="AB218" s="64" t="str">
        <f>IF(AND(AA218&lt;&gt;"",AA218&lt;&gt;0), IF(E218="Muni", AA218, IF(E218 = "Corp", (1-'Investor Input'!$C$4-'Investor Input'!$C$5)*AA218, (1-'Investor Input'!$C$4)*AA218)), AA218)</f>
        <v/>
      </c>
      <c r="AC218" s="94" t="str">
        <f t="shared" si="50"/>
        <v/>
      </c>
      <c r="AD218" s="60" t="str">
        <f>IF(AND(M218&lt;&gt;"", M218&lt;&gt;0), N218/$N$505*MATCH(AC218,'Misc Lists'!$K$2:$K$25,0), "")</f>
        <v/>
      </c>
      <c r="AE218" s="90" t="str">
        <f t="shared" si="51"/>
        <v/>
      </c>
      <c r="AF218" s="99" t="str">
        <f>IF(AND(M218&lt;&gt;"", M218&lt;&gt;0), N218/$N$505*MATCH(AE218,'Misc Lists'!$L$2:$L$25,0), "")</f>
        <v/>
      </c>
    </row>
    <row r="219" spans="2:32" hidden="1" outlineLevel="1" x14ac:dyDescent="0.5">
      <c r="B219" s="60" t="str">
        <f ca="1"/>
        <v>373334KL4</v>
      </c>
      <c r="C219" s="61" t="str">
        <f ca="1"/>
        <v>N/A</v>
      </c>
      <c r="D219" s="60" t="str">
        <f ca="1"/>
        <v>GEORGIA PWR CO      SER 2019B NOTE      2.65000% 09/15/2029 CALL MAKE WHOLE</v>
      </c>
      <c r="E219" s="61" t="str">
        <f ca="1"/>
        <v>Corp</v>
      </c>
      <c r="F219" s="62">
        <f ca="1"/>
        <v>2.65</v>
      </c>
      <c r="G219" s="63">
        <f ca="1"/>
        <v>47376</v>
      </c>
      <c r="H219" s="61" t="str">
        <f ca="1"/>
        <v>A3</v>
      </c>
      <c r="I219" s="61" t="str">
        <f ca="1"/>
        <v>A</v>
      </c>
      <c r="J219" s="64">
        <f ca="1"/>
        <v>91.951999999999998</v>
      </c>
      <c r="K219" s="17">
        <f ca="1"/>
        <v>4.649</v>
      </c>
      <c r="L219" s="17" t="str">
        <f ca="1"/>
        <v>500(2)</v>
      </c>
      <c r="M219" s="83"/>
      <c r="N219" s="84" t="str">
        <f t="shared" si="52"/>
        <v/>
      </c>
      <c r="O219" s="20" t="str">
        <f t="shared" si="53"/>
        <v/>
      </c>
      <c r="P219" s="64" t="str">
        <f t="shared" si="54"/>
        <v/>
      </c>
      <c r="Q219" s="85" t="str">
        <f t="shared" ca="1" si="55"/>
        <v/>
      </c>
      <c r="R219" s="86" t="str">
        <f t="shared" si="56"/>
        <v/>
      </c>
      <c r="S219" s="86" t="str">
        <f t="shared" si="57"/>
        <v/>
      </c>
      <c r="T219" s="104" t="str">
        <f t="shared" si="58"/>
        <v/>
      </c>
      <c r="U219" s="19" t="str">
        <f>IF(AND(M219&lt;&gt;"",M219&lt;&gt;0), IF(E219 = "Muni", T219, IF(E219="Corp", T219*(1 -'Investor Input'!$C$4-'Investor Input'!$C$5), T219*(1 -'Investor Input'!$C$4))), T219)</f>
        <v/>
      </c>
      <c r="V219" s="84" t="str">
        <f t="shared" si="59"/>
        <v/>
      </c>
      <c r="W219" s="84" t="str">
        <f t="shared" si="45"/>
        <v/>
      </c>
      <c r="X219" s="21" t="str">
        <f t="shared" si="46"/>
        <v/>
      </c>
      <c r="Y219" s="60" t="str">
        <f t="shared" si="47"/>
        <v/>
      </c>
      <c r="Z219" s="60" t="str">
        <f t="shared" si="48"/>
        <v/>
      </c>
      <c r="AA219" s="64" t="str">
        <f t="shared" si="49"/>
        <v/>
      </c>
      <c r="AB219" s="64" t="str">
        <f>IF(AND(AA219&lt;&gt;"",AA219&lt;&gt;0), IF(E219="Muni", AA219, IF(E219 = "Corp", (1-'Investor Input'!$C$4-'Investor Input'!$C$5)*AA219, (1-'Investor Input'!$C$4)*AA219)), AA219)</f>
        <v/>
      </c>
      <c r="AC219" s="94" t="str">
        <f t="shared" si="50"/>
        <v/>
      </c>
      <c r="AD219" s="60" t="str">
        <f>IF(AND(M219&lt;&gt;"", M219&lt;&gt;0), N219/$N$505*MATCH(AC219,'Misc Lists'!$K$2:$K$25,0), "")</f>
        <v/>
      </c>
      <c r="AE219" s="90" t="str">
        <f t="shared" si="51"/>
        <v/>
      </c>
      <c r="AF219" s="99" t="str">
        <f>IF(AND(M219&lt;&gt;"", M219&lt;&gt;0), N219/$N$505*MATCH(AE219,'Misc Lists'!$L$2:$L$25,0), "")</f>
        <v/>
      </c>
    </row>
    <row r="220" spans="2:32" hidden="1" outlineLevel="1" x14ac:dyDescent="0.5">
      <c r="B220" s="60" t="str">
        <f ca="1"/>
        <v>00287YBX6</v>
      </c>
      <c r="C220" s="61" t="str">
        <f ca="1"/>
        <v>N/A</v>
      </c>
      <c r="D220" s="60" t="str">
        <f ca="1"/>
        <v>ABBVIE INC          SER B NOTE          3.20000% 11/21/2029 CALL MAKE WHOLE</v>
      </c>
      <c r="E220" s="61" t="str">
        <f ca="1"/>
        <v>Corp</v>
      </c>
      <c r="F220" s="62">
        <f ca="1"/>
        <v>3.2</v>
      </c>
      <c r="G220" s="63">
        <f ca="1"/>
        <v>47443</v>
      </c>
      <c r="H220" s="61" t="str">
        <f ca="1"/>
        <v>A3</v>
      </c>
      <c r="I220" s="61" t="str">
        <f ca="1"/>
        <v>A-</v>
      </c>
      <c r="J220" s="64">
        <f ca="1"/>
        <v>93.957999999999998</v>
      </c>
      <c r="K220" s="17">
        <f ca="1"/>
        <v>4.6470000000000002</v>
      </c>
      <c r="L220" s="17" t="str">
        <f ca="1"/>
        <v>500(2)</v>
      </c>
      <c r="M220" s="83"/>
      <c r="N220" s="84" t="str">
        <f t="shared" si="52"/>
        <v/>
      </c>
      <c r="O220" s="20" t="str">
        <f t="shared" si="53"/>
        <v/>
      </c>
      <c r="P220" s="64" t="str">
        <f t="shared" si="54"/>
        <v/>
      </c>
      <c r="Q220" s="85" t="str">
        <f t="shared" ca="1" si="55"/>
        <v/>
      </c>
      <c r="R220" s="86" t="str">
        <f t="shared" si="56"/>
        <v/>
      </c>
      <c r="S220" s="86" t="str">
        <f t="shared" si="57"/>
        <v/>
      </c>
      <c r="T220" s="104" t="str">
        <f t="shared" si="58"/>
        <v/>
      </c>
      <c r="U220" s="19" t="str">
        <f>IF(AND(M220&lt;&gt;"",M220&lt;&gt;0), IF(E220 = "Muni", T220, IF(E220="Corp", T220*(1 -'Investor Input'!$C$4-'Investor Input'!$C$5), T220*(1 -'Investor Input'!$C$4))), T220)</f>
        <v/>
      </c>
      <c r="V220" s="84" t="str">
        <f t="shared" si="59"/>
        <v/>
      </c>
      <c r="W220" s="84" t="str">
        <f t="shared" si="45"/>
        <v/>
      </c>
      <c r="X220" s="21" t="str">
        <f t="shared" si="46"/>
        <v/>
      </c>
      <c r="Y220" s="60" t="str">
        <f t="shared" si="47"/>
        <v/>
      </c>
      <c r="Z220" s="60" t="str">
        <f t="shared" si="48"/>
        <v/>
      </c>
      <c r="AA220" s="64" t="str">
        <f t="shared" si="49"/>
        <v/>
      </c>
      <c r="AB220" s="64" t="str">
        <f>IF(AND(AA220&lt;&gt;"",AA220&lt;&gt;0), IF(E220="Muni", AA220, IF(E220 = "Corp", (1-'Investor Input'!$C$4-'Investor Input'!$C$5)*AA220, (1-'Investor Input'!$C$4)*AA220)), AA220)</f>
        <v/>
      </c>
      <c r="AC220" s="94" t="str">
        <f t="shared" si="50"/>
        <v/>
      </c>
      <c r="AD220" s="60" t="str">
        <f>IF(AND(M220&lt;&gt;"", M220&lt;&gt;0), N220/$N$505*MATCH(AC220,'Misc Lists'!$K$2:$K$25,0), "")</f>
        <v/>
      </c>
      <c r="AE220" s="90" t="str">
        <f t="shared" si="51"/>
        <v/>
      </c>
      <c r="AF220" s="99" t="str">
        <f>IF(AND(M220&lt;&gt;"", M220&lt;&gt;0), N220/$N$505*MATCH(AE220,'Misc Lists'!$L$2:$L$25,0), "")</f>
        <v/>
      </c>
    </row>
    <row r="221" spans="2:32" hidden="1" outlineLevel="1" x14ac:dyDescent="0.5">
      <c r="B221" s="60" t="str">
        <f ca="1"/>
        <v>91324PFG2</v>
      </c>
      <c r="C221" s="61" t="str">
        <f ca="1"/>
        <v>N/A</v>
      </c>
      <c r="D221" s="60" t="str">
        <f ca="1"/>
        <v>UNITEDHEALTH GROUP  INC NOTE            4.80000% 01/15/2030 CALL MAKE WHOLE</v>
      </c>
      <c r="E221" s="61" t="str">
        <f ca="1"/>
        <v>Corp</v>
      </c>
      <c r="F221" s="62">
        <f ca="1"/>
        <v>4.8</v>
      </c>
      <c r="G221" s="63">
        <f ca="1"/>
        <v>47498</v>
      </c>
      <c r="H221" s="61" t="str">
        <f ca="1"/>
        <v>A2</v>
      </c>
      <c r="I221" s="61" t="str">
        <f ca="1"/>
        <v>A+</v>
      </c>
      <c r="J221" s="64">
        <f ca="1"/>
        <v>100.65</v>
      </c>
      <c r="K221" s="17">
        <f ca="1"/>
        <v>4.6470000000000002</v>
      </c>
      <c r="L221" s="17" t="str">
        <f ca="1"/>
        <v>500(2)</v>
      </c>
      <c r="M221" s="83"/>
      <c r="N221" s="84" t="str">
        <f t="shared" si="52"/>
        <v/>
      </c>
      <c r="O221" s="20" t="str">
        <f t="shared" si="53"/>
        <v/>
      </c>
      <c r="P221" s="64" t="str">
        <f t="shared" si="54"/>
        <v/>
      </c>
      <c r="Q221" s="85" t="str">
        <f t="shared" ca="1" si="55"/>
        <v/>
      </c>
      <c r="R221" s="86" t="str">
        <f t="shared" si="56"/>
        <v/>
      </c>
      <c r="S221" s="86" t="str">
        <f t="shared" si="57"/>
        <v/>
      </c>
      <c r="T221" s="104" t="str">
        <f t="shared" si="58"/>
        <v/>
      </c>
      <c r="U221" s="19" t="str">
        <f>IF(AND(M221&lt;&gt;"",M221&lt;&gt;0), IF(E221 = "Muni", T221, IF(E221="Corp", T221*(1 -'Investor Input'!$C$4-'Investor Input'!$C$5), T221*(1 -'Investor Input'!$C$4))), T221)</f>
        <v/>
      </c>
      <c r="V221" s="84" t="str">
        <f t="shared" si="59"/>
        <v/>
      </c>
      <c r="W221" s="84" t="str">
        <f t="shared" si="45"/>
        <v/>
      </c>
      <c r="X221" s="21" t="str">
        <f t="shared" si="46"/>
        <v/>
      </c>
      <c r="Y221" s="60" t="str">
        <f t="shared" si="47"/>
        <v/>
      </c>
      <c r="Z221" s="60" t="str">
        <f t="shared" si="48"/>
        <v/>
      </c>
      <c r="AA221" s="64" t="str">
        <f t="shared" si="49"/>
        <v/>
      </c>
      <c r="AB221" s="64" t="str">
        <f>IF(AND(AA221&lt;&gt;"",AA221&lt;&gt;0), IF(E221="Muni", AA221, IF(E221 = "Corp", (1-'Investor Input'!$C$4-'Investor Input'!$C$5)*AA221, (1-'Investor Input'!$C$4)*AA221)), AA221)</f>
        <v/>
      </c>
      <c r="AC221" s="94" t="str">
        <f t="shared" si="50"/>
        <v/>
      </c>
      <c r="AD221" s="60" t="str">
        <f>IF(AND(M221&lt;&gt;"", M221&lt;&gt;0), N221/$N$505*MATCH(AC221,'Misc Lists'!$K$2:$K$25,0), "")</f>
        <v/>
      </c>
      <c r="AE221" s="90" t="str">
        <f t="shared" si="51"/>
        <v/>
      </c>
      <c r="AF221" s="99" t="str">
        <f>IF(AND(M221&lt;&gt;"", M221&lt;&gt;0), N221/$N$505*MATCH(AE221,'Misc Lists'!$L$2:$L$25,0), "")</f>
        <v/>
      </c>
    </row>
    <row r="222" spans="2:32" hidden="1" outlineLevel="1" x14ac:dyDescent="0.5">
      <c r="B222" s="60" t="str">
        <f ca="1"/>
        <v>125523AH3</v>
      </c>
      <c r="C222" s="61" t="str">
        <f ca="1"/>
        <v>N/A</v>
      </c>
      <c r="D222" s="60" t="str">
        <f ca="1"/>
        <v>THE CIGNA GROUP     SER B NOTE          4.37500% 10/15/2028 CALL MAKE WHOLE</v>
      </c>
      <c r="E222" s="61" t="str">
        <f ca="1"/>
        <v>Corp</v>
      </c>
      <c r="F222" s="62">
        <f ca="1"/>
        <v>4.375</v>
      </c>
      <c r="G222" s="63">
        <f ca="1"/>
        <v>47041</v>
      </c>
      <c r="H222" s="61" t="str">
        <f ca="1"/>
        <v>BAA1</v>
      </c>
      <c r="I222" s="61" t="str">
        <f ca="1"/>
        <v>A-</v>
      </c>
      <c r="J222" s="64">
        <f ca="1"/>
        <v>99.108999999999995</v>
      </c>
      <c r="K222" s="17">
        <f ca="1"/>
        <v>4.6459999999999999</v>
      </c>
      <c r="L222" s="17" t="str">
        <f ca="1"/>
        <v>500(2)</v>
      </c>
      <c r="M222" s="83"/>
      <c r="N222" s="84" t="str">
        <f t="shared" si="52"/>
        <v/>
      </c>
      <c r="O222" s="20" t="str">
        <f t="shared" si="53"/>
        <v/>
      </c>
      <c r="P222" s="64" t="str">
        <f t="shared" si="54"/>
        <v/>
      </c>
      <c r="Q222" s="85" t="str">
        <f t="shared" ca="1" si="55"/>
        <v/>
      </c>
      <c r="R222" s="86" t="str">
        <f t="shared" si="56"/>
        <v/>
      </c>
      <c r="S222" s="86" t="str">
        <f t="shared" si="57"/>
        <v/>
      </c>
      <c r="T222" s="104" t="str">
        <f t="shared" si="58"/>
        <v/>
      </c>
      <c r="U222" s="19" t="str">
        <f>IF(AND(M222&lt;&gt;"",M222&lt;&gt;0), IF(E222 = "Muni", T222, IF(E222="Corp", T222*(1 -'Investor Input'!$C$4-'Investor Input'!$C$5), T222*(1 -'Investor Input'!$C$4))), T222)</f>
        <v/>
      </c>
      <c r="V222" s="84" t="str">
        <f t="shared" si="59"/>
        <v/>
      </c>
      <c r="W222" s="84" t="str">
        <f t="shared" si="45"/>
        <v/>
      </c>
      <c r="X222" s="21" t="str">
        <f t="shared" si="46"/>
        <v/>
      </c>
      <c r="Y222" s="60" t="str">
        <f t="shared" si="47"/>
        <v/>
      </c>
      <c r="Z222" s="60" t="str">
        <f t="shared" si="48"/>
        <v/>
      </c>
      <c r="AA222" s="64" t="str">
        <f t="shared" si="49"/>
        <v/>
      </c>
      <c r="AB222" s="64" t="str">
        <f>IF(AND(AA222&lt;&gt;"",AA222&lt;&gt;0), IF(E222="Muni", AA222, IF(E222 = "Corp", (1-'Investor Input'!$C$4-'Investor Input'!$C$5)*AA222, (1-'Investor Input'!$C$4)*AA222)), AA222)</f>
        <v/>
      </c>
      <c r="AC222" s="94" t="str">
        <f t="shared" si="50"/>
        <v/>
      </c>
      <c r="AD222" s="60" t="str">
        <f>IF(AND(M222&lt;&gt;"", M222&lt;&gt;0), N222/$N$505*MATCH(AC222,'Misc Lists'!$K$2:$K$25,0), "")</f>
        <v/>
      </c>
      <c r="AE222" s="90" t="str">
        <f t="shared" si="51"/>
        <v/>
      </c>
      <c r="AF222" s="99" t="str">
        <f>IF(AND(M222&lt;&gt;"", M222&lt;&gt;0), N222/$N$505*MATCH(AE222,'Misc Lists'!$L$2:$L$25,0), "")</f>
        <v/>
      </c>
    </row>
    <row r="223" spans="2:32" hidden="1" outlineLevel="1" x14ac:dyDescent="0.5">
      <c r="B223" s="60" t="str">
        <f ca="1"/>
        <v>94106LCC1</v>
      </c>
      <c r="C223" s="61" t="str">
        <f ca="1"/>
        <v>N/A</v>
      </c>
      <c r="D223" s="60" t="str">
        <f ca="1"/>
        <v>WASTE MGMT INC DEL  NOTE CALL MAKE WHOLE4.65000% 03/15/2030</v>
      </c>
      <c r="E223" s="61" t="str">
        <f ca="1"/>
        <v>Corp</v>
      </c>
      <c r="F223" s="62">
        <f ca="1"/>
        <v>4.6500000000000004</v>
      </c>
      <c r="G223" s="63">
        <f ca="1"/>
        <v>47557</v>
      </c>
      <c r="H223" s="61" t="str">
        <f ca="1"/>
        <v>A3</v>
      </c>
      <c r="I223" s="61" t="str">
        <f ca="1"/>
        <v>A-</v>
      </c>
      <c r="J223" s="64">
        <f ca="1"/>
        <v>100.023</v>
      </c>
      <c r="K223" s="17">
        <f ca="1"/>
        <v>4.6449999999999996</v>
      </c>
      <c r="L223" s="17" t="str">
        <f ca="1"/>
        <v>500(2)</v>
      </c>
      <c r="M223" s="83"/>
      <c r="N223" s="84" t="str">
        <f t="shared" si="52"/>
        <v/>
      </c>
      <c r="O223" s="20" t="str">
        <f t="shared" si="53"/>
        <v/>
      </c>
      <c r="P223" s="64" t="str">
        <f t="shared" si="54"/>
        <v/>
      </c>
      <c r="Q223" s="85" t="str">
        <f t="shared" ca="1" si="55"/>
        <v/>
      </c>
      <c r="R223" s="86" t="str">
        <f t="shared" si="56"/>
        <v/>
      </c>
      <c r="S223" s="86" t="str">
        <f t="shared" si="57"/>
        <v/>
      </c>
      <c r="T223" s="104" t="str">
        <f t="shared" si="58"/>
        <v/>
      </c>
      <c r="U223" s="19" t="str">
        <f>IF(AND(M223&lt;&gt;"",M223&lt;&gt;0), IF(E223 = "Muni", T223, IF(E223="Corp", T223*(1 -'Investor Input'!$C$4-'Investor Input'!$C$5), T223*(1 -'Investor Input'!$C$4))), T223)</f>
        <v/>
      </c>
      <c r="V223" s="84" t="str">
        <f t="shared" si="59"/>
        <v/>
      </c>
      <c r="W223" s="84" t="str">
        <f t="shared" si="45"/>
        <v/>
      </c>
      <c r="X223" s="21" t="str">
        <f t="shared" si="46"/>
        <v/>
      </c>
      <c r="Y223" s="60" t="str">
        <f t="shared" si="47"/>
        <v/>
      </c>
      <c r="Z223" s="60" t="str">
        <f t="shared" si="48"/>
        <v/>
      </c>
      <c r="AA223" s="64" t="str">
        <f t="shared" si="49"/>
        <v/>
      </c>
      <c r="AB223" s="64" t="str">
        <f>IF(AND(AA223&lt;&gt;"",AA223&lt;&gt;0), IF(E223="Muni", AA223, IF(E223 = "Corp", (1-'Investor Input'!$C$4-'Investor Input'!$C$5)*AA223, (1-'Investor Input'!$C$4)*AA223)), AA223)</f>
        <v/>
      </c>
      <c r="AC223" s="94" t="str">
        <f t="shared" si="50"/>
        <v/>
      </c>
      <c r="AD223" s="60" t="str">
        <f>IF(AND(M223&lt;&gt;"", M223&lt;&gt;0), N223/$N$505*MATCH(AC223,'Misc Lists'!$K$2:$K$25,0), "")</f>
        <v/>
      </c>
      <c r="AE223" s="90" t="str">
        <f t="shared" si="51"/>
        <v/>
      </c>
      <c r="AF223" s="99" t="str">
        <f>IF(AND(M223&lt;&gt;"", M223&lt;&gt;0), N223/$N$505*MATCH(AE223,'Misc Lists'!$L$2:$L$25,0), "")</f>
        <v/>
      </c>
    </row>
    <row r="224" spans="2:32" hidden="1" outlineLevel="1" x14ac:dyDescent="0.5">
      <c r="B224" s="60" t="str">
        <f ca="1"/>
        <v>63743HFS6</v>
      </c>
      <c r="C224" s="61" t="str">
        <f ca="1"/>
        <v>N/A</v>
      </c>
      <c r="D224" s="60" t="str">
        <f ca="1"/>
        <v>NATIONAL RURAL UTILSCOOP FIN SER D MTN  5.15000% 06/15/2029 CALL MAKE WHOLE</v>
      </c>
      <c r="E224" s="61" t="str">
        <f ca="1"/>
        <v>Corp</v>
      </c>
      <c r="F224" s="62">
        <f ca="1"/>
        <v>5.15</v>
      </c>
      <c r="G224" s="63">
        <f ca="1"/>
        <v>47284</v>
      </c>
      <c r="H224" s="61" t="str">
        <f ca="1"/>
        <v>A2</v>
      </c>
      <c r="I224" s="61" t="str">
        <f ca="1"/>
        <v>A-</v>
      </c>
      <c r="J224" s="64">
        <f ca="1"/>
        <v>101.932</v>
      </c>
      <c r="K224" s="17">
        <f ca="1"/>
        <v>4.6429999999999998</v>
      </c>
      <c r="L224" s="17" t="str">
        <f ca="1"/>
        <v>150(10)</v>
      </c>
      <c r="M224" s="83"/>
      <c r="N224" s="84" t="str">
        <f t="shared" si="52"/>
        <v/>
      </c>
      <c r="O224" s="20" t="str">
        <f t="shared" si="53"/>
        <v/>
      </c>
      <c r="P224" s="64" t="str">
        <f t="shared" si="54"/>
        <v/>
      </c>
      <c r="Q224" s="85" t="str">
        <f t="shared" ca="1" si="55"/>
        <v/>
      </c>
      <c r="R224" s="86" t="str">
        <f t="shared" si="56"/>
        <v/>
      </c>
      <c r="S224" s="86" t="str">
        <f t="shared" si="57"/>
        <v/>
      </c>
      <c r="T224" s="104" t="str">
        <f t="shared" si="58"/>
        <v/>
      </c>
      <c r="U224" s="19" t="str">
        <f>IF(AND(M224&lt;&gt;"",M224&lt;&gt;0), IF(E224 = "Muni", T224, IF(E224="Corp", T224*(1 -'Investor Input'!$C$4-'Investor Input'!$C$5), T224*(1 -'Investor Input'!$C$4))), T224)</f>
        <v/>
      </c>
      <c r="V224" s="84" t="str">
        <f t="shared" si="59"/>
        <v/>
      </c>
      <c r="W224" s="84" t="str">
        <f t="shared" si="45"/>
        <v/>
      </c>
      <c r="X224" s="21" t="str">
        <f t="shared" si="46"/>
        <v/>
      </c>
      <c r="Y224" s="60" t="str">
        <f t="shared" si="47"/>
        <v/>
      </c>
      <c r="Z224" s="60" t="str">
        <f t="shared" si="48"/>
        <v/>
      </c>
      <c r="AA224" s="64" t="str">
        <f t="shared" si="49"/>
        <v/>
      </c>
      <c r="AB224" s="64" t="str">
        <f>IF(AND(AA224&lt;&gt;"",AA224&lt;&gt;0), IF(E224="Muni", AA224, IF(E224 = "Corp", (1-'Investor Input'!$C$4-'Investor Input'!$C$5)*AA224, (1-'Investor Input'!$C$4)*AA224)), AA224)</f>
        <v/>
      </c>
      <c r="AC224" s="94" t="str">
        <f t="shared" si="50"/>
        <v/>
      </c>
      <c r="AD224" s="60" t="str">
        <f>IF(AND(M224&lt;&gt;"", M224&lt;&gt;0), N224/$N$505*MATCH(AC224,'Misc Lists'!$K$2:$K$25,0), "")</f>
        <v/>
      </c>
      <c r="AE224" s="90" t="str">
        <f t="shared" si="51"/>
        <v/>
      </c>
      <c r="AF224" s="99" t="str">
        <f>IF(AND(M224&lt;&gt;"", M224&lt;&gt;0), N224/$N$505*MATCH(AE224,'Misc Lists'!$L$2:$L$25,0), "")</f>
        <v/>
      </c>
    </row>
    <row r="225" spans="2:32" hidden="1" outlineLevel="1" x14ac:dyDescent="0.5">
      <c r="B225" s="60" t="str">
        <f ca="1"/>
        <v>59156RBZ0</v>
      </c>
      <c r="C225" s="61" t="str">
        <f ca="1"/>
        <v>N/A</v>
      </c>
      <c r="D225" s="60" t="str">
        <f ca="1"/>
        <v>METLIFE INC         NOTE CALL MAKE WHOLE4.55000% 03/23/2030</v>
      </c>
      <c r="E225" s="61" t="str">
        <f ca="1"/>
        <v>Corp</v>
      </c>
      <c r="F225" s="62">
        <f ca="1"/>
        <v>4.55</v>
      </c>
      <c r="G225" s="63">
        <f ca="1"/>
        <v>47565</v>
      </c>
      <c r="H225" s="61" t="str">
        <f ca="1"/>
        <v>A3</v>
      </c>
      <c r="I225" s="61" t="str">
        <f ca="1"/>
        <v>A-</v>
      </c>
      <c r="J225" s="64">
        <f ca="1"/>
        <v>99.587999999999994</v>
      </c>
      <c r="K225" s="17">
        <f ca="1"/>
        <v>4.6420000000000003</v>
      </c>
      <c r="L225" s="17" t="str">
        <f ca="1"/>
        <v>500(2)</v>
      </c>
      <c r="M225" s="83"/>
      <c r="N225" s="84" t="str">
        <f t="shared" si="52"/>
        <v/>
      </c>
      <c r="O225" s="20" t="str">
        <f t="shared" si="53"/>
        <v/>
      </c>
      <c r="P225" s="64" t="str">
        <f t="shared" si="54"/>
        <v/>
      </c>
      <c r="Q225" s="85" t="str">
        <f t="shared" ca="1" si="55"/>
        <v/>
      </c>
      <c r="R225" s="86" t="str">
        <f t="shared" si="56"/>
        <v/>
      </c>
      <c r="S225" s="86" t="str">
        <f t="shared" si="57"/>
        <v/>
      </c>
      <c r="T225" s="104" t="str">
        <f t="shared" si="58"/>
        <v/>
      </c>
      <c r="U225" s="19" t="str">
        <f>IF(AND(M225&lt;&gt;"",M225&lt;&gt;0), IF(E225 = "Muni", T225, IF(E225="Corp", T225*(1 -'Investor Input'!$C$4-'Investor Input'!$C$5), T225*(1 -'Investor Input'!$C$4))), T225)</f>
        <v/>
      </c>
      <c r="V225" s="84" t="str">
        <f t="shared" si="59"/>
        <v/>
      </c>
      <c r="W225" s="84" t="str">
        <f t="shared" si="45"/>
        <v/>
      </c>
      <c r="X225" s="21" t="str">
        <f t="shared" si="46"/>
        <v/>
      </c>
      <c r="Y225" s="60" t="str">
        <f t="shared" si="47"/>
        <v/>
      </c>
      <c r="Z225" s="60" t="str">
        <f t="shared" si="48"/>
        <v/>
      </c>
      <c r="AA225" s="64" t="str">
        <f t="shared" si="49"/>
        <v/>
      </c>
      <c r="AB225" s="64" t="str">
        <f>IF(AND(AA225&lt;&gt;"",AA225&lt;&gt;0), IF(E225="Muni", AA225, IF(E225 = "Corp", (1-'Investor Input'!$C$4-'Investor Input'!$C$5)*AA225, (1-'Investor Input'!$C$4)*AA225)), AA225)</f>
        <v/>
      </c>
      <c r="AC225" s="94" t="str">
        <f t="shared" si="50"/>
        <v/>
      </c>
      <c r="AD225" s="60" t="str">
        <f>IF(AND(M225&lt;&gt;"", M225&lt;&gt;0), N225/$N$505*MATCH(AC225,'Misc Lists'!$K$2:$K$25,0), "")</f>
        <v/>
      </c>
      <c r="AE225" s="90" t="str">
        <f t="shared" si="51"/>
        <v/>
      </c>
      <c r="AF225" s="99" t="str">
        <f>IF(AND(M225&lt;&gt;"", M225&lt;&gt;0), N225/$N$505*MATCH(AE225,'Misc Lists'!$L$2:$L$25,0), "")</f>
        <v/>
      </c>
    </row>
    <row r="226" spans="2:32" hidden="1" outlineLevel="1" x14ac:dyDescent="0.5">
      <c r="B226" s="60" t="str">
        <f ca="1"/>
        <v>902674ZW3</v>
      </c>
      <c r="C226" s="61" t="str">
        <f ca="1"/>
        <v>N/A</v>
      </c>
      <c r="D226" s="60" t="str">
        <f ca="1"/>
        <v>UBS AG LONDON BRANCHNOTE                5.65000% 09/11/2028 ISIN #US902674ZW39  SEDOL #BNSP5W4</v>
      </c>
      <c r="E226" s="61" t="str">
        <f ca="1"/>
        <v>Corp</v>
      </c>
      <c r="F226" s="62">
        <f ca="1"/>
        <v>5.65</v>
      </c>
      <c r="G226" s="63">
        <f ca="1"/>
        <v>47007</v>
      </c>
      <c r="H226" s="61" t="str">
        <f ca="1"/>
        <v>AA2</v>
      </c>
      <c r="I226" s="61" t="str">
        <f ca="1"/>
        <v>A+</v>
      </c>
      <c r="J226" s="64">
        <f ca="1"/>
        <v>103.22199999999999</v>
      </c>
      <c r="K226" s="17">
        <f ca="1"/>
        <v>4.641</v>
      </c>
      <c r="L226" s="17" t="str">
        <f ca="1"/>
        <v>200(200)</v>
      </c>
      <c r="M226" s="83"/>
      <c r="N226" s="84" t="str">
        <f t="shared" si="52"/>
        <v/>
      </c>
      <c r="O226" s="20" t="str">
        <f t="shared" si="53"/>
        <v/>
      </c>
      <c r="P226" s="64" t="str">
        <f t="shared" si="54"/>
        <v/>
      </c>
      <c r="Q226" s="85" t="str">
        <f t="shared" ca="1" si="55"/>
        <v/>
      </c>
      <c r="R226" s="86" t="str">
        <f t="shared" si="56"/>
        <v/>
      </c>
      <c r="S226" s="86" t="str">
        <f t="shared" si="57"/>
        <v/>
      </c>
      <c r="T226" s="104" t="str">
        <f t="shared" si="58"/>
        <v/>
      </c>
      <c r="U226" s="19" t="str">
        <f>IF(AND(M226&lt;&gt;"",M226&lt;&gt;0), IF(E226 = "Muni", T226, IF(E226="Corp", T226*(1 -'Investor Input'!$C$4-'Investor Input'!$C$5), T226*(1 -'Investor Input'!$C$4))), T226)</f>
        <v/>
      </c>
      <c r="V226" s="84" t="str">
        <f t="shared" si="59"/>
        <v/>
      </c>
      <c r="W226" s="84" t="str">
        <f t="shared" si="45"/>
        <v/>
      </c>
      <c r="X226" s="21" t="str">
        <f t="shared" si="46"/>
        <v/>
      </c>
      <c r="Y226" s="60" t="str">
        <f t="shared" si="47"/>
        <v/>
      </c>
      <c r="Z226" s="60" t="str">
        <f t="shared" si="48"/>
        <v/>
      </c>
      <c r="AA226" s="64" t="str">
        <f t="shared" si="49"/>
        <v/>
      </c>
      <c r="AB226" s="64" t="str">
        <f>IF(AND(AA226&lt;&gt;"",AA226&lt;&gt;0), IF(E226="Muni", AA226, IF(E226 = "Corp", (1-'Investor Input'!$C$4-'Investor Input'!$C$5)*AA226, (1-'Investor Input'!$C$4)*AA226)), AA226)</f>
        <v/>
      </c>
      <c r="AC226" s="94" t="str">
        <f t="shared" si="50"/>
        <v/>
      </c>
      <c r="AD226" s="60" t="str">
        <f>IF(AND(M226&lt;&gt;"", M226&lt;&gt;0), N226/$N$505*MATCH(AC226,'Misc Lists'!$K$2:$K$25,0), "")</f>
        <v/>
      </c>
      <c r="AE226" s="90" t="str">
        <f t="shared" si="51"/>
        <v/>
      </c>
      <c r="AF226" s="99" t="str">
        <f>IF(AND(M226&lt;&gt;"", M226&lt;&gt;0), N226/$N$505*MATCH(AE226,'Misc Lists'!$L$2:$L$25,0), "")</f>
        <v/>
      </c>
    </row>
    <row r="227" spans="2:32" hidden="1" outlineLevel="1" x14ac:dyDescent="0.5">
      <c r="B227" s="60" t="str">
        <f ca="1"/>
        <v>05348EBF5</v>
      </c>
      <c r="C227" s="61" t="str">
        <f ca="1"/>
        <v>N/A</v>
      </c>
      <c r="D227" s="60" t="str">
        <f ca="1"/>
        <v>AVALONBAY CMNTYS INCMTN CALL MAKE WHOLE 3.30000% 06/01/2029</v>
      </c>
      <c r="E227" s="61" t="str">
        <f ca="1"/>
        <v>Corp</v>
      </c>
      <c r="F227" s="62">
        <f ca="1"/>
        <v>3.3</v>
      </c>
      <c r="G227" s="63">
        <f ca="1"/>
        <v>47270</v>
      </c>
      <c r="H227" s="61" t="str">
        <f ca="1"/>
        <v>A3</v>
      </c>
      <c r="I227" s="61" t="str">
        <f ca="1"/>
        <v>A-</v>
      </c>
      <c r="J227" s="64">
        <f ca="1"/>
        <v>94.908000000000001</v>
      </c>
      <c r="K227" s="17">
        <f ca="1"/>
        <v>4.641</v>
      </c>
      <c r="L227" s="17" t="str">
        <f ca="1"/>
        <v>500(10)</v>
      </c>
      <c r="M227" s="83"/>
      <c r="N227" s="84" t="str">
        <f t="shared" si="52"/>
        <v/>
      </c>
      <c r="O227" s="20" t="str">
        <f t="shared" si="53"/>
        <v/>
      </c>
      <c r="P227" s="64" t="str">
        <f t="shared" si="54"/>
        <v/>
      </c>
      <c r="Q227" s="85" t="str">
        <f t="shared" ca="1" si="55"/>
        <v/>
      </c>
      <c r="R227" s="86" t="str">
        <f t="shared" si="56"/>
        <v/>
      </c>
      <c r="S227" s="86" t="str">
        <f t="shared" si="57"/>
        <v/>
      </c>
      <c r="T227" s="104" t="str">
        <f t="shared" si="58"/>
        <v/>
      </c>
      <c r="U227" s="19" t="str">
        <f>IF(AND(M227&lt;&gt;"",M227&lt;&gt;0), IF(E227 = "Muni", T227, IF(E227="Corp", T227*(1 -'Investor Input'!$C$4-'Investor Input'!$C$5), T227*(1 -'Investor Input'!$C$4))), T227)</f>
        <v/>
      </c>
      <c r="V227" s="84" t="str">
        <f t="shared" si="59"/>
        <v/>
      </c>
      <c r="W227" s="84" t="str">
        <f t="shared" si="45"/>
        <v/>
      </c>
      <c r="X227" s="21" t="str">
        <f t="shared" si="46"/>
        <v/>
      </c>
      <c r="Y227" s="60" t="str">
        <f t="shared" si="47"/>
        <v/>
      </c>
      <c r="Z227" s="60" t="str">
        <f t="shared" si="48"/>
        <v/>
      </c>
      <c r="AA227" s="64" t="str">
        <f t="shared" si="49"/>
        <v/>
      </c>
      <c r="AB227" s="64" t="str">
        <f>IF(AND(AA227&lt;&gt;"",AA227&lt;&gt;0), IF(E227="Muni", AA227, IF(E227 = "Corp", (1-'Investor Input'!$C$4-'Investor Input'!$C$5)*AA227, (1-'Investor Input'!$C$4)*AA227)), AA227)</f>
        <v/>
      </c>
      <c r="AC227" s="94" t="str">
        <f t="shared" si="50"/>
        <v/>
      </c>
      <c r="AD227" s="60" t="str">
        <f>IF(AND(M227&lt;&gt;"", M227&lt;&gt;0), N227/$N$505*MATCH(AC227,'Misc Lists'!$K$2:$K$25,0), "")</f>
        <v/>
      </c>
      <c r="AE227" s="90" t="str">
        <f t="shared" si="51"/>
        <v/>
      </c>
      <c r="AF227" s="99" t="str">
        <f>IF(AND(M227&lt;&gt;"", M227&lt;&gt;0), N227/$N$505*MATCH(AE227,'Misc Lists'!$L$2:$L$25,0), "")</f>
        <v/>
      </c>
    </row>
    <row r="228" spans="2:32" hidden="1" outlineLevel="1" x14ac:dyDescent="0.5">
      <c r="B228" s="60" t="str">
        <f ca="1"/>
        <v>70450YAE3</v>
      </c>
      <c r="C228" s="61" t="str">
        <f ca="1"/>
        <v>N/A</v>
      </c>
      <c r="D228" s="60" t="str">
        <f ca="1"/>
        <v>PAYPAL HLDGS INC    NOTE CALL MAKE WHOLE2.85000% 10/01/2029</v>
      </c>
      <c r="E228" s="61" t="str">
        <f ca="1"/>
        <v>Corp</v>
      </c>
      <c r="F228" s="62">
        <f ca="1"/>
        <v>2.85</v>
      </c>
      <c r="G228" s="63">
        <f ca="1"/>
        <v>47392</v>
      </c>
      <c r="H228" s="61" t="str">
        <f ca="1"/>
        <v>A3</v>
      </c>
      <c r="I228" s="61" t="str">
        <f ca="1"/>
        <v>A-</v>
      </c>
      <c r="J228" s="64">
        <f ca="1"/>
        <v>92.728999999999999</v>
      </c>
      <c r="K228" s="17">
        <f ca="1"/>
        <v>4.6399999999999997</v>
      </c>
      <c r="L228" s="17" t="str">
        <f ca="1"/>
        <v>500(2)</v>
      </c>
      <c r="M228" s="83"/>
      <c r="N228" s="84" t="str">
        <f t="shared" si="52"/>
        <v/>
      </c>
      <c r="O228" s="20" t="str">
        <f t="shared" si="53"/>
        <v/>
      </c>
      <c r="P228" s="64" t="str">
        <f t="shared" si="54"/>
        <v/>
      </c>
      <c r="Q228" s="85" t="str">
        <f t="shared" ca="1" si="55"/>
        <v/>
      </c>
      <c r="R228" s="86" t="str">
        <f t="shared" si="56"/>
        <v/>
      </c>
      <c r="S228" s="86" t="str">
        <f t="shared" si="57"/>
        <v/>
      </c>
      <c r="T228" s="104" t="str">
        <f t="shared" si="58"/>
        <v/>
      </c>
      <c r="U228" s="19" t="str">
        <f>IF(AND(M228&lt;&gt;"",M228&lt;&gt;0), IF(E228 = "Muni", T228, IF(E228="Corp", T228*(1 -'Investor Input'!$C$4-'Investor Input'!$C$5), T228*(1 -'Investor Input'!$C$4))), T228)</f>
        <v/>
      </c>
      <c r="V228" s="84" t="str">
        <f t="shared" si="59"/>
        <v/>
      </c>
      <c r="W228" s="84" t="str">
        <f t="shared" si="45"/>
        <v/>
      </c>
      <c r="X228" s="21" t="str">
        <f t="shared" si="46"/>
        <v/>
      </c>
      <c r="Y228" s="60" t="str">
        <f t="shared" si="47"/>
        <v/>
      </c>
      <c r="Z228" s="60" t="str">
        <f t="shared" si="48"/>
        <v/>
      </c>
      <c r="AA228" s="64" t="str">
        <f t="shared" si="49"/>
        <v/>
      </c>
      <c r="AB228" s="64" t="str">
        <f>IF(AND(AA228&lt;&gt;"",AA228&lt;&gt;0), IF(E228="Muni", AA228, IF(E228 = "Corp", (1-'Investor Input'!$C$4-'Investor Input'!$C$5)*AA228, (1-'Investor Input'!$C$4)*AA228)), AA228)</f>
        <v/>
      </c>
      <c r="AC228" s="94" t="str">
        <f t="shared" si="50"/>
        <v/>
      </c>
      <c r="AD228" s="60" t="str">
        <f>IF(AND(M228&lt;&gt;"", M228&lt;&gt;0), N228/$N$505*MATCH(AC228,'Misc Lists'!$K$2:$K$25,0), "")</f>
        <v/>
      </c>
      <c r="AE228" s="90" t="str">
        <f t="shared" si="51"/>
        <v/>
      </c>
      <c r="AF228" s="99" t="str">
        <f>IF(AND(M228&lt;&gt;"", M228&lt;&gt;0), N228/$N$505*MATCH(AE228,'Misc Lists'!$L$2:$L$25,0), "")</f>
        <v/>
      </c>
    </row>
    <row r="229" spans="2:32" hidden="1" outlineLevel="1" x14ac:dyDescent="0.5">
      <c r="B229" s="60" t="str">
        <f ca="1"/>
        <v>857449AE2</v>
      </c>
      <c r="C229" s="61" t="str">
        <f ca="1"/>
        <v>N/A</v>
      </c>
      <c r="D229" s="60" t="str">
        <f ca="1"/>
        <v>STATE STREET BANK &amp;TRUST NOTE         4.78200% 11/23/2029</v>
      </c>
      <c r="E229" s="61" t="str">
        <f ca="1"/>
        <v>Corp</v>
      </c>
      <c r="F229" s="62">
        <f ca="1"/>
        <v>4.782</v>
      </c>
      <c r="G229" s="63">
        <f ca="1"/>
        <v>47445</v>
      </c>
      <c r="H229" s="61" t="str">
        <f ca="1"/>
        <v>AA2</v>
      </c>
      <c r="I229" s="61" t="str">
        <f ca="1"/>
        <v>AA-</v>
      </c>
      <c r="J229" s="64">
        <f ca="1"/>
        <v>100.586</v>
      </c>
      <c r="K229" s="17">
        <f ca="1"/>
        <v>4.6399999999999997</v>
      </c>
      <c r="L229" s="17" t="str">
        <f ca="1"/>
        <v>750(250)</v>
      </c>
      <c r="M229" s="83"/>
      <c r="N229" s="84" t="str">
        <f t="shared" si="52"/>
        <v/>
      </c>
      <c r="O229" s="20" t="str">
        <f t="shared" si="53"/>
        <v/>
      </c>
      <c r="P229" s="64" t="str">
        <f t="shared" si="54"/>
        <v/>
      </c>
      <c r="Q229" s="85" t="str">
        <f t="shared" ca="1" si="55"/>
        <v/>
      </c>
      <c r="R229" s="86" t="str">
        <f t="shared" si="56"/>
        <v/>
      </c>
      <c r="S229" s="86" t="str">
        <f t="shared" si="57"/>
        <v/>
      </c>
      <c r="T229" s="104" t="str">
        <f t="shared" si="58"/>
        <v/>
      </c>
      <c r="U229" s="19" t="str">
        <f>IF(AND(M229&lt;&gt;"",M229&lt;&gt;0), IF(E229 = "Muni", T229, IF(E229="Corp", T229*(1 -'Investor Input'!$C$4-'Investor Input'!$C$5), T229*(1 -'Investor Input'!$C$4))), T229)</f>
        <v/>
      </c>
      <c r="V229" s="84" t="str">
        <f t="shared" si="59"/>
        <v/>
      </c>
      <c r="W229" s="84" t="str">
        <f t="shared" si="45"/>
        <v/>
      </c>
      <c r="X229" s="21" t="str">
        <f t="shared" si="46"/>
        <v/>
      </c>
      <c r="Y229" s="60" t="str">
        <f t="shared" si="47"/>
        <v/>
      </c>
      <c r="Z229" s="60" t="str">
        <f t="shared" si="48"/>
        <v/>
      </c>
      <c r="AA229" s="64" t="str">
        <f t="shared" si="49"/>
        <v/>
      </c>
      <c r="AB229" s="64" t="str">
        <f>IF(AND(AA229&lt;&gt;"",AA229&lt;&gt;0), IF(E229="Muni", AA229, IF(E229 = "Corp", (1-'Investor Input'!$C$4-'Investor Input'!$C$5)*AA229, (1-'Investor Input'!$C$4)*AA229)), AA229)</f>
        <v/>
      </c>
      <c r="AC229" s="94" t="str">
        <f t="shared" si="50"/>
        <v/>
      </c>
      <c r="AD229" s="60" t="str">
        <f>IF(AND(M229&lt;&gt;"", M229&lt;&gt;0), N229/$N$505*MATCH(AC229,'Misc Lists'!$K$2:$K$25,0), "")</f>
        <v/>
      </c>
      <c r="AE229" s="90" t="str">
        <f t="shared" si="51"/>
        <v/>
      </c>
      <c r="AF229" s="99" t="str">
        <f>IF(AND(M229&lt;&gt;"", M229&lt;&gt;0), N229/$N$505*MATCH(AE229,'Misc Lists'!$L$2:$L$25,0), "")</f>
        <v/>
      </c>
    </row>
    <row r="230" spans="2:32" hidden="1" outlineLevel="1" x14ac:dyDescent="0.5">
      <c r="B230" s="60" t="str">
        <f ca="1"/>
        <v>86562MCG3</v>
      </c>
      <c r="C230" s="61" t="str">
        <f ca="1"/>
        <v>N/A</v>
      </c>
      <c r="D230" s="60" t="str">
        <f ca="1"/>
        <v>SUMITOMO MITSUI FIN GRP INC NOTE        1.90200% 09/17/2028 ISIN #US86562MCG33</v>
      </c>
      <c r="E230" s="61" t="str">
        <f ca="1"/>
        <v>Corp</v>
      </c>
      <c r="F230" s="62">
        <f ca="1"/>
        <v>1.9019999999999999</v>
      </c>
      <c r="G230" s="63">
        <f ca="1"/>
        <v>47013</v>
      </c>
      <c r="H230" s="61" t="str">
        <f ca="1"/>
        <v>A1</v>
      </c>
      <c r="I230" s="61" t="str">
        <f ca="1"/>
        <v>A-</v>
      </c>
      <c r="J230" s="64">
        <f ca="1"/>
        <v>91.221999999999994</v>
      </c>
      <c r="K230" s="17">
        <f ca="1"/>
        <v>4.6379999999999999</v>
      </c>
      <c r="L230" s="17" t="str">
        <f ca="1"/>
        <v>500(200)</v>
      </c>
      <c r="M230" s="83"/>
      <c r="N230" s="84" t="str">
        <f t="shared" si="52"/>
        <v/>
      </c>
      <c r="O230" s="20" t="str">
        <f t="shared" si="53"/>
        <v/>
      </c>
      <c r="P230" s="64" t="str">
        <f t="shared" si="54"/>
        <v/>
      </c>
      <c r="Q230" s="85" t="str">
        <f t="shared" ca="1" si="55"/>
        <v/>
      </c>
      <c r="R230" s="86" t="str">
        <f t="shared" si="56"/>
        <v/>
      </c>
      <c r="S230" s="86" t="str">
        <f t="shared" si="57"/>
        <v/>
      </c>
      <c r="T230" s="104" t="str">
        <f t="shared" si="58"/>
        <v/>
      </c>
      <c r="U230" s="19" t="str">
        <f>IF(AND(M230&lt;&gt;"",M230&lt;&gt;0), IF(E230 = "Muni", T230, IF(E230="Corp", T230*(1 -'Investor Input'!$C$4-'Investor Input'!$C$5), T230*(1 -'Investor Input'!$C$4))), T230)</f>
        <v/>
      </c>
      <c r="V230" s="84" t="str">
        <f t="shared" si="59"/>
        <v/>
      </c>
      <c r="W230" s="84" t="str">
        <f t="shared" si="45"/>
        <v/>
      </c>
      <c r="X230" s="21" t="str">
        <f t="shared" si="46"/>
        <v/>
      </c>
      <c r="Y230" s="60" t="str">
        <f t="shared" si="47"/>
        <v/>
      </c>
      <c r="Z230" s="60" t="str">
        <f t="shared" si="48"/>
        <v/>
      </c>
      <c r="AA230" s="64" t="str">
        <f t="shared" si="49"/>
        <v/>
      </c>
      <c r="AB230" s="64" t="str">
        <f>IF(AND(AA230&lt;&gt;"",AA230&lt;&gt;0), IF(E230="Muni", AA230, IF(E230 = "Corp", (1-'Investor Input'!$C$4-'Investor Input'!$C$5)*AA230, (1-'Investor Input'!$C$4)*AA230)), AA230)</f>
        <v/>
      </c>
      <c r="AC230" s="94" t="str">
        <f t="shared" si="50"/>
        <v/>
      </c>
      <c r="AD230" s="60" t="str">
        <f>IF(AND(M230&lt;&gt;"", M230&lt;&gt;0), N230/$N$505*MATCH(AC230,'Misc Lists'!$K$2:$K$25,0), "")</f>
        <v/>
      </c>
      <c r="AE230" s="90" t="str">
        <f t="shared" si="51"/>
        <v/>
      </c>
      <c r="AF230" s="99" t="str">
        <f>IF(AND(M230&lt;&gt;"", M230&lt;&gt;0), N230/$N$505*MATCH(AE230,'Misc Lists'!$L$2:$L$25,0), "")</f>
        <v/>
      </c>
    </row>
    <row r="231" spans="2:32" hidden="1" outlineLevel="1" x14ac:dyDescent="0.5">
      <c r="B231" s="60" t="str">
        <f ca="1"/>
        <v>718172DN6</v>
      </c>
      <c r="C231" s="61" t="str">
        <f ca="1"/>
        <v>N/A</v>
      </c>
      <c r="D231" s="60" t="str">
        <f ca="1"/>
        <v>PHILIP MORRIS INTL  INC NOTE            4.62500% 11/01/2029 CALL MAKE WHOLE</v>
      </c>
      <c r="E231" s="61" t="str">
        <f ca="1"/>
        <v>Corp</v>
      </c>
      <c r="F231" s="62">
        <f ca="1"/>
        <v>4.625</v>
      </c>
      <c r="G231" s="63">
        <f ca="1"/>
        <v>47423</v>
      </c>
      <c r="H231" s="61" t="str">
        <f ca="1"/>
        <v>A2</v>
      </c>
      <c r="I231" s="61" t="str">
        <f ca="1"/>
        <v>A-</v>
      </c>
      <c r="J231" s="64">
        <f ca="1"/>
        <v>99.94</v>
      </c>
      <c r="K231" s="17">
        <f ca="1"/>
        <v>4.6379999999999999</v>
      </c>
      <c r="L231" s="17" t="str">
        <f ca="1"/>
        <v>500(2)</v>
      </c>
      <c r="M231" s="83"/>
      <c r="N231" s="84" t="str">
        <f t="shared" si="52"/>
        <v/>
      </c>
      <c r="O231" s="20" t="str">
        <f t="shared" si="53"/>
        <v/>
      </c>
      <c r="P231" s="64" t="str">
        <f t="shared" si="54"/>
        <v/>
      </c>
      <c r="Q231" s="85" t="str">
        <f t="shared" ca="1" si="55"/>
        <v/>
      </c>
      <c r="R231" s="86" t="str">
        <f t="shared" si="56"/>
        <v/>
      </c>
      <c r="S231" s="86" t="str">
        <f t="shared" si="57"/>
        <v/>
      </c>
      <c r="T231" s="104" t="str">
        <f t="shared" si="58"/>
        <v/>
      </c>
      <c r="U231" s="19" t="str">
        <f>IF(AND(M231&lt;&gt;"",M231&lt;&gt;0), IF(E231 = "Muni", T231, IF(E231="Corp", T231*(1 -'Investor Input'!$C$4-'Investor Input'!$C$5), T231*(1 -'Investor Input'!$C$4))), T231)</f>
        <v/>
      </c>
      <c r="V231" s="84" t="str">
        <f t="shared" si="59"/>
        <v/>
      </c>
      <c r="W231" s="84" t="str">
        <f t="shared" si="45"/>
        <v/>
      </c>
      <c r="X231" s="21" t="str">
        <f t="shared" si="46"/>
        <v/>
      </c>
      <c r="Y231" s="60" t="str">
        <f t="shared" si="47"/>
        <v/>
      </c>
      <c r="Z231" s="60" t="str">
        <f t="shared" si="48"/>
        <v/>
      </c>
      <c r="AA231" s="64" t="str">
        <f t="shared" si="49"/>
        <v/>
      </c>
      <c r="AB231" s="64" t="str">
        <f>IF(AND(AA231&lt;&gt;"",AA231&lt;&gt;0), IF(E231="Muni", AA231, IF(E231 = "Corp", (1-'Investor Input'!$C$4-'Investor Input'!$C$5)*AA231, (1-'Investor Input'!$C$4)*AA231)), AA231)</f>
        <v/>
      </c>
      <c r="AC231" s="94" t="str">
        <f t="shared" si="50"/>
        <v/>
      </c>
      <c r="AD231" s="60" t="str">
        <f>IF(AND(M231&lt;&gt;"", M231&lt;&gt;0), N231/$N$505*MATCH(AC231,'Misc Lists'!$K$2:$K$25,0), "")</f>
        <v/>
      </c>
      <c r="AE231" s="90" t="str">
        <f t="shared" si="51"/>
        <v/>
      </c>
      <c r="AF231" s="99" t="str">
        <f>IF(AND(M231&lt;&gt;"", M231&lt;&gt;0), N231/$N$505*MATCH(AE231,'Misc Lists'!$L$2:$L$25,0), "")</f>
        <v/>
      </c>
    </row>
    <row r="232" spans="2:32" hidden="1" outlineLevel="1" x14ac:dyDescent="0.5">
      <c r="B232" s="60" t="str">
        <f ca="1"/>
        <v>10373QCB4</v>
      </c>
      <c r="C232" s="61" t="str">
        <f ca="1"/>
        <v>N/A</v>
      </c>
      <c r="D232" s="60" t="str">
        <f ca="1"/>
        <v>BP CAP MKTS AMER INCNOTE CALL MAKE WHOLE4.86800% 11/25/2029</v>
      </c>
      <c r="E232" s="61" t="str">
        <f ca="1"/>
        <v>Corp</v>
      </c>
      <c r="F232" s="62">
        <f ca="1"/>
        <v>4.8680000000000003</v>
      </c>
      <c r="G232" s="63">
        <f ca="1"/>
        <v>47447</v>
      </c>
      <c r="H232" s="61" t="str">
        <f ca="1"/>
        <v>A1</v>
      </c>
      <c r="I232" s="61" t="str">
        <f ca="1"/>
        <v>A-</v>
      </c>
      <c r="J232" s="64">
        <f ca="1"/>
        <v>100.956</v>
      </c>
      <c r="K232" s="17">
        <f ca="1"/>
        <v>4.6379999999999999</v>
      </c>
      <c r="L232" s="17" t="str">
        <f ca="1"/>
        <v>250(1)</v>
      </c>
      <c r="M232" s="83"/>
      <c r="N232" s="84" t="str">
        <f t="shared" si="52"/>
        <v/>
      </c>
      <c r="O232" s="20" t="str">
        <f t="shared" si="53"/>
        <v/>
      </c>
      <c r="P232" s="64" t="str">
        <f t="shared" si="54"/>
        <v/>
      </c>
      <c r="Q232" s="85" t="str">
        <f t="shared" ca="1" si="55"/>
        <v/>
      </c>
      <c r="R232" s="86" t="str">
        <f t="shared" si="56"/>
        <v/>
      </c>
      <c r="S232" s="86" t="str">
        <f t="shared" si="57"/>
        <v/>
      </c>
      <c r="T232" s="104" t="str">
        <f t="shared" si="58"/>
        <v/>
      </c>
      <c r="U232" s="19" t="str">
        <f>IF(AND(M232&lt;&gt;"",M232&lt;&gt;0), IF(E232 = "Muni", T232, IF(E232="Corp", T232*(1 -'Investor Input'!$C$4-'Investor Input'!$C$5), T232*(1 -'Investor Input'!$C$4))), T232)</f>
        <v/>
      </c>
      <c r="V232" s="84" t="str">
        <f t="shared" si="59"/>
        <v/>
      </c>
      <c r="W232" s="84" t="str">
        <f t="shared" si="45"/>
        <v/>
      </c>
      <c r="X232" s="21" t="str">
        <f t="shared" si="46"/>
        <v/>
      </c>
      <c r="Y232" s="60" t="str">
        <f t="shared" si="47"/>
        <v/>
      </c>
      <c r="Z232" s="60" t="str">
        <f t="shared" si="48"/>
        <v/>
      </c>
      <c r="AA232" s="64" t="str">
        <f t="shared" si="49"/>
        <v/>
      </c>
      <c r="AB232" s="64" t="str">
        <f>IF(AND(AA232&lt;&gt;"",AA232&lt;&gt;0), IF(E232="Muni", AA232, IF(E232 = "Corp", (1-'Investor Input'!$C$4-'Investor Input'!$C$5)*AA232, (1-'Investor Input'!$C$4)*AA232)), AA232)</f>
        <v/>
      </c>
      <c r="AC232" s="94" t="str">
        <f t="shared" si="50"/>
        <v/>
      </c>
      <c r="AD232" s="60" t="str">
        <f>IF(AND(M232&lt;&gt;"", M232&lt;&gt;0), N232/$N$505*MATCH(AC232,'Misc Lists'!$K$2:$K$25,0), "")</f>
        <v/>
      </c>
      <c r="AE232" s="90" t="str">
        <f t="shared" si="51"/>
        <v/>
      </c>
      <c r="AF232" s="99" t="str">
        <f>IF(AND(M232&lt;&gt;"", M232&lt;&gt;0), N232/$N$505*MATCH(AE232,'Misc Lists'!$L$2:$L$25,0), "")</f>
        <v/>
      </c>
    </row>
    <row r="233" spans="2:32" hidden="1" outlineLevel="1" x14ac:dyDescent="0.5">
      <c r="B233" s="60" t="str">
        <f ca="1"/>
        <v>842400JB0</v>
      </c>
      <c r="C233" s="61" t="str">
        <f ca="1"/>
        <v>N/A</v>
      </c>
      <c r="D233" s="60" t="str">
        <f ca="1"/>
        <v>SOUTHERN CALIFORNIA EDISON CO SER 2024C 5.35000% 03/01/2026 BOND CALL MAKE WHOLE</v>
      </c>
      <c r="E233" s="61" t="str">
        <f ca="1"/>
        <v>Corp</v>
      </c>
      <c r="F233" s="62">
        <f ca="1"/>
        <v>5.35</v>
      </c>
      <c r="G233" s="63">
        <f ca="1"/>
        <v>46082</v>
      </c>
      <c r="H233" s="61" t="str">
        <f ca="1"/>
        <v>A2</v>
      </c>
      <c r="I233" s="61" t="str">
        <f ca="1"/>
        <v>A-</v>
      </c>
      <c r="J233" s="64">
        <f ca="1"/>
        <v>100.667</v>
      </c>
      <c r="K233" s="17">
        <f ca="1"/>
        <v>4.6369999999999996</v>
      </c>
      <c r="L233" s="17" t="str">
        <f ca="1"/>
        <v>625(1)</v>
      </c>
      <c r="M233" s="83"/>
      <c r="N233" s="84" t="str">
        <f t="shared" si="52"/>
        <v/>
      </c>
      <c r="O233" s="20" t="str">
        <f t="shared" si="53"/>
        <v/>
      </c>
      <c r="P233" s="64" t="str">
        <f t="shared" si="54"/>
        <v/>
      </c>
      <c r="Q233" s="85" t="str">
        <f t="shared" ca="1" si="55"/>
        <v/>
      </c>
      <c r="R233" s="86" t="str">
        <f t="shared" si="56"/>
        <v/>
      </c>
      <c r="S233" s="86" t="str">
        <f t="shared" si="57"/>
        <v/>
      </c>
      <c r="T233" s="104" t="str">
        <f t="shared" si="58"/>
        <v/>
      </c>
      <c r="U233" s="19" t="str">
        <f>IF(AND(M233&lt;&gt;"",M233&lt;&gt;0), IF(E233 = "Muni", T233, IF(E233="Corp", T233*(1 -'Investor Input'!$C$4-'Investor Input'!$C$5), T233*(1 -'Investor Input'!$C$4))), T233)</f>
        <v/>
      </c>
      <c r="V233" s="84" t="str">
        <f t="shared" si="59"/>
        <v/>
      </c>
      <c r="W233" s="84" t="str">
        <f t="shared" si="45"/>
        <v/>
      </c>
      <c r="X233" s="21" t="str">
        <f t="shared" si="46"/>
        <v/>
      </c>
      <c r="Y233" s="60" t="str">
        <f t="shared" si="47"/>
        <v/>
      </c>
      <c r="Z233" s="60" t="str">
        <f t="shared" si="48"/>
        <v/>
      </c>
      <c r="AA233" s="64" t="str">
        <f t="shared" si="49"/>
        <v/>
      </c>
      <c r="AB233" s="64" t="str">
        <f>IF(AND(AA233&lt;&gt;"",AA233&lt;&gt;0), IF(E233="Muni", AA233, IF(E233 = "Corp", (1-'Investor Input'!$C$4-'Investor Input'!$C$5)*AA233, (1-'Investor Input'!$C$4)*AA233)), AA233)</f>
        <v/>
      </c>
      <c r="AC233" s="94" t="str">
        <f t="shared" si="50"/>
        <v/>
      </c>
      <c r="AD233" s="60" t="str">
        <f>IF(AND(M233&lt;&gt;"", M233&lt;&gt;0), N233/$N$505*MATCH(AC233,'Misc Lists'!$K$2:$K$25,0), "")</f>
        <v/>
      </c>
      <c r="AE233" s="90" t="str">
        <f t="shared" si="51"/>
        <v/>
      </c>
      <c r="AF233" s="99" t="str">
        <f>IF(AND(M233&lt;&gt;"", M233&lt;&gt;0), N233/$N$505*MATCH(AE233,'Misc Lists'!$L$2:$L$25,0), "")</f>
        <v/>
      </c>
    </row>
    <row r="234" spans="2:32" hidden="1" outlineLevel="1" x14ac:dyDescent="0.5">
      <c r="B234" s="60" t="str">
        <f ca="1"/>
        <v>168863CF3</v>
      </c>
      <c r="C234" s="61" t="str">
        <f ca="1"/>
        <v>N/A</v>
      </c>
      <c r="D234" s="60" t="str">
        <f ca="1"/>
        <v>CHILE(REPUBLIC OF)  NOTE                3.24000% 02/06/2028 ISIN #US168863CF36  SEDOL #BFYTTF5</v>
      </c>
      <c r="E234" s="61" t="str">
        <f ca="1"/>
        <v>Corp</v>
      </c>
      <c r="F234" s="62">
        <f ca="1"/>
        <v>3.24</v>
      </c>
      <c r="G234" s="63">
        <f ca="1"/>
        <v>46789</v>
      </c>
      <c r="H234" s="61" t="str">
        <f ca="1"/>
        <v>A2</v>
      </c>
      <c r="I234" s="61" t="str">
        <f ca="1"/>
        <v>A</v>
      </c>
      <c r="J234" s="64">
        <f ca="1"/>
        <v>96.248000000000005</v>
      </c>
      <c r="K234" s="17">
        <f ca="1"/>
        <v>4.6369999999999996</v>
      </c>
      <c r="L234" s="17" t="str">
        <f ca="1"/>
        <v>225(200)</v>
      </c>
      <c r="M234" s="83"/>
      <c r="N234" s="84" t="str">
        <f t="shared" si="52"/>
        <v/>
      </c>
      <c r="O234" s="20" t="str">
        <f t="shared" si="53"/>
        <v/>
      </c>
      <c r="P234" s="64" t="str">
        <f t="shared" si="54"/>
        <v/>
      </c>
      <c r="Q234" s="85" t="str">
        <f t="shared" ca="1" si="55"/>
        <v/>
      </c>
      <c r="R234" s="86" t="str">
        <f t="shared" si="56"/>
        <v/>
      </c>
      <c r="S234" s="86" t="str">
        <f t="shared" si="57"/>
        <v/>
      </c>
      <c r="T234" s="104" t="str">
        <f t="shared" si="58"/>
        <v/>
      </c>
      <c r="U234" s="19" t="str">
        <f>IF(AND(M234&lt;&gt;"",M234&lt;&gt;0), IF(E234 = "Muni", T234, IF(E234="Corp", T234*(1 -'Investor Input'!$C$4-'Investor Input'!$C$5), T234*(1 -'Investor Input'!$C$4))), T234)</f>
        <v/>
      </c>
      <c r="V234" s="84" t="str">
        <f t="shared" si="59"/>
        <v/>
      </c>
      <c r="W234" s="84" t="str">
        <f t="shared" si="45"/>
        <v/>
      </c>
      <c r="X234" s="21" t="str">
        <f t="shared" si="46"/>
        <v/>
      </c>
      <c r="Y234" s="60" t="str">
        <f t="shared" si="47"/>
        <v/>
      </c>
      <c r="Z234" s="60" t="str">
        <f t="shared" si="48"/>
        <v/>
      </c>
      <c r="AA234" s="64" t="str">
        <f t="shared" si="49"/>
        <v/>
      </c>
      <c r="AB234" s="64" t="str">
        <f>IF(AND(AA234&lt;&gt;"",AA234&lt;&gt;0), IF(E234="Muni", AA234, IF(E234 = "Corp", (1-'Investor Input'!$C$4-'Investor Input'!$C$5)*AA234, (1-'Investor Input'!$C$4)*AA234)), AA234)</f>
        <v/>
      </c>
      <c r="AC234" s="94" t="str">
        <f t="shared" si="50"/>
        <v/>
      </c>
      <c r="AD234" s="60" t="str">
        <f>IF(AND(M234&lt;&gt;"", M234&lt;&gt;0), N234/$N$505*MATCH(AC234,'Misc Lists'!$K$2:$K$25,0), "")</f>
        <v/>
      </c>
      <c r="AE234" s="90" t="str">
        <f t="shared" si="51"/>
        <v/>
      </c>
      <c r="AF234" s="99" t="str">
        <f>IF(AND(M234&lt;&gt;"", M234&lt;&gt;0), N234/$N$505*MATCH(AE234,'Misc Lists'!$L$2:$L$25,0), "")</f>
        <v/>
      </c>
    </row>
    <row r="235" spans="2:32" hidden="1" outlineLevel="1" x14ac:dyDescent="0.5">
      <c r="B235" s="60" t="str">
        <f ca="1"/>
        <v>678858BC4</v>
      </c>
      <c r="C235" s="61" t="str">
        <f ca="1"/>
        <v>N/A</v>
      </c>
      <c r="D235" s="60" t="str">
        <f ca="1"/>
        <v>OKLAHOMA GAS &amp;ELEC  CO NOTE             6.50000% 04/15/2028 CALL MAKE WHOLE</v>
      </c>
      <c r="E235" s="61" t="str">
        <f ca="1"/>
        <v>Corp</v>
      </c>
      <c r="F235" s="62">
        <f ca="1"/>
        <v>6.5</v>
      </c>
      <c r="G235" s="63">
        <f ca="1"/>
        <v>46858</v>
      </c>
      <c r="H235" s="61" t="str">
        <f ca="1"/>
        <v>A3</v>
      </c>
      <c r="I235" s="61" t="str">
        <f ca="1"/>
        <v>A-</v>
      </c>
      <c r="J235" s="64">
        <f ca="1"/>
        <v>105.30200000000001</v>
      </c>
      <c r="K235" s="17">
        <f ca="1"/>
        <v>4.6369999999999996</v>
      </c>
      <c r="L235" s="17" t="str">
        <f ca="1"/>
        <v>3(1)</v>
      </c>
      <c r="M235" s="83"/>
      <c r="N235" s="84" t="str">
        <f t="shared" si="52"/>
        <v/>
      </c>
      <c r="O235" s="20" t="str">
        <f t="shared" si="53"/>
        <v/>
      </c>
      <c r="P235" s="64" t="str">
        <f t="shared" si="54"/>
        <v/>
      </c>
      <c r="Q235" s="85" t="str">
        <f t="shared" ca="1" si="55"/>
        <v/>
      </c>
      <c r="R235" s="86" t="str">
        <f t="shared" si="56"/>
        <v/>
      </c>
      <c r="S235" s="86" t="str">
        <f t="shared" si="57"/>
        <v/>
      </c>
      <c r="T235" s="104" t="str">
        <f t="shared" si="58"/>
        <v/>
      </c>
      <c r="U235" s="19" t="str">
        <f>IF(AND(M235&lt;&gt;"",M235&lt;&gt;0), IF(E235 = "Muni", T235, IF(E235="Corp", T235*(1 -'Investor Input'!$C$4-'Investor Input'!$C$5), T235*(1 -'Investor Input'!$C$4))), T235)</f>
        <v/>
      </c>
      <c r="V235" s="84" t="str">
        <f t="shared" si="59"/>
        <v/>
      </c>
      <c r="W235" s="84" t="str">
        <f t="shared" si="45"/>
        <v/>
      </c>
      <c r="X235" s="21" t="str">
        <f t="shared" si="46"/>
        <v/>
      </c>
      <c r="Y235" s="60" t="str">
        <f t="shared" si="47"/>
        <v/>
      </c>
      <c r="Z235" s="60" t="str">
        <f t="shared" si="48"/>
        <v/>
      </c>
      <c r="AA235" s="64" t="str">
        <f t="shared" si="49"/>
        <v/>
      </c>
      <c r="AB235" s="64" t="str">
        <f>IF(AND(AA235&lt;&gt;"",AA235&lt;&gt;0), IF(E235="Muni", AA235, IF(E235 = "Corp", (1-'Investor Input'!$C$4-'Investor Input'!$C$5)*AA235, (1-'Investor Input'!$C$4)*AA235)), AA235)</f>
        <v/>
      </c>
      <c r="AC235" s="94" t="str">
        <f t="shared" si="50"/>
        <v/>
      </c>
      <c r="AD235" s="60" t="str">
        <f>IF(AND(M235&lt;&gt;"", M235&lt;&gt;0), N235/$N$505*MATCH(AC235,'Misc Lists'!$K$2:$K$25,0), "")</f>
        <v/>
      </c>
      <c r="AE235" s="90" t="str">
        <f t="shared" si="51"/>
        <v/>
      </c>
      <c r="AF235" s="99" t="str">
        <f>IF(AND(M235&lt;&gt;"", M235&lt;&gt;0), N235/$N$505*MATCH(AE235,'Misc Lists'!$L$2:$L$25,0), "")</f>
        <v/>
      </c>
    </row>
    <row r="236" spans="2:32" hidden="1" outlineLevel="1" x14ac:dyDescent="0.5">
      <c r="B236" s="60" t="str">
        <f ca="1"/>
        <v>29379VBV4</v>
      </c>
      <c r="C236" s="61" t="str">
        <f ca="1"/>
        <v>N/A</v>
      </c>
      <c r="D236" s="60" t="str">
        <f ca="1"/>
        <v>ENTERPRISE PRODS    OPER LLC NOTE       3.12500% 07/31/2029 CALL MAKE WHOLE</v>
      </c>
      <c r="E236" s="61" t="str">
        <f ca="1"/>
        <v>Corp</v>
      </c>
      <c r="F236" s="62">
        <f ca="1"/>
        <v>3.125</v>
      </c>
      <c r="G236" s="63">
        <f ca="1"/>
        <v>47330</v>
      </c>
      <c r="H236" s="61" t="str">
        <f ca="1"/>
        <v>A3</v>
      </c>
      <c r="I236" s="61" t="str">
        <f ca="1"/>
        <v>A-</v>
      </c>
      <c r="J236" s="64">
        <f ca="1"/>
        <v>94.061000000000007</v>
      </c>
      <c r="K236" s="17">
        <f ca="1"/>
        <v>4.6369999999999996</v>
      </c>
      <c r="L236" s="17" t="str">
        <f ca="1"/>
        <v>250(1)</v>
      </c>
      <c r="M236" s="83"/>
      <c r="N236" s="84" t="str">
        <f t="shared" si="52"/>
        <v/>
      </c>
      <c r="O236" s="20" t="str">
        <f t="shared" si="53"/>
        <v/>
      </c>
      <c r="P236" s="64" t="str">
        <f t="shared" si="54"/>
        <v/>
      </c>
      <c r="Q236" s="85" t="str">
        <f t="shared" ca="1" si="55"/>
        <v/>
      </c>
      <c r="R236" s="86" t="str">
        <f t="shared" si="56"/>
        <v/>
      </c>
      <c r="S236" s="86" t="str">
        <f t="shared" si="57"/>
        <v/>
      </c>
      <c r="T236" s="104" t="str">
        <f t="shared" si="58"/>
        <v/>
      </c>
      <c r="U236" s="19" t="str">
        <f>IF(AND(M236&lt;&gt;"",M236&lt;&gt;0), IF(E236 = "Muni", T236, IF(E236="Corp", T236*(1 -'Investor Input'!$C$4-'Investor Input'!$C$5), T236*(1 -'Investor Input'!$C$4))), T236)</f>
        <v/>
      </c>
      <c r="V236" s="84" t="str">
        <f t="shared" si="59"/>
        <v/>
      </c>
      <c r="W236" s="84" t="str">
        <f t="shared" si="45"/>
        <v/>
      </c>
      <c r="X236" s="21" t="str">
        <f t="shared" si="46"/>
        <v/>
      </c>
      <c r="Y236" s="60" t="str">
        <f t="shared" si="47"/>
        <v/>
      </c>
      <c r="Z236" s="60" t="str">
        <f t="shared" si="48"/>
        <v/>
      </c>
      <c r="AA236" s="64" t="str">
        <f t="shared" si="49"/>
        <v/>
      </c>
      <c r="AB236" s="64" t="str">
        <f>IF(AND(AA236&lt;&gt;"",AA236&lt;&gt;0), IF(E236="Muni", AA236, IF(E236 = "Corp", (1-'Investor Input'!$C$4-'Investor Input'!$C$5)*AA236, (1-'Investor Input'!$C$4)*AA236)), AA236)</f>
        <v/>
      </c>
      <c r="AC236" s="94" t="str">
        <f t="shared" si="50"/>
        <v/>
      </c>
      <c r="AD236" s="60" t="str">
        <f>IF(AND(M236&lt;&gt;"", M236&lt;&gt;0), N236/$N$505*MATCH(AC236,'Misc Lists'!$K$2:$K$25,0), "")</f>
        <v/>
      </c>
      <c r="AE236" s="90" t="str">
        <f t="shared" si="51"/>
        <v/>
      </c>
      <c r="AF236" s="99" t="str">
        <f>IF(AND(M236&lt;&gt;"", M236&lt;&gt;0), N236/$N$505*MATCH(AE236,'Misc Lists'!$L$2:$L$25,0), "")</f>
        <v/>
      </c>
    </row>
    <row r="237" spans="2:32" hidden="1" outlineLevel="1" x14ac:dyDescent="0.5">
      <c r="B237" s="60" t="str">
        <f ca="1"/>
        <v>907818FH6</v>
      </c>
      <c r="C237" s="61" t="str">
        <f ca="1"/>
        <v>N/A</v>
      </c>
      <c r="D237" s="60" t="str">
        <f ca="1"/>
        <v>UNION PAC CORP      NOTE CALL MAKE WHOLE2.40000% 02/05/2030</v>
      </c>
      <c r="E237" s="61" t="str">
        <f ca="1"/>
        <v>Corp</v>
      </c>
      <c r="F237" s="62">
        <f ca="1"/>
        <v>2.4</v>
      </c>
      <c r="G237" s="63">
        <f ca="1"/>
        <v>47519</v>
      </c>
      <c r="H237" s="61" t="str">
        <f ca="1"/>
        <v>A3</v>
      </c>
      <c r="I237" s="61" t="str">
        <f ca="1"/>
        <v>A-</v>
      </c>
      <c r="J237" s="64">
        <f ca="1"/>
        <v>90.296999999999997</v>
      </c>
      <c r="K237" s="17">
        <f ca="1"/>
        <v>4.6369999999999996</v>
      </c>
      <c r="L237" s="17" t="str">
        <f ca="1"/>
        <v>125(1)</v>
      </c>
      <c r="M237" s="83"/>
      <c r="N237" s="84" t="str">
        <f t="shared" si="52"/>
        <v/>
      </c>
      <c r="O237" s="20" t="str">
        <f t="shared" si="53"/>
        <v/>
      </c>
      <c r="P237" s="64" t="str">
        <f t="shared" si="54"/>
        <v/>
      </c>
      <c r="Q237" s="85" t="str">
        <f t="shared" ca="1" si="55"/>
        <v/>
      </c>
      <c r="R237" s="86" t="str">
        <f t="shared" si="56"/>
        <v/>
      </c>
      <c r="S237" s="86" t="str">
        <f t="shared" si="57"/>
        <v/>
      </c>
      <c r="T237" s="104" t="str">
        <f t="shared" si="58"/>
        <v/>
      </c>
      <c r="U237" s="19" t="str">
        <f>IF(AND(M237&lt;&gt;"",M237&lt;&gt;0), IF(E237 = "Muni", T237, IF(E237="Corp", T237*(1 -'Investor Input'!$C$4-'Investor Input'!$C$5), T237*(1 -'Investor Input'!$C$4))), T237)</f>
        <v/>
      </c>
      <c r="V237" s="84" t="str">
        <f t="shared" si="59"/>
        <v/>
      </c>
      <c r="W237" s="84" t="str">
        <f t="shared" si="45"/>
        <v/>
      </c>
      <c r="X237" s="21" t="str">
        <f t="shared" si="46"/>
        <v/>
      </c>
      <c r="Y237" s="60" t="str">
        <f t="shared" si="47"/>
        <v/>
      </c>
      <c r="Z237" s="60" t="str">
        <f t="shared" si="48"/>
        <v/>
      </c>
      <c r="AA237" s="64" t="str">
        <f t="shared" si="49"/>
        <v/>
      </c>
      <c r="AB237" s="64" t="str">
        <f>IF(AND(AA237&lt;&gt;"",AA237&lt;&gt;0), IF(E237="Muni", AA237, IF(E237 = "Corp", (1-'Investor Input'!$C$4-'Investor Input'!$C$5)*AA237, (1-'Investor Input'!$C$4)*AA237)), AA237)</f>
        <v/>
      </c>
      <c r="AC237" s="94" t="str">
        <f t="shared" si="50"/>
        <v/>
      </c>
      <c r="AD237" s="60" t="str">
        <f>IF(AND(M237&lt;&gt;"", M237&lt;&gt;0), N237/$N$505*MATCH(AC237,'Misc Lists'!$K$2:$K$25,0), "")</f>
        <v/>
      </c>
      <c r="AE237" s="90" t="str">
        <f t="shared" si="51"/>
        <v/>
      </c>
      <c r="AF237" s="99" t="str">
        <f>IF(AND(M237&lt;&gt;"", M237&lt;&gt;0), N237/$N$505*MATCH(AE237,'Misc Lists'!$L$2:$L$25,0), "")</f>
        <v/>
      </c>
    </row>
    <row r="238" spans="2:32" hidden="1" outlineLevel="1" x14ac:dyDescent="0.5">
      <c r="B238" s="60" t="str">
        <f ca="1"/>
        <v>45866FAV6</v>
      </c>
      <c r="C238" s="61" t="str">
        <f ca="1"/>
        <v>N/A</v>
      </c>
      <c r="D238" s="60" t="str">
        <f ca="1"/>
        <v>INTERCONTINENTAL    EXCHANGE INC NOTE   4.35000% 06/15/2029 CALL MAKE WHOLE</v>
      </c>
      <c r="E238" s="61" t="str">
        <f ca="1"/>
        <v>Corp</v>
      </c>
      <c r="F238" s="62">
        <f ca="1"/>
        <v>4.3499999999999996</v>
      </c>
      <c r="G238" s="63">
        <f ca="1"/>
        <v>47284</v>
      </c>
      <c r="H238" s="61" t="str">
        <f ca="1"/>
        <v>A3</v>
      </c>
      <c r="I238" s="61" t="str">
        <f ca="1"/>
        <v>A-</v>
      </c>
      <c r="J238" s="64">
        <f ca="1"/>
        <v>98.900999999999996</v>
      </c>
      <c r="K238" s="17">
        <f ca="1"/>
        <v>4.6360000000000001</v>
      </c>
      <c r="L238" s="17" t="str">
        <f ca="1"/>
        <v>100(10)</v>
      </c>
      <c r="M238" s="83"/>
      <c r="N238" s="84" t="str">
        <f t="shared" si="52"/>
        <v/>
      </c>
      <c r="O238" s="20" t="str">
        <f t="shared" si="53"/>
        <v/>
      </c>
      <c r="P238" s="64" t="str">
        <f t="shared" si="54"/>
        <v/>
      </c>
      <c r="Q238" s="85" t="str">
        <f t="shared" ca="1" si="55"/>
        <v/>
      </c>
      <c r="R238" s="86" t="str">
        <f t="shared" si="56"/>
        <v/>
      </c>
      <c r="S238" s="86" t="str">
        <f t="shared" si="57"/>
        <v/>
      </c>
      <c r="T238" s="104" t="str">
        <f t="shared" si="58"/>
        <v/>
      </c>
      <c r="U238" s="19" t="str">
        <f>IF(AND(M238&lt;&gt;"",M238&lt;&gt;0), IF(E238 = "Muni", T238, IF(E238="Corp", T238*(1 -'Investor Input'!$C$4-'Investor Input'!$C$5), T238*(1 -'Investor Input'!$C$4))), T238)</f>
        <v/>
      </c>
      <c r="V238" s="84" t="str">
        <f t="shared" si="59"/>
        <v/>
      </c>
      <c r="W238" s="84" t="str">
        <f t="shared" si="45"/>
        <v/>
      </c>
      <c r="X238" s="21" t="str">
        <f t="shared" si="46"/>
        <v/>
      </c>
      <c r="Y238" s="60" t="str">
        <f t="shared" si="47"/>
        <v/>
      </c>
      <c r="Z238" s="60" t="str">
        <f t="shared" si="48"/>
        <v/>
      </c>
      <c r="AA238" s="64" t="str">
        <f t="shared" si="49"/>
        <v/>
      </c>
      <c r="AB238" s="64" t="str">
        <f>IF(AND(AA238&lt;&gt;"",AA238&lt;&gt;0), IF(E238="Muni", AA238, IF(E238 = "Corp", (1-'Investor Input'!$C$4-'Investor Input'!$C$5)*AA238, (1-'Investor Input'!$C$4)*AA238)), AA238)</f>
        <v/>
      </c>
      <c r="AC238" s="94" t="str">
        <f t="shared" si="50"/>
        <v/>
      </c>
      <c r="AD238" s="60" t="str">
        <f>IF(AND(M238&lt;&gt;"", M238&lt;&gt;0), N238/$N$505*MATCH(AC238,'Misc Lists'!$K$2:$K$25,0), "")</f>
        <v/>
      </c>
      <c r="AE238" s="90" t="str">
        <f t="shared" si="51"/>
        <v/>
      </c>
      <c r="AF238" s="99" t="str">
        <f>IF(AND(M238&lt;&gt;"", M238&lt;&gt;0), N238/$N$505*MATCH(AE238,'Misc Lists'!$L$2:$L$25,0), "")</f>
        <v/>
      </c>
    </row>
    <row r="239" spans="2:32" hidden="1" outlineLevel="1" x14ac:dyDescent="0.5">
      <c r="B239" s="60" t="str">
        <f ca="1"/>
        <v>17330PU98</v>
      </c>
      <c r="C239" s="61" t="str">
        <f ca="1"/>
        <v>N/A</v>
      </c>
      <c r="D239" s="60" t="str">
        <f ca="1"/>
        <v>CITIGROUP GLOBAL    MKTS HLDGS IN SER N 4.75000% 06/30/2025 MTN</v>
      </c>
      <c r="E239" s="61" t="str">
        <f ca="1"/>
        <v>Corp</v>
      </c>
      <c r="F239" s="62">
        <f ca="1"/>
        <v>4.75</v>
      </c>
      <c r="G239" s="63">
        <f ca="1"/>
        <v>45838</v>
      </c>
      <c r="H239" s="61" t="str">
        <f ca="1"/>
        <v>A2</v>
      </c>
      <c r="I239" s="61" t="str">
        <f ca="1"/>
        <v>A</v>
      </c>
      <c r="J239" s="64">
        <f ca="1"/>
        <v>100.021</v>
      </c>
      <c r="K239" s="17">
        <f ca="1"/>
        <v>4.6349999999999998</v>
      </c>
      <c r="L239" s="17" t="str">
        <f ca="1"/>
        <v>500(5)</v>
      </c>
      <c r="M239" s="83"/>
      <c r="N239" s="84" t="str">
        <f t="shared" si="52"/>
        <v/>
      </c>
      <c r="O239" s="20" t="str">
        <f t="shared" si="53"/>
        <v/>
      </c>
      <c r="P239" s="64" t="str">
        <f t="shared" si="54"/>
        <v/>
      </c>
      <c r="Q239" s="85" t="str">
        <f t="shared" ca="1" si="55"/>
        <v/>
      </c>
      <c r="R239" s="86" t="str">
        <f t="shared" si="56"/>
        <v/>
      </c>
      <c r="S239" s="86" t="str">
        <f t="shared" si="57"/>
        <v/>
      </c>
      <c r="T239" s="104" t="str">
        <f t="shared" si="58"/>
        <v/>
      </c>
      <c r="U239" s="19" t="str">
        <f>IF(AND(M239&lt;&gt;"",M239&lt;&gt;0), IF(E239 = "Muni", T239, IF(E239="Corp", T239*(1 -'Investor Input'!$C$4-'Investor Input'!$C$5), T239*(1 -'Investor Input'!$C$4))), T239)</f>
        <v/>
      </c>
      <c r="V239" s="84" t="str">
        <f t="shared" si="59"/>
        <v/>
      </c>
      <c r="W239" s="84" t="str">
        <f t="shared" si="45"/>
        <v/>
      </c>
      <c r="X239" s="21" t="str">
        <f t="shared" si="46"/>
        <v/>
      </c>
      <c r="Y239" s="60" t="str">
        <f t="shared" si="47"/>
        <v/>
      </c>
      <c r="Z239" s="60" t="str">
        <f t="shared" si="48"/>
        <v/>
      </c>
      <c r="AA239" s="64" t="str">
        <f t="shared" si="49"/>
        <v/>
      </c>
      <c r="AB239" s="64" t="str">
        <f>IF(AND(AA239&lt;&gt;"",AA239&lt;&gt;0), IF(E239="Muni", AA239, IF(E239 = "Corp", (1-'Investor Input'!$C$4-'Investor Input'!$C$5)*AA239, (1-'Investor Input'!$C$4)*AA239)), AA239)</f>
        <v/>
      </c>
      <c r="AC239" s="94" t="str">
        <f t="shared" si="50"/>
        <v/>
      </c>
      <c r="AD239" s="60" t="str">
        <f>IF(AND(M239&lt;&gt;"", M239&lt;&gt;0), N239/$N$505*MATCH(AC239,'Misc Lists'!$K$2:$K$25,0), "")</f>
        <v/>
      </c>
      <c r="AE239" s="90" t="str">
        <f t="shared" si="51"/>
        <v/>
      </c>
      <c r="AF239" s="99" t="str">
        <f>IF(AND(M239&lt;&gt;"", M239&lt;&gt;0), N239/$N$505*MATCH(AE239,'Misc Lists'!$L$2:$L$25,0), "")</f>
        <v/>
      </c>
    </row>
    <row r="240" spans="2:32" hidden="1" outlineLevel="1" x14ac:dyDescent="0.5">
      <c r="B240" s="60" t="str">
        <f ca="1"/>
        <v>06368LGV2</v>
      </c>
      <c r="C240" s="61" t="str">
        <f ca="1"/>
        <v>N/A</v>
      </c>
      <c r="D240" s="60" t="str">
        <f ca="1"/>
        <v>BANK MONTREAL MEDIUMSER H NOTE          5.20300% 02/01/2028 CALL MAKE WHOLE</v>
      </c>
      <c r="E240" s="61" t="str">
        <f ca="1"/>
        <v>Corp</v>
      </c>
      <c r="F240" s="62">
        <f ca="1"/>
        <v>5.2030000000000003</v>
      </c>
      <c r="G240" s="63">
        <f ca="1"/>
        <v>46784</v>
      </c>
      <c r="H240" s="61" t="str">
        <f ca="1"/>
        <v>A2</v>
      </c>
      <c r="I240" s="61" t="str">
        <f ca="1"/>
        <v>A-</v>
      </c>
      <c r="J240" s="64">
        <f ca="1"/>
        <v>101.515</v>
      </c>
      <c r="K240" s="17">
        <f ca="1"/>
        <v>4.6340000000000003</v>
      </c>
      <c r="L240" s="17" t="str">
        <f ca="1"/>
        <v>200(2)</v>
      </c>
      <c r="M240" s="83"/>
      <c r="N240" s="84" t="str">
        <f t="shared" si="52"/>
        <v/>
      </c>
      <c r="O240" s="20" t="str">
        <f t="shared" si="53"/>
        <v/>
      </c>
      <c r="P240" s="64" t="str">
        <f t="shared" si="54"/>
        <v/>
      </c>
      <c r="Q240" s="85" t="str">
        <f t="shared" ca="1" si="55"/>
        <v/>
      </c>
      <c r="R240" s="86" t="str">
        <f t="shared" si="56"/>
        <v/>
      </c>
      <c r="S240" s="86" t="str">
        <f t="shared" si="57"/>
        <v/>
      </c>
      <c r="T240" s="104" t="str">
        <f t="shared" si="58"/>
        <v/>
      </c>
      <c r="U240" s="19" t="str">
        <f>IF(AND(M240&lt;&gt;"",M240&lt;&gt;0), IF(E240 = "Muni", T240, IF(E240="Corp", T240*(1 -'Investor Input'!$C$4-'Investor Input'!$C$5), T240*(1 -'Investor Input'!$C$4))), T240)</f>
        <v/>
      </c>
      <c r="V240" s="84" t="str">
        <f t="shared" si="59"/>
        <v/>
      </c>
      <c r="W240" s="84" t="str">
        <f t="shared" si="45"/>
        <v/>
      </c>
      <c r="X240" s="21" t="str">
        <f t="shared" si="46"/>
        <v/>
      </c>
      <c r="Y240" s="60" t="str">
        <f t="shared" si="47"/>
        <v/>
      </c>
      <c r="Z240" s="60" t="str">
        <f t="shared" si="48"/>
        <v/>
      </c>
      <c r="AA240" s="64" t="str">
        <f t="shared" si="49"/>
        <v/>
      </c>
      <c r="AB240" s="64" t="str">
        <f>IF(AND(AA240&lt;&gt;"",AA240&lt;&gt;0), IF(E240="Muni", AA240, IF(E240 = "Corp", (1-'Investor Input'!$C$4-'Investor Input'!$C$5)*AA240, (1-'Investor Input'!$C$4)*AA240)), AA240)</f>
        <v/>
      </c>
      <c r="AC240" s="94" t="str">
        <f t="shared" si="50"/>
        <v/>
      </c>
      <c r="AD240" s="60" t="str">
        <f>IF(AND(M240&lt;&gt;"", M240&lt;&gt;0), N240/$N$505*MATCH(AC240,'Misc Lists'!$K$2:$K$25,0), "")</f>
        <v/>
      </c>
      <c r="AE240" s="90" t="str">
        <f t="shared" si="51"/>
        <v/>
      </c>
      <c r="AF240" s="99" t="str">
        <f>IF(AND(M240&lt;&gt;"", M240&lt;&gt;0), N240/$N$505*MATCH(AE240,'Misc Lists'!$L$2:$L$25,0), "")</f>
        <v/>
      </c>
    </row>
    <row r="241" spans="2:32" hidden="1" outlineLevel="1" x14ac:dyDescent="0.5">
      <c r="B241" s="60" t="str">
        <f ca="1"/>
        <v>26444HAH4</v>
      </c>
      <c r="C241" s="61" t="str">
        <f ca="1"/>
        <v>N/A</v>
      </c>
      <c r="D241" s="60" t="str">
        <f ca="1"/>
        <v>DUKE ENERGY FLA LLC BOND CALL MAKE WHOLE2.50000% 12/01/2029</v>
      </c>
      <c r="E241" s="61" t="str">
        <f ca="1"/>
        <v>Corp</v>
      </c>
      <c r="F241" s="62">
        <f ca="1"/>
        <v>2.5</v>
      </c>
      <c r="G241" s="63">
        <f ca="1"/>
        <v>47453</v>
      </c>
      <c r="H241" s="61" t="str">
        <f ca="1"/>
        <v>A1</v>
      </c>
      <c r="I241" s="61" t="str">
        <f ca="1"/>
        <v>A</v>
      </c>
      <c r="J241" s="64">
        <f ca="1"/>
        <v>91.046000000000006</v>
      </c>
      <c r="K241" s="17">
        <f ca="1"/>
        <v>4.633</v>
      </c>
      <c r="L241" s="17" t="str">
        <f ca="1"/>
        <v>200(2)</v>
      </c>
      <c r="M241" s="83"/>
      <c r="N241" s="84" t="str">
        <f t="shared" si="52"/>
        <v/>
      </c>
      <c r="O241" s="20" t="str">
        <f t="shared" si="53"/>
        <v/>
      </c>
      <c r="P241" s="64" t="str">
        <f t="shared" si="54"/>
        <v/>
      </c>
      <c r="Q241" s="85" t="str">
        <f t="shared" ca="1" si="55"/>
        <v/>
      </c>
      <c r="R241" s="86" t="str">
        <f t="shared" si="56"/>
        <v/>
      </c>
      <c r="S241" s="86" t="str">
        <f t="shared" si="57"/>
        <v/>
      </c>
      <c r="T241" s="104" t="str">
        <f t="shared" si="58"/>
        <v/>
      </c>
      <c r="U241" s="19" t="str">
        <f>IF(AND(M241&lt;&gt;"",M241&lt;&gt;0), IF(E241 = "Muni", T241, IF(E241="Corp", T241*(1 -'Investor Input'!$C$4-'Investor Input'!$C$5), T241*(1 -'Investor Input'!$C$4))), T241)</f>
        <v/>
      </c>
      <c r="V241" s="84" t="str">
        <f t="shared" si="59"/>
        <v/>
      </c>
      <c r="W241" s="84" t="str">
        <f t="shared" si="45"/>
        <v/>
      </c>
      <c r="X241" s="21" t="str">
        <f t="shared" si="46"/>
        <v/>
      </c>
      <c r="Y241" s="60" t="str">
        <f t="shared" si="47"/>
        <v/>
      </c>
      <c r="Z241" s="60" t="str">
        <f t="shared" si="48"/>
        <v/>
      </c>
      <c r="AA241" s="64" t="str">
        <f t="shared" si="49"/>
        <v/>
      </c>
      <c r="AB241" s="64" t="str">
        <f>IF(AND(AA241&lt;&gt;"",AA241&lt;&gt;0), IF(E241="Muni", AA241, IF(E241 = "Corp", (1-'Investor Input'!$C$4-'Investor Input'!$C$5)*AA241, (1-'Investor Input'!$C$4)*AA241)), AA241)</f>
        <v/>
      </c>
      <c r="AC241" s="94" t="str">
        <f t="shared" si="50"/>
        <v/>
      </c>
      <c r="AD241" s="60" t="str">
        <f>IF(AND(M241&lt;&gt;"", M241&lt;&gt;0), N241/$N$505*MATCH(AC241,'Misc Lists'!$K$2:$K$25,0), "")</f>
        <v/>
      </c>
      <c r="AE241" s="90" t="str">
        <f t="shared" si="51"/>
        <v/>
      </c>
      <c r="AF241" s="99" t="str">
        <f>IF(AND(M241&lt;&gt;"", M241&lt;&gt;0), N241/$N$505*MATCH(AE241,'Misc Lists'!$L$2:$L$25,0), "")</f>
        <v/>
      </c>
    </row>
    <row r="242" spans="2:32" hidden="1" outlineLevel="1" x14ac:dyDescent="0.5">
      <c r="B242" s="60" t="str">
        <f ca="1"/>
        <v>26442CBA1</v>
      </c>
      <c r="C242" s="61" t="str">
        <f ca="1"/>
        <v>N/A</v>
      </c>
      <c r="D242" s="60" t="str">
        <f ca="1"/>
        <v>DUKE ENERGY         CAROLINAS LLC BOND  2.45000% 02/01/2030 CALL MAKE WHOLE</v>
      </c>
      <c r="E242" s="61" t="str">
        <f ca="1"/>
        <v>Corp</v>
      </c>
      <c r="F242" s="62">
        <f ca="1"/>
        <v>2.4500000000000002</v>
      </c>
      <c r="G242" s="63">
        <f ca="1"/>
        <v>47515</v>
      </c>
      <c r="H242" s="61" t="str">
        <f ca="1"/>
        <v>AA3</v>
      </c>
      <c r="I242" s="61" t="str">
        <f ca="1"/>
        <v>A</v>
      </c>
      <c r="J242" s="64">
        <f ca="1"/>
        <v>90.549000000000007</v>
      </c>
      <c r="K242" s="17">
        <f ca="1"/>
        <v>4.633</v>
      </c>
      <c r="L242" s="17" t="str">
        <f ca="1"/>
        <v>250(10)</v>
      </c>
      <c r="M242" s="83"/>
      <c r="N242" s="84" t="str">
        <f t="shared" si="52"/>
        <v/>
      </c>
      <c r="O242" s="20" t="str">
        <f t="shared" si="53"/>
        <v/>
      </c>
      <c r="P242" s="64" t="str">
        <f t="shared" si="54"/>
        <v/>
      </c>
      <c r="Q242" s="85" t="str">
        <f t="shared" ca="1" si="55"/>
        <v/>
      </c>
      <c r="R242" s="86" t="str">
        <f t="shared" si="56"/>
        <v/>
      </c>
      <c r="S242" s="86" t="str">
        <f t="shared" si="57"/>
        <v/>
      </c>
      <c r="T242" s="104" t="str">
        <f t="shared" si="58"/>
        <v/>
      </c>
      <c r="U242" s="19" t="str">
        <f>IF(AND(M242&lt;&gt;"",M242&lt;&gt;0), IF(E242 = "Muni", T242, IF(E242="Corp", T242*(1 -'Investor Input'!$C$4-'Investor Input'!$C$5), T242*(1 -'Investor Input'!$C$4))), T242)</f>
        <v/>
      </c>
      <c r="V242" s="84" t="str">
        <f t="shared" si="59"/>
        <v/>
      </c>
      <c r="W242" s="84" t="str">
        <f t="shared" si="45"/>
        <v/>
      </c>
      <c r="X242" s="21" t="str">
        <f t="shared" si="46"/>
        <v/>
      </c>
      <c r="Y242" s="60" t="str">
        <f t="shared" si="47"/>
        <v/>
      </c>
      <c r="Z242" s="60" t="str">
        <f t="shared" si="48"/>
        <v/>
      </c>
      <c r="AA242" s="64" t="str">
        <f t="shared" si="49"/>
        <v/>
      </c>
      <c r="AB242" s="64" t="str">
        <f>IF(AND(AA242&lt;&gt;"",AA242&lt;&gt;0), IF(E242="Muni", AA242, IF(E242 = "Corp", (1-'Investor Input'!$C$4-'Investor Input'!$C$5)*AA242, (1-'Investor Input'!$C$4)*AA242)), AA242)</f>
        <v/>
      </c>
      <c r="AC242" s="94" t="str">
        <f t="shared" si="50"/>
        <v/>
      </c>
      <c r="AD242" s="60" t="str">
        <f>IF(AND(M242&lt;&gt;"", M242&lt;&gt;0), N242/$N$505*MATCH(AC242,'Misc Lists'!$K$2:$K$25,0), "")</f>
        <v/>
      </c>
      <c r="AE242" s="90" t="str">
        <f t="shared" si="51"/>
        <v/>
      </c>
      <c r="AF242" s="99" t="str">
        <f>IF(AND(M242&lt;&gt;"", M242&lt;&gt;0), N242/$N$505*MATCH(AE242,'Misc Lists'!$L$2:$L$25,0), "")</f>
        <v/>
      </c>
    </row>
    <row r="243" spans="2:32" hidden="1" outlineLevel="1" x14ac:dyDescent="0.5">
      <c r="B243" s="60" t="str">
        <f ca="1"/>
        <v>654106AK9</v>
      </c>
      <c r="C243" s="61" t="str">
        <f ca="1"/>
        <v>N/A</v>
      </c>
      <c r="D243" s="60" t="str">
        <f ca="1"/>
        <v>NIKE INC            NOTE CALL MAKE WHOLE2.85000% 03/27/2030</v>
      </c>
      <c r="E243" s="61" t="str">
        <f ca="1"/>
        <v>Corp</v>
      </c>
      <c r="F243" s="62">
        <f ca="1"/>
        <v>2.85</v>
      </c>
      <c r="G243" s="63">
        <f ca="1"/>
        <v>47569</v>
      </c>
      <c r="H243" s="61" t="str">
        <f ca="1"/>
        <v>A1</v>
      </c>
      <c r="I243" s="61" t="str">
        <f ca="1"/>
        <v>AA-</v>
      </c>
      <c r="J243" s="64">
        <f ca="1"/>
        <v>92.063999999999993</v>
      </c>
      <c r="K243" s="17">
        <f ca="1"/>
        <v>4.633</v>
      </c>
      <c r="L243" s="17" t="str">
        <f ca="1"/>
        <v>500(2)</v>
      </c>
      <c r="M243" s="83"/>
      <c r="N243" s="84" t="str">
        <f t="shared" si="52"/>
        <v/>
      </c>
      <c r="O243" s="20" t="str">
        <f t="shared" si="53"/>
        <v/>
      </c>
      <c r="P243" s="64" t="str">
        <f t="shared" si="54"/>
        <v/>
      </c>
      <c r="Q243" s="85" t="str">
        <f t="shared" ca="1" si="55"/>
        <v/>
      </c>
      <c r="R243" s="86" t="str">
        <f t="shared" si="56"/>
        <v/>
      </c>
      <c r="S243" s="86" t="str">
        <f t="shared" si="57"/>
        <v/>
      </c>
      <c r="T243" s="104" t="str">
        <f t="shared" si="58"/>
        <v/>
      </c>
      <c r="U243" s="19" t="str">
        <f>IF(AND(M243&lt;&gt;"",M243&lt;&gt;0), IF(E243 = "Muni", T243, IF(E243="Corp", T243*(1 -'Investor Input'!$C$4-'Investor Input'!$C$5), T243*(1 -'Investor Input'!$C$4))), T243)</f>
        <v/>
      </c>
      <c r="V243" s="84" t="str">
        <f t="shared" si="59"/>
        <v/>
      </c>
      <c r="W243" s="84" t="str">
        <f t="shared" si="45"/>
        <v/>
      </c>
      <c r="X243" s="21" t="str">
        <f t="shared" si="46"/>
        <v/>
      </c>
      <c r="Y243" s="60" t="str">
        <f t="shared" si="47"/>
        <v/>
      </c>
      <c r="Z243" s="60" t="str">
        <f t="shared" si="48"/>
        <v/>
      </c>
      <c r="AA243" s="64" t="str">
        <f t="shared" si="49"/>
        <v/>
      </c>
      <c r="AB243" s="64" t="str">
        <f>IF(AND(AA243&lt;&gt;"",AA243&lt;&gt;0), IF(E243="Muni", AA243, IF(E243 = "Corp", (1-'Investor Input'!$C$4-'Investor Input'!$C$5)*AA243, (1-'Investor Input'!$C$4)*AA243)), AA243)</f>
        <v/>
      </c>
      <c r="AC243" s="94" t="str">
        <f t="shared" si="50"/>
        <v/>
      </c>
      <c r="AD243" s="60" t="str">
        <f>IF(AND(M243&lt;&gt;"", M243&lt;&gt;0), N243/$N$505*MATCH(AC243,'Misc Lists'!$K$2:$K$25,0), "")</f>
        <v/>
      </c>
      <c r="AE243" s="90" t="str">
        <f t="shared" si="51"/>
        <v/>
      </c>
      <c r="AF243" s="99" t="str">
        <f>IF(AND(M243&lt;&gt;"", M243&lt;&gt;0), N243/$N$505*MATCH(AE243,'Misc Lists'!$L$2:$L$25,0), "")</f>
        <v/>
      </c>
    </row>
    <row r="244" spans="2:32" hidden="1" outlineLevel="1" x14ac:dyDescent="0.5">
      <c r="B244" s="60" t="str">
        <f ca="1"/>
        <v>03040WAS4</v>
      </c>
      <c r="C244" s="61" t="str">
        <f ca="1"/>
        <v>N/A</v>
      </c>
      <c r="D244" s="60" t="str">
        <f ca="1"/>
        <v>AMERICAN WTR CAP    CORP NOTE           3.75000% 09/01/2028 CALL MAKE WHOLE</v>
      </c>
      <c r="E244" s="61" t="str">
        <f ca="1"/>
        <v>Corp</v>
      </c>
      <c r="F244" s="62">
        <f ca="1"/>
        <v>3.75</v>
      </c>
      <c r="G244" s="63">
        <f ca="1"/>
        <v>46997</v>
      </c>
      <c r="H244" s="61" t="str">
        <f ca="1"/>
        <v>BAA1</v>
      </c>
      <c r="I244" s="61" t="str">
        <f ca="1"/>
        <v>A</v>
      </c>
      <c r="J244" s="64">
        <f ca="1"/>
        <v>97.212000000000003</v>
      </c>
      <c r="K244" s="17">
        <f ca="1"/>
        <v>4.6289999999999996</v>
      </c>
      <c r="L244" s="17" t="str">
        <f ca="1"/>
        <v>475(1)</v>
      </c>
      <c r="M244" s="83"/>
      <c r="N244" s="84" t="str">
        <f t="shared" si="52"/>
        <v/>
      </c>
      <c r="O244" s="20" t="str">
        <f t="shared" si="53"/>
        <v/>
      </c>
      <c r="P244" s="64" t="str">
        <f t="shared" si="54"/>
        <v/>
      </c>
      <c r="Q244" s="85" t="str">
        <f t="shared" ca="1" si="55"/>
        <v/>
      </c>
      <c r="R244" s="86" t="str">
        <f t="shared" si="56"/>
        <v/>
      </c>
      <c r="S244" s="86" t="str">
        <f t="shared" si="57"/>
        <v/>
      </c>
      <c r="T244" s="104" t="str">
        <f t="shared" si="58"/>
        <v/>
      </c>
      <c r="U244" s="19" t="str">
        <f>IF(AND(M244&lt;&gt;"",M244&lt;&gt;0), IF(E244 = "Muni", T244, IF(E244="Corp", T244*(1 -'Investor Input'!$C$4-'Investor Input'!$C$5), T244*(1 -'Investor Input'!$C$4))), T244)</f>
        <v/>
      </c>
      <c r="V244" s="84" t="str">
        <f t="shared" si="59"/>
        <v/>
      </c>
      <c r="W244" s="84" t="str">
        <f t="shared" si="45"/>
        <v/>
      </c>
      <c r="X244" s="21" t="str">
        <f t="shared" si="46"/>
        <v/>
      </c>
      <c r="Y244" s="60" t="str">
        <f t="shared" si="47"/>
        <v/>
      </c>
      <c r="Z244" s="60" t="str">
        <f t="shared" si="48"/>
        <v/>
      </c>
      <c r="AA244" s="64" t="str">
        <f t="shared" si="49"/>
        <v/>
      </c>
      <c r="AB244" s="64" t="str">
        <f>IF(AND(AA244&lt;&gt;"",AA244&lt;&gt;0), IF(E244="Muni", AA244, IF(E244 = "Corp", (1-'Investor Input'!$C$4-'Investor Input'!$C$5)*AA244, (1-'Investor Input'!$C$4)*AA244)), AA244)</f>
        <v/>
      </c>
      <c r="AC244" s="94" t="str">
        <f t="shared" si="50"/>
        <v/>
      </c>
      <c r="AD244" s="60" t="str">
        <f>IF(AND(M244&lt;&gt;"", M244&lt;&gt;0), N244/$N$505*MATCH(AC244,'Misc Lists'!$K$2:$K$25,0), "")</f>
        <v/>
      </c>
      <c r="AE244" s="90" t="str">
        <f t="shared" si="51"/>
        <v/>
      </c>
      <c r="AF244" s="99" t="str">
        <f>IF(AND(M244&lt;&gt;"", M244&lt;&gt;0), N244/$N$505*MATCH(AE244,'Misc Lists'!$L$2:$L$25,0), "")</f>
        <v/>
      </c>
    </row>
    <row r="245" spans="2:32" hidden="1" outlineLevel="1" x14ac:dyDescent="0.5">
      <c r="B245" s="60" t="str">
        <f ca="1"/>
        <v>449276AC8</v>
      </c>
      <c r="C245" s="61" t="str">
        <f ca="1"/>
        <v>N/A</v>
      </c>
      <c r="D245" s="60" t="str">
        <f ca="1"/>
        <v>IBM INTL CAP PTE LTDNOTE CALL MAKE WHOLE4.60000% 02/05/2029 ISIN #US449276AC85</v>
      </c>
      <c r="E245" s="61" t="str">
        <f ca="1"/>
        <v>Corp</v>
      </c>
      <c r="F245" s="62">
        <f ca="1"/>
        <v>4.5999999999999996</v>
      </c>
      <c r="G245" s="63">
        <f ca="1"/>
        <v>47154</v>
      </c>
      <c r="H245" s="61" t="str">
        <f ca="1"/>
        <v>A3</v>
      </c>
      <c r="I245" s="61" t="str">
        <f ca="1"/>
        <v>A-</v>
      </c>
      <c r="J245" s="64">
        <f ca="1"/>
        <v>99.893000000000001</v>
      </c>
      <c r="K245" s="17">
        <f ca="1"/>
        <v>4.6289999999999996</v>
      </c>
      <c r="L245" s="17" t="str">
        <f ca="1"/>
        <v>1,000(100)</v>
      </c>
      <c r="M245" s="83"/>
      <c r="N245" s="84" t="str">
        <f t="shared" si="52"/>
        <v/>
      </c>
      <c r="O245" s="20" t="str">
        <f t="shared" si="53"/>
        <v/>
      </c>
      <c r="P245" s="64" t="str">
        <f t="shared" si="54"/>
        <v/>
      </c>
      <c r="Q245" s="85" t="str">
        <f t="shared" ca="1" si="55"/>
        <v/>
      </c>
      <c r="R245" s="86" t="str">
        <f t="shared" si="56"/>
        <v/>
      </c>
      <c r="S245" s="86" t="str">
        <f t="shared" si="57"/>
        <v/>
      </c>
      <c r="T245" s="104" t="str">
        <f t="shared" si="58"/>
        <v/>
      </c>
      <c r="U245" s="19" t="str">
        <f>IF(AND(M245&lt;&gt;"",M245&lt;&gt;0), IF(E245 = "Muni", T245, IF(E245="Corp", T245*(1 -'Investor Input'!$C$4-'Investor Input'!$C$5), T245*(1 -'Investor Input'!$C$4))), T245)</f>
        <v/>
      </c>
      <c r="V245" s="84" t="str">
        <f t="shared" si="59"/>
        <v/>
      </c>
      <c r="W245" s="84" t="str">
        <f t="shared" si="45"/>
        <v/>
      </c>
      <c r="X245" s="21" t="str">
        <f t="shared" si="46"/>
        <v/>
      </c>
      <c r="Y245" s="60" t="str">
        <f t="shared" si="47"/>
        <v/>
      </c>
      <c r="Z245" s="60" t="str">
        <f t="shared" si="48"/>
        <v/>
      </c>
      <c r="AA245" s="64" t="str">
        <f t="shared" si="49"/>
        <v/>
      </c>
      <c r="AB245" s="64" t="str">
        <f>IF(AND(AA245&lt;&gt;"",AA245&lt;&gt;0), IF(E245="Muni", AA245, IF(E245 = "Corp", (1-'Investor Input'!$C$4-'Investor Input'!$C$5)*AA245, (1-'Investor Input'!$C$4)*AA245)), AA245)</f>
        <v/>
      </c>
      <c r="AC245" s="94" t="str">
        <f t="shared" si="50"/>
        <v/>
      </c>
      <c r="AD245" s="60" t="str">
        <f>IF(AND(M245&lt;&gt;"", M245&lt;&gt;0), N245/$N$505*MATCH(AC245,'Misc Lists'!$K$2:$K$25,0), "")</f>
        <v/>
      </c>
      <c r="AE245" s="90" t="str">
        <f t="shared" si="51"/>
        <v/>
      </c>
      <c r="AF245" s="99" t="str">
        <f>IF(AND(M245&lt;&gt;"", M245&lt;&gt;0), N245/$N$505*MATCH(AE245,'Misc Lists'!$L$2:$L$25,0), "")</f>
        <v/>
      </c>
    </row>
    <row r="246" spans="2:32" hidden="1" outlineLevel="1" x14ac:dyDescent="0.5">
      <c r="B246" s="60" t="str">
        <f ca="1"/>
        <v>55279HAT7</v>
      </c>
      <c r="C246" s="61" t="str">
        <f ca="1"/>
        <v>N/A</v>
      </c>
      <c r="D246" s="60" t="str">
        <f ca="1"/>
        <v>MANUFACTURERS &amp;TRADERS TR CO NOTE 5.40000% 11/21/2025 CALL MAKE WHOLE</v>
      </c>
      <c r="E246" s="61" t="str">
        <f ca="1"/>
        <v>Corp</v>
      </c>
      <c r="F246" s="62">
        <f ca="1"/>
        <v>5.4</v>
      </c>
      <c r="G246" s="63">
        <f ca="1"/>
        <v>45982</v>
      </c>
      <c r="H246" s="61" t="str">
        <f ca="1"/>
        <v>A3</v>
      </c>
      <c r="I246" s="61" t="str">
        <f ca="1"/>
        <v>A-</v>
      </c>
      <c r="J246" s="64">
        <f ca="1"/>
        <v>100.51300000000001</v>
      </c>
      <c r="K246" s="17">
        <f ca="1"/>
        <v>4.6269999999999998</v>
      </c>
      <c r="L246" s="17" t="str">
        <f ca="1"/>
        <v>650(250)</v>
      </c>
      <c r="M246" s="83"/>
      <c r="N246" s="84" t="str">
        <f t="shared" si="52"/>
        <v/>
      </c>
      <c r="O246" s="20" t="str">
        <f t="shared" si="53"/>
        <v/>
      </c>
      <c r="P246" s="64" t="str">
        <f t="shared" si="54"/>
        <v/>
      </c>
      <c r="Q246" s="85" t="str">
        <f t="shared" ca="1" si="55"/>
        <v/>
      </c>
      <c r="R246" s="86" t="str">
        <f t="shared" si="56"/>
        <v/>
      </c>
      <c r="S246" s="86" t="str">
        <f t="shared" si="57"/>
        <v/>
      </c>
      <c r="T246" s="104" t="str">
        <f t="shared" si="58"/>
        <v/>
      </c>
      <c r="U246" s="19" t="str">
        <f>IF(AND(M246&lt;&gt;"",M246&lt;&gt;0), IF(E246 = "Muni", T246, IF(E246="Corp", T246*(1 -'Investor Input'!$C$4-'Investor Input'!$C$5), T246*(1 -'Investor Input'!$C$4))), T246)</f>
        <v/>
      </c>
      <c r="V246" s="84" t="str">
        <f t="shared" si="59"/>
        <v/>
      </c>
      <c r="W246" s="84" t="str">
        <f t="shared" si="45"/>
        <v/>
      </c>
      <c r="X246" s="21" t="str">
        <f t="shared" si="46"/>
        <v/>
      </c>
      <c r="Y246" s="60" t="str">
        <f t="shared" si="47"/>
        <v/>
      </c>
      <c r="Z246" s="60" t="str">
        <f t="shared" si="48"/>
        <v/>
      </c>
      <c r="AA246" s="64" t="str">
        <f t="shared" si="49"/>
        <v/>
      </c>
      <c r="AB246" s="64" t="str">
        <f>IF(AND(AA246&lt;&gt;"",AA246&lt;&gt;0), IF(E246="Muni", AA246, IF(E246 = "Corp", (1-'Investor Input'!$C$4-'Investor Input'!$C$5)*AA246, (1-'Investor Input'!$C$4)*AA246)), AA246)</f>
        <v/>
      </c>
      <c r="AC246" s="94" t="str">
        <f t="shared" si="50"/>
        <v/>
      </c>
      <c r="AD246" s="60" t="str">
        <f>IF(AND(M246&lt;&gt;"", M246&lt;&gt;0), N246/$N$505*MATCH(AC246,'Misc Lists'!$K$2:$K$25,0), "")</f>
        <v/>
      </c>
      <c r="AE246" s="90" t="str">
        <f t="shared" si="51"/>
        <v/>
      </c>
      <c r="AF246" s="99" t="str">
        <f>IF(AND(M246&lt;&gt;"", M246&lt;&gt;0), N246/$N$505*MATCH(AE246,'Misc Lists'!$L$2:$L$25,0), "")</f>
        <v/>
      </c>
    </row>
    <row r="247" spans="2:32" hidden="1" outlineLevel="1" x14ac:dyDescent="0.5">
      <c r="B247" s="60" t="str">
        <f ca="1"/>
        <v>11271LAC6</v>
      </c>
      <c r="C247" s="61" t="str">
        <f ca="1"/>
        <v>N/A</v>
      </c>
      <c r="D247" s="60" t="str">
        <f ca="1"/>
        <v>BROOKFIELD FIN INC  NOTE CALL MAKE WHOLE3.90000% 01/25/2028</v>
      </c>
      <c r="E247" s="61" t="str">
        <f ca="1"/>
        <v>Corp</v>
      </c>
      <c r="F247" s="62">
        <f ca="1"/>
        <v>3.9</v>
      </c>
      <c r="G247" s="63">
        <f ca="1"/>
        <v>46777</v>
      </c>
      <c r="H247" s="61" t="str">
        <f ca="1"/>
        <v>A3</v>
      </c>
      <c r="I247" s="61" t="str">
        <f ca="1"/>
        <v>A-</v>
      </c>
      <c r="J247" s="64">
        <f ca="1"/>
        <v>98.061999999999998</v>
      </c>
      <c r="K247" s="17">
        <f ca="1"/>
        <v>4.6269999999999998</v>
      </c>
      <c r="L247" s="17" t="str">
        <f ca="1"/>
        <v>204(10)</v>
      </c>
      <c r="M247" s="83"/>
      <c r="N247" s="84" t="str">
        <f t="shared" si="52"/>
        <v/>
      </c>
      <c r="O247" s="20" t="str">
        <f t="shared" si="53"/>
        <v/>
      </c>
      <c r="P247" s="64" t="str">
        <f t="shared" si="54"/>
        <v/>
      </c>
      <c r="Q247" s="85" t="str">
        <f t="shared" ca="1" si="55"/>
        <v/>
      </c>
      <c r="R247" s="86" t="str">
        <f t="shared" si="56"/>
        <v/>
      </c>
      <c r="S247" s="86" t="str">
        <f t="shared" si="57"/>
        <v/>
      </c>
      <c r="T247" s="104" t="str">
        <f t="shared" si="58"/>
        <v/>
      </c>
      <c r="U247" s="19" t="str">
        <f>IF(AND(M247&lt;&gt;"",M247&lt;&gt;0), IF(E247 = "Muni", T247, IF(E247="Corp", T247*(1 -'Investor Input'!$C$4-'Investor Input'!$C$5), T247*(1 -'Investor Input'!$C$4))), T247)</f>
        <v/>
      </c>
      <c r="V247" s="84" t="str">
        <f t="shared" si="59"/>
        <v/>
      </c>
      <c r="W247" s="84" t="str">
        <f t="shared" si="45"/>
        <v/>
      </c>
      <c r="X247" s="21" t="str">
        <f t="shared" si="46"/>
        <v/>
      </c>
      <c r="Y247" s="60" t="str">
        <f t="shared" si="47"/>
        <v/>
      </c>
      <c r="Z247" s="60" t="str">
        <f t="shared" si="48"/>
        <v/>
      </c>
      <c r="AA247" s="64" t="str">
        <f t="shared" si="49"/>
        <v/>
      </c>
      <c r="AB247" s="64" t="str">
        <f>IF(AND(AA247&lt;&gt;"",AA247&lt;&gt;0), IF(E247="Muni", AA247, IF(E247 = "Corp", (1-'Investor Input'!$C$4-'Investor Input'!$C$5)*AA247, (1-'Investor Input'!$C$4)*AA247)), AA247)</f>
        <v/>
      </c>
      <c r="AC247" s="94" t="str">
        <f t="shared" si="50"/>
        <v/>
      </c>
      <c r="AD247" s="60" t="str">
        <f>IF(AND(M247&lt;&gt;"", M247&lt;&gt;0), N247/$N$505*MATCH(AC247,'Misc Lists'!$K$2:$K$25,0), "")</f>
        <v/>
      </c>
      <c r="AE247" s="90" t="str">
        <f t="shared" si="51"/>
        <v/>
      </c>
      <c r="AF247" s="99" t="str">
        <f>IF(AND(M247&lt;&gt;"", M247&lt;&gt;0), N247/$N$505*MATCH(AE247,'Misc Lists'!$L$2:$L$25,0), "")</f>
        <v/>
      </c>
    </row>
    <row r="248" spans="2:32" hidden="1" outlineLevel="1" x14ac:dyDescent="0.5">
      <c r="B248" s="60" t="str">
        <f ca="1"/>
        <v>89236TGU3</v>
      </c>
      <c r="C248" s="61" t="str">
        <f ca="1"/>
        <v>N/A</v>
      </c>
      <c r="D248" s="60" t="str">
        <f ca="1"/>
        <v>TOYOTA MTR CR CORP  SER B MTN           2.15000% 02/13/2030 CALL MAKE WHOLE</v>
      </c>
      <c r="E248" s="61" t="str">
        <f ca="1"/>
        <v>Corp</v>
      </c>
      <c r="F248" s="62">
        <f ca="1"/>
        <v>2.15</v>
      </c>
      <c r="G248" s="63">
        <f ca="1"/>
        <v>47527</v>
      </c>
      <c r="H248" s="61" t="str">
        <f ca="1"/>
        <v>A1</v>
      </c>
      <c r="I248" s="61" t="str">
        <f ca="1"/>
        <v>A+</v>
      </c>
      <c r="J248" s="64">
        <f ca="1"/>
        <v>89.209000000000003</v>
      </c>
      <c r="K248" s="17">
        <f ca="1"/>
        <v>4.6269999999999998</v>
      </c>
      <c r="L248" s="17" t="str">
        <f ca="1"/>
        <v>500(2)</v>
      </c>
      <c r="M248" s="83"/>
      <c r="N248" s="84" t="str">
        <f t="shared" si="52"/>
        <v/>
      </c>
      <c r="O248" s="20" t="str">
        <f t="shared" si="53"/>
        <v/>
      </c>
      <c r="P248" s="64" t="str">
        <f t="shared" si="54"/>
        <v/>
      </c>
      <c r="Q248" s="85" t="str">
        <f t="shared" ca="1" si="55"/>
        <v/>
      </c>
      <c r="R248" s="86" t="str">
        <f t="shared" si="56"/>
        <v/>
      </c>
      <c r="S248" s="86" t="str">
        <f t="shared" si="57"/>
        <v/>
      </c>
      <c r="T248" s="104" t="str">
        <f t="shared" si="58"/>
        <v/>
      </c>
      <c r="U248" s="19" t="str">
        <f>IF(AND(M248&lt;&gt;"",M248&lt;&gt;0), IF(E248 = "Muni", T248, IF(E248="Corp", T248*(1 -'Investor Input'!$C$4-'Investor Input'!$C$5), T248*(1 -'Investor Input'!$C$4))), T248)</f>
        <v/>
      </c>
      <c r="V248" s="84" t="str">
        <f t="shared" si="59"/>
        <v/>
      </c>
      <c r="W248" s="84" t="str">
        <f t="shared" si="45"/>
        <v/>
      </c>
      <c r="X248" s="21" t="str">
        <f t="shared" si="46"/>
        <v/>
      </c>
      <c r="Y248" s="60" t="str">
        <f t="shared" si="47"/>
        <v/>
      </c>
      <c r="Z248" s="60" t="str">
        <f t="shared" si="48"/>
        <v/>
      </c>
      <c r="AA248" s="64" t="str">
        <f t="shared" si="49"/>
        <v/>
      </c>
      <c r="AB248" s="64" t="str">
        <f>IF(AND(AA248&lt;&gt;"",AA248&lt;&gt;0), IF(E248="Muni", AA248, IF(E248 = "Corp", (1-'Investor Input'!$C$4-'Investor Input'!$C$5)*AA248, (1-'Investor Input'!$C$4)*AA248)), AA248)</f>
        <v/>
      </c>
      <c r="AC248" s="94" t="str">
        <f t="shared" si="50"/>
        <v/>
      </c>
      <c r="AD248" s="60" t="str">
        <f>IF(AND(M248&lt;&gt;"", M248&lt;&gt;0), N248/$N$505*MATCH(AC248,'Misc Lists'!$K$2:$K$25,0), "")</f>
        <v/>
      </c>
      <c r="AE248" s="90" t="str">
        <f t="shared" si="51"/>
        <v/>
      </c>
      <c r="AF248" s="99" t="str">
        <f>IF(AND(M248&lt;&gt;"", M248&lt;&gt;0), N248/$N$505*MATCH(AE248,'Misc Lists'!$L$2:$L$25,0), "")</f>
        <v/>
      </c>
    </row>
    <row r="249" spans="2:32" hidden="1" outlineLevel="1" x14ac:dyDescent="0.5">
      <c r="B249" s="60" t="str">
        <f ca="1"/>
        <v>02665WEM9</v>
      </c>
      <c r="C249" s="61" t="str">
        <f ca="1"/>
        <v>N/A</v>
      </c>
      <c r="D249" s="60" t="str">
        <f ca="1"/>
        <v>AMERICAN HONDA FIN  CORP  MTN           5.12500% 07/07/2028 CALL MAKE WHOLE</v>
      </c>
      <c r="E249" s="61" t="str">
        <f ca="1"/>
        <v>Corp</v>
      </c>
      <c r="F249" s="62">
        <f ca="1"/>
        <v>5.125</v>
      </c>
      <c r="G249" s="63">
        <f ca="1"/>
        <v>46941</v>
      </c>
      <c r="H249" s="61" t="str">
        <f ca="1"/>
        <v>A3</v>
      </c>
      <c r="I249" s="61" t="str">
        <f ca="1"/>
        <v>A-</v>
      </c>
      <c r="J249" s="64">
        <f ca="1"/>
        <v>101.514</v>
      </c>
      <c r="K249" s="17">
        <f ca="1"/>
        <v>4.6260000000000003</v>
      </c>
      <c r="L249" s="17" t="str">
        <f ca="1"/>
        <v>228(5)</v>
      </c>
      <c r="M249" s="83"/>
      <c r="N249" s="84" t="str">
        <f t="shared" si="52"/>
        <v/>
      </c>
      <c r="O249" s="20" t="str">
        <f t="shared" si="53"/>
        <v/>
      </c>
      <c r="P249" s="64" t="str">
        <f t="shared" si="54"/>
        <v/>
      </c>
      <c r="Q249" s="85" t="str">
        <f t="shared" ca="1" si="55"/>
        <v/>
      </c>
      <c r="R249" s="86" t="str">
        <f t="shared" si="56"/>
        <v/>
      </c>
      <c r="S249" s="86" t="str">
        <f t="shared" si="57"/>
        <v/>
      </c>
      <c r="T249" s="104" t="str">
        <f t="shared" si="58"/>
        <v/>
      </c>
      <c r="U249" s="19" t="str">
        <f>IF(AND(M249&lt;&gt;"",M249&lt;&gt;0), IF(E249 = "Muni", T249, IF(E249="Corp", T249*(1 -'Investor Input'!$C$4-'Investor Input'!$C$5), T249*(1 -'Investor Input'!$C$4))), T249)</f>
        <v/>
      </c>
      <c r="V249" s="84" t="str">
        <f t="shared" si="59"/>
        <v/>
      </c>
      <c r="W249" s="84" t="str">
        <f t="shared" si="45"/>
        <v/>
      </c>
      <c r="X249" s="21" t="str">
        <f t="shared" si="46"/>
        <v/>
      </c>
      <c r="Y249" s="60" t="str">
        <f t="shared" si="47"/>
        <v/>
      </c>
      <c r="Z249" s="60" t="str">
        <f t="shared" si="48"/>
        <v/>
      </c>
      <c r="AA249" s="64" t="str">
        <f t="shared" si="49"/>
        <v/>
      </c>
      <c r="AB249" s="64" t="str">
        <f>IF(AND(AA249&lt;&gt;"",AA249&lt;&gt;0), IF(E249="Muni", AA249, IF(E249 = "Corp", (1-'Investor Input'!$C$4-'Investor Input'!$C$5)*AA249, (1-'Investor Input'!$C$4)*AA249)), AA249)</f>
        <v/>
      </c>
      <c r="AC249" s="94" t="str">
        <f t="shared" si="50"/>
        <v/>
      </c>
      <c r="AD249" s="60" t="str">
        <f>IF(AND(M249&lt;&gt;"", M249&lt;&gt;0), N249/$N$505*MATCH(AC249,'Misc Lists'!$K$2:$K$25,0), "")</f>
        <v/>
      </c>
      <c r="AE249" s="90" t="str">
        <f t="shared" si="51"/>
        <v/>
      </c>
      <c r="AF249" s="99" t="str">
        <f>IF(AND(M249&lt;&gt;"", M249&lt;&gt;0), N249/$N$505*MATCH(AE249,'Misc Lists'!$L$2:$L$25,0), "")</f>
        <v/>
      </c>
    </row>
    <row r="250" spans="2:32" hidden="1" outlineLevel="1" x14ac:dyDescent="0.5">
      <c r="B250" s="60" t="str">
        <f ca="1"/>
        <v>133131AW2</v>
      </c>
      <c r="C250" s="61" t="str">
        <f ca="1"/>
        <v>N/A</v>
      </c>
      <c r="D250" s="60" t="str">
        <f ca="1"/>
        <v>CAMDEN PPTY TR      NOTE CALL MAKE WHOLE4.10000% 10/15/2028</v>
      </c>
      <c r="E250" s="61" t="str">
        <f ca="1"/>
        <v>Corp</v>
      </c>
      <c r="F250" s="62">
        <f ca="1"/>
        <v>4.0999999999999996</v>
      </c>
      <c r="G250" s="63">
        <f ca="1"/>
        <v>47041</v>
      </c>
      <c r="H250" s="61" t="str">
        <f ca="1"/>
        <v>A3</v>
      </c>
      <c r="I250" s="61" t="str">
        <f ca="1"/>
        <v>A-</v>
      </c>
      <c r="J250" s="64">
        <f ca="1"/>
        <v>98.275000000000006</v>
      </c>
      <c r="K250" s="17">
        <f ca="1"/>
        <v>4.6260000000000003</v>
      </c>
      <c r="L250" s="17" t="str">
        <f ca="1"/>
        <v>500(2)</v>
      </c>
      <c r="M250" s="83"/>
      <c r="N250" s="84" t="str">
        <f t="shared" si="52"/>
        <v/>
      </c>
      <c r="O250" s="20" t="str">
        <f t="shared" si="53"/>
        <v/>
      </c>
      <c r="P250" s="64" t="str">
        <f t="shared" si="54"/>
        <v/>
      </c>
      <c r="Q250" s="85" t="str">
        <f t="shared" ca="1" si="55"/>
        <v/>
      </c>
      <c r="R250" s="86" t="str">
        <f t="shared" si="56"/>
        <v/>
      </c>
      <c r="S250" s="86" t="str">
        <f t="shared" si="57"/>
        <v/>
      </c>
      <c r="T250" s="104" t="str">
        <f t="shared" si="58"/>
        <v/>
      </c>
      <c r="U250" s="19" t="str">
        <f>IF(AND(M250&lt;&gt;"",M250&lt;&gt;0), IF(E250 = "Muni", T250, IF(E250="Corp", T250*(1 -'Investor Input'!$C$4-'Investor Input'!$C$5), T250*(1 -'Investor Input'!$C$4))), T250)</f>
        <v/>
      </c>
      <c r="V250" s="84" t="str">
        <f t="shared" si="59"/>
        <v/>
      </c>
      <c r="W250" s="84" t="str">
        <f t="shared" si="45"/>
        <v/>
      </c>
      <c r="X250" s="21" t="str">
        <f t="shared" si="46"/>
        <v/>
      </c>
      <c r="Y250" s="60" t="str">
        <f t="shared" si="47"/>
        <v/>
      </c>
      <c r="Z250" s="60" t="str">
        <f t="shared" si="48"/>
        <v/>
      </c>
      <c r="AA250" s="64" t="str">
        <f t="shared" si="49"/>
        <v/>
      </c>
      <c r="AB250" s="64" t="str">
        <f>IF(AND(AA250&lt;&gt;"",AA250&lt;&gt;0), IF(E250="Muni", AA250, IF(E250 = "Corp", (1-'Investor Input'!$C$4-'Investor Input'!$C$5)*AA250, (1-'Investor Input'!$C$4)*AA250)), AA250)</f>
        <v/>
      </c>
      <c r="AC250" s="94" t="str">
        <f t="shared" si="50"/>
        <v/>
      </c>
      <c r="AD250" s="60" t="str">
        <f>IF(AND(M250&lt;&gt;"", M250&lt;&gt;0), N250/$N$505*MATCH(AC250,'Misc Lists'!$K$2:$K$25,0), "")</f>
        <v/>
      </c>
      <c r="AE250" s="90" t="str">
        <f t="shared" si="51"/>
        <v/>
      </c>
      <c r="AF250" s="99" t="str">
        <f>IF(AND(M250&lt;&gt;"", M250&lt;&gt;0), N250/$N$505*MATCH(AE250,'Misc Lists'!$L$2:$L$25,0), "")</f>
        <v/>
      </c>
    </row>
    <row r="251" spans="2:32" hidden="1" outlineLevel="1" x14ac:dyDescent="0.5">
      <c r="B251" s="60" t="str">
        <f ca="1"/>
        <v>717081EW9</v>
      </c>
      <c r="C251" s="61" t="str">
        <f ca="1"/>
        <v>N/A</v>
      </c>
      <c r="D251" s="60" t="str">
        <f ca="1"/>
        <v>PFIZER INC          NOTE CALL MAKE WHOLE2.62500% 04/01/2030</v>
      </c>
      <c r="E251" s="61" t="str">
        <f ca="1"/>
        <v>Corp</v>
      </c>
      <c r="F251" s="62">
        <f ca="1"/>
        <v>2.625</v>
      </c>
      <c r="G251" s="63">
        <f ca="1"/>
        <v>47574</v>
      </c>
      <c r="H251" s="61" t="str">
        <f ca="1"/>
        <v>A2</v>
      </c>
      <c r="I251" s="61" t="str">
        <f ca="1"/>
        <v>A</v>
      </c>
      <c r="J251" s="64">
        <f ca="1"/>
        <v>91.078999999999994</v>
      </c>
      <c r="K251" s="17">
        <f ca="1"/>
        <v>4.625</v>
      </c>
      <c r="L251" s="17" t="str">
        <f ca="1"/>
        <v>250(5)</v>
      </c>
      <c r="M251" s="83"/>
      <c r="N251" s="84" t="str">
        <f t="shared" si="52"/>
        <v/>
      </c>
      <c r="O251" s="20" t="str">
        <f t="shared" si="53"/>
        <v/>
      </c>
      <c r="P251" s="64" t="str">
        <f t="shared" si="54"/>
        <v/>
      </c>
      <c r="Q251" s="85" t="str">
        <f t="shared" ca="1" si="55"/>
        <v/>
      </c>
      <c r="R251" s="86" t="str">
        <f t="shared" si="56"/>
        <v/>
      </c>
      <c r="S251" s="86" t="str">
        <f t="shared" si="57"/>
        <v/>
      </c>
      <c r="T251" s="104" t="str">
        <f t="shared" si="58"/>
        <v/>
      </c>
      <c r="U251" s="19" t="str">
        <f>IF(AND(M251&lt;&gt;"",M251&lt;&gt;0), IF(E251 = "Muni", T251, IF(E251="Corp", T251*(1 -'Investor Input'!$C$4-'Investor Input'!$C$5), T251*(1 -'Investor Input'!$C$4))), T251)</f>
        <v/>
      </c>
      <c r="V251" s="84" t="str">
        <f t="shared" si="59"/>
        <v/>
      </c>
      <c r="W251" s="84" t="str">
        <f t="shared" si="45"/>
        <v/>
      </c>
      <c r="X251" s="21" t="str">
        <f t="shared" si="46"/>
        <v/>
      </c>
      <c r="Y251" s="60" t="str">
        <f t="shared" si="47"/>
        <v/>
      </c>
      <c r="Z251" s="60" t="str">
        <f t="shared" si="48"/>
        <v/>
      </c>
      <c r="AA251" s="64" t="str">
        <f t="shared" si="49"/>
        <v/>
      </c>
      <c r="AB251" s="64" t="str">
        <f>IF(AND(AA251&lt;&gt;"",AA251&lt;&gt;0), IF(E251="Muni", AA251, IF(E251 = "Corp", (1-'Investor Input'!$C$4-'Investor Input'!$C$5)*AA251, (1-'Investor Input'!$C$4)*AA251)), AA251)</f>
        <v/>
      </c>
      <c r="AC251" s="94" t="str">
        <f t="shared" si="50"/>
        <v/>
      </c>
      <c r="AD251" s="60" t="str">
        <f>IF(AND(M251&lt;&gt;"", M251&lt;&gt;0), N251/$N$505*MATCH(AC251,'Misc Lists'!$K$2:$K$25,0), "")</f>
        <v/>
      </c>
      <c r="AE251" s="90" t="str">
        <f t="shared" si="51"/>
        <v/>
      </c>
      <c r="AF251" s="99" t="str">
        <f>IF(AND(M251&lt;&gt;"", M251&lt;&gt;0), N251/$N$505*MATCH(AE251,'Misc Lists'!$L$2:$L$25,0), "")</f>
        <v/>
      </c>
    </row>
    <row r="252" spans="2:32" hidden="1" outlineLevel="1" x14ac:dyDescent="0.5">
      <c r="B252" s="60" t="str">
        <f ca="1"/>
        <v>29446MAF9</v>
      </c>
      <c r="C252" s="61" t="str">
        <f ca="1"/>
        <v>N/A</v>
      </c>
      <c r="D252" s="60" t="str">
        <f ca="1"/>
        <v>EQUINOR ASA         NOTE CALL MAKE WHOLE3.12500% 04/06/2030</v>
      </c>
      <c r="E252" s="61" t="str">
        <f ca="1"/>
        <v>Corp</v>
      </c>
      <c r="F252" s="62">
        <f ca="1"/>
        <v>3.125</v>
      </c>
      <c r="G252" s="63">
        <f ca="1"/>
        <v>47579</v>
      </c>
      <c r="H252" s="61" t="str">
        <f ca="1"/>
        <v>AA2</v>
      </c>
      <c r="I252" s="61" t="str">
        <f ca="1"/>
        <v>AA-</v>
      </c>
      <c r="J252" s="64">
        <f ca="1"/>
        <v>93.293999999999997</v>
      </c>
      <c r="K252" s="17">
        <f ca="1"/>
        <v>4.6239999999999997</v>
      </c>
      <c r="L252" s="17" t="str">
        <f ca="1"/>
        <v>500(1)</v>
      </c>
      <c r="M252" s="83"/>
      <c r="N252" s="84" t="str">
        <f t="shared" si="52"/>
        <v/>
      </c>
      <c r="O252" s="20" t="str">
        <f t="shared" si="53"/>
        <v/>
      </c>
      <c r="P252" s="64" t="str">
        <f t="shared" si="54"/>
        <v/>
      </c>
      <c r="Q252" s="85" t="str">
        <f t="shared" ca="1" si="55"/>
        <v/>
      </c>
      <c r="R252" s="86" t="str">
        <f t="shared" si="56"/>
        <v/>
      </c>
      <c r="S252" s="86" t="str">
        <f t="shared" si="57"/>
        <v/>
      </c>
      <c r="T252" s="104" t="str">
        <f t="shared" si="58"/>
        <v/>
      </c>
      <c r="U252" s="19" t="str">
        <f>IF(AND(M252&lt;&gt;"",M252&lt;&gt;0), IF(E252 = "Muni", T252, IF(E252="Corp", T252*(1 -'Investor Input'!$C$4-'Investor Input'!$C$5), T252*(1 -'Investor Input'!$C$4))), T252)</f>
        <v/>
      </c>
      <c r="V252" s="84" t="str">
        <f t="shared" si="59"/>
        <v/>
      </c>
      <c r="W252" s="84" t="str">
        <f t="shared" si="45"/>
        <v/>
      </c>
      <c r="X252" s="21" t="str">
        <f t="shared" si="46"/>
        <v/>
      </c>
      <c r="Y252" s="60" t="str">
        <f t="shared" si="47"/>
        <v/>
      </c>
      <c r="Z252" s="60" t="str">
        <f t="shared" si="48"/>
        <v/>
      </c>
      <c r="AA252" s="64" t="str">
        <f t="shared" si="49"/>
        <v/>
      </c>
      <c r="AB252" s="64" t="str">
        <f>IF(AND(AA252&lt;&gt;"",AA252&lt;&gt;0), IF(E252="Muni", AA252, IF(E252 = "Corp", (1-'Investor Input'!$C$4-'Investor Input'!$C$5)*AA252, (1-'Investor Input'!$C$4)*AA252)), AA252)</f>
        <v/>
      </c>
      <c r="AC252" s="94" t="str">
        <f t="shared" si="50"/>
        <v/>
      </c>
      <c r="AD252" s="60" t="str">
        <f>IF(AND(M252&lt;&gt;"", M252&lt;&gt;0), N252/$N$505*MATCH(AC252,'Misc Lists'!$K$2:$K$25,0), "")</f>
        <v/>
      </c>
      <c r="AE252" s="90" t="str">
        <f t="shared" si="51"/>
        <v/>
      </c>
      <c r="AF252" s="99" t="str">
        <f>IF(AND(M252&lt;&gt;"", M252&lt;&gt;0), N252/$N$505*MATCH(AE252,'Misc Lists'!$L$2:$L$25,0), "")</f>
        <v/>
      </c>
    </row>
    <row r="253" spans="2:32" hidden="1" outlineLevel="1" x14ac:dyDescent="0.5">
      <c r="B253" s="60" t="str">
        <f ca="1"/>
        <v>49177JAH5</v>
      </c>
      <c r="C253" s="61" t="str">
        <f ca="1"/>
        <v>N/A</v>
      </c>
      <c r="D253" s="60" t="str">
        <f ca="1"/>
        <v>KENVUE INC          SER B NOTE          5.00000% 03/22/2030 CALL MAKE WHOLE</v>
      </c>
      <c r="E253" s="61" t="str">
        <f ca="1"/>
        <v>Corp</v>
      </c>
      <c r="F253" s="62">
        <f ca="1"/>
        <v>5</v>
      </c>
      <c r="G253" s="63">
        <f ca="1"/>
        <v>47564</v>
      </c>
      <c r="H253" s="61" t="str">
        <f ca="1"/>
        <v>A1</v>
      </c>
      <c r="I253" s="61" t="str">
        <f ca="1"/>
        <v>A</v>
      </c>
      <c r="J253" s="64">
        <f ca="1"/>
        <v>101.67400000000001</v>
      </c>
      <c r="K253" s="17">
        <f ca="1"/>
        <v>4.6230000000000002</v>
      </c>
      <c r="L253" s="17" t="str">
        <f ca="1"/>
        <v>425(2)</v>
      </c>
      <c r="M253" s="83"/>
      <c r="N253" s="84" t="str">
        <f t="shared" si="52"/>
        <v/>
      </c>
      <c r="O253" s="20" t="str">
        <f t="shared" si="53"/>
        <v/>
      </c>
      <c r="P253" s="64" t="str">
        <f t="shared" si="54"/>
        <v/>
      </c>
      <c r="Q253" s="85" t="str">
        <f t="shared" ca="1" si="55"/>
        <v/>
      </c>
      <c r="R253" s="86" t="str">
        <f t="shared" si="56"/>
        <v/>
      </c>
      <c r="S253" s="86" t="str">
        <f t="shared" si="57"/>
        <v/>
      </c>
      <c r="T253" s="104" t="str">
        <f t="shared" si="58"/>
        <v/>
      </c>
      <c r="U253" s="19" t="str">
        <f>IF(AND(M253&lt;&gt;"",M253&lt;&gt;0), IF(E253 = "Muni", T253, IF(E253="Corp", T253*(1 -'Investor Input'!$C$4-'Investor Input'!$C$5), T253*(1 -'Investor Input'!$C$4))), T253)</f>
        <v/>
      </c>
      <c r="V253" s="84" t="str">
        <f t="shared" si="59"/>
        <v/>
      </c>
      <c r="W253" s="84" t="str">
        <f t="shared" si="45"/>
        <v/>
      </c>
      <c r="X253" s="21" t="str">
        <f t="shared" si="46"/>
        <v/>
      </c>
      <c r="Y253" s="60" t="str">
        <f t="shared" si="47"/>
        <v/>
      </c>
      <c r="Z253" s="60" t="str">
        <f t="shared" si="48"/>
        <v/>
      </c>
      <c r="AA253" s="64" t="str">
        <f t="shared" si="49"/>
        <v/>
      </c>
      <c r="AB253" s="64" t="str">
        <f>IF(AND(AA253&lt;&gt;"",AA253&lt;&gt;0), IF(E253="Muni", AA253, IF(E253 = "Corp", (1-'Investor Input'!$C$4-'Investor Input'!$C$5)*AA253, (1-'Investor Input'!$C$4)*AA253)), AA253)</f>
        <v/>
      </c>
      <c r="AC253" s="94" t="str">
        <f t="shared" si="50"/>
        <v/>
      </c>
      <c r="AD253" s="60" t="str">
        <f>IF(AND(M253&lt;&gt;"", M253&lt;&gt;0), N253/$N$505*MATCH(AC253,'Misc Lists'!$K$2:$K$25,0), "")</f>
        <v/>
      </c>
      <c r="AE253" s="90" t="str">
        <f t="shared" si="51"/>
        <v/>
      </c>
      <c r="AF253" s="99" t="str">
        <f>IF(AND(M253&lt;&gt;"", M253&lt;&gt;0), N253/$N$505*MATCH(AE253,'Misc Lists'!$L$2:$L$25,0), "")</f>
        <v/>
      </c>
    </row>
    <row r="254" spans="2:32" hidden="1" outlineLevel="1" x14ac:dyDescent="0.5">
      <c r="B254" s="60" t="str">
        <f ca="1"/>
        <v>04621WAF7</v>
      </c>
      <c r="C254" s="61" t="str">
        <f ca="1"/>
        <v>N/A</v>
      </c>
      <c r="D254" s="60" t="str">
        <f ca="1"/>
        <v>ASSURED GTY US HLDGSINC NOTE            6.12500% 09/15/2028 CALL MAKE WHOLE</v>
      </c>
      <c r="E254" s="61" t="str">
        <f ca="1"/>
        <v>Corp</v>
      </c>
      <c r="F254" s="62">
        <f ca="1"/>
        <v>6.125</v>
      </c>
      <c r="G254" s="63">
        <f ca="1"/>
        <v>47011</v>
      </c>
      <c r="H254" s="61" t="str">
        <f ca="1"/>
        <v>BAA1</v>
      </c>
      <c r="I254" s="61" t="str">
        <f ca="1"/>
        <v>A</v>
      </c>
      <c r="J254" s="64">
        <f ca="1"/>
        <v>104.821</v>
      </c>
      <c r="K254" s="17">
        <f ca="1"/>
        <v>4.6210000000000004</v>
      </c>
      <c r="L254" s="17" t="str">
        <f ca="1"/>
        <v>475(2)</v>
      </c>
      <c r="M254" s="83"/>
      <c r="N254" s="84" t="str">
        <f t="shared" si="52"/>
        <v/>
      </c>
      <c r="O254" s="20" t="str">
        <f t="shared" si="53"/>
        <v/>
      </c>
      <c r="P254" s="64" t="str">
        <f t="shared" si="54"/>
        <v/>
      </c>
      <c r="Q254" s="85" t="str">
        <f t="shared" ca="1" si="55"/>
        <v/>
      </c>
      <c r="R254" s="86" t="str">
        <f t="shared" si="56"/>
        <v/>
      </c>
      <c r="S254" s="86" t="str">
        <f t="shared" si="57"/>
        <v/>
      </c>
      <c r="T254" s="104" t="str">
        <f t="shared" si="58"/>
        <v/>
      </c>
      <c r="U254" s="19" t="str">
        <f>IF(AND(M254&lt;&gt;"",M254&lt;&gt;0), IF(E254 = "Muni", T254, IF(E254="Corp", T254*(1 -'Investor Input'!$C$4-'Investor Input'!$C$5), T254*(1 -'Investor Input'!$C$4))), T254)</f>
        <v/>
      </c>
      <c r="V254" s="84" t="str">
        <f t="shared" si="59"/>
        <v/>
      </c>
      <c r="W254" s="84" t="str">
        <f t="shared" si="45"/>
        <v/>
      </c>
      <c r="X254" s="21" t="str">
        <f t="shared" si="46"/>
        <v/>
      </c>
      <c r="Y254" s="60" t="str">
        <f t="shared" si="47"/>
        <v/>
      </c>
      <c r="Z254" s="60" t="str">
        <f t="shared" si="48"/>
        <v/>
      </c>
      <c r="AA254" s="64" t="str">
        <f t="shared" si="49"/>
        <v/>
      </c>
      <c r="AB254" s="64" t="str">
        <f>IF(AND(AA254&lt;&gt;"",AA254&lt;&gt;0), IF(E254="Muni", AA254, IF(E254 = "Corp", (1-'Investor Input'!$C$4-'Investor Input'!$C$5)*AA254, (1-'Investor Input'!$C$4)*AA254)), AA254)</f>
        <v/>
      </c>
      <c r="AC254" s="94" t="str">
        <f t="shared" si="50"/>
        <v/>
      </c>
      <c r="AD254" s="60" t="str">
        <f>IF(AND(M254&lt;&gt;"", M254&lt;&gt;0), N254/$N$505*MATCH(AC254,'Misc Lists'!$K$2:$K$25,0), "")</f>
        <v/>
      </c>
      <c r="AE254" s="90" t="str">
        <f t="shared" si="51"/>
        <v/>
      </c>
      <c r="AF254" s="99" t="str">
        <f>IF(AND(M254&lt;&gt;"", M254&lt;&gt;0), N254/$N$505*MATCH(AE254,'Misc Lists'!$L$2:$L$25,0), "")</f>
        <v/>
      </c>
    </row>
    <row r="255" spans="2:32" outlineLevel="1" x14ac:dyDescent="0.5">
      <c r="B255" s="60" t="str">
        <f ca="1"/>
        <v>032095AP6</v>
      </c>
      <c r="C255" s="61" t="str">
        <f ca="1"/>
        <v>N/A</v>
      </c>
      <c r="D255" s="60" t="str">
        <f ca="1"/>
        <v>AMPHENOL CORP       NOTE CALL MAKE WHOLE5.05000% 04/05/2029</v>
      </c>
      <c r="E255" s="61" t="str">
        <f ca="1"/>
        <v>Corp</v>
      </c>
      <c r="F255" s="62">
        <f ca="1"/>
        <v>5.05</v>
      </c>
      <c r="G255" s="63">
        <f ca="1"/>
        <v>47213</v>
      </c>
      <c r="H255" s="61" t="str">
        <f ca="1"/>
        <v>A3</v>
      </c>
      <c r="I255" s="61" t="str">
        <f ca="1"/>
        <v>A-</v>
      </c>
      <c r="J255" s="64">
        <f ca="1"/>
        <v>101.571</v>
      </c>
      <c r="K255" s="17">
        <f ca="1"/>
        <v>4.6210000000000004</v>
      </c>
      <c r="L255" s="17" t="str">
        <f ca="1"/>
        <v>500(2)</v>
      </c>
      <c r="M255" s="83">
        <v>2</v>
      </c>
      <c r="N255" s="84">
        <f t="shared" ca="1" si="52"/>
        <v>2000</v>
      </c>
      <c r="O255" s="20">
        <f t="shared" ca="1" si="53"/>
        <v>1.9999179033700666E-3</v>
      </c>
      <c r="P255" s="64">
        <f t="shared" ca="1" si="54"/>
        <v>50.5</v>
      </c>
      <c r="Q255" s="85">
        <f t="shared" ca="1" si="55"/>
        <v>45791.491364930553</v>
      </c>
      <c r="R255" s="86">
        <f t="shared" ca="1" si="56"/>
        <v>4</v>
      </c>
      <c r="S255" s="86">
        <f t="shared" ca="1" si="57"/>
        <v>3.485826671104248</v>
      </c>
      <c r="T255" s="104">
        <f t="shared" ca="1" si="58"/>
        <v>5.0484745802018512E-2</v>
      </c>
      <c r="U255" s="19">
        <f ca="1">IF(AND(M255&lt;&gt;"",M255&lt;&gt;0), IF(E255 = "Muni", T255, IF(E255="Corp", T255*(1 -'Investor Input'!$C$4-'Investor Input'!$C$5), T255*(1 -'Investor Input'!$C$4))), T255)</f>
        <v>2.7261762733089997E-2</v>
      </c>
      <c r="V255" s="84">
        <f t="shared" ca="1" si="59"/>
        <v>1963.8438869302695</v>
      </c>
      <c r="W255" s="84">
        <f t="shared" ca="1" si="45"/>
        <v>-36.156113069730509</v>
      </c>
      <c r="X255" s="21">
        <f t="shared" ca="1" si="46"/>
        <v>-1.8078056534865255E-2</v>
      </c>
      <c r="Y255" s="60">
        <f t="shared" ca="1" si="47"/>
        <v>4</v>
      </c>
      <c r="Z255" s="60">
        <f t="shared" ca="1" si="48"/>
        <v>10</v>
      </c>
      <c r="AA255" s="64">
        <f t="shared" ca="1" si="49"/>
        <v>50.5</v>
      </c>
      <c r="AB255" s="64">
        <f ca="1">IF(AND(AA255&lt;&gt;"",AA255&lt;&gt;0), IF(E255="Muni", AA255, IF(E255 = "Corp", (1-'Investor Input'!$C$4-'Investor Input'!$C$5)*AA255, (1-'Investor Input'!$C$4)*AA255)), AA255)</f>
        <v>27.270000000000003</v>
      </c>
      <c r="AC255" s="94" t="str">
        <f t="shared" ca="1" si="50"/>
        <v>A3</v>
      </c>
      <c r="AD255" s="60">
        <f ca="1">IF(AND(M255&lt;&gt;"", M255&lt;&gt;0), N255/$N$505*MATCH(AC255,'Misc Lists'!$K$2:$K$25,0), "")</f>
        <v>1.5999343226960533E-2</v>
      </c>
      <c r="AE255" s="90" t="str">
        <f t="shared" ca="1" si="51"/>
        <v>A-</v>
      </c>
      <c r="AF255" s="99">
        <f ca="1">IF(AND(M255&lt;&gt;"", M255&lt;&gt;0), N255/$N$505*MATCH(AE255,'Misc Lists'!$L$2:$L$25,0), "")</f>
        <v>1.5999343226960533E-2</v>
      </c>
    </row>
    <row r="256" spans="2:32" hidden="1" outlineLevel="1" x14ac:dyDescent="0.5">
      <c r="B256" s="60" t="str">
        <f ca="1"/>
        <v>10373QBX7</v>
      </c>
      <c r="C256" s="61" t="str">
        <f ca="1"/>
        <v>N/A</v>
      </c>
      <c r="D256" s="60" t="str">
        <f ca="1"/>
        <v>BP CAP MKTS AMER INCNOTE CALL MAKE WHOLE4.69900% 04/10/2029</v>
      </c>
      <c r="E256" s="61" t="str">
        <f ca="1"/>
        <v>Corp</v>
      </c>
      <c r="F256" s="62">
        <f ca="1"/>
        <v>4.6989999999999998</v>
      </c>
      <c r="G256" s="63">
        <f ca="1"/>
        <v>47218</v>
      </c>
      <c r="H256" s="61" t="str">
        <f ca="1"/>
        <v>A1</v>
      </c>
      <c r="I256" s="61" t="str">
        <f ca="1"/>
        <v>A-</v>
      </c>
      <c r="J256" s="64">
        <f ca="1"/>
        <v>100.285</v>
      </c>
      <c r="K256" s="17">
        <f ca="1"/>
        <v>4.6210000000000004</v>
      </c>
      <c r="L256" s="17" t="str">
        <f ca="1"/>
        <v>500(1)</v>
      </c>
      <c r="M256" s="83"/>
      <c r="N256" s="84" t="str">
        <f t="shared" si="52"/>
        <v/>
      </c>
      <c r="O256" s="20" t="str">
        <f t="shared" si="53"/>
        <v/>
      </c>
      <c r="P256" s="64" t="str">
        <f t="shared" si="54"/>
        <v/>
      </c>
      <c r="Q256" s="85" t="str">
        <f t="shared" ca="1" si="55"/>
        <v/>
      </c>
      <c r="R256" s="86" t="str">
        <f t="shared" si="56"/>
        <v/>
      </c>
      <c r="S256" s="86" t="str">
        <f t="shared" si="57"/>
        <v/>
      </c>
      <c r="T256" s="104" t="str">
        <f t="shared" si="58"/>
        <v/>
      </c>
      <c r="U256" s="19" t="str">
        <f>IF(AND(M256&lt;&gt;"",M256&lt;&gt;0), IF(E256 = "Muni", T256, IF(E256="Corp", T256*(1 -'Investor Input'!$C$4-'Investor Input'!$C$5), T256*(1 -'Investor Input'!$C$4))), T256)</f>
        <v/>
      </c>
      <c r="V256" s="84" t="str">
        <f t="shared" si="59"/>
        <v/>
      </c>
      <c r="W256" s="84" t="str">
        <f t="shared" si="45"/>
        <v/>
      </c>
      <c r="X256" s="21" t="str">
        <f t="shared" si="46"/>
        <v/>
      </c>
      <c r="Y256" s="60" t="str">
        <f t="shared" si="47"/>
        <v/>
      </c>
      <c r="Z256" s="60" t="str">
        <f t="shared" si="48"/>
        <v/>
      </c>
      <c r="AA256" s="64" t="str">
        <f t="shared" si="49"/>
        <v/>
      </c>
      <c r="AB256" s="64" t="str">
        <f>IF(AND(AA256&lt;&gt;"",AA256&lt;&gt;0), IF(E256="Muni", AA256, IF(E256 = "Corp", (1-'Investor Input'!$C$4-'Investor Input'!$C$5)*AA256, (1-'Investor Input'!$C$4)*AA256)), AA256)</f>
        <v/>
      </c>
      <c r="AC256" s="94" t="str">
        <f t="shared" si="50"/>
        <v/>
      </c>
      <c r="AD256" s="60" t="str">
        <f>IF(AND(M256&lt;&gt;"", M256&lt;&gt;0), N256/$N$505*MATCH(AC256,'Misc Lists'!$K$2:$K$25,0), "")</f>
        <v/>
      </c>
      <c r="AE256" s="90" t="str">
        <f t="shared" si="51"/>
        <v/>
      </c>
      <c r="AF256" s="99" t="str">
        <f>IF(AND(M256&lt;&gt;"", M256&lt;&gt;0), N256/$N$505*MATCH(AE256,'Misc Lists'!$L$2:$L$25,0), "")</f>
        <v/>
      </c>
    </row>
    <row r="257" spans="2:32" hidden="1" outlineLevel="1" x14ac:dyDescent="0.5">
      <c r="B257" s="60" t="str">
        <f ca="1"/>
        <v>23291KAH8</v>
      </c>
      <c r="C257" s="61" t="str">
        <f ca="1"/>
        <v>N/A</v>
      </c>
      <c r="D257" s="60" t="str">
        <f ca="1"/>
        <v>DH EUROPE FIN II S AR L NOTE            2.60000% 11/15/2029 CALL MAKE WHOLE</v>
      </c>
      <c r="E257" s="61" t="str">
        <f ca="1"/>
        <v>Corp</v>
      </c>
      <c r="F257" s="62">
        <f ca="1"/>
        <v>2.6</v>
      </c>
      <c r="G257" s="63">
        <f ca="1"/>
        <v>47437</v>
      </c>
      <c r="H257" s="61" t="str">
        <f ca="1"/>
        <v>A3</v>
      </c>
      <c r="I257" s="61" t="str">
        <f ca="1"/>
        <v>A-</v>
      </c>
      <c r="J257" s="64">
        <f ca="1"/>
        <v>91.585999999999999</v>
      </c>
      <c r="K257" s="17">
        <f ca="1"/>
        <v>4.6210000000000004</v>
      </c>
      <c r="L257" s="17" t="str">
        <f ca="1"/>
        <v>500(2)</v>
      </c>
      <c r="M257" s="83"/>
      <c r="N257" s="84" t="str">
        <f t="shared" si="52"/>
        <v/>
      </c>
      <c r="O257" s="20" t="str">
        <f t="shared" si="53"/>
        <v/>
      </c>
      <c r="P257" s="64" t="str">
        <f t="shared" si="54"/>
        <v/>
      </c>
      <c r="Q257" s="85" t="str">
        <f t="shared" ca="1" si="55"/>
        <v/>
      </c>
      <c r="R257" s="86" t="str">
        <f t="shared" si="56"/>
        <v/>
      </c>
      <c r="S257" s="86" t="str">
        <f t="shared" si="57"/>
        <v/>
      </c>
      <c r="T257" s="104" t="str">
        <f t="shared" si="58"/>
        <v/>
      </c>
      <c r="U257" s="19" t="str">
        <f>IF(AND(M257&lt;&gt;"",M257&lt;&gt;0), IF(E257 = "Muni", T257, IF(E257="Corp", T257*(1 -'Investor Input'!$C$4-'Investor Input'!$C$5), T257*(1 -'Investor Input'!$C$4))), T257)</f>
        <v/>
      </c>
      <c r="V257" s="84" t="str">
        <f t="shared" si="59"/>
        <v/>
      </c>
      <c r="W257" s="84" t="str">
        <f t="shared" si="45"/>
        <v/>
      </c>
      <c r="X257" s="21" t="str">
        <f t="shared" si="46"/>
        <v/>
      </c>
      <c r="Y257" s="60" t="str">
        <f t="shared" si="47"/>
        <v/>
      </c>
      <c r="Z257" s="60" t="str">
        <f t="shared" si="48"/>
        <v/>
      </c>
      <c r="AA257" s="64" t="str">
        <f t="shared" si="49"/>
        <v/>
      </c>
      <c r="AB257" s="64" t="str">
        <f>IF(AND(AA257&lt;&gt;"",AA257&lt;&gt;0), IF(E257="Muni", AA257, IF(E257 = "Corp", (1-'Investor Input'!$C$4-'Investor Input'!$C$5)*AA257, (1-'Investor Input'!$C$4)*AA257)), AA257)</f>
        <v/>
      </c>
      <c r="AC257" s="94" t="str">
        <f t="shared" si="50"/>
        <v/>
      </c>
      <c r="AD257" s="60" t="str">
        <f>IF(AND(M257&lt;&gt;"", M257&lt;&gt;0), N257/$N$505*MATCH(AC257,'Misc Lists'!$K$2:$K$25,0), "")</f>
        <v/>
      </c>
      <c r="AE257" s="90" t="str">
        <f t="shared" si="51"/>
        <v/>
      </c>
      <c r="AF257" s="99" t="str">
        <f>IF(AND(M257&lt;&gt;"", M257&lt;&gt;0), N257/$N$505*MATCH(AE257,'Misc Lists'!$L$2:$L$25,0), "")</f>
        <v/>
      </c>
    </row>
    <row r="258" spans="2:32" hidden="1" outlineLevel="1" x14ac:dyDescent="0.5">
      <c r="B258" s="60" t="str">
        <f ca="1"/>
        <v>63743HFN7</v>
      </c>
      <c r="C258" s="61" t="str">
        <f ca="1"/>
        <v>N/A</v>
      </c>
      <c r="D258" s="60" t="str">
        <f ca="1"/>
        <v>NATIONAL RURAL UTILSCOOP FIN SER D MTN  4.85000% 02/07/2029 CALL MAKE WHOLE</v>
      </c>
      <c r="E258" s="61" t="str">
        <f ca="1"/>
        <v>Corp</v>
      </c>
      <c r="F258" s="62">
        <f ca="1"/>
        <v>4.8499999999999996</v>
      </c>
      <c r="G258" s="63">
        <f ca="1"/>
        <v>47156</v>
      </c>
      <c r="H258" s="61" t="str">
        <f ca="1"/>
        <v>A2</v>
      </c>
      <c r="I258" s="61" t="str">
        <f ca="1"/>
        <v>A-</v>
      </c>
      <c r="J258" s="64">
        <f ca="1"/>
        <v>100.807</v>
      </c>
      <c r="K258" s="17">
        <f ca="1"/>
        <v>4.62</v>
      </c>
      <c r="L258" s="17" t="str">
        <f ca="1"/>
        <v>150(10)</v>
      </c>
      <c r="M258" s="83"/>
      <c r="N258" s="84" t="str">
        <f t="shared" si="52"/>
        <v/>
      </c>
      <c r="O258" s="20" t="str">
        <f t="shared" si="53"/>
        <v/>
      </c>
      <c r="P258" s="64" t="str">
        <f t="shared" si="54"/>
        <v/>
      </c>
      <c r="Q258" s="85" t="str">
        <f t="shared" ca="1" si="55"/>
        <v/>
      </c>
      <c r="R258" s="86" t="str">
        <f t="shared" si="56"/>
        <v/>
      </c>
      <c r="S258" s="86" t="str">
        <f t="shared" si="57"/>
        <v/>
      </c>
      <c r="T258" s="104" t="str">
        <f t="shared" si="58"/>
        <v/>
      </c>
      <c r="U258" s="19" t="str">
        <f>IF(AND(M258&lt;&gt;"",M258&lt;&gt;0), IF(E258 = "Muni", T258, IF(E258="Corp", T258*(1 -'Investor Input'!$C$4-'Investor Input'!$C$5), T258*(1 -'Investor Input'!$C$4))), T258)</f>
        <v/>
      </c>
      <c r="V258" s="84" t="str">
        <f t="shared" si="59"/>
        <v/>
      </c>
      <c r="W258" s="84" t="str">
        <f t="shared" si="45"/>
        <v/>
      </c>
      <c r="X258" s="21" t="str">
        <f t="shared" si="46"/>
        <v/>
      </c>
      <c r="Y258" s="60" t="str">
        <f t="shared" si="47"/>
        <v/>
      </c>
      <c r="Z258" s="60" t="str">
        <f t="shared" si="48"/>
        <v/>
      </c>
      <c r="AA258" s="64" t="str">
        <f t="shared" si="49"/>
        <v/>
      </c>
      <c r="AB258" s="64" t="str">
        <f>IF(AND(AA258&lt;&gt;"",AA258&lt;&gt;0), IF(E258="Muni", AA258, IF(E258 = "Corp", (1-'Investor Input'!$C$4-'Investor Input'!$C$5)*AA258, (1-'Investor Input'!$C$4)*AA258)), AA258)</f>
        <v/>
      </c>
      <c r="AC258" s="94" t="str">
        <f t="shared" si="50"/>
        <v/>
      </c>
      <c r="AD258" s="60" t="str">
        <f>IF(AND(M258&lt;&gt;"", M258&lt;&gt;0), N258/$N$505*MATCH(AC258,'Misc Lists'!$K$2:$K$25,0), "")</f>
        <v/>
      </c>
      <c r="AE258" s="90" t="str">
        <f t="shared" si="51"/>
        <v/>
      </c>
      <c r="AF258" s="99" t="str">
        <f>IF(AND(M258&lt;&gt;"", M258&lt;&gt;0), N258/$N$505*MATCH(AE258,'Misc Lists'!$L$2:$L$25,0), "")</f>
        <v/>
      </c>
    </row>
    <row r="259" spans="2:32" hidden="1" outlineLevel="1" x14ac:dyDescent="0.5">
      <c r="B259" s="60" t="str">
        <f ca="1"/>
        <v>75884RAV5</v>
      </c>
      <c r="C259" s="61" t="str">
        <f ca="1"/>
        <v>N/A</v>
      </c>
      <c r="D259" s="60" t="str">
        <f ca="1"/>
        <v>REGENCY CTRS L P    NOTE CALL MAKE WHOLE3.60000% 02/01/2027</v>
      </c>
      <c r="E259" s="61" t="str">
        <f ca="1"/>
        <v>Corp</v>
      </c>
      <c r="F259" s="62">
        <f ca="1"/>
        <v>3.6</v>
      </c>
      <c r="G259" s="63">
        <f ca="1"/>
        <v>46419</v>
      </c>
      <c r="H259" s="61" t="str">
        <f ca="1"/>
        <v>A3</v>
      </c>
      <c r="I259" s="61" t="str">
        <f ca="1"/>
        <v>A-</v>
      </c>
      <c r="J259" s="64">
        <f ca="1"/>
        <v>98.177999999999997</v>
      </c>
      <c r="K259" s="17">
        <f ca="1"/>
        <v>4.6180000000000003</v>
      </c>
      <c r="L259" s="17" t="str">
        <f ca="1"/>
        <v>200(2)</v>
      </c>
      <c r="M259" s="83"/>
      <c r="N259" s="84" t="str">
        <f t="shared" si="52"/>
        <v/>
      </c>
      <c r="O259" s="20" t="str">
        <f t="shared" si="53"/>
        <v/>
      </c>
      <c r="P259" s="64" t="str">
        <f t="shared" si="54"/>
        <v/>
      </c>
      <c r="Q259" s="85" t="str">
        <f t="shared" ca="1" si="55"/>
        <v/>
      </c>
      <c r="R259" s="86" t="str">
        <f t="shared" si="56"/>
        <v/>
      </c>
      <c r="S259" s="86" t="str">
        <f t="shared" si="57"/>
        <v/>
      </c>
      <c r="T259" s="104" t="str">
        <f t="shared" si="58"/>
        <v/>
      </c>
      <c r="U259" s="19" t="str">
        <f>IF(AND(M259&lt;&gt;"",M259&lt;&gt;0), IF(E259 = "Muni", T259, IF(E259="Corp", T259*(1 -'Investor Input'!$C$4-'Investor Input'!$C$5), T259*(1 -'Investor Input'!$C$4))), T259)</f>
        <v/>
      </c>
      <c r="V259" s="84" t="str">
        <f t="shared" si="59"/>
        <v/>
      </c>
      <c r="W259" s="84" t="str">
        <f t="shared" si="45"/>
        <v/>
      </c>
      <c r="X259" s="21" t="str">
        <f t="shared" si="46"/>
        <v/>
      </c>
      <c r="Y259" s="60" t="str">
        <f t="shared" si="47"/>
        <v/>
      </c>
      <c r="Z259" s="60" t="str">
        <f t="shared" si="48"/>
        <v/>
      </c>
      <c r="AA259" s="64" t="str">
        <f t="shared" si="49"/>
        <v/>
      </c>
      <c r="AB259" s="64" t="str">
        <f>IF(AND(AA259&lt;&gt;"",AA259&lt;&gt;0), IF(E259="Muni", AA259, IF(E259 = "Corp", (1-'Investor Input'!$C$4-'Investor Input'!$C$5)*AA259, (1-'Investor Input'!$C$4)*AA259)), AA259)</f>
        <v/>
      </c>
      <c r="AC259" s="94" t="str">
        <f t="shared" si="50"/>
        <v/>
      </c>
      <c r="AD259" s="60" t="str">
        <f>IF(AND(M259&lt;&gt;"", M259&lt;&gt;0), N259/$N$505*MATCH(AC259,'Misc Lists'!$K$2:$K$25,0), "")</f>
        <v/>
      </c>
      <c r="AE259" s="90" t="str">
        <f t="shared" si="51"/>
        <v/>
      </c>
      <c r="AF259" s="99" t="str">
        <f>IF(AND(M259&lt;&gt;"", M259&lt;&gt;0), N259/$N$505*MATCH(AE259,'Misc Lists'!$L$2:$L$25,0), "")</f>
        <v/>
      </c>
    </row>
    <row r="260" spans="2:32" outlineLevel="1" x14ac:dyDescent="0.5">
      <c r="B260" s="60" t="str">
        <f ca="1"/>
        <v>743315AW3</v>
      </c>
      <c r="C260" s="61" t="str">
        <f ca="1"/>
        <v>N/A</v>
      </c>
      <c r="D260" s="60" t="str">
        <f ca="1"/>
        <v>PROGRESSIVE CORP    NOTE CALL MAKE WHOLE3.20000% 03/26/2030</v>
      </c>
      <c r="E260" s="61" t="str">
        <f ca="1"/>
        <v>Corp</v>
      </c>
      <c r="F260" s="62">
        <f ca="1"/>
        <v>3.2</v>
      </c>
      <c r="G260" s="63">
        <f ca="1"/>
        <v>47568</v>
      </c>
      <c r="H260" s="61" t="str">
        <f ca="1"/>
        <v>A2</v>
      </c>
      <c r="I260" s="61" t="str">
        <f ca="1"/>
        <v>A</v>
      </c>
      <c r="J260" s="64">
        <f ca="1"/>
        <v>93.692999999999998</v>
      </c>
      <c r="K260" s="17">
        <f ca="1"/>
        <v>4.617</v>
      </c>
      <c r="L260" s="17" t="str">
        <f ca="1"/>
        <v>28(2)</v>
      </c>
      <c r="M260" s="83">
        <v>15</v>
      </c>
      <c r="N260" s="84">
        <f t="shared" ca="1" si="52"/>
        <v>15000</v>
      </c>
      <c r="O260" s="20">
        <f t="shared" ca="1" si="53"/>
        <v>1.49993842752755E-2</v>
      </c>
      <c r="P260" s="64">
        <f t="shared" ca="1" si="54"/>
        <v>32</v>
      </c>
      <c r="Q260" s="85">
        <f t="shared" ca="1" si="55"/>
        <v>45791.491364930553</v>
      </c>
      <c r="R260" s="86">
        <f t="shared" ca="1" si="56"/>
        <v>5</v>
      </c>
      <c r="S260" s="86">
        <f t="shared" ca="1" si="57"/>
        <v>4.4111679480880195</v>
      </c>
      <c r="T260" s="104">
        <f t="shared" ca="1" si="58"/>
        <v>3.1994456893762714E-2</v>
      </c>
      <c r="U260" s="19">
        <f ca="1">IF(AND(M260&lt;&gt;"",M260&lt;&gt;0), IF(E260 = "Muni", T260, IF(E260="Corp", T260*(1 -'Investor Input'!$C$4-'Investor Input'!$C$5), T260*(1 -'Investor Input'!$C$4))), T260)</f>
        <v>1.7277006722631865E-2</v>
      </c>
      <c r="V260" s="84">
        <f t="shared" ca="1" si="59"/>
        <v>16145.261928413544</v>
      </c>
      <c r="W260" s="84">
        <f t="shared" ref="W260:W323" ca="1" si="60">IF(AND(M260&lt;&gt;"",M260&lt;&gt;0),V260-N260,"")</f>
        <v>1145.2619284135435</v>
      </c>
      <c r="X260" s="21">
        <f t="shared" ref="X260:X323" ca="1" si="61">IF(AND(M260&lt;&gt;"",M260&lt;&gt;0),W260/N260,"")</f>
        <v>7.6350795227569573E-2</v>
      </c>
      <c r="Y260" s="60">
        <f t="shared" ref="Y260:Y323" ca="1" si="62">IF(AND(M260&lt;&gt;"", M260&lt;&gt;0), MONTH(G260), "")</f>
        <v>3</v>
      </c>
      <c r="Z260" s="60">
        <f t="shared" ref="Z260:Z323" ca="1" si="63">IF(AND(M260&lt;&gt;"", M260&lt;&gt;0), MONTH(EDATE(G260, 6)), "")</f>
        <v>9</v>
      </c>
      <c r="AA260" s="64">
        <f t="shared" ref="AA260:AA323" ca="1" si="64">IF(AND(M260&lt;&gt;"", M260&lt;&gt;0), F260*1000*M260/(100*2), "")</f>
        <v>240</v>
      </c>
      <c r="AB260" s="64">
        <f ca="1">IF(AND(AA260&lt;&gt;"",AA260&lt;&gt;0), IF(E260="Muni", AA260, IF(E260 = "Corp", (1-'Investor Input'!$C$4-'Investor Input'!$C$5)*AA260, (1-'Investor Input'!$C$4)*AA260)), AA260)</f>
        <v>129.60000000000002</v>
      </c>
      <c r="AC260" s="94" t="str">
        <f t="shared" ref="AC260:AC323" ca="1" si="65">IF(AND(M260&lt;&gt;"", M260&lt;&gt;0), H260, "")</f>
        <v>A2</v>
      </c>
      <c r="AD260" s="60">
        <f ca="1">IF(AND(M260&lt;&gt;"", M260&lt;&gt;0), N260/$N$505*MATCH(AC260,'Misc Lists'!$K$2:$K$25,0), "")</f>
        <v>0.1049956899269285</v>
      </c>
      <c r="AE260" s="90" t="str">
        <f t="shared" ref="AE260:AE323" ca="1" si="66">IF(AND(M260&lt;&gt;"", M260&lt;&gt;0), I260, "")</f>
        <v>A</v>
      </c>
      <c r="AF260" s="99">
        <f ca="1">IF(AND(M260&lt;&gt;"", M260&lt;&gt;0), N260/$N$505*MATCH(AE260,'Misc Lists'!$L$2:$L$25,0), "")</f>
        <v>0.1049956899269285</v>
      </c>
    </row>
    <row r="261" spans="2:32" hidden="1" outlineLevel="1" x14ac:dyDescent="0.5">
      <c r="B261" s="60" t="str">
        <f ca="1"/>
        <v>86562MDG2</v>
      </c>
      <c r="C261" s="61" t="str">
        <f ca="1"/>
        <v>N/A</v>
      </c>
      <c r="D261" s="60" t="str">
        <f ca="1"/>
        <v>SUMITOMO MITSUI FIN GRP INC NOTE        5.71600% 09/14/2028</v>
      </c>
      <c r="E261" s="61" t="str">
        <f ca="1"/>
        <v>Corp</v>
      </c>
      <c r="F261" s="62">
        <f ca="1"/>
        <v>5.7160000000000002</v>
      </c>
      <c r="G261" s="63">
        <f ca="1"/>
        <v>47010</v>
      </c>
      <c r="H261" s="61" t="str">
        <f ca="1"/>
        <v>A1</v>
      </c>
      <c r="I261" s="61" t="str">
        <f ca="1"/>
        <v>A-</v>
      </c>
      <c r="J261" s="64">
        <f ca="1"/>
        <v>103.524</v>
      </c>
      <c r="K261" s="17">
        <f ca="1"/>
        <v>4.6159999999999997</v>
      </c>
      <c r="L261" s="17" t="str">
        <f ca="1"/>
        <v>500(200)</v>
      </c>
      <c r="M261" s="83"/>
      <c r="N261" s="84" t="str">
        <f t="shared" ref="N261:N324" si="67">IF(AND(M261&lt;&gt;"", M261&lt;&gt;0), IF(L261 &lt;&gt; "N/A", IF(M261&gt;=VALUE(LEFT(L261, FIND("(", L261)-1)), J261*10*M261, 1000*M261), 1000*M261), "")</f>
        <v/>
      </c>
      <c r="O261" s="20" t="str">
        <f t="shared" ref="O261:O324" si="68">IF(AND(M261&lt;&gt;"",M261&lt;&gt;0),N261/$N$505, "")</f>
        <v/>
      </c>
      <c r="P261" s="64" t="str">
        <f t="shared" ref="P261:P324" si="69">IF(AND(M261&lt;&gt;"", M261&lt;&gt;0), F261*1000/100, "")</f>
        <v/>
      </c>
      <c r="Q261" s="85" t="str">
        <f t="shared" ref="Q261:Q324" ca="1" si="70">IF(AND(M261&lt;&gt;"", M261&lt;&gt;0), NOW(), "")</f>
        <v/>
      </c>
      <c r="R261" s="86" t="str">
        <f t="shared" ref="R261:R324" si="71">IF(AND(M261&lt;&gt;"", M261&lt;&gt;0), ROUND((G261 - Q261)/365, 0), "")</f>
        <v/>
      </c>
      <c r="S261" s="86" t="str">
        <f t="shared" ref="S261:S324" si="72">IF(AND(M261&lt;&gt;"",M261&lt;&gt;0),MDURATION(Q261,G261,F261/100,K261/100,2), "")</f>
        <v/>
      </c>
      <c r="T261" s="104" t="str">
        <f t="shared" ref="T261:T324" si="73">IF(AND(M261&lt;&gt;"",M261&lt;&gt;0),YIELD(Q261,G261,F261/100,N261/(M261*10),100,2),"")</f>
        <v/>
      </c>
      <c r="U261" s="19" t="str">
        <f>IF(AND(M261&lt;&gt;"",M261&lt;&gt;0), IF(E261 = "Muni", T261, IF(E261="Corp", T261*(1 -'Investor Input'!$C$4-'Investor Input'!$C$5), T261*(1 -'Investor Input'!$C$4))), T261)</f>
        <v/>
      </c>
      <c r="V261" s="84" t="str">
        <f t="shared" ref="V261:V324" si="74">IF(AND(M261&lt;&gt;"",M261&lt;&gt;0),(FV(K261/(2*100),(G261-Q261)*2/365, F261*1000/(2*100), -N261/M261))*M261, "")</f>
        <v/>
      </c>
      <c r="W261" s="84" t="str">
        <f t="shared" si="60"/>
        <v/>
      </c>
      <c r="X261" s="21" t="str">
        <f t="shared" si="61"/>
        <v/>
      </c>
      <c r="Y261" s="60" t="str">
        <f t="shared" si="62"/>
        <v/>
      </c>
      <c r="Z261" s="60" t="str">
        <f t="shared" si="63"/>
        <v/>
      </c>
      <c r="AA261" s="64" t="str">
        <f t="shared" si="64"/>
        <v/>
      </c>
      <c r="AB261" s="64" t="str">
        <f>IF(AND(AA261&lt;&gt;"",AA261&lt;&gt;0), IF(E261="Muni", AA261, IF(E261 = "Corp", (1-'Investor Input'!$C$4-'Investor Input'!$C$5)*AA261, (1-'Investor Input'!$C$4)*AA261)), AA261)</f>
        <v/>
      </c>
      <c r="AC261" s="94" t="str">
        <f t="shared" si="65"/>
        <v/>
      </c>
      <c r="AD261" s="60" t="str">
        <f>IF(AND(M261&lt;&gt;"", M261&lt;&gt;0), N261/$N$505*MATCH(AC261,'Misc Lists'!$K$2:$K$25,0), "")</f>
        <v/>
      </c>
      <c r="AE261" s="90" t="str">
        <f t="shared" si="66"/>
        <v/>
      </c>
      <c r="AF261" s="99" t="str">
        <f>IF(AND(M261&lt;&gt;"", M261&lt;&gt;0), N261/$N$505*MATCH(AE261,'Misc Lists'!$L$2:$L$25,0), "")</f>
        <v/>
      </c>
    </row>
    <row r="262" spans="2:32" hidden="1" outlineLevel="1" x14ac:dyDescent="0.5">
      <c r="B262" s="60" t="str">
        <f ca="1"/>
        <v>036752AV5</v>
      </c>
      <c r="C262" s="61" t="str">
        <f ca="1"/>
        <v>N/A</v>
      </c>
      <c r="D262" s="60" t="str">
        <f ca="1"/>
        <v>ELEVANCE HEALTH INC NOTE CALL MAKE WHOLE5.35000% 10/15/2025</v>
      </c>
      <c r="E262" s="61" t="str">
        <f ca="1"/>
        <v>Corp</v>
      </c>
      <c r="F262" s="62">
        <f ca="1"/>
        <v>5.35</v>
      </c>
      <c r="G262" s="63">
        <f ca="1"/>
        <v>45945</v>
      </c>
      <c r="H262" s="61" t="str">
        <f ca="1"/>
        <v>BAA2</v>
      </c>
      <c r="I262" s="61" t="str">
        <f ca="1"/>
        <v>A</v>
      </c>
      <c r="J262" s="64">
        <f ca="1"/>
        <v>100.42</v>
      </c>
      <c r="K262" s="17">
        <f ca="1"/>
        <v>4.6139999999999999</v>
      </c>
      <c r="L262" s="17" t="str">
        <f ca="1"/>
        <v>8(1)</v>
      </c>
      <c r="M262" s="83"/>
      <c r="N262" s="84" t="str">
        <f t="shared" si="67"/>
        <v/>
      </c>
      <c r="O262" s="20" t="str">
        <f t="shared" si="68"/>
        <v/>
      </c>
      <c r="P262" s="64" t="str">
        <f t="shared" si="69"/>
        <v/>
      </c>
      <c r="Q262" s="85" t="str">
        <f t="shared" ca="1" si="70"/>
        <v/>
      </c>
      <c r="R262" s="86" t="str">
        <f t="shared" si="71"/>
        <v/>
      </c>
      <c r="S262" s="86" t="str">
        <f t="shared" si="72"/>
        <v/>
      </c>
      <c r="T262" s="104" t="str">
        <f t="shared" si="73"/>
        <v/>
      </c>
      <c r="U262" s="19" t="str">
        <f>IF(AND(M262&lt;&gt;"",M262&lt;&gt;0), IF(E262 = "Muni", T262, IF(E262="Corp", T262*(1 -'Investor Input'!$C$4-'Investor Input'!$C$5), T262*(1 -'Investor Input'!$C$4))), T262)</f>
        <v/>
      </c>
      <c r="V262" s="84" t="str">
        <f t="shared" si="74"/>
        <v/>
      </c>
      <c r="W262" s="84" t="str">
        <f t="shared" si="60"/>
        <v/>
      </c>
      <c r="X262" s="21" t="str">
        <f t="shared" si="61"/>
        <v/>
      </c>
      <c r="Y262" s="60" t="str">
        <f t="shared" si="62"/>
        <v/>
      </c>
      <c r="Z262" s="60" t="str">
        <f t="shared" si="63"/>
        <v/>
      </c>
      <c r="AA262" s="64" t="str">
        <f t="shared" si="64"/>
        <v/>
      </c>
      <c r="AB262" s="64" t="str">
        <f>IF(AND(AA262&lt;&gt;"",AA262&lt;&gt;0), IF(E262="Muni", AA262, IF(E262 = "Corp", (1-'Investor Input'!$C$4-'Investor Input'!$C$5)*AA262, (1-'Investor Input'!$C$4)*AA262)), AA262)</f>
        <v/>
      </c>
      <c r="AC262" s="94" t="str">
        <f t="shared" si="65"/>
        <v/>
      </c>
      <c r="AD262" s="60" t="str">
        <f>IF(AND(M262&lt;&gt;"", M262&lt;&gt;0), N262/$N$505*MATCH(AC262,'Misc Lists'!$K$2:$K$25,0), "")</f>
        <v/>
      </c>
      <c r="AE262" s="90" t="str">
        <f t="shared" si="66"/>
        <v/>
      </c>
      <c r="AF262" s="99" t="str">
        <f>IF(AND(M262&lt;&gt;"", M262&lt;&gt;0), N262/$N$505*MATCH(AE262,'Misc Lists'!$L$2:$L$25,0), "")</f>
        <v/>
      </c>
    </row>
    <row r="263" spans="2:32" hidden="1" outlineLevel="1" x14ac:dyDescent="0.5">
      <c r="B263" s="60" t="str">
        <f ca="1"/>
        <v>20030NEH0</v>
      </c>
      <c r="C263" s="61" t="str">
        <f ca="1"/>
        <v>N/A</v>
      </c>
      <c r="D263" s="60" t="str">
        <f ca="1"/>
        <v>COMCAST CORP NEW    NOTE CALL MAKE WHOLE5.10000% 06/01/2029</v>
      </c>
      <c r="E263" s="61" t="str">
        <f ca="1"/>
        <v>Corp</v>
      </c>
      <c r="F263" s="62">
        <f ca="1"/>
        <v>5.0999999999999996</v>
      </c>
      <c r="G263" s="63">
        <f ca="1"/>
        <v>47270</v>
      </c>
      <c r="H263" s="61" t="str">
        <f ca="1"/>
        <v>A3</v>
      </c>
      <c r="I263" s="61" t="str">
        <f ca="1"/>
        <v>A-</v>
      </c>
      <c r="J263" s="64">
        <f ca="1"/>
        <v>101.84099999999999</v>
      </c>
      <c r="K263" s="17">
        <f ca="1"/>
        <v>4.6130000000000004</v>
      </c>
      <c r="L263" s="17" t="str">
        <f ca="1"/>
        <v>500(2)</v>
      </c>
      <c r="M263" s="83"/>
      <c r="N263" s="84" t="str">
        <f t="shared" si="67"/>
        <v/>
      </c>
      <c r="O263" s="20" t="str">
        <f t="shared" si="68"/>
        <v/>
      </c>
      <c r="P263" s="64" t="str">
        <f t="shared" si="69"/>
        <v/>
      </c>
      <c r="Q263" s="85" t="str">
        <f t="shared" ca="1" si="70"/>
        <v/>
      </c>
      <c r="R263" s="86" t="str">
        <f t="shared" si="71"/>
        <v/>
      </c>
      <c r="S263" s="86" t="str">
        <f t="shared" si="72"/>
        <v/>
      </c>
      <c r="T263" s="104" t="str">
        <f t="shared" si="73"/>
        <v/>
      </c>
      <c r="U263" s="19" t="str">
        <f>IF(AND(M263&lt;&gt;"",M263&lt;&gt;0), IF(E263 = "Muni", T263, IF(E263="Corp", T263*(1 -'Investor Input'!$C$4-'Investor Input'!$C$5), T263*(1 -'Investor Input'!$C$4))), T263)</f>
        <v/>
      </c>
      <c r="V263" s="84" t="str">
        <f t="shared" si="74"/>
        <v/>
      </c>
      <c r="W263" s="84" t="str">
        <f t="shared" si="60"/>
        <v/>
      </c>
      <c r="X263" s="21" t="str">
        <f t="shared" si="61"/>
        <v/>
      </c>
      <c r="Y263" s="60" t="str">
        <f t="shared" si="62"/>
        <v/>
      </c>
      <c r="Z263" s="60" t="str">
        <f t="shared" si="63"/>
        <v/>
      </c>
      <c r="AA263" s="64" t="str">
        <f t="shared" si="64"/>
        <v/>
      </c>
      <c r="AB263" s="64" t="str">
        <f>IF(AND(AA263&lt;&gt;"",AA263&lt;&gt;0), IF(E263="Muni", AA263, IF(E263 = "Corp", (1-'Investor Input'!$C$4-'Investor Input'!$C$5)*AA263, (1-'Investor Input'!$C$4)*AA263)), AA263)</f>
        <v/>
      </c>
      <c r="AC263" s="94" t="str">
        <f t="shared" si="65"/>
        <v/>
      </c>
      <c r="AD263" s="60" t="str">
        <f>IF(AND(M263&lt;&gt;"", M263&lt;&gt;0), N263/$N$505*MATCH(AC263,'Misc Lists'!$K$2:$K$25,0), "")</f>
        <v/>
      </c>
      <c r="AE263" s="90" t="str">
        <f t="shared" si="66"/>
        <v/>
      </c>
      <c r="AF263" s="99" t="str">
        <f>IF(AND(M263&lt;&gt;"", M263&lt;&gt;0), N263/$N$505*MATCH(AE263,'Misc Lists'!$L$2:$L$25,0), "")</f>
        <v/>
      </c>
    </row>
    <row r="264" spans="2:32" hidden="1" outlineLevel="1" x14ac:dyDescent="0.5">
      <c r="B264" s="60" t="str">
        <f ca="1"/>
        <v>244199BJ3</v>
      </c>
      <c r="C264" s="61" t="str">
        <f ca="1"/>
        <v>N/A</v>
      </c>
      <c r="D264" s="60" t="str">
        <f ca="1"/>
        <v>DEERE &amp;CO           NOTE CALL MAKE WHOLE3.10000% 04/15/2030</v>
      </c>
      <c r="E264" s="61" t="str">
        <f ca="1"/>
        <v>Corp</v>
      </c>
      <c r="F264" s="62">
        <f ca="1"/>
        <v>3.1</v>
      </c>
      <c r="G264" s="63">
        <f ca="1"/>
        <v>47588</v>
      </c>
      <c r="H264" s="61" t="str">
        <f ca="1"/>
        <v>A1</v>
      </c>
      <c r="I264" s="61" t="str">
        <f ca="1"/>
        <v>A</v>
      </c>
      <c r="J264" s="64">
        <f ca="1"/>
        <v>93.2</v>
      </c>
      <c r="K264" s="17">
        <f ca="1"/>
        <v>4.6130000000000004</v>
      </c>
      <c r="L264" s="17" t="str">
        <f ca="1"/>
        <v>170(2)</v>
      </c>
      <c r="M264" s="83"/>
      <c r="N264" s="84" t="str">
        <f t="shared" si="67"/>
        <v/>
      </c>
      <c r="O264" s="20" t="str">
        <f t="shared" si="68"/>
        <v/>
      </c>
      <c r="P264" s="64" t="str">
        <f t="shared" si="69"/>
        <v/>
      </c>
      <c r="Q264" s="85" t="str">
        <f t="shared" ca="1" si="70"/>
        <v/>
      </c>
      <c r="R264" s="86" t="str">
        <f t="shared" si="71"/>
        <v/>
      </c>
      <c r="S264" s="86" t="str">
        <f t="shared" si="72"/>
        <v/>
      </c>
      <c r="T264" s="104" t="str">
        <f t="shared" si="73"/>
        <v/>
      </c>
      <c r="U264" s="19" t="str">
        <f>IF(AND(M264&lt;&gt;"",M264&lt;&gt;0), IF(E264 = "Muni", T264, IF(E264="Corp", T264*(1 -'Investor Input'!$C$4-'Investor Input'!$C$5), T264*(1 -'Investor Input'!$C$4))), T264)</f>
        <v/>
      </c>
      <c r="V264" s="84" t="str">
        <f t="shared" si="74"/>
        <v/>
      </c>
      <c r="W264" s="84" t="str">
        <f t="shared" si="60"/>
        <v/>
      </c>
      <c r="X264" s="21" t="str">
        <f t="shared" si="61"/>
        <v/>
      </c>
      <c r="Y264" s="60" t="str">
        <f t="shared" si="62"/>
        <v/>
      </c>
      <c r="Z264" s="60" t="str">
        <f t="shared" si="63"/>
        <v/>
      </c>
      <c r="AA264" s="64" t="str">
        <f t="shared" si="64"/>
        <v/>
      </c>
      <c r="AB264" s="64" t="str">
        <f>IF(AND(AA264&lt;&gt;"",AA264&lt;&gt;0), IF(E264="Muni", AA264, IF(E264 = "Corp", (1-'Investor Input'!$C$4-'Investor Input'!$C$5)*AA264, (1-'Investor Input'!$C$4)*AA264)), AA264)</f>
        <v/>
      </c>
      <c r="AC264" s="94" t="str">
        <f t="shared" si="65"/>
        <v/>
      </c>
      <c r="AD264" s="60" t="str">
        <f>IF(AND(M264&lt;&gt;"", M264&lt;&gt;0), N264/$N$505*MATCH(AC264,'Misc Lists'!$K$2:$K$25,0), "")</f>
        <v/>
      </c>
      <c r="AE264" s="90" t="str">
        <f t="shared" si="66"/>
        <v/>
      </c>
      <c r="AF264" s="99" t="str">
        <f>IF(AND(M264&lt;&gt;"", M264&lt;&gt;0), N264/$N$505*MATCH(AE264,'Misc Lists'!$L$2:$L$25,0), "")</f>
        <v/>
      </c>
    </row>
    <row r="265" spans="2:32" hidden="1" outlineLevel="1" x14ac:dyDescent="0.5">
      <c r="B265" s="60" t="str">
        <f ca="1"/>
        <v>05723KAG5</v>
      </c>
      <c r="C265" s="61" t="str">
        <f ca="1"/>
        <v>N/A</v>
      </c>
      <c r="D265" s="60" t="str">
        <f ca="1"/>
        <v>BAKER HUGHES A GE COLLC / BA NOTE       3.13800% 11/07/2029 CALL MAKE WHOLE</v>
      </c>
      <c r="E265" s="61" t="str">
        <f ca="1"/>
        <v>Corp</v>
      </c>
      <c r="F265" s="62">
        <f ca="1"/>
        <v>3.1379999999999999</v>
      </c>
      <c r="G265" s="63">
        <f ca="1"/>
        <v>47429</v>
      </c>
      <c r="H265" s="61" t="str">
        <f ca="1"/>
        <v>A3</v>
      </c>
      <c r="I265" s="61" t="str">
        <f ca="1"/>
        <v>A-</v>
      </c>
      <c r="J265" s="64">
        <f ca="1"/>
        <v>93.888000000000005</v>
      </c>
      <c r="K265" s="17">
        <f ca="1"/>
        <v>4.6120000000000001</v>
      </c>
      <c r="L265" s="17" t="str">
        <f ca="1"/>
        <v>200(2)</v>
      </c>
      <c r="M265" s="83"/>
      <c r="N265" s="84" t="str">
        <f t="shared" si="67"/>
        <v/>
      </c>
      <c r="O265" s="20" t="str">
        <f t="shared" si="68"/>
        <v/>
      </c>
      <c r="P265" s="64" t="str">
        <f t="shared" si="69"/>
        <v/>
      </c>
      <c r="Q265" s="85" t="str">
        <f t="shared" ca="1" si="70"/>
        <v/>
      </c>
      <c r="R265" s="86" t="str">
        <f t="shared" si="71"/>
        <v/>
      </c>
      <c r="S265" s="86" t="str">
        <f t="shared" si="72"/>
        <v/>
      </c>
      <c r="T265" s="104" t="str">
        <f t="shared" si="73"/>
        <v/>
      </c>
      <c r="U265" s="19" t="str">
        <f>IF(AND(M265&lt;&gt;"",M265&lt;&gt;0), IF(E265 = "Muni", T265, IF(E265="Corp", T265*(1 -'Investor Input'!$C$4-'Investor Input'!$C$5), T265*(1 -'Investor Input'!$C$4))), T265)</f>
        <v/>
      </c>
      <c r="V265" s="84" t="str">
        <f t="shared" si="74"/>
        <v/>
      </c>
      <c r="W265" s="84" t="str">
        <f t="shared" si="60"/>
        <v/>
      </c>
      <c r="X265" s="21" t="str">
        <f t="shared" si="61"/>
        <v/>
      </c>
      <c r="Y265" s="60" t="str">
        <f t="shared" si="62"/>
        <v/>
      </c>
      <c r="Z265" s="60" t="str">
        <f t="shared" si="63"/>
        <v/>
      </c>
      <c r="AA265" s="64" t="str">
        <f t="shared" si="64"/>
        <v/>
      </c>
      <c r="AB265" s="64" t="str">
        <f>IF(AND(AA265&lt;&gt;"",AA265&lt;&gt;0), IF(E265="Muni", AA265, IF(E265 = "Corp", (1-'Investor Input'!$C$4-'Investor Input'!$C$5)*AA265, (1-'Investor Input'!$C$4)*AA265)), AA265)</f>
        <v/>
      </c>
      <c r="AC265" s="94" t="str">
        <f t="shared" si="65"/>
        <v/>
      </c>
      <c r="AD265" s="60" t="str">
        <f>IF(AND(M265&lt;&gt;"", M265&lt;&gt;0), N265/$N$505*MATCH(AC265,'Misc Lists'!$K$2:$K$25,0), "")</f>
        <v/>
      </c>
      <c r="AE265" s="90" t="str">
        <f t="shared" si="66"/>
        <v/>
      </c>
      <c r="AF265" s="99" t="str">
        <f>IF(AND(M265&lt;&gt;"", M265&lt;&gt;0), N265/$N$505*MATCH(AE265,'Misc Lists'!$L$2:$L$25,0), "")</f>
        <v/>
      </c>
    </row>
    <row r="266" spans="2:32" hidden="1" outlineLevel="1" x14ac:dyDescent="0.5">
      <c r="B266" s="60" t="str">
        <f ca="1"/>
        <v>94106LBT5</v>
      </c>
      <c r="C266" s="61" t="str">
        <f ca="1"/>
        <v>N/A</v>
      </c>
      <c r="D266" s="60" t="str">
        <f ca="1"/>
        <v>WASTE MGMT INC DEL  NOTE CALL MAKE WHOLE4.62500% 02/15/2030</v>
      </c>
      <c r="E266" s="61" t="str">
        <f ca="1"/>
        <v>Corp</v>
      </c>
      <c r="F266" s="62">
        <f ca="1"/>
        <v>4.625</v>
      </c>
      <c r="G266" s="63">
        <f ca="1"/>
        <v>47529</v>
      </c>
      <c r="H266" s="61" t="str">
        <f ca="1"/>
        <v>A3</v>
      </c>
      <c r="I266" s="61" t="str">
        <f ca="1"/>
        <v>A-</v>
      </c>
      <c r="J266" s="64">
        <f ca="1"/>
        <v>100.053</v>
      </c>
      <c r="K266" s="17">
        <f ca="1"/>
        <v>4.6120000000000001</v>
      </c>
      <c r="L266" s="17" t="str">
        <f ca="1"/>
        <v>500(2)</v>
      </c>
      <c r="M266" s="83"/>
      <c r="N266" s="84" t="str">
        <f t="shared" si="67"/>
        <v/>
      </c>
      <c r="O266" s="20" t="str">
        <f t="shared" si="68"/>
        <v/>
      </c>
      <c r="P266" s="64" t="str">
        <f t="shared" si="69"/>
        <v/>
      </c>
      <c r="Q266" s="85" t="str">
        <f t="shared" ca="1" si="70"/>
        <v/>
      </c>
      <c r="R266" s="86" t="str">
        <f t="shared" si="71"/>
        <v/>
      </c>
      <c r="S266" s="86" t="str">
        <f t="shared" si="72"/>
        <v/>
      </c>
      <c r="T266" s="104" t="str">
        <f t="shared" si="73"/>
        <v/>
      </c>
      <c r="U266" s="19" t="str">
        <f>IF(AND(M266&lt;&gt;"",M266&lt;&gt;0), IF(E266 = "Muni", T266, IF(E266="Corp", T266*(1 -'Investor Input'!$C$4-'Investor Input'!$C$5), T266*(1 -'Investor Input'!$C$4))), T266)</f>
        <v/>
      </c>
      <c r="V266" s="84" t="str">
        <f t="shared" si="74"/>
        <v/>
      </c>
      <c r="W266" s="84" t="str">
        <f t="shared" si="60"/>
        <v/>
      </c>
      <c r="X266" s="21" t="str">
        <f t="shared" si="61"/>
        <v/>
      </c>
      <c r="Y266" s="60" t="str">
        <f t="shared" si="62"/>
        <v/>
      </c>
      <c r="Z266" s="60" t="str">
        <f t="shared" si="63"/>
        <v/>
      </c>
      <c r="AA266" s="64" t="str">
        <f t="shared" si="64"/>
        <v/>
      </c>
      <c r="AB266" s="64" t="str">
        <f>IF(AND(AA266&lt;&gt;"",AA266&lt;&gt;0), IF(E266="Muni", AA266, IF(E266 = "Corp", (1-'Investor Input'!$C$4-'Investor Input'!$C$5)*AA266, (1-'Investor Input'!$C$4)*AA266)), AA266)</f>
        <v/>
      </c>
      <c r="AC266" s="94" t="str">
        <f t="shared" si="65"/>
        <v/>
      </c>
      <c r="AD266" s="60" t="str">
        <f>IF(AND(M266&lt;&gt;"", M266&lt;&gt;0), N266/$N$505*MATCH(AC266,'Misc Lists'!$K$2:$K$25,0), "")</f>
        <v/>
      </c>
      <c r="AE266" s="90" t="str">
        <f t="shared" si="66"/>
        <v/>
      </c>
      <c r="AF266" s="99" t="str">
        <f>IF(AND(M266&lt;&gt;"", M266&lt;&gt;0), N266/$N$505*MATCH(AE266,'Misc Lists'!$L$2:$L$25,0), "")</f>
        <v/>
      </c>
    </row>
    <row r="267" spans="2:32" hidden="1" outlineLevel="1" x14ac:dyDescent="0.5">
      <c r="B267" s="60" t="str">
        <f ca="1"/>
        <v>09857LAR9</v>
      </c>
      <c r="C267" s="61" t="str">
        <f ca="1"/>
        <v>N/A</v>
      </c>
      <c r="D267" s="60" t="str">
        <f ca="1"/>
        <v>BOOKING HOLDINGS INCNOTE CALL MAKE WHOLE4.62500% 04/13/2030</v>
      </c>
      <c r="E267" s="61" t="str">
        <f ca="1"/>
        <v>Corp</v>
      </c>
      <c r="F267" s="62">
        <f ca="1"/>
        <v>4.625</v>
      </c>
      <c r="G267" s="63">
        <f ca="1"/>
        <v>47586</v>
      </c>
      <c r="H267" s="61" t="str">
        <f ca="1"/>
        <v>A3</v>
      </c>
      <c r="I267" s="61" t="str">
        <f ca="1"/>
        <v>A-</v>
      </c>
      <c r="J267" s="64">
        <f ca="1"/>
        <v>100.056</v>
      </c>
      <c r="K267" s="17">
        <f ca="1"/>
        <v>4.6120000000000001</v>
      </c>
      <c r="L267" s="17" t="str">
        <f ca="1"/>
        <v>500(2)</v>
      </c>
      <c r="M267" s="83"/>
      <c r="N267" s="84" t="str">
        <f t="shared" si="67"/>
        <v/>
      </c>
      <c r="O267" s="20" t="str">
        <f t="shared" si="68"/>
        <v/>
      </c>
      <c r="P267" s="64" t="str">
        <f t="shared" si="69"/>
        <v/>
      </c>
      <c r="Q267" s="85" t="str">
        <f t="shared" ca="1" si="70"/>
        <v/>
      </c>
      <c r="R267" s="86" t="str">
        <f t="shared" si="71"/>
        <v/>
      </c>
      <c r="S267" s="86" t="str">
        <f t="shared" si="72"/>
        <v/>
      </c>
      <c r="T267" s="104" t="str">
        <f t="shared" si="73"/>
        <v/>
      </c>
      <c r="U267" s="19" t="str">
        <f>IF(AND(M267&lt;&gt;"",M267&lt;&gt;0), IF(E267 = "Muni", T267, IF(E267="Corp", T267*(1 -'Investor Input'!$C$4-'Investor Input'!$C$5), T267*(1 -'Investor Input'!$C$4))), T267)</f>
        <v/>
      </c>
      <c r="V267" s="84" t="str">
        <f t="shared" si="74"/>
        <v/>
      </c>
      <c r="W267" s="84" t="str">
        <f t="shared" si="60"/>
        <v/>
      </c>
      <c r="X267" s="21" t="str">
        <f t="shared" si="61"/>
        <v/>
      </c>
      <c r="Y267" s="60" t="str">
        <f t="shared" si="62"/>
        <v/>
      </c>
      <c r="Z267" s="60" t="str">
        <f t="shared" si="63"/>
        <v/>
      </c>
      <c r="AA267" s="64" t="str">
        <f t="shared" si="64"/>
        <v/>
      </c>
      <c r="AB267" s="64" t="str">
        <f>IF(AND(AA267&lt;&gt;"",AA267&lt;&gt;0), IF(E267="Muni", AA267, IF(E267 = "Corp", (1-'Investor Input'!$C$4-'Investor Input'!$C$5)*AA267, (1-'Investor Input'!$C$4)*AA267)), AA267)</f>
        <v/>
      </c>
      <c r="AC267" s="94" t="str">
        <f t="shared" si="65"/>
        <v/>
      </c>
      <c r="AD267" s="60" t="str">
        <f>IF(AND(M267&lt;&gt;"", M267&lt;&gt;0), N267/$N$505*MATCH(AC267,'Misc Lists'!$K$2:$K$25,0), "")</f>
        <v/>
      </c>
      <c r="AE267" s="90" t="str">
        <f t="shared" si="66"/>
        <v/>
      </c>
      <c r="AF267" s="99" t="str">
        <f>IF(AND(M267&lt;&gt;"", M267&lt;&gt;0), N267/$N$505*MATCH(AE267,'Misc Lists'!$L$2:$L$25,0), "")</f>
        <v/>
      </c>
    </row>
    <row r="268" spans="2:32" hidden="1" outlineLevel="1" x14ac:dyDescent="0.5">
      <c r="B268" s="60" t="str">
        <f ca="1"/>
        <v>756109AZ7</v>
      </c>
      <c r="C268" s="61" t="str">
        <f ca="1"/>
        <v>N/A</v>
      </c>
      <c r="D268" s="60" t="str">
        <f ca="1"/>
        <v>REALTY INCOME CORP  NOTE CALL MAKE WHOLE0.75000% 03/15/2026</v>
      </c>
      <c r="E268" s="61" t="str">
        <f ca="1"/>
        <v>Corp</v>
      </c>
      <c r="F268" s="62">
        <f ca="1"/>
        <v>0.75</v>
      </c>
      <c r="G268" s="63">
        <f ca="1"/>
        <v>46096</v>
      </c>
      <c r="H268" s="61" t="str">
        <f ca="1"/>
        <v>A3</v>
      </c>
      <c r="I268" s="61" t="str">
        <f ca="1"/>
        <v>A-</v>
      </c>
      <c r="J268" s="64">
        <f ca="1"/>
        <v>96.238</v>
      </c>
      <c r="K268" s="17">
        <f ca="1"/>
        <v>4.6109999999999998</v>
      </c>
      <c r="L268" s="17" t="str">
        <f ca="1"/>
        <v>209(2)</v>
      </c>
      <c r="M268" s="83"/>
      <c r="N268" s="84" t="str">
        <f t="shared" si="67"/>
        <v/>
      </c>
      <c r="O268" s="20" t="str">
        <f t="shared" si="68"/>
        <v/>
      </c>
      <c r="P268" s="64" t="str">
        <f t="shared" si="69"/>
        <v/>
      </c>
      <c r="Q268" s="85" t="str">
        <f t="shared" ca="1" si="70"/>
        <v/>
      </c>
      <c r="R268" s="86" t="str">
        <f t="shared" si="71"/>
        <v/>
      </c>
      <c r="S268" s="86" t="str">
        <f t="shared" si="72"/>
        <v/>
      </c>
      <c r="T268" s="104" t="str">
        <f t="shared" si="73"/>
        <v/>
      </c>
      <c r="U268" s="19" t="str">
        <f>IF(AND(M268&lt;&gt;"",M268&lt;&gt;0), IF(E268 = "Muni", T268, IF(E268="Corp", T268*(1 -'Investor Input'!$C$4-'Investor Input'!$C$5), T268*(1 -'Investor Input'!$C$4))), T268)</f>
        <v/>
      </c>
      <c r="V268" s="84" t="str">
        <f t="shared" si="74"/>
        <v/>
      </c>
      <c r="W268" s="84" t="str">
        <f t="shared" si="60"/>
        <v/>
      </c>
      <c r="X268" s="21" t="str">
        <f t="shared" si="61"/>
        <v/>
      </c>
      <c r="Y268" s="60" t="str">
        <f t="shared" si="62"/>
        <v/>
      </c>
      <c r="Z268" s="60" t="str">
        <f t="shared" si="63"/>
        <v/>
      </c>
      <c r="AA268" s="64" t="str">
        <f t="shared" si="64"/>
        <v/>
      </c>
      <c r="AB268" s="64" t="str">
        <f>IF(AND(AA268&lt;&gt;"",AA268&lt;&gt;0), IF(E268="Muni", AA268, IF(E268 = "Corp", (1-'Investor Input'!$C$4-'Investor Input'!$C$5)*AA268, (1-'Investor Input'!$C$4)*AA268)), AA268)</f>
        <v/>
      </c>
      <c r="AC268" s="94" t="str">
        <f t="shared" si="65"/>
        <v/>
      </c>
      <c r="AD268" s="60" t="str">
        <f>IF(AND(M268&lt;&gt;"", M268&lt;&gt;0), N268/$N$505*MATCH(AC268,'Misc Lists'!$K$2:$K$25,0), "")</f>
        <v/>
      </c>
      <c r="AE268" s="90" t="str">
        <f t="shared" si="66"/>
        <v/>
      </c>
      <c r="AF268" s="99" t="str">
        <f>IF(AND(M268&lt;&gt;"", M268&lt;&gt;0), N268/$N$505*MATCH(AE268,'Misc Lists'!$L$2:$L$25,0), "")</f>
        <v/>
      </c>
    </row>
    <row r="269" spans="2:32" hidden="1" outlineLevel="1" x14ac:dyDescent="0.5">
      <c r="B269" s="60" t="str">
        <f ca="1"/>
        <v>808513AZ8</v>
      </c>
      <c r="C269" s="61" t="str">
        <f ca="1"/>
        <v>N/A</v>
      </c>
      <c r="D269" s="60" t="str">
        <f ca="1"/>
        <v>SCHWAB CHARLES CORP NOTE CALL MAKE WHOLE4.00000% 02/01/2029</v>
      </c>
      <c r="E269" s="61" t="str">
        <f ca="1"/>
        <v>Corp</v>
      </c>
      <c r="F269" s="62">
        <f ca="1"/>
        <v>4</v>
      </c>
      <c r="G269" s="63">
        <f ca="1"/>
        <v>47150</v>
      </c>
      <c r="H269" s="61" t="str">
        <f ca="1"/>
        <v>A2</v>
      </c>
      <c r="I269" s="61" t="str">
        <f ca="1"/>
        <v>A-</v>
      </c>
      <c r="J269" s="64">
        <f ca="1"/>
        <v>97.844999999999999</v>
      </c>
      <c r="K269" s="17">
        <f ca="1"/>
        <v>4.6109999999999998</v>
      </c>
      <c r="L269" s="17" t="str">
        <f ca="1"/>
        <v>200(2)</v>
      </c>
      <c r="M269" s="83"/>
      <c r="N269" s="84" t="str">
        <f t="shared" si="67"/>
        <v/>
      </c>
      <c r="O269" s="20" t="str">
        <f t="shared" si="68"/>
        <v/>
      </c>
      <c r="P269" s="64" t="str">
        <f t="shared" si="69"/>
        <v/>
      </c>
      <c r="Q269" s="85" t="str">
        <f t="shared" ca="1" si="70"/>
        <v/>
      </c>
      <c r="R269" s="86" t="str">
        <f t="shared" si="71"/>
        <v/>
      </c>
      <c r="S269" s="86" t="str">
        <f t="shared" si="72"/>
        <v/>
      </c>
      <c r="T269" s="104" t="str">
        <f t="shared" si="73"/>
        <v/>
      </c>
      <c r="U269" s="19" t="str">
        <f>IF(AND(M269&lt;&gt;"",M269&lt;&gt;0), IF(E269 = "Muni", T269, IF(E269="Corp", T269*(1 -'Investor Input'!$C$4-'Investor Input'!$C$5), T269*(1 -'Investor Input'!$C$4))), T269)</f>
        <v/>
      </c>
      <c r="V269" s="84" t="str">
        <f t="shared" si="74"/>
        <v/>
      </c>
      <c r="W269" s="84" t="str">
        <f t="shared" si="60"/>
        <v/>
      </c>
      <c r="X269" s="21" t="str">
        <f t="shared" si="61"/>
        <v/>
      </c>
      <c r="Y269" s="60" t="str">
        <f t="shared" si="62"/>
        <v/>
      </c>
      <c r="Z269" s="60" t="str">
        <f t="shared" si="63"/>
        <v/>
      </c>
      <c r="AA269" s="64" t="str">
        <f t="shared" si="64"/>
        <v/>
      </c>
      <c r="AB269" s="64" t="str">
        <f>IF(AND(AA269&lt;&gt;"",AA269&lt;&gt;0), IF(E269="Muni", AA269, IF(E269 = "Corp", (1-'Investor Input'!$C$4-'Investor Input'!$C$5)*AA269, (1-'Investor Input'!$C$4)*AA269)), AA269)</f>
        <v/>
      </c>
      <c r="AC269" s="94" t="str">
        <f t="shared" si="65"/>
        <v/>
      </c>
      <c r="AD269" s="60" t="str">
        <f>IF(AND(M269&lt;&gt;"", M269&lt;&gt;0), N269/$N$505*MATCH(AC269,'Misc Lists'!$K$2:$K$25,0), "")</f>
        <v/>
      </c>
      <c r="AE269" s="90" t="str">
        <f t="shared" si="66"/>
        <v/>
      </c>
      <c r="AF269" s="99" t="str">
        <f>IF(AND(M269&lt;&gt;"", M269&lt;&gt;0), N269/$N$505*MATCH(AE269,'Misc Lists'!$L$2:$L$25,0), "")</f>
        <v/>
      </c>
    </row>
    <row r="270" spans="2:32" hidden="1" outlineLevel="1" x14ac:dyDescent="0.5">
      <c r="B270" s="60" t="str">
        <f ca="1"/>
        <v>427866BL1</v>
      </c>
      <c r="C270" s="61" t="str">
        <f ca="1"/>
        <v>N/A</v>
      </c>
      <c r="D270" s="60" t="str">
        <f ca="1"/>
        <v>HERSHEY CO          NOTE CALL MAKE WHOLE4.75000% 02/24/2030</v>
      </c>
      <c r="E270" s="61" t="str">
        <f ca="1"/>
        <v>Corp</v>
      </c>
      <c r="F270" s="62">
        <f ca="1"/>
        <v>4.75</v>
      </c>
      <c r="G270" s="63">
        <f ca="1"/>
        <v>47538</v>
      </c>
      <c r="H270" s="61" t="str">
        <f ca="1"/>
        <v>A1</v>
      </c>
      <c r="I270" s="61" t="str">
        <f ca="1"/>
        <v>A</v>
      </c>
      <c r="J270" s="64">
        <f ca="1"/>
        <v>100.61</v>
      </c>
      <c r="K270" s="17">
        <f ca="1"/>
        <v>4.6100000000000003</v>
      </c>
      <c r="L270" s="17" t="str">
        <f ca="1"/>
        <v>500(2)</v>
      </c>
      <c r="M270" s="83"/>
      <c r="N270" s="84" t="str">
        <f t="shared" si="67"/>
        <v/>
      </c>
      <c r="O270" s="20" t="str">
        <f t="shared" si="68"/>
        <v/>
      </c>
      <c r="P270" s="64" t="str">
        <f t="shared" si="69"/>
        <v/>
      </c>
      <c r="Q270" s="85" t="str">
        <f t="shared" ca="1" si="70"/>
        <v/>
      </c>
      <c r="R270" s="86" t="str">
        <f t="shared" si="71"/>
        <v/>
      </c>
      <c r="S270" s="86" t="str">
        <f t="shared" si="72"/>
        <v/>
      </c>
      <c r="T270" s="104" t="str">
        <f t="shared" si="73"/>
        <v/>
      </c>
      <c r="U270" s="19" t="str">
        <f>IF(AND(M270&lt;&gt;"",M270&lt;&gt;0), IF(E270 = "Muni", T270, IF(E270="Corp", T270*(1 -'Investor Input'!$C$4-'Investor Input'!$C$5), T270*(1 -'Investor Input'!$C$4))), T270)</f>
        <v/>
      </c>
      <c r="V270" s="84" t="str">
        <f t="shared" si="74"/>
        <v/>
      </c>
      <c r="W270" s="84" t="str">
        <f t="shared" si="60"/>
        <v/>
      </c>
      <c r="X270" s="21" t="str">
        <f t="shared" si="61"/>
        <v/>
      </c>
      <c r="Y270" s="60" t="str">
        <f t="shared" si="62"/>
        <v/>
      </c>
      <c r="Z270" s="60" t="str">
        <f t="shared" si="63"/>
        <v/>
      </c>
      <c r="AA270" s="64" t="str">
        <f t="shared" si="64"/>
        <v/>
      </c>
      <c r="AB270" s="64" t="str">
        <f>IF(AND(AA270&lt;&gt;"",AA270&lt;&gt;0), IF(E270="Muni", AA270, IF(E270 = "Corp", (1-'Investor Input'!$C$4-'Investor Input'!$C$5)*AA270, (1-'Investor Input'!$C$4)*AA270)), AA270)</f>
        <v/>
      </c>
      <c r="AC270" s="94" t="str">
        <f t="shared" si="65"/>
        <v/>
      </c>
      <c r="AD270" s="60" t="str">
        <f>IF(AND(M270&lt;&gt;"", M270&lt;&gt;0), N270/$N$505*MATCH(AC270,'Misc Lists'!$K$2:$K$25,0), "")</f>
        <v/>
      </c>
      <c r="AE270" s="90" t="str">
        <f t="shared" si="66"/>
        <v/>
      </c>
      <c r="AF270" s="99" t="str">
        <f>IF(AND(M270&lt;&gt;"", M270&lt;&gt;0), N270/$N$505*MATCH(AE270,'Misc Lists'!$L$2:$L$25,0), "")</f>
        <v/>
      </c>
    </row>
    <row r="271" spans="2:32" hidden="1" outlineLevel="1" x14ac:dyDescent="0.5">
      <c r="B271" s="60" t="str">
        <f ca="1"/>
        <v>13607LNG4</v>
      </c>
      <c r="C271" s="61" t="str">
        <f ca="1"/>
        <v>N/A</v>
      </c>
      <c r="D271" s="60" t="str">
        <f ca="1"/>
        <v>CANADIAN IMPERIAL BKCOMM NOTE           5.00100% 04/28/2028 CALL MAKE WHOLE</v>
      </c>
      <c r="E271" s="61" t="str">
        <f ca="1"/>
        <v>Corp</v>
      </c>
      <c r="F271" s="62">
        <f ca="1"/>
        <v>5.0010000000000003</v>
      </c>
      <c r="G271" s="63">
        <f ca="1"/>
        <v>46871</v>
      </c>
      <c r="H271" s="61" t="str">
        <f ca="1"/>
        <v>A2</v>
      </c>
      <c r="I271" s="61" t="str">
        <f ca="1"/>
        <v>A-</v>
      </c>
      <c r="J271" s="64">
        <f ca="1"/>
        <v>101.13</v>
      </c>
      <c r="K271" s="17">
        <f ca="1"/>
        <v>4.6070000000000002</v>
      </c>
      <c r="L271" s="17" t="str">
        <f ca="1"/>
        <v>500(2)</v>
      </c>
      <c r="M271" s="83"/>
      <c r="N271" s="84" t="str">
        <f t="shared" si="67"/>
        <v/>
      </c>
      <c r="O271" s="20" t="str">
        <f t="shared" si="68"/>
        <v/>
      </c>
      <c r="P271" s="64" t="str">
        <f t="shared" si="69"/>
        <v/>
      </c>
      <c r="Q271" s="85" t="str">
        <f t="shared" ca="1" si="70"/>
        <v/>
      </c>
      <c r="R271" s="86" t="str">
        <f t="shared" si="71"/>
        <v/>
      </c>
      <c r="S271" s="86" t="str">
        <f t="shared" si="72"/>
        <v/>
      </c>
      <c r="T271" s="104" t="str">
        <f t="shared" si="73"/>
        <v/>
      </c>
      <c r="U271" s="19" t="str">
        <f>IF(AND(M271&lt;&gt;"",M271&lt;&gt;0), IF(E271 = "Muni", T271, IF(E271="Corp", T271*(1 -'Investor Input'!$C$4-'Investor Input'!$C$5), T271*(1 -'Investor Input'!$C$4))), T271)</f>
        <v/>
      </c>
      <c r="V271" s="84" t="str">
        <f t="shared" si="74"/>
        <v/>
      </c>
      <c r="W271" s="84" t="str">
        <f t="shared" si="60"/>
        <v/>
      </c>
      <c r="X271" s="21" t="str">
        <f t="shared" si="61"/>
        <v/>
      </c>
      <c r="Y271" s="60" t="str">
        <f t="shared" si="62"/>
        <v/>
      </c>
      <c r="Z271" s="60" t="str">
        <f t="shared" si="63"/>
        <v/>
      </c>
      <c r="AA271" s="64" t="str">
        <f t="shared" si="64"/>
        <v/>
      </c>
      <c r="AB271" s="64" t="str">
        <f>IF(AND(AA271&lt;&gt;"",AA271&lt;&gt;0), IF(E271="Muni", AA271, IF(E271 = "Corp", (1-'Investor Input'!$C$4-'Investor Input'!$C$5)*AA271, (1-'Investor Input'!$C$4)*AA271)), AA271)</f>
        <v/>
      </c>
      <c r="AC271" s="94" t="str">
        <f t="shared" si="65"/>
        <v/>
      </c>
      <c r="AD271" s="60" t="str">
        <f>IF(AND(M271&lt;&gt;"", M271&lt;&gt;0), N271/$N$505*MATCH(AC271,'Misc Lists'!$K$2:$K$25,0), "")</f>
        <v/>
      </c>
      <c r="AE271" s="90" t="str">
        <f t="shared" si="66"/>
        <v/>
      </c>
      <c r="AF271" s="99" t="str">
        <f>IF(AND(M271&lt;&gt;"", M271&lt;&gt;0), N271/$N$505*MATCH(AE271,'Misc Lists'!$L$2:$L$25,0), "")</f>
        <v/>
      </c>
    </row>
    <row r="272" spans="2:32" outlineLevel="1" x14ac:dyDescent="0.5">
      <c r="B272" s="60" t="str">
        <f ca="1"/>
        <v>210518DV5</v>
      </c>
      <c r="C272" s="61" t="str">
        <f ca="1"/>
        <v>N/A</v>
      </c>
      <c r="D272" s="60" t="str">
        <f ca="1"/>
        <v>CONSUMERS ENERGY CO BOND CALL MAKE WHOLE4.90000% 02/15/2029</v>
      </c>
      <c r="E272" s="61" t="str">
        <f ca="1"/>
        <v>Corp</v>
      </c>
      <c r="F272" s="62">
        <f ca="1"/>
        <v>4.9000000000000004</v>
      </c>
      <c r="G272" s="63">
        <f ca="1"/>
        <v>47164</v>
      </c>
      <c r="H272" s="61" t="str">
        <f ca="1"/>
        <v>A1</v>
      </c>
      <c r="I272" s="61" t="str">
        <f ca="1"/>
        <v>A</v>
      </c>
      <c r="J272" s="64">
        <f ca="1"/>
        <v>101.038</v>
      </c>
      <c r="K272" s="17">
        <f ca="1"/>
        <v>4.6070000000000002</v>
      </c>
      <c r="L272" s="17" t="str">
        <f ca="1"/>
        <v>200(2)</v>
      </c>
      <c r="M272" s="83">
        <v>10</v>
      </c>
      <c r="N272" s="84">
        <f t="shared" ca="1" si="67"/>
        <v>10000</v>
      </c>
      <c r="O272" s="20">
        <f t="shared" ca="1" si="68"/>
        <v>9.9995895168503331E-3</v>
      </c>
      <c r="P272" s="64">
        <f t="shared" ca="1" si="69"/>
        <v>49</v>
      </c>
      <c r="Q272" s="85">
        <f t="shared" ca="1" si="70"/>
        <v>45791.491364930553</v>
      </c>
      <c r="R272" s="86">
        <f t="shared" ca="1" si="71"/>
        <v>4</v>
      </c>
      <c r="S272" s="86">
        <f t="shared" ca="1" si="72"/>
        <v>3.3581865046629549</v>
      </c>
      <c r="T272" s="104">
        <f t="shared" ca="1" si="73"/>
        <v>4.8978149951680199E-2</v>
      </c>
      <c r="U272" s="19">
        <f ca="1">IF(AND(M272&lt;&gt;"",M272&lt;&gt;0), IF(E272 = "Muni", T272, IF(E272="Corp", T272*(1 -'Investor Input'!$C$4-'Investor Input'!$C$5), T272*(1 -'Investor Input'!$C$4))), T272)</f>
        <v>2.6448200973907311E-2</v>
      </c>
      <c r="V272" s="84">
        <f t="shared" ca="1" si="74"/>
        <v>9881.1888796677049</v>
      </c>
      <c r="W272" s="84">
        <f t="shared" ca="1" si="60"/>
        <v>-118.8111203322951</v>
      </c>
      <c r="X272" s="21">
        <f t="shared" ca="1" si="61"/>
        <v>-1.188111203322951E-2</v>
      </c>
      <c r="Y272" s="60">
        <f t="shared" ca="1" si="62"/>
        <v>2</v>
      </c>
      <c r="Z272" s="60">
        <f t="shared" ca="1" si="63"/>
        <v>8</v>
      </c>
      <c r="AA272" s="64">
        <f t="shared" ca="1" si="64"/>
        <v>245</v>
      </c>
      <c r="AB272" s="64">
        <f ca="1">IF(AND(AA272&lt;&gt;"",AA272&lt;&gt;0), IF(E272="Muni", AA272, IF(E272 = "Corp", (1-'Investor Input'!$C$4-'Investor Input'!$C$5)*AA272, (1-'Investor Input'!$C$4)*AA272)), AA272)</f>
        <v>132.30000000000001</v>
      </c>
      <c r="AC272" s="94" t="str">
        <f t="shared" ca="1" si="65"/>
        <v>A1</v>
      </c>
      <c r="AD272" s="60">
        <f ca="1">IF(AND(M272&lt;&gt;"", M272&lt;&gt;0), N272/$N$505*MATCH(AC272,'Misc Lists'!$K$2:$K$25,0), "")</f>
        <v>5.9997537101101998E-2</v>
      </c>
      <c r="AE272" s="90" t="str">
        <f t="shared" ca="1" si="66"/>
        <v>A</v>
      </c>
      <c r="AF272" s="99">
        <f ca="1">IF(AND(M272&lt;&gt;"", M272&lt;&gt;0), N272/$N$505*MATCH(AE272,'Misc Lists'!$L$2:$L$25,0), "")</f>
        <v>6.9997126617952335E-2</v>
      </c>
    </row>
    <row r="273" spans="2:32" hidden="1" outlineLevel="1" x14ac:dyDescent="0.5">
      <c r="B273" s="60" t="str">
        <f ca="1"/>
        <v>78016HZS2</v>
      </c>
      <c r="C273" s="61" t="str">
        <f ca="1"/>
        <v>N/A</v>
      </c>
      <c r="D273" s="60" t="str">
        <f ca="1"/>
        <v>ROYAL BK CDA        SER I MTN           5.20000% 08/01/2028 CALL MAKE WHOLE</v>
      </c>
      <c r="E273" s="61" t="str">
        <f ca="1"/>
        <v>Corp</v>
      </c>
      <c r="F273" s="62">
        <f ca="1"/>
        <v>5.2</v>
      </c>
      <c r="G273" s="63">
        <f ca="1"/>
        <v>46966</v>
      </c>
      <c r="H273" s="61" t="str">
        <f ca="1"/>
        <v>A1</v>
      </c>
      <c r="I273" s="61" t="str">
        <f ca="1"/>
        <v>A</v>
      </c>
      <c r="J273" s="64">
        <f ca="1"/>
        <v>101.83799999999999</v>
      </c>
      <c r="K273" s="17">
        <f ca="1"/>
        <v>4.6059999999999999</v>
      </c>
      <c r="L273" s="17" t="str">
        <f ca="1"/>
        <v>500(9)</v>
      </c>
      <c r="M273" s="83"/>
      <c r="N273" s="84" t="str">
        <f t="shared" si="67"/>
        <v/>
      </c>
      <c r="O273" s="20" t="str">
        <f t="shared" si="68"/>
        <v/>
      </c>
      <c r="P273" s="64" t="str">
        <f t="shared" si="69"/>
        <v/>
      </c>
      <c r="Q273" s="85" t="str">
        <f t="shared" ca="1" si="70"/>
        <v/>
      </c>
      <c r="R273" s="86" t="str">
        <f t="shared" si="71"/>
        <v/>
      </c>
      <c r="S273" s="86" t="str">
        <f t="shared" si="72"/>
        <v/>
      </c>
      <c r="T273" s="104" t="str">
        <f t="shared" si="73"/>
        <v/>
      </c>
      <c r="U273" s="19" t="str">
        <f>IF(AND(M273&lt;&gt;"",M273&lt;&gt;0), IF(E273 = "Muni", T273, IF(E273="Corp", T273*(1 -'Investor Input'!$C$4-'Investor Input'!$C$5), T273*(1 -'Investor Input'!$C$4))), T273)</f>
        <v/>
      </c>
      <c r="V273" s="84" t="str">
        <f t="shared" si="74"/>
        <v/>
      </c>
      <c r="W273" s="84" t="str">
        <f t="shared" si="60"/>
        <v/>
      </c>
      <c r="X273" s="21" t="str">
        <f t="shared" si="61"/>
        <v/>
      </c>
      <c r="Y273" s="60" t="str">
        <f t="shared" si="62"/>
        <v/>
      </c>
      <c r="Z273" s="60" t="str">
        <f t="shared" si="63"/>
        <v/>
      </c>
      <c r="AA273" s="64" t="str">
        <f t="shared" si="64"/>
        <v/>
      </c>
      <c r="AB273" s="64" t="str">
        <f>IF(AND(AA273&lt;&gt;"",AA273&lt;&gt;0), IF(E273="Muni", AA273, IF(E273 = "Corp", (1-'Investor Input'!$C$4-'Investor Input'!$C$5)*AA273, (1-'Investor Input'!$C$4)*AA273)), AA273)</f>
        <v/>
      </c>
      <c r="AC273" s="94" t="str">
        <f t="shared" si="65"/>
        <v/>
      </c>
      <c r="AD273" s="60" t="str">
        <f>IF(AND(M273&lt;&gt;"", M273&lt;&gt;0), N273/$N$505*MATCH(AC273,'Misc Lists'!$K$2:$K$25,0), "")</f>
        <v/>
      </c>
      <c r="AE273" s="90" t="str">
        <f t="shared" si="66"/>
        <v/>
      </c>
      <c r="AF273" s="99" t="str">
        <f>IF(AND(M273&lt;&gt;"", M273&lt;&gt;0), N273/$N$505*MATCH(AE273,'Misc Lists'!$L$2:$L$25,0), "")</f>
        <v/>
      </c>
    </row>
    <row r="274" spans="2:32" hidden="1" outlineLevel="1" x14ac:dyDescent="0.5">
      <c r="B274" s="60" t="str">
        <f ca="1"/>
        <v>74460DAD1</v>
      </c>
      <c r="C274" s="61" t="str">
        <f ca="1"/>
        <v>N/A</v>
      </c>
      <c r="D274" s="60" t="str">
        <f ca="1"/>
        <v>PUBLIC STORAGE OPER CO NOTE             3.38500% 05/01/2029 CALL MAKE WHOLE</v>
      </c>
      <c r="E274" s="61" t="str">
        <f ca="1"/>
        <v>Corp</v>
      </c>
      <c r="F274" s="62">
        <f ca="1"/>
        <v>3.3849999999999998</v>
      </c>
      <c r="G274" s="63">
        <f ca="1"/>
        <v>47239</v>
      </c>
      <c r="H274" s="61" t="str">
        <f ca="1"/>
        <v>A2</v>
      </c>
      <c r="I274" s="61" t="str">
        <f ca="1"/>
        <v>A</v>
      </c>
      <c r="J274" s="64">
        <f ca="1"/>
        <v>95.445999999999998</v>
      </c>
      <c r="K274" s="17">
        <f ca="1"/>
        <v>4.6059999999999999</v>
      </c>
      <c r="L274" s="17" t="str">
        <f ca="1"/>
        <v>500(2)</v>
      </c>
      <c r="M274" s="83"/>
      <c r="N274" s="84" t="str">
        <f t="shared" si="67"/>
        <v/>
      </c>
      <c r="O274" s="20" t="str">
        <f t="shared" si="68"/>
        <v/>
      </c>
      <c r="P274" s="64" t="str">
        <f t="shared" si="69"/>
        <v/>
      </c>
      <c r="Q274" s="85" t="str">
        <f t="shared" ca="1" si="70"/>
        <v/>
      </c>
      <c r="R274" s="86" t="str">
        <f t="shared" si="71"/>
        <v/>
      </c>
      <c r="S274" s="86" t="str">
        <f t="shared" si="72"/>
        <v/>
      </c>
      <c r="T274" s="104" t="str">
        <f t="shared" si="73"/>
        <v/>
      </c>
      <c r="U274" s="19" t="str">
        <f>IF(AND(M274&lt;&gt;"",M274&lt;&gt;0), IF(E274 = "Muni", T274, IF(E274="Corp", T274*(1 -'Investor Input'!$C$4-'Investor Input'!$C$5), T274*(1 -'Investor Input'!$C$4))), T274)</f>
        <v/>
      </c>
      <c r="V274" s="84" t="str">
        <f t="shared" si="74"/>
        <v/>
      </c>
      <c r="W274" s="84" t="str">
        <f t="shared" si="60"/>
        <v/>
      </c>
      <c r="X274" s="21" t="str">
        <f t="shared" si="61"/>
        <v/>
      </c>
      <c r="Y274" s="60" t="str">
        <f t="shared" si="62"/>
        <v/>
      </c>
      <c r="Z274" s="60" t="str">
        <f t="shared" si="63"/>
        <v/>
      </c>
      <c r="AA274" s="64" t="str">
        <f t="shared" si="64"/>
        <v/>
      </c>
      <c r="AB274" s="64" t="str">
        <f>IF(AND(AA274&lt;&gt;"",AA274&lt;&gt;0), IF(E274="Muni", AA274, IF(E274 = "Corp", (1-'Investor Input'!$C$4-'Investor Input'!$C$5)*AA274, (1-'Investor Input'!$C$4)*AA274)), AA274)</f>
        <v/>
      </c>
      <c r="AC274" s="94" t="str">
        <f t="shared" si="65"/>
        <v/>
      </c>
      <c r="AD274" s="60" t="str">
        <f>IF(AND(M274&lt;&gt;"", M274&lt;&gt;0), N274/$N$505*MATCH(AC274,'Misc Lists'!$K$2:$K$25,0), "")</f>
        <v/>
      </c>
      <c r="AE274" s="90" t="str">
        <f t="shared" si="66"/>
        <v/>
      </c>
      <c r="AF274" s="99" t="str">
        <f>IF(AND(M274&lt;&gt;"", M274&lt;&gt;0), N274/$N$505*MATCH(AE274,'Misc Lists'!$L$2:$L$25,0), "")</f>
        <v/>
      </c>
    </row>
    <row r="275" spans="2:32" hidden="1" outlineLevel="1" x14ac:dyDescent="0.5">
      <c r="B275" s="60" t="str">
        <f ca="1"/>
        <v>872540AT6</v>
      </c>
      <c r="C275" s="61" t="str">
        <f ca="1"/>
        <v>N/A</v>
      </c>
      <c r="D275" s="60" t="str">
        <f ca="1"/>
        <v>TJX COS INC NEW     NOTE CALL MAKE WHOLE3.87500% 04/15/2030</v>
      </c>
      <c r="E275" s="61" t="str">
        <f ca="1"/>
        <v>Corp</v>
      </c>
      <c r="F275" s="62">
        <f ca="1"/>
        <v>3.875</v>
      </c>
      <c r="G275" s="63">
        <f ca="1"/>
        <v>47588</v>
      </c>
      <c r="H275" s="61" t="str">
        <f ca="1"/>
        <v>A2</v>
      </c>
      <c r="I275" s="61" t="str">
        <f ca="1"/>
        <v>A</v>
      </c>
      <c r="J275" s="64">
        <f ca="1"/>
        <v>96.722999999999999</v>
      </c>
      <c r="K275" s="17">
        <f ca="1"/>
        <v>4.6040000000000001</v>
      </c>
      <c r="L275" s="17" t="str">
        <f ca="1"/>
        <v>500(2)</v>
      </c>
      <c r="M275" s="83"/>
      <c r="N275" s="84" t="str">
        <f t="shared" si="67"/>
        <v/>
      </c>
      <c r="O275" s="20" t="str">
        <f t="shared" si="68"/>
        <v/>
      </c>
      <c r="P275" s="64" t="str">
        <f t="shared" si="69"/>
        <v/>
      </c>
      <c r="Q275" s="85" t="str">
        <f t="shared" ca="1" si="70"/>
        <v/>
      </c>
      <c r="R275" s="86" t="str">
        <f t="shared" si="71"/>
        <v/>
      </c>
      <c r="S275" s="86" t="str">
        <f t="shared" si="72"/>
        <v/>
      </c>
      <c r="T275" s="104" t="str">
        <f t="shared" si="73"/>
        <v/>
      </c>
      <c r="U275" s="19" t="str">
        <f>IF(AND(M275&lt;&gt;"",M275&lt;&gt;0), IF(E275 = "Muni", T275, IF(E275="Corp", T275*(1 -'Investor Input'!$C$4-'Investor Input'!$C$5), T275*(1 -'Investor Input'!$C$4))), T275)</f>
        <v/>
      </c>
      <c r="V275" s="84" t="str">
        <f t="shared" si="74"/>
        <v/>
      </c>
      <c r="W275" s="84" t="str">
        <f t="shared" si="60"/>
        <v/>
      </c>
      <c r="X275" s="21" t="str">
        <f t="shared" si="61"/>
        <v/>
      </c>
      <c r="Y275" s="60" t="str">
        <f t="shared" si="62"/>
        <v/>
      </c>
      <c r="Z275" s="60" t="str">
        <f t="shared" si="63"/>
        <v/>
      </c>
      <c r="AA275" s="64" t="str">
        <f t="shared" si="64"/>
        <v/>
      </c>
      <c r="AB275" s="64" t="str">
        <f>IF(AND(AA275&lt;&gt;"",AA275&lt;&gt;0), IF(E275="Muni", AA275, IF(E275 = "Corp", (1-'Investor Input'!$C$4-'Investor Input'!$C$5)*AA275, (1-'Investor Input'!$C$4)*AA275)), AA275)</f>
        <v/>
      </c>
      <c r="AC275" s="94" t="str">
        <f t="shared" si="65"/>
        <v/>
      </c>
      <c r="AD275" s="60" t="str">
        <f>IF(AND(M275&lt;&gt;"", M275&lt;&gt;0), N275/$N$505*MATCH(AC275,'Misc Lists'!$K$2:$K$25,0), "")</f>
        <v/>
      </c>
      <c r="AE275" s="90" t="str">
        <f t="shared" si="66"/>
        <v/>
      </c>
      <c r="AF275" s="99" t="str">
        <f>IF(AND(M275&lt;&gt;"", M275&lt;&gt;0), N275/$N$505*MATCH(AE275,'Misc Lists'!$L$2:$L$25,0), "")</f>
        <v/>
      </c>
    </row>
    <row r="276" spans="2:32" hidden="1" outlineLevel="1" x14ac:dyDescent="0.5">
      <c r="B276" s="60" t="str">
        <f ca="1"/>
        <v>22550L2M2</v>
      </c>
      <c r="C276" s="61" t="str">
        <f ca="1"/>
        <v>N/A</v>
      </c>
      <c r="D276" s="60" t="str">
        <f ca="1"/>
        <v>UBS AG N Y BRH      MTN                 7.50000% 02/15/2028</v>
      </c>
      <c r="E276" s="61" t="str">
        <f ca="1"/>
        <v>Corp</v>
      </c>
      <c r="F276" s="62">
        <f ca="1"/>
        <v>7.5</v>
      </c>
      <c r="G276" s="63">
        <f ca="1"/>
        <v>46798</v>
      </c>
      <c r="H276" s="61" t="str">
        <f ca="1"/>
        <v>AA2</v>
      </c>
      <c r="I276" s="61" t="str">
        <f ca="1"/>
        <v>A+</v>
      </c>
      <c r="J276" s="64">
        <f ca="1"/>
        <v>107.839</v>
      </c>
      <c r="K276" s="17">
        <f ca="1"/>
        <v>4.6029999999999998</v>
      </c>
      <c r="L276" s="17" t="str">
        <f ca="1"/>
        <v>500(250)</v>
      </c>
      <c r="M276" s="83"/>
      <c r="N276" s="84" t="str">
        <f t="shared" si="67"/>
        <v/>
      </c>
      <c r="O276" s="20" t="str">
        <f t="shared" si="68"/>
        <v/>
      </c>
      <c r="P276" s="64" t="str">
        <f t="shared" si="69"/>
        <v/>
      </c>
      <c r="Q276" s="85" t="str">
        <f t="shared" ca="1" si="70"/>
        <v/>
      </c>
      <c r="R276" s="86" t="str">
        <f t="shared" si="71"/>
        <v/>
      </c>
      <c r="S276" s="86" t="str">
        <f t="shared" si="72"/>
        <v/>
      </c>
      <c r="T276" s="104" t="str">
        <f t="shared" si="73"/>
        <v/>
      </c>
      <c r="U276" s="19" t="str">
        <f>IF(AND(M276&lt;&gt;"",M276&lt;&gt;0), IF(E276 = "Muni", T276, IF(E276="Corp", T276*(1 -'Investor Input'!$C$4-'Investor Input'!$C$5), T276*(1 -'Investor Input'!$C$4))), T276)</f>
        <v/>
      </c>
      <c r="V276" s="84" t="str">
        <f t="shared" si="74"/>
        <v/>
      </c>
      <c r="W276" s="84" t="str">
        <f t="shared" si="60"/>
        <v/>
      </c>
      <c r="X276" s="21" t="str">
        <f t="shared" si="61"/>
        <v/>
      </c>
      <c r="Y276" s="60" t="str">
        <f t="shared" si="62"/>
        <v/>
      </c>
      <c r="Z276" s="60" t="str">
        <f t="shared" si="63"/>
        <v/>
      </c>
      <c r="AA276" s="64" t="str">
        <f t="shared" si="64"/>
        <v/>
      </c>
      <c r="AB276" s="64" t="str">
        <f>IF(AND(AA276&lt;&gt;"",AA276&lt;&gt;0), IF(E276="Muni", AA276, IF(E276 = "Corp", (1-'Investor Input'!$C$4-'Investor Input'!$C$5)*AA276, (1-'Investor Input'!$C$4)*AA276)), AA276)</f>
        <v/>
      </c>
      <c r="AC276" s="94" t="str">
        <f t="shared" si="65"/>
        <v/>
      </c>
      <c r="AD276" s="60" t="str">
        <f>IF(AND(M276&lt;&gt;"", M276&lt;&gt;0), N276/$N$505*MATCH(AC276,'Misc Lists'!$K$2:$K$25,0), "")</f>
        <v/>
      </c>
      <c r="AE276" s="90" t="str">
        <f t="shared" si="66"/>
        <v/>
      </c>
      <c r="AF276" s="99" t="str">
        <f>IF(AND(M276&lt;&gt;"", M276&lt;&gt;0), N276/$N$505*MATCH(AE276,'Misc Lists'!$L$2:$L$25,0), "")</f>
        <v/>
      </c>
    </row>
    <row r="277" spans="2:32" hidden="1" outlineLevel="1" x14ac:dyDescent="0.5">
      <c r="B277" s="60" t="str">
        <f ca="1"/>
        <v>89115A2M3</v>
      </c>
      <c r="C277" s="61" t="str">
        <f ca="1"/>
        <v>N/A</v>
      </c>
      <c r="D277" s="60" t="str">
        <f ca="1"/>
        <v>TORONTO DOMINION BK ONT SER C MTN       5.15600% 01/10/2028 CALL MAKE WHOLE</v>
      </c>
      <c r="E277" s="61" t="str">
        <f ca="1"/>
        <v>Corp</v>
      </c>
      <c r="F277" s="62">
        <f ca="1"/>
        <v>5.1559999999999997</v>
      </c>
      <c r="G277" s="63">
        <f ca="1"/>
        <v>46762</v>
      </c>
      <c r="H277" s="61" t="str">
        <f ca="1"/>
        <v>A2</v>
      </c>
      <c r="I277" s="61" t="str">
        <f ca="1"/>
        <v>A-</v>
      </c>
      <c r="J277" s="64">
        <f ca="1"/>
        <v>101.449</v>
      </c>
      <c r="K277" s="17">
        <f ca="1"/>
        <v>4.601</v>
      </c>
      <c r="L277" s="17" t="str">
        <f ca="1"/>
        <v>500(2)</v>
      </c>
      <c r="M277" s="83"/>
      <c r="N277" s="84" t="str">
        <f t="shared" si="67"/>
        <v/>
      </c>
      <c r="O277" s="20" t="str">
        <f t="shared" si="68"/>
        <v/>
      </c>
      <c r="P277" s="64" t="str">
        <f t="shared" si="69"/>
        <v/>
      </c>
      <c r="Q277" s="85" t="str">
        <f t="shared" ca="1" si="70"/>
        <v/>
      </c>
      <c r="R277" s="86" t="str">
        <f t="shared" si="71"/>
        <v/>
      </c>
      <c r="S277" s="86" t="str">
        <f t="shared" si="72"/>
        <v/>
      </c>
      <c r="T277" s="104" t="str">
        <f t="shared" si="73"/>
        <v/>
      </c>
      <c r="U277" s="19" t="str">
        <f>IF(AND(M277&lt;&gt;"",M277&lt;&gt;0), IF(E277 = "Muni", T277, IF(E277="Corp", T277*(1 -'Investor Input'!$C$4-'Investor Input'!$C$5), T277*(1 -'Investor Input'!$C$4))), T277)</f>
        <v/>
      </c>
      <c r="V277" s="84" t="str">
        <f t="shared" si="74"/>
        <v/>
      </c>
      <c r="W277" s="84" t="str">
        <f t="shared" si="60"/>
        <v/>
      </c>
      <c r="X277" s="21" t="str">
        <f t="shared" si="61"/>
        <v/>
      </c>
      <c r="Y277" s="60" t="str">
        <f t="shared" si="62"/>
        <v/>
      </c>
      <c r="Z277" s="60" t="str">
        <f t="shared" si="63"/>
        <v/>
      </c>
      <c r="AA277" s="64" t="str">
        <f t="shared" si="64"/>
        <v/>
      </c>
      <c r="AB277" s="64" t="str">
        <f>IF(AND(AA277&lt;&gt;"",AA277&lt;&gt;0), IF(E277="Muni", AA277, IF(E277 = "Corp", (1-'Investor Input'!$C$4-'Investor Input'!$C$5)*AA277, (1-'Investor Input'!$C$4)*AA277)), AA277)</f>
        <v/>
      </c>
      <c r="AC277" s="94" t="str">
        <f t="shared" si="65"/>
        <v/>
      </c>
      <c r="AD277" s="60" t="str">
        <f>IF(AND(M277&lt;&gt;"", M277&lt;&gt;0), N277/$N$505*MATCH(AC277,'Misc Lists'!$K$2:$K$25,0), "")</f>
        <v/>
      </c>
      <c r="AE277" s="90" t="str">
        <f t="shared" si="66"/>
        <v/>
      </c>
      <c r="AF277" s="99" t="str">
        <f>IF(AND(M277&lt;&gt;"", M277&lt;&gt;0), N277/$N$505*MATCH(AE277,'Misc Lists'!$L$2:$L$25,0), "")</f>
        <v/>
      </c>
    </row>
    <row r="278" spans="2:32" outlineLevel="1" x14ac:dyDescent="0.5">
      <c r="B278" s="60" t="str">
        <f ca="1"/>
        <v>032095AH4</v>
      </c>
      <c r="C278" s="61" t="str">
        <f ca="1"/>
        <v>N/A</v>
      </c>
      <c r="D278" s="60" t="str">
        <f ca="1"/>
        <v>AMPHENOL CORP       NOTE CALL MAKE WHOLE4.35000% 06/01/2029</v>
      </c>
      <c r="E278" s="61" t="str">
        <f ca="1"/>
        <v>Corp</v>
      </c>
      <c r="F278" s="62">
        <f ca="1"/>
        <v>4.3499999999999996</v>
      </c>
      <c r="G278" s="63">
        <f ca="1"/>
        <v>47270</v>
      </c>
      <c r="H278" s="61" t="str">
        <f ca="1"/>
        <v>A3</v>
      </c>
      <c r="I278" s="61" t="str">
        <f ca="1"/>
        <v>A-</v>
      </c>
      <c r="J278" s="64">
        <f ca="1"/>
        <v>99.043000000000006</v>
      </c>
      <c r="K278" s="17">
        <f ca="1"/>
        <v>4.601</v>
      </c>
      <c r="L278" s="17" t="str">
        <f ca="1"/>
        <v>500(2)</v>
      </c>
      <c r="M278" s="83">
        <v>10</v>
      </c>
      <c r="N278" s="84">
        <f t="shared" ca="1" si="67"/>
        <v>10000</v>
      </c>
      <c r="O278" s="20">
        <f t="shared" ca="1" si="68"/>
        <v>9.9995895168503331E-3</v>
      </c>
      <c r="P278" s="64">
        <f t="shared" ca="1" si="69"/>
        <v>43.5</v>
      </c>
      <c r="Q278" s="85">
        <f t="shared" ca="1" si="70"/>
        <v>45791.491364930553</v>
      </c>
      <c r="R278" s="86">
        <f t="shared" ca="1" si="71"/>
        <v>4</v>
      </c>
      <c r="S278" s="86">
        <f t="shared" ca="1" si="72"/>
        <v>3.5974784541070708</v>
      </c>
      <c r="T278" s="104">
        <f t="shared" ca="1" si="73"/>
        <v>4.3494538650656465E-2</v>
      </c>
      <c r="U278" s="19">
        <f ca="1">IF(AND(M278&lt;&gt;"",M278&lt;&gt;0), IF(E278 = "Muni", T278, IF(E278="Corp", T278*(1 -'Investor Input'!$C$4-'Investor Input'!$C$5), T278*(1 -'Investor Input'!$C$4))), T278)</f>
        <v>2.3487050871354494E-2</v>
      </c>
      <c r="V278" s="84">
        <f t="shared" ca="1" si="74"/>
        <v>10110.378022851</v>
      </c>
      <c r="W278" s="84">
        <f t="shared" ca="1" si="60"/>
        <v>110.37802285100042</v>
      </c>
      <c r="X278" s="21">
        <f t="shared" ca="1" si="61"/>
        <v>1.1037802285100042E-2</v>
      </c>
      <c r="Y278" s="60">
        <f t="shared" ca="1" si="62"/>
        <v>6</v>
      </c>
      <c r="Z278" s="60">
        <f t="shared" ca="1" si="63"/>
        <v>12</v>
      </c>
      <c r="AA278" s="64">
        <f t="shared" ca="1" si="64"/>
        <v>217.5</v>
      </c>
      <c r="AB278" s="64">
        <f ca="1">IF(AND(AA278&lt;&gt;"",AA278&lt;&gt;0), IF(E278="Muni", AA278, IF(E278 = "Corp", (1-'Investor Input'!$C$4-'Investor Input'!$C$5)*AA278, (1-'Investor Input'!$C$4)*AA278)), AA278)</f>
        <v>117.45</v>
      </c>
      <c r="AC278" s="94" t="str">
        <f t="shared" ca="1" si="65"/>
        <v>A3</v>
      </c>
      <c r="AD278" s="60">
        <f ca="1">IF(AND(M278&lt;&gt;"", M278&lt;&gt;0), N278/$N$505*MATCH(AC278,'Misc Lists'!$K$2:$K$25,0), "")</f>
        <v>7.9996716134802665E-2</v>
      </c>
      <c r="AE278" s="90" t="str">
        <f t="shared" ca="1" si="66"/>
        <v>A-</v>
      </c>
      <c r="AF278" s="99">
        <f ca="1">IF(AND(M278&lt;&gt;"", M278&lt;&gt;0), N278/$N$505*MATCH(AE278,'Misc Lists'!$L$2:$L$25,0), "")</f>
        <v>7.9996716134802665E-2</v>
      </c>
    </row>
    <row r="279" spans="2:32" hidden="1" outlineLevel="1" x14ac:dyDescent="0.5">
      <c r="B279" s="60" t="str">
        <f ca="1"/>
        <v>74340XBY6</v>
      </c>
      <c r="C279" s="61" t="str">
        <f ca="1"/>
        <v>N/A</v>
      </c>
      <c r="D279" s="60" t="str">
        <f ca="1"/>
        <v>PROLOGIS L P        NOTE CALL MAKE WHOLE2.87500% 11/15/2029</v>
      </c>
      <c r="E279" s="61" t="str">
        <f ca="1"/>
        <v>Corp</v>
      </c>
      <c r="F279" s="62">
        <f ca="1"/>
        <v>2.875</v>
      </c>
      <c r="G279" s="63">
        <f ca="1"/>
        <v>47437</v>
      </c>
      <c r="H279" s="61" t="str">
        <f ca="1"/>
        <v>A2</v>
      </c>
      <c r="I279" s="61" t="str">
        <f ca="1"/>
        <v>A</v>
      </c>
      <c r="J279" s="64">
        <f ca="1"/>
        <v>92.811000000000007</v>
      </c>
      <c r="K279" s="17">
        <f ca="1"/>
        <v>4.601</v>
      </c>
      <c r="L279" s="17" t="str">
        <f ca="1"/>
        <v>190(9)</v>
      </c>
      <c r="M279" s="83"/>
      <c r="N279" s="84" t="str">
        <f t="shared" si="67"/>
        <v/>
      </c>
      <c r="O279" s="20" t="str">
        <f t="shared" si="68"/>
        <v/>
      </c>
      <c r="P279" s="64" t="str">
        <f t="shared" si="69"/>
        <v/>
      </c>
      <c r="Q279" s="85" t="str">
        <f t="shared" ca="1" si="70"/>
        <v/>
      </c>
      <c r="R279" s="86" t="str">
        <f t="shared" si="71"/>
        <v/>
      </c>
      <c r="S279" s="86" t="str">
        <f t="shared" si="72"/>
        <v/>
      </c>
      <c r="T279" s="104" t="str">
        <f t="shared" si="73"/>
        <v/>
      </c>
      <c r="U279" s="19" t="str">
        <f>IF(AND(M279&lt;&gt;"",M279&lt;&gt;0), IF(E279 = "Muni", T279, IF(E279="Corp", T279*(1 -'Investor Input'!$C$4-'Investor Input'!$C$5), T279*(1 -'Investor Input'!$C$4))), T279)</f>
        <v/>
      </c>
      <c r="V279" s="84" t="str">
        <f t="shared" si="74"/>
        <v/>
      </c>
      <c r="W279" s="84" t="str">
        <f t="shared" si="60"/>
        <v/>
      </c>
      <c r="X279" s="21" t="str">
        <f t="shared" si="61"/>
        <v/>
      </c>
      <c r="Y279" s="60" t="str">
        <f t="shared" si="62"/>
        <v/>
      </c>
      <c r="Z279" s="60" t="str">
        <f t="shared" si="63"/>
        <v/>
      </c>
      <c r="AA279" s="64" t="str">
        <f t="shared" si="64"/>
        <v/>
      </c>
      <c r="AB279" s="64" t="str">
        <f>IF(AND(AA279&lt;&gt;"",AA279&lt;&gt;0), IF(E279="Muni", AA279, IF(E279 = "Corp", (1-'Investor Input'!$C$4-'Investor Input'!$C$5)*AA279, (1-'Investor Input'!$C$4)*AA279)), AA279)</f>
        <v/>
      </c>
      <c r="AC279" s="94" t="str">
        <f t="shared" si="65"/>
        <v/>
      </c>
      <c r="AD279" s="60" t="str">
        <f>IF(AND(M279&lt;&gt;"", M279&lt;&gt;0), N279/$N$505*MATCH(AC279,'Misc Lists'!$K$2:$K$25,0), "")</f>
        <v/>
      </c>
      <c r="AE279" s="90" t="str">
        <f t="shared" si="66"/>
        <v/>
      </c>
      <c r="AF279" s="99" t="str">
        <f>IF(AND(M279&lt;&gt;"", M279&lt;&gt;0), N279/$N$505*MATCH(AE279,'Misc Lists'!$L$2:$L$25,0), "")</f>
        <v/>
      </c>
    </row>
    <row r="280" spans="2:32" outlineLevel="1" x14ac:dyDescent="0.5">
      <c r="B280" s="60" t="str">
        <f ca="1"/>
        <v>12572QAL9</v>
      </c>
      <c r="C280" s="61" t="str">
        <f ca="1"/>
        <v>N/A</v>
      </c>
      <c r="D280" s="60" t="str">
        <f ca="1"/>
        <v>CME GROUP INC       NOTE CALL MAKE WHOLE4.40000% 03/15/2030</v>
      </c>
      <c r="E280" s="61" t="str">
        <f ca="1"/>
        <v>Corp</v>
      </c>
      <c r="F280" s="62">
        <f ca="1"/>
        <v>4.4000000000000004</v>
      </c>
      <c r="G280" s="63">
        <f ca="1"/>
        <v>47557</v>
      </c>
      <c r="H280" s="61" t="str">
        <f ca="1"/>
        <v>AA3</v>
      </c>
      <c r="I280" s="61" t="str">
        <f ca="1"/>
        <v>AA-</v>
      </c>
      <c r="J280" s="64">
        <f ca="1"/>
        <v>99.108999999999995</v>
      </c>
      <c r="K280" s="17">
        <f ca="1"/>
        <v>4.601</v>
      </c>
      <c r="L280" s="17" t="str">
        <f ca="1"/>
        <v>500(15)</v>
      </c>
      <c r="M280" s="83">
        <v>10</v>
      </c>
      <c r="N280" s="84">
        <f t="shared" ca="1" si="67"/>
        <v>10000</v>
      </c>
      <c r="O280" s="20">
        <f t="shared" ca="1" si="68"/>
        <v>9.9995895168503331E-3</v>
      </c>
      <c r="P280" s="64">
        <f t="shared" ca="1" si="69"/>
        <v>44</v>
      </c>
      <c r="Q280" s="85">
        <f t="shared" ca="1" si="70"/>
        <v>45791.491364930553</v>
      </c>
      <c r="R280" s="86">
        <f t="shared" ca="1" si="71"/>
        <v>5</v>
      </c>
      <c r="S280" s="86">
        <f t="shared" ca="1" si="72"/>
        <v>4.2776511313360039</v>
      </c>
      <c r="T280" s="104">
        <f t="shared" ca="1" si="73"/>
        <v>4.3987792224540016E-2</v>
      </c>
      <c r="U280" s="19">
        <f ca="1">IF(AND(M280&lt;&gt;"",M280&lt;&gt;0), IF(E280 = "Muni", T280, IF(E280="Corp", T280*(1 -'Investor Input'!$C$4-'Investor Input'!$C$5), T280*(1 -'Investor Input'!$C$4))), T280)</f>
        <v>2.3753407801251611E-2</v>
      </c>
      <c r="V280" s="84">
        <f t="shared" ca="1" si="74"/>
        <v>10107.51753895525</v>
      </c>
      <c r="W280" s="84">
        <f t="shared" ca="1" si="60"/>
        <v>107.51753895524962</v>
      </c>
      <c r="X280" s="21">
        <f t="shared" ca="1" si="61"/>
        <v>1.0751753895524963E-2</v>
      </c>
      <c r="Y280" s="60">
        <f t="shared" ca="1" si="62"/>
        <v>3</v>
      </c>
      <c r="Z280" s="60">
        <f t="shared" ca="1" si="63"/>
        <v>9</v>
      </c>
      <c r="AA280" s="64">
        <f t="shared" ca="1" si="64"/>
        <v>220</v>
      </c>
      <c r="AB280" s="64">
        <f ca="1">IF(AND(AA280&lt;&gt;"",AA280&lt;&gt;0), IF(E280="Muni", AA280, IF(E280 = "Corp", (1-'Investor Input'!$C$4-'Investor Input'!$C$5)*AA280, (1-'Investor Input'!$C$4)*AA280)), AA280)</f>
        <v>118.80000000000001</v>
      </c>
      <c r="AC280" s="94" t="str">
        <f t="shared" ca="1" si="65"/>
        <v>AA3</v>
      </c>
      <c r="AD280" s="60">
        <f ca="1">IF(AND(M280&lt;&gt;"", M280&lt;&gt;0), N280/$N$505*MATCH(AC280,'Misc Lists'!$K$2:$K$25,0), "")</f>
        <v>4.9997947584251662E-2</v>
      </c>
      <c r="AE280" s="90" t="str">
        <f t="shared" ca="1" si="66"/>
        <v>AA-</v>
      </c>
      <c r="AF280" s="99">
        <f ca="1">IF(AND(M280&lt;&gt;"", M280&lt;&gt;0), N280/$N$505*MATCH(AE280,'Misc Lists'!$L$2:$L$25,0), "")</f>
        <v>4.9997947584251662E-2</v>
      </c>
    </row>
    <row r="281" spans="2:32" hidden="1" outlineLevel="1" x14ac:dyDescent="0.5">
      <c r="B281" s="60" t="str">
        <f ca="1"/>
        <v>571748BG6</v>
      </c>
      <c r="C281" s="61" t="str">
        <f ca="1"/>
        <v>N/A</v>
      </c>
      <c r="D281" s="60" t="str">
        <f ca="1"/>
        <v>MARSH &amp;MCLENNAN COS INC NOTE            4.37500% 03/15/2029 CALL MAKE WHOLE</v>
      </c>
      <c r="E281" s="61" t="str">
        <f ca="1"/>
        <v>Corp</v>
      </c>
      <c r="F281" s="62">
        <f ca="1"/>
        <v>4.375</v>
      </c>
      <c r="G281" s="63">
        <f ca="1"/>
        <v>47192</v>
      </c>
      <c r="H281" s="61" t="str">
        <f ca="1"/>
        <v>A3</v>
      </c>
      <c r="I281" s="61" t="str">
        <f ca="1"/>
        <v>A-</v>
      </c>
      <c r="J281" s="64">
        <f ca="1"/>
        <v>99.183000000000007</v>
      </c>
      <c r="K281" s="17">
        <f ca="1"/>
        <v>4.5999999999999996</v>
      </c>
      <c r="L281" s="17" t="str">
        <f ca="1"/>
        <v>500(2)</v>
      </c>
      <c r="M281" s="83"/>
      <c r="N281" s="84" t="str">
        <f t="shared" si="67"/>
        <v/>
      </c>
      <c r="O281" s="20" t="str">
        <f t="shared" si="68"/>
        <v/>
      </c>
      <c r="P281" s="64" t="str">
        <f t="shared" si="69"/>
        <v/>
      </c>
      <c r="Q281" s="85" t="str">
        <f t="shared" ca="1" si="70"/>
        <v/>
      </c>
      <c r="R281" s="86" t="str">
        <f t="shared" si="71"/>
        <v/>
      </c>
      <c r="S281" s="86" t="str">
        <f t="shared" si="72"/>
        <v/>
      </c>
      <c r="T281" s="104" t="str">
        <f t="shared" si="73"/>
        <v/>
      </c>
      <c r="U281" s="19" t="str">
        <f>IF(AND(M281&lt;&gt;"",M281&lt;&gt;0), IF(E281 = "Muni", T281, IF(E281="Corp", T281*(1 -'Investor Input'!$C$4-'Investor Input'!$C$5), T281*(1 -'Investor Input'!$C$4))), T281)</f>
        <v/>
      </c>
      <c r="V281" s="84" t="str">
        <f t="shared" si="74"/>
        <v/>
      </c>
      <c r="W281" s="84" t="str">
        <f t="shared" si="60"/>
        <v/>
      </c>
      <c r="X281" s="21" t="str">
        <f t="shared" si="61"/>
        <v/>
      </c>
      <c r="Y281" s="60" t="str">
        <f t="shared" si="62"/>
        <v/>
      </c>
      <c r="Z281" s="60" t="str">
        <f t="shared" si="63"/>
        <v/>
      </c>
      <c r="AA281" s="64" t="str">
        <f t="shared" si="64"/>
        <v/>
      </c>
      <c r="AB281" s="64" t="str">
        <f>IF(AND(AA281&lt;&gt;"",AA281&lt;&gt;0), IF(E281="Muni", AA281, IF(E281 = "Corp", (1-'Investor Input'!$C$4-'Investor Input'!$C$5)*AA281, (1-'Investor Input'!$C$4)*AA281)), AA281)</f>
        <v/>
      </c>
      <c r="AC281" s="94" t="str">
        <f t="shared" si="65"/>
        <v/>
      </c>
      <c r="AD281" s="60" t="str">
        <f>IF(AND(M281&lt;&gt;"", M281&lt;&gt;0), N281/$N$505*MATCH(AC281,'Misc Lists'!$K$2:$K$25,0), "")</f>
        <v/>
      </c>
      <c r="AE281" s="90" t="str">
        <f t="shared" si="66"/>
        <v/>
      </c>
      <c r="AF281" s="99" t="str">
        <f>IF(AND(M281&lt;&gt;"", M281&lt;&gt;0), N281/$N$505*MATCH(AE281,'Misc Lists'!$L$2:$L$25,0), "")</f>
        <v/>
      </c>
    </row>
    <row r="282" spans="2:32" hidden="1" outlineLevel="1" x14ac:dyDescent="0.5">
      <c r="B282" s="60" t="str">
        <f ca="1"/>
        <v>63743FYX8</v>
      </c>
      <c r="C282" s="61" t="str">
        <f ca="1"/>
        <v>N/A</v>
      </c>
      <c r="D282" s="60" t="str">
        <f ca="1"/>
        <v>NATIONAL RURAL UTILSCOOP FIN            3.50000% 09/15/2029 SER INTERNOTES MTN</v>
      </c>
      <c r="E282" s="61" t="str">
        <f ca="1"/>
        <v>Corp</v>
      </c>
      <c r="F282" s="62">
        <f ca="1"/>
        <v>3.5</v>
      </c>
      <c r="G282" s="63">
        <f ca="1"/>
        <v>47376</v>
      </c>
      <c r="H282" s="61" t="str">
        <f ca="1"/>
        <v>A2</v>
      </c>
      <c r="I282" s="61" t="str">
        <f ca="1"/>
        <v>A-</v>
      </c>
      <c r="J282" s="64">
        <f ca="1"/>
        <v>95.528000000000006</v>
      </c>
      <c r="K282" s="17">
        <f ca="1"/>
        <v>4.5999999999999996</v>
      </c>
      <c r="L282" s="17" t="str">
        <f ca="1"/>
        <v>37(10)</v>
      </c>
      <c r="M282" s="83"/>
      <c r="N282" s="84" t="str">
        <f t="shared" si="67"/>
        <v/>
      </c>
      <c r="O282" s="20" t="str">
        <f t="shared" si="68"/>
        <v/>
      </c>
      <c r="P282" s="64" t="str">
        <f t="shared" si="69"/>
        <v/>
      </c>
      <c r="Q282" s="85" t="str">
        <f t="shared" ca="1" si="70"/>
        <v/>
      </c>
      <c r="R282" s="86" t="str">
        <f t="shared" si="71"/>
        <v/>
      </c>
      <c r="S282" s="86" t="str">
        <f t="shared" si="72"/>
        <v/>
      </c>
      <c r="T282" s="104" t="str">
        <f t="shared" si="73"/>
        <v/>
      </c>
      <c r="U282" s="19" t="str">
        <f>IF(AND(M282&lt;&gt;"",M282&lt;&gt;0), IF(E282 = "Muni", T282, IF(E282="Corp", T282*(1 -'Investor Input'!$C$4-'Investor Input'!$C$5), T282*(1 -'Investor Input'!$C$4))), T282)</f>
        <v/>
      </c>
      <c r="V282" s="84" t="str">
        <f t="shared" si="74"/>
        <v/>
      </c>
      <c r="W282" s="84" t="str">
        <f t="shared" si="60"/>
        <v/>
      </c>
      <c r="X282" s="21" t="str">
        <f t="shared" si="61"/>
        <v/>
      </c>
      <c r="Y282" s="60" t="str">
        <f t="shared" si="62"/>
        <v/>
      </c>
      <c r="Z282" s="60" t="str">
        <f t="shared" si="63"/>
        <v/>
      </c>
      <c r="AA282" s="64" t="str">
        <f t="shared" si="64"/>
        <v/>
      </c>
      <c r="AB282" s="64" t="str">
        <f>IF(AND(AA282&lt;&gt;"",AA282&lt;&gt;0), IF(E282="Muni", AA282, IF(E282 = "Corp", (1-'Investor Input'!$C$4-'Investor Input'!$C$5)*AA282, (1-'Investor Input'!$C$4)*AA282)), AA282)</f>
        <v/>
      </c>
      <c r="AC282" s="94" t="str">
        <f t="shared" si="65"/>
        <v/>
      </c>
      <c r="AD282" s="60" t="str">
        <f>IF(AND(M282&lt;&gt;"", M282&lt;&gt;0), N282/$N$505*MATCH(AC282,'Misc Lists'!$K$2:$K$25,0), "")</f>
        <v/>
      </c>
      <c r="AE282" s="90" t="str">
        <f t="shared" si="66"/>
        <v/>
      </c>
      <c r="AF282" s="99" t="str">
        <f>IF(AND(M282&lt;&gt;"", M282&lt;&gt;0), N282/$N$505*MATCH(AE282,'Misc Lists'!$L$2:$L$25,0), "")</f>
        <v/>
      </c>
    </row>
    <row r="283" spans="2:32" hidden="1" outlineLevel="1" x14ac:dyDescent="0.5">
      <c r="B283" s="60" t="str">
        <f ca="1"/>
        <v>14913UAX8</v>
      </c>
      <c r="C283" s="61" t="str">
        <f ca="1"/>
        <v>N/A</v>
      </c>
      <c r="D283" s="60" t="str">
        <f ca="1"/>
        <v>CATERPILLAR FINL    SVCS S BE MTN       4.80000% 01/08/2030 CALL MAKE WHOLE</v>
      </c>
      <c r="E283" s="61" t="str">
        <f ca="1"/>
        <v>Corp</v>
      </c>
      <c r="F283" s="62">
        <f ca="1"/>
        <v>4.8</v>
      </c>
      <c r="G283" s="63">
        <f ca="1"/>
        <v>47491</v>
      </c>
      <c r="H283" s="61" t="str">
        <f ca="1"/>
        <v>A2</v>
      </c>
      <c r="I283" s="61" t="str">
        <f ca="1"/>
        <v>A</v>
      </c>
      <c r="J283" s="64">
        <f ca="1"/>
        <v>100.854</v>
      </c>
      <c r="K283" s="17">
        <f ca="1"/>
        <v>4.5990000000000002</v>
      </c>
      <c r="L283" s="17" t="str">
        <f ca="1"/>
        <v>750(1)</v>
      </c>
      <c r="M283" s="83"/>
      <c r="N283" s="84" t="str">
        <f t="shared" si="67"/>
        <v/>
      </c>
      <c r="O283" s="20" t="str">
        <f t="shared" si="68"/>
        <v/>
      </c>
      <c r="P283" s="64" t="str">
        <f t="shared" si="69"/>
        <v/>
      </c>
      <c r="Q283" s="85" t="str">
        <f t="shared" ca="1" si="70"/>
        <v/>
      </c>
      <c r="R283" s="86" t="str">
        <f t="shared" si="71"/>
        <v/>
      </c>
      <c r="S283" s="86" t="str">
        <f t="shared" si="72"/>
        <v/>
      </c>
      <c r="T283" s="104" t="str">
        <f t="shared" si="73"/>
        <v/>
      </c>
      <c r="U283" s="19" t="str">
        <f>IF(AND(M283&lt;&gt;"",M283&lt;&gt;0), IF(E283 = "Muni", T283, IF(E283="Corp", T283*(1 -'Investor Input'!$C$4-'Investor Input'!$C$5), T283*(1 -'Investor Input'!$C$4))), T283)</f>
        <v/>
      </c>
      <c r="V283" s="84" t="str">
        <f t="shared" si="74"/>
        <v/>
      </c>
      <c r="W283" s="84" t="str">
        <f t="shared" si="60"/>
        <v/>
      </c>
      <c r="X283" s="21" t="str">
        <f t="shared" si="61"/>
        <v/>
      </c>
      <c r="Y283" s="60" t="str">
        <f t="shared" si="62"/>
        <v/>
      </c>
      <c r="Z283" s="60" t="str">
        <f t="shared" si="63"/>
        <v/>
      </c>
      <c r="AA283" s="64" t="str">
        <f t="shared" si="64"/>
        <v/>
      </c>
      <c r="AB283" s="64" t="str">
        <f>IF(AND(AA283&lt;&gt;"",AA283&lt;&gt;0), IF(E283="Muni", AA283, IF(E283 = "Corp", (1-'Investor Input'!$C$4-'Investor Input'!$C$5)*AA283, (1-'Investor Input'!$C$4)*AA283)), AA283)</f>
        <v/>
      </c>
      <c r="AC283" s="94" t="str">
        <f t="shared" si="65"/>
        <v/>
      </c>
      <c r="AD283" s="60" t="str">
        <f>IF(AND(M283&lt;&gt;"", M283&lt;&gt;0), N283/$N$505*MATCH(AC283,'Misc Lists'!$K$2:$K$25,0), "")</f>
        <v/>
      </c>
      <c r="AE283" s="90" t="str">
        <f t="shared" si="66"/>
        <v/>
      </c>
      <c r="AF283" s="99" t="str">
        <f>IF(AND(M283&lt;&gt;"", M283&lt;&gt;0), N283/$N$505*MATCH(AE283,'Misc Lists'!$L$2:$L$25,0), "")</f>
        <v/>
      </c>
    </row>
    <row r="284" spans="2:32" hidden="1" outlineLevel="1" x14ac:dyDescent="0.5">
      <c r="B284" s="60" t="str">
        <f ca="1"/>
        <v>369550BM9</v>
      </c>
      <c r="C284" s="61" t="str">
        <f ca="1"/>
        <v>N/A</v>
      </c>
      <c r="D284" s="60" t="str">
        <f ca="1"/>
        <v>GENERAL DYNAMICS    CORP NOTE           3.62500% 04/01/2030 CALL MAKE WHOLE</v>
      </c>
      <c r="E284" s="61" t="str">
        <f ca="1"/>
        <v>Corp</v>
      </c>
      <c r="F284" s="62">
        <f ca="1"/>
        <v>3.625</v>
      </c>
      <c r="G284" s="63">
        <f ca="1"/>
        <v>47574</v>
      </c>
      <c r="H284" s="61" t="str">
        <f ca="1"/>
        <v>A2</v>
      </c>
      <c r="I284" s="61" t="str">
        <f ca="1"/>
        <v>A</v>
      </c>
      <c r="J284" s="64">
        <f ca="1"/>
        <v>95.65</v>
      </c>
      <c r="K284" s="17">
        <f ca="1"/>
        <v>4.5990000000000002</v>
      </c>
      <c r="L284" s="17" t="str">
        <f ca="1"/>
        <v>250(10)</v>
      </c>
      <c r="M284" s="83"/>
      <c r="N284" s="84" t="str">
        <f t="shared" si="67"/>
        <v/>
      </c>
      <c r="O284" s="20" t="str">
        <f t="shared" si="68"/>
        <v/>
      </c>
      <c r="P284" s="64" t="str">
        <f t="shared" si="69"/>
        <v/>
      </c>
      <c r="Q284" s="85" t="str">
        <f t="shared" ca="1" si="70"/>
        <v/>
      </c>
      <c r="R284" s="86" t="str">
        <f t="shared" si="71"/>
        <v/>
      </c>
      <c r="S284" s="86" t="str">
        <f t="shared" si="72"/>
        <v/>
      </c>
      <c r="T284" s="104" t="str">
        <f t="shared" si="73"/>
        <v/>
      </c>
      <c r="U284" s="19" t="str">
        <f>IF(AND(M284&lt;&gt;"",M284&lt;&gt;0), IF(E284 = "Muni", T284, IF(E284="Corp", T284*(1 -'Investor Input'!$C$4-'Investor Input'!$C$5), T284*(1 -'Investor Input'!$C$4))), T284)</f>
        <v/>
      </c>
      <c r="V284" s="84" t="str">
        <f t="shared" si="74"/>
        <v/>
      </c>
      <c r="W284" s="84" t="str">
        <f t="shared" si="60"/>
        <v/>
      </c>
      <c r="X284" s="21" t="str">
        <f t="shared" si="61"/>
        <v/>
      </c>
      <c r="Y284" s="60" t="str">
        <f t="shared" si="62"/>
        <v/>
      </c>
      <c r="Z284" s="60" t="str">
        <f t="shared" si="63"/>
        <v/>
      </c>
      <c r="AA284" s="64" t="str">
        <f t="shared" si="64"/>
        <v/>
      </c>
      <c r="AB284" s="64" t="str">
        <f>IF(AND(AA284&lt;&gt;"",AA284&lt;&gt;0), IF(E284="Muni", AA284, IF(E284 = "Corp", (1-'Investor Input'!$C$4-'Investor Input'!$C$5)*AA284, (1-'Investor Input'!$C$4)*AA284)), AA284)</f>
        <v/>
      </c>
      <c r="AC284" s="94" t="str">
        <f t="shared" si="65"/>
        <v/>
      </c>
      <c r="AD284" s="60" t="str">
        <f>IF(AND(M284&lt;&gt;"", M284&lt;&gt;0), N284/$N$505*MATCH(AC284,'Misc Lists'!$K$2:$K$25,0), "")</f>
        <v/>
      </c>
      <c r="AE284" s="90" t="str">
        <f t="shared" si="66"/>
        <v/>
      </c>
      <c r="AF284" s="99" t="str">
        <f>IF(AND(M284&lt;&gt;"", M284&lt;&gt;0), N284/$N$505*MATCH(AE284,'Misc Lists'!$L$2:$L$25,0), "")</f>
        <v/>
      </c>
    </row>
    <row r="285" spans="2:32" hidden="1" outlineLevel="1" x14ac:dyDescent="0.5">
      <c r="B285" s="60" t="str">
        <f ca="1"/>
        <v>254687FQ4</v>
      </c>
      <c r="C285" s="61" t="str">
        <f ca="1"/>
        <v>N/A</v>
      </c>
      <c r="D285" s="60" t="str">
        <f ca="1"/>
        <v>DISNEY WALT CO      NOTE CALL MAKE WHOLE3.80000% 03/22/2030</v>
      </c>
      <c r="E285" s="61" t="str">
        <f ca="1"/>
        <v>Corp</v>
      </c>
      <c r="F285" s="62">
        <f ca="1"/>
        <v>3.8</v>
      </c>
      <c r="G285" s="63">
        <f ca="1"/>
        <v>47564</v>
      </c>
      <c r="H285" s="61" t="str">
        <f ca="1"/>
        <v>A2</v>
      </c>
      <c r="I285" s="61" t="str">
        <f ca="1"/>
        <v>A</v>
      </c>
      <c r="J285" s="64">
        <f ca="1"/>
        <v>96.456000000000003</v>
      </c>
      <c r="K285" s="17">
        <f ca="1"/>
        <v>4.5970000000000004</v>
      </c>
      <c r="L285" s="17" t="str">
        <f ca="1"/>
        <v>500(2)</v>
      </c>
      <c r="M285" s="83"/>
      <c r="N285" s="84" t="str">
        <f t="shared" si="67"/>
        <v/>
      </c>
      <c r="O285" s="20" t="str">
        <f t="shared" si="68"/>
        <v/>
      </c>
      <c r="P285" s="64" t="str">
        <f t="shared" si="69"/>
        <v/>
      </c>
      <c r="Q285" s="85" t="str">
        <f t="shared" ca="1" si="70"/>
        <v/>
      </c>
      <c r="R285" s="86" t="str">
        <f t="shared" si="71"/>
        <v/>
      </c>
      <c r="S285" s="86" t="str">
        <f t="shared" si="72"/>
        <v/>
      </c>
      <c r="T285" s="104" t="str">
        <f t="shared" si="73"/>
        <v/>
      </c>
      <c r="U285" s="19" t="str">
        <f>IF(AND(M285&lt;&gt;"",M285&lt;&gt;0), IF(E285 = "Muni", T285, IF(E285="Corp", T285*(1 -'Investor Input'!$C$4-'Investor Input'!$C$5), T285*(1 -'Investor Input'!$C$4))), T285)</f>
        <v/>
      </c>
      <c r="V285" s="84" t="str">
        <f t="shared" si="74"/>
        <v/>
      </c>
      <c r="W285" s="84" t="str">
        <f t="shared" si="60"/>
        <v/>
      </c>
      <c r="X285" s="21" t="str">
        <f t="shared" si="61"/>
        <v/>
      </c>
      <c r="Y285" s="60" t="str">
        <f t="shared" si="62"/>
        <v/>
      </c>
      <c r="Z285" s="60" t="str">
        <f t="shared" si="63"/>
        <v/>
      </c>
      <c r="AA285" s="64" t="str">
        <f t="shared" si="64"/>
        <v/>
      </c>
      <c r="AB285" s="64" t="str">
        <f>IF(AND(AA285&lt;&gt;"",AA285&lt;&gt;0), IF(E285="Muni", AA285, IF(E285 = "Corp", (1-'Investor Input'!$C$4-'Investor Input'!$C$5)*AA285, (1-'Investor Input'!$C$4)*AA285)), AA285)</f>
        <v/>
      </c>
      <c r="AC285" s="94" t="str">
        <f t="shared" si="65"/>
        <v/>
      </c>
      <c r="AD285" s="60" t="str">
        <f>IF(AND(M285&lt;&gt;"", M285&lt;&gt;0), N285/$N$505*MATCH(AC285,'Misc Lists'!$K$2:$K$25,0), "")</f>
        <v/>
      </c>
      <c r="AE285" s="90" t="str">
        <f t="shared" si="66"/>
        <v/>
      </c>
      <c r="AF285" s="99" t="str">
        <f>IF(AND(M285&lt;&gt;"", M285&lt;&gt;0), N285/$N$505*MATCH(AE285,'Misc Lists'!$L$2:$L$25,0), "")</f>
        <v/>
      </c>
    </row>
    <row r="286" spans="2:32" hidden="1" outlineLevel="1" x14ac:dyDescent="0.5">
      <c r="B286" s="60" t="str">
        <f ca="1"/>
        <v>57636QAP9</v>
      </c>
      <c r="C286" s="61" t="str">
        <f ca="1"/>
        <v>N/A</v>
      </c>
      <c r="D286" s="60" t="str">
        <f ca="1"/>
        <v>MASTERCARD          INCORPORATED NOTE   3.35000% 03/26/2030 CALL MAKE WHOLE</v>
      </c>
      <c r="E286" s="61" t="str">
        <f ca="1"/>
        <v>Corp</v>
      </c>
      <c r="F286" s="62">
        <f ca="1"/>
        <v>3.35</v>
      </c>
      <c r="G286" s="63">
        <f ca="1"/>
        <v>47568</v>
      </c>
      <c r="H286" s="61" t="str">
        <f ca="1"/>
        <v>AA3</v>
      </c>
      <c r="I286" s="61" t="str">
        <f ca="1"/>
        <v>A+</v>
      </c>
      <c r="J286" s="64">
        <f ca="1"/>
        <v>94.444999999999993</v>
      </c>
      <c r="K286" s="17">
        <f ca="1"/>
        <v>4.5970000000000004</v>
      </c>
      <c r="L286" s="17" t="str">
        <f ca="1"/>
        <v>250(10)</v>
      </c>
      <c r="M286" s="83"/>
      <c r="N286" s="84" t="str">
        <f t="shared" si="67"/>
        <v/>
      </c>
      <c r="O286" s="20" t="str">
        <f t="shared" si="68"/>
        <v/>
      </c>
      <c r="P286" s="64" t="str">
        <f t="shared" si="69"/>
        <v/>
      </c>
      <c r="Q286" s="85" t="str">
        <f t="shared" ca="1" si="70"/>
        <v/>
      </c>
      <c r="R286" s="86" t="str">
        <f t="shared" si="71"/>
        <v/>
      </c>
      <c r="S286" s="86" t="str">
        <f t="shared" si="72"/>
        <v/>
      </c>
      <c r="T286" s="104" t="str">
        <f t="shared" si="73"/>
        <v/>
      </c>
      <c r="U286" s="19" t="str">
        <f>IF(AND(M286&lt;&gt;"",M286&lt;&gt;0), IF(E286 = "Muni", T286, IF(E286="Corp", T286*(1 -'Investor Input'!$C$4-'Investor Input'!$C$5), T286*(1 -'Investor Input'!$C$4))), T286)</f>
        <v/>
      </c>
      <c r="V286" s="84" t="str">
        <f t="shared" si="74"/>
        <v/>
      </c>
      <c r="W286" s="84" t="str">
        <f t="shared" si="60"/>
        <v/>
      </c>
      <c r="X286" s="21" t="str">
        <f t="shared" si="61"/>
        <v/>
      </c>
      <c r="Y286" s="60" t="str">
        <f t="shared" si="62"/>
        <v/>
      </c>
      <c r="Z286" s="60" t="str">
        <f t="shared" si="63"/>
        <v/>
      </c>
      <c r="AA286" s="64" t="str">
        <f t="shared" si="64"/>
        <v/>
      </c>
      <c r="AB286" s="64" t="str">
        <f>IF(AND(AA286&lt;&gt;"",AA286&lt;&gt;0), IF(E286="Muni", AA286, IF(E286 = "Corp", (1-'Investor Input'!$C$4-'Investor Input'!$C$5)*AA286, (1-'Investor Input'!$C$4)*AA286)), AA286)</f>
        <v/>
      </c>
      <c r="AC286" s="94" t="str">
        <f t="shared" si="65"/>
        <v/>
      </c>
      <c r="AD286" s="60" t="str">
        <f>IF(AND(M286&lt;&gt;"", M286&lt;&gt;0), N286/$N$505*MATCH(AC286,'Misc Lists'!$K$2:$K$25,0), "")</f>
        <v/>
      </c>
      <c r="AE286" s="90" t="str">
        <f t="shared" si="66"/>
        <v/>
      </c>
      <c r="AF286" s="99" t="str">
        <f>IF(AND(M286&lt;&gt;"", M286&lt;&gt;0), N286/$N$505*MATCH(AE286,'Misc Lists'!$L$2:$L$25,0), "")</f>
        <v/>
      </c>
    </row>
    <row r="287" spans="2:32" outlineLevel="1" x14ac:dyDescent="0.5">
      <c r="B287" s="60" t="str">
        <f ca="1"/>
        <v>59523UAP2</v>
      </c>
      <c r="C287" s="61" t="str">
        <f ca="1"/>
        <v>N/A</v>
      </c>
      <c r="D287" s="60" t="str">
        <f ca="1"/>
        <v>MID-AMERICA APTS LP NOTE CALL MAKE WHOLE4.20000% 06/15/2028</v>
      </c>
      <c r="E287" s="61" t="str">
        <f ca="1"/>
        <v>Corp</v>
      </c>
      <c r="F287" s="62">
        <f ca="1"/>
        <v>4.2</v>
      </c>
      <c r="G287" s="63">
        <f ca="1"/>
        <v>46919</v>
      </c>
      <c r="H287" s="61" t="str">
        <f ca="1"/>
        <v>A3</v>
      </c>
      <c r="I287" s="61" t="str">
        <f ca="1"/>
        <v>A-</v>
      </c>
      <c r="J287" s="64">
        <f ca="1"/>
        <v>98.807000000000002</v>
      </c>
      <c r="K287" s="17">
        <f ca="1"/>
        <v>4.5960000000000001</v>
      </c>
      <c r="L287" s="17" t="str">
        <f ca="1"/>
        <v>33(10)</v>
      </c>
      <c r="M287" s="83">
        <v>5</v>
      </c>
      <c r="N287" s="84">
        <f t="shared" ca="1" si="67"/>
        <v>5000</v>
      </c>
      <c r="O287" s="20">
        <f t="shared" ca="1" si="68"/>
        <v>4.9997947584251665E-3</v>
      </c>
      <c r="P287" s="64">
        <f t="shared" ca="1" si="69"/>
        <v>42</v>
      </c>
      <c r="Q287" s="85">
        <f t="shared" ca="1" si="70"/>
        <v>45791.491364930553</v>
      </c>
      <c r="R287" s="86">
        <f t="shared" ca="1" si="71"/>
        <v>3</v>
      </c>
      <c r="S287" s="86">
        <f t="shared" ca="1" si="72"/>
        <v>2.811189817678498</v>
      </c>
      <c r="T287" s="104">
        <f t="shared" ca="1" si="73"/>
        <v>4.1989125236641021E-2</v>
      </c>
      <c r="U287" s="19">
        <f ca="1">IF(AND(M287&lt;&gt;"",M287&lt;&gt;0), IF(E287 = "Muni", T287, IF(E287="Corp", T287*(1 -'Investor Input'!$C$4-'Investor Input'!$C$5), T287*(1 -'Investor Input'!$C$4))), T287)</f>
        <v>2.2674127627786152E-2</v>
      </c>
      <c r="V287" s="84">
        <f t="shared" ca="1" si="74"/>
        <v>5064.9211209050745</v>
      </c>
      <c r="W287" s="84">
        <f t="shared" ca="1" si="60"/>
        <v>64.921120905074531</v>
      </c>
      <c r="X287" s="21">
        <f t="shared" ca="1" si="61"/>
        <v>1.2984224181014907E-2</v>
      </c>
      <c r="Y287" s="60">
        <f t="shared" ca="1" si="62"/>
        <v>6</v>
      </c>
      <c r="Z287" s="60">
        <f t="shared" ca="1" si="63"/>
        <v>12</v>
      </c>
      <c r="AA287" s="64">
        <f t="shared" ca="1" si="64"/>
        <v>105</v>
      </c>
      <c r="AB287" s="64">
        <f ca="1">IF(AND(AA287&lt;&gt;"",AA287&lt;&gt;0), IF(E287="Muni", AA287, IF(E287 = "Corp", (1-'Investor Input'!$C$4-'Investor Input'!$C$5)*AA287, (1-'Investor Input'!$C$4)*AA287)), AA287)</f>
        <v>56.7</v>
      </c>
      <c r="AC287" s="94" t="str">
        <f t="shared" ca="1" si="65"/>
        <v>A3</v>
      </c>
      <c r="AD287" s="60">
        <f ca="1">IF(AND(M287&lt;&gt;"", M287&lt;&gt;0), N287/$N$505*MATCH(AC287,'Misc Lists'!$K$2:$K$25,0), "")</f>
        <v>3.9998358067401332E-2</v>
      </c>
      <c r="AE287" s="90" t="str">
        <f t="shared" ca="1" si="66"/>
        <v>A-</v>
      </c>
      <c r="AF287" s="99">
        <f ca="1">IF(AND(M287&lt;&gt;"", M287&lt;&gt;0), N287/$N$505*MATCH(AE287,'Misc Lists'!$L$2:$L$25,0), "")</f>
        <v>3.9998358067401332E-2</v>
      </c>
    </row>
    <row r="288" spans="2:32" hidden="1" outlineLevel="1" x14ac:dyDescent="0.5">
      <c r="B288" s="60" t="str">
        <f ca="1"/>
        <v>166756BD7</v>
      </c>
      <c r="C288" s="61" t="str">
        <f ca="1"/>
        <v>N/A</v>
      </c>
      <c r="D288" s="60" t="str">
        <f ca="1"/>
        <v>CHEVRON USA INC     NOTE CALL MAKE WHOLE4.68700% 04/15/2030</v>
      </c>
      <c r="E288" s="61" t="str">
        <f ca="1"/>
        <v>Corp</v>
      </c>
      <c r="F288" s="62">
        <f ca="1"/>
        <v>4.6870000000000003</v>
      </c>
      <c r="G288" s="63">
        <f ca="1"/>
        <v>47588</v>
      </c>
      <c r="H288" s="61" t="str">
        <f ca="1"/>
        <v>AA2</v>
      </c>
      <c r="I288" s="61" t="str">
        <f ca="1"/>
        <v>AA-</v>
      </c>
      <c r="J288" s="64">
        <f ca="1"/>
        <v>100.398</v>
      </c>
      <c r="K288" s="17">
        <f ca="1"/>
        <v>4.5960000000000001</v>
      </c>
      <c r="L288" s="17" t="str">
        <f ca="1"/>
        <v>500(2)</v>
      </c>
      <c r="M288" s="83"/>
      <c r="N288" s="84" t="str">
        <f t="shared" si="67"/>
        <v/>
      </c>
      <c r="O288" s="20" t="str">
        <f t="shared" si="68"/>
        <v/>
      </c>
      <c r="P288" s="64" t="str">
        <f t="shared" si="69"/>
        <v/>
      </c>
      <c r="Q288" s="85" t="str">
        <f t="shared" ca="1" si="70"/>
        <v/>
      </c>
      <c r="R288" s="86" t="str">
        <f t="shared" si="71"/>
        <v/>
      </c>
      <c r="S288" s="86" t="str">
        <f t="shared" si="72"/>
        <v/>
      </c>
      <c r="T288" s="104" t="str">
        <f t="shared" si="73"/>
        <v/>
      </c>
      <c r="U288" s="19" t="str">
        <f>IF(AND(M288&lt;&gt;"",M288&lt;&gt;0), IF(E288 = "Muni", T288, IF(E288="Corp", T288*(1 -'Investor Input'!$C$4-'Investor Input'!$C$5), T288*(1 -'Investor Input'!$C$4))), T288)</f>
        <v/>
      </c>
      <c r="V288" s="84" t="str">
        <f t="shared" si="74"/>
        <v/>
      </c>
      <c r="W288" s="84" t="str">
        <f t="shared" si="60"/>
        <v/>
      </c>
      <c r="X288" s="21" t="str">
        <f t="shared" si="61"/>
        <v/>
      </c>
      <c r="Y288" s="60" t="str">
        <f t="shared" si="62"/>
        <v/>
      </c>
      <c r="Z288" s="60" t="str">
        <f t="shared" si="63"/>
        <v/>
      </c>
      <c r="AA288" s="64" t="str">
        <f t="shared" si="64"/>
        <v/>
      </c>
      <c r="AB288" s="64" t="str">
        <f>IF(AND(AA288&lt;&gt;"",AA288&lt;&gt;0), IF(E288="Muni", AA288, IF(E288 = "Corp", (1-'Investor Input'!$C$4-'Investor Input'!$C$5)*AA288, (1-'Investor Input'!$C$4)*AA288)), AA288)</f>
        <v/>
      </c>
      <c r="AC288" s="94" t="str">
        <f t="shared" si="65"/>
        <v/>
      </c>
      <c r="AD288" s="60" t="str">
        <f>IF(AND(M288&lt;&gt;"", M288&lt;&gt;0), N288/$N$505*MATCH(AC288,'Misc Lists'!$K$2:$K$25,0), "")</f>
        <v/>
      </c>
      <c r="AE288" s="90" t="str">
        <f t="shared" si="66"/>
        <v/>
      </c>
      <c r="AF288" s="99" t="str">
        <f>IF(AND(M288&lt;&gt;"", M288&lt;&gt;0), N288/$N$505*MATCH(AE288,'Misc Lists'!$L$2:$L$25,0), "")</f>
        <v/>
      </c>
    </row>
    <row r="289" spans="2:32" hidden="1" outlineLevel="1" x14ac:dyDescent="0.5">
      <c r="B289" s="60" t="str">
        <f ca="1"/>
        <v>89114XFU2</v>
      </c>
      <c r="C289" s="61" t="str">
        <f ca="1"/>
        <v>N/A</v>
      </c>
      <c r="D289" s="60" t="str">
        <f ca="1"/>
        <v>TORONTO DOMINION BK ONT SER D MTN       4.60000% 08/30/2027</v>
      </c>
      <c r="E289" s="61" t="str">
        <f ca="1"/>
        <v>Corp</v>
      </c>
      <c r="F289" s="62">
        <f ca="1"/>
        <v>4.5999999999999996</v>
      </c>
      <c r="G289" s="63">
        <f ca="1"/>
        <v>46629</v>
      </c>
      <c r="H289" s="61" t="str">
        <f ca="1"/>
        <v>--</v>
      </c>
      <c r="I289" s="61" t="str">
        <f ca="1"/>
        <v>A-</v>
      </c>
      <c r="J289" s="64">
        <f ca="1"/>
        <v>100.01</v>
      </c>
      <c r="K289" s="17">
        <f ca="1"/>
        <v>4.5949999999999998</v>
      </c>
      <c r="L289" s="17" t="str">
        <f ca="1"/>
        <v>6(6)</v>
      </c>
      <c r="M289" s="83"/>
      <c r="N289" s="84" t="str">
        <f t="shared" si="67"/>
        <v/>
      </c>
      <c r="O289" s="20" t="str">
        <f t="shared" si="68"/>
        <v/>
      </c>
      <c r="P289" s="64" t="str">
        <f t="shared" si="69"/>
        <v/>
      </c>
      <c r="Q289" s="85" t="str">
        <f t="shared" ca="1" si="70"/>
        <v/>
      </c>
      <c r="R289" s="86" t="str">
        <f t="shared" si="71"/>
        <v/>
      </c>
      <c r="S289" s="86" t="str">
        <f t="shared" si="72"/>
        <v/>
      </c>
      <c r="T289" s="104" t="str">
        <f t="shared" si="73"/>
        <v/>
      </c>
      <c r="U289" s="19" t="str">
        <f>IF(AND(M289&lt;&gt;"",M289&lt;&gt;0), IF(E289 = "Muni", T289, IF(E289="Corp", T289*(1 -'Investor Input'!$C$4-'Investor Input'!$C$5), T289*(1 -'Investor Input'!$C$4))), T289)</f>
        <v/>
      </c>
      <c r="V289" s="84" t="str">
        <f t="shared" si="74"/>
        <v/>
      </c>
      <c r="W289" s="84" t="str">
        <f t="shared" si="60"/>
        <v/>
      </c>
      <c r="X289" s="21" t="str">
        <f t="shared" si="61"/>
        <v/>
      </c>
      <c r="Y289" s="60" t="str">
        <f t="shared" si="62"/>
        <v/>
      </c>
      <c r="Z289" s="60" t="str">
        <f t="shared" si="63"/>
        <v/>
      </c>
      <c r="AA289" s="64" t="str">
        <f t="shared" si="64"/>
        <v/>
      </c>
      <c r="AB289" s="64" t="str">
        <f>IF(AND(AA289&lt;&gt;"",AA289&lt;&gt;0), IF(E289="Muni", AA289, IF(E289 = "Corp", (1-'Investor Input'!$C$4-'Investor Input'!$C$5)*AA289, (1-'Investor Input'!$C$4)*AA289)), AA289)</f>
        <v/>
      </c>
      <c r="AC289" s="94" t="str">
        <f t="shared" si="65"/>
        <v/>
      </c>
      <c r="AD289" s="60" t="str">
        <f>IF(AND(M289&lt;&gt;"", M289&lt;&gt;0), N289/$N$505*MATCH(AC289,'Misc Lists'!$K$2:$K$25,0), "")</f>
        <v/>
      </c>
      <c r="AE289" s="90" t="str">
        <f t="shared" si="66"/>
        <v/>
      </c>
      <c r="AF289" s="99" t="str">
        <f>IF(AND(M289&lt;&gt;"", M289&lt;&gt;0), N289/$N$505*MATCH(AE289,'Misc Lists'!$L$2:$L$25,0), "")</f>
        <v/>
      </c>
    </row>
    <row r="290" spans="2:32" hidden="1" outlineLevel="1" x14ac:dyDescent="0.5">
      <c r="B290" s="60" t="str">
        <f ca="1"/>
        <v>17275RBX9</v>
      </c>
      <c r="C290" s="61" t="str">
        <f ca="1"/>
        <v>N/A</v>
      </c>
      <c r="D290" s="60" t="str">
        <f ca="1"/>
        <v>CISCO SYS INC       NOTE CALL MAKE WHOLE4.75000% 02/24/2030</v>
      </c>
      <c r="E290" s="61" t="str">
        <f ca="1"/>
        <v>Corp</v>
      </c>
      <c r="F290" s="62">
        <f ca="1"/>
        <v>4.75</v>
      </c>
      <c r="G290" s="63">
        <f ca="1"/>
        <v>47538</v>
      </c>
      <c r="H290" s="61" t="str">
        <f ca="1"/>
        <v>A1</v>
      </c>
      <c r="I290" s="61" t="str">
        <f ca="1"/>
        <v>AA-</v>
      </c>
      <c r="J290" s="64">
        <f ca="1"/>
        <v>100.679</v>
      </c>
      <c r="K290" s="17">
        <f ca="1"/>
        <v>4.5949999999999998</v>
      </c>
      <c r="L290" s="17" t="str">
        <f ca="1"/>
        <v>500(2)</v>
      </c>
      <c r="M290" s="83"/>
      <c r="N290" s="84" t="str">
        <f t="shared" si="67"/>
        <v/>
      </c>
      <c r="O290" s="20" t="str">
        <f t="shared" si="68"/>
        <v/>
      </c>
      <c r="P290" s="64" t="str">
        <f t="shared" si="69"/>
        <v/>
      </c>
      <c r="Q290" s="85" t="str">
        <f t="shared" ca="1" si="70"/>
        <v/>
      </c>
      <c r="R290" s="86" t="str">
        <f t="shared" si="71"/>
        <v/>
      </c>
      <c r="S290" s="86" t="str">
        <f t="shared" si="72"/>
        <v/>
      </c>
      <c r="T290" s="104" t="str">
        <f t="shared" si="73"/>
        <v/>
      </c>
      <c r="U290" s="19" t="str">
        <f>IF(AND(M290&lt;&gt;"",M290&lt;&gt;0), IF(E290 = "Muni", T290, IF(E290="Corp", T290*(1 -'Investor Input'!$C$4-'Investor Input'!$C$5), T290*(1 -'Investor Input'!$C$4))), T290)</f>
        <v/>
      </c>
      <c r="V290" s="84" t="str">
        <f t="shared" si="74"/>
        <v/>
      </c>
      <c r="W290" s="84" t="str">
        <f t="shared" si="60"/>
        <v/>
      </c>
      <c r="X290" s="21" t="str">
        <f t="shared" si="61"/>
        <v/>
      </c>
      <c r="Y290" s="60" t="str">
        <f t="shared" si="62"/>
        <v/>
      </c>
      <c r="Z290" s="60" t="str">
        <f t="shared" si="63"/>
        <v/>
      </c>
      <c r="AA290" s="64" t="str">
        <f t="shared" si="64"/>
        <v/>
      </c>
      <c r="AB290" s="64" t="str">
        <f>IF(AND(AA290&lt;&gt;"",AA290&lt;&gt;0), IF(E290="Muni", AA290, IF(E290 = "Corp", (1-'Investor Input'!$C$4-'Investor Input'!$C$5)*AA290, (1-'Investor Input'!$C$4)*AA290)), AA290)</f>
        <v/>
      </c>
      <c r="AC290" s="94" t="str">
        <f t="shared" si="65"/>
        <v/>
      </c>
      <c r="AD290" s="60" t="str">
        <f>IF(AND(M290&lt;&gt;"", M290&lt;&gt;0), N290/$N$505*MATCH(AC290,'Misc Lists'!$K$2:$K$25,0), "")</f>
        <v/>
      </c>
      <c r="AE290" s="90" t="str">
        <f t="shared" si="66"/>
        <v/>
      </c>
      <c r="AF290" s="99" t="str">
        <f>IF(AND(M290&lt;&gt;"", M290&lt;&gt;0), N290/$N$505*MATCH(AE290,'Misc Lists'!$L$2:$L$25,0), "")</f>
        <v/>
      </c>
    </row>
    <row r="291" spans="2:32" hidden="1" outlineLevel="1" x14ac:dyDescent="0.5">
      <c r="B291" s="60" t="str">
        <f ca="1"/>
        <v>606822BH6</v>
      </c>
      <c r="C291" s="61" t="str">
        <f ca="1"/>
        <v>N/A</v>
      </c>
      <c r="D291" s="60" t="str">
        <f ca="1"/>
        <v>MITSUBISHI UFJ      FINANCIAL GROUP NOTE3.74100% 03/07/2029</v>
      </c>
      <c r="E291" s="61" t="str">
        <f ca="1"/>
        <v>Corp</v>
      </c>
      <c r="F291" s="62">
        <f ca="1"/>
        <v>3.7410000000000001</v>
      </c>
      <c r="G291" s="63">
        <f ca="1"/>
        <v>47184</v>
      </c>
      <c r="H291" s="61" t="str">
        <f ca="1"/>
        <v>A1</v>
      </c>
      <c r="I291" s="61" t="str">
        <f ca="1"/>
        <v>A-</v>
      </c>
      <c r="J291" s="64">
        <f ca="1"/>
        <v>96.923000000000002</v>
      </c>
      <c r="K291" s="17">
        <f ca="1"/>
        <v>4.5940000000000003</v>
      </c>
      <c r="L291" s="17" t="str">
        <f ca="1"/>
        <v>220(9)</v>
      </c>
      <c r="M291" s="83"/>
      <c r="N291" s="84" t="str">
        <f t="shared" si="67"/>
        <v/>
      </c>
      <c r="O291" s="20" t="str">
        <f t="shared" si="68"/>
        <v/>
      </c>
      <c r="P291" s="64" t="str">
        <f t="shared" si="69"/>
        <v/>
      </c>
      <c r="Q291" s="85" t="str">
        <f t="shared" ca="1" si="70"/>
        <v/>
      </c>
      <c r="R291" s="86" t="str">
        <f t="shared" si="71"/>
        <v/>
      </c>
      <c r="S291" s="86" t="str">
        <f t="shared" si="72"/>
        <v/>
      </c>
      <c r="T291" s="104" t="str">
        <f t="shared" si="73"/>
        <v/>
      </c>
      <c r="U291" s="19" t="str">
        <f>IF(AND(M291&lt;&gt;"",M291&lt;&gt;0), IF(E291 = "Muni", T291, IF(E291="Corp", T291*(1 -'Investor Input'!$C$4-'Investor Input'!$C$5), T291*(1 -'Investor Input'!$C$4))), T291)</f>
        <v/>
      </c>
      <c r="V291" s="84" t="str">
        <f t="shared" si="74"/>
        <v/>
      </c>
      <c r="W291" s="84" t="str">
        <f t="shared" si="60"/>
        <v/>
      </c>
      <c r="X291" s="21" t="str">
        <f t="shared" si="61"/>
        <v/>
      </c>
      <c r="Y291" s="60" t="str">
        <f t="shared" si="62"/>
        <v/>
      </c>
      <c r="Z291" s="60" t="str">
        <f t="shared" si="63"/>
        <v/>
      </c>
      <c r="AA291" s="64" t="str">
        <f t="shared" si="64"/>
        <v/>
      </c>
      <c r="AB291" s="64" t="str">
        <f>IF(AND(AA291&lt;&gt;"",AA291&lt;&gt;0), IF(E291="Muni", AA291, IF(E291 = "Corp", (1-'Investor Input'!$C$4-'Investor Input'!$C$5)*AA291, (1-'Investor Input'!$C$4)*AA291)), AA291)</f>
        <v/>
      </c>
      <c r="AC291" s="94" t="str">
        <f t="shared" si="65"/>
        <v/>
      </c>
      <c r="AD291" s="60" t="str">
        <f>IF(AND(M291&lt;&gt;"", M291&lt;&gt;0), N291/$N$505*MATCH(AC291,'Misc Lists'!$K$2:$K$25,0), "")</f>
        <v/>
      </c>
      <c r="AE291" s="90" t="str">
        <f t="shared" si="66"/>
        <v/>
      </c>
      <c r="AF291" s="99" t="str">
        <f>IF(AND(M291&lt;&gt;"", M291&lt;&gt;0), N291/$N$505*MATCH(AE291,'Misc Lists'!$L$2:$L$25,0), "")</f>
        <v/>
      </c>
    </row>
    <row r="292" spans="2:32" hidden="1" outlineLevel="1" x14ac:dyDescent="0.5">
      <c r="B292" s="60" t="str">
        <f ca="1"/>
        <v>89236TMK8</v>
      </c>
      <c r="C292" s="61" t="str">
        <f ca="1"/>
        <v>N/A</v>
      </c>
      <c r="D292" s="60" t="str">
        <f ca="1"/>
        <v>TOYOTA MTR CR CORP  SER B MTN           4.55000% 08/09/2029 CALL MAKE WHOLE</v>
      </c>
      <c r="E292" s="61" t="str">
        <f ca="1"/>
        <v>Corp</v>
      </c>
      <c r="F292" s="62">
        <f ca="1"/>
        <v>4.55</v>
      </c>
      <c r="G292" s="63">
        <f ca="1"/>
        <v>47339</v>
      </c>
      <c r="H292" s="61" t="str">
        <f ca="1"/>
        <v>A1</v>
      </c>
      <c r="I292" s="61" t="str">
        <f ca="1"/>
        <v>A+</v>
      </c>
      <c r="J292" s="64">
        <f ca="1"/>
        <v>99.820999999999998</v>
      </c>
      <c r="K292" s="17">
        <f ca="1"/>
        <v>4.5940000000000003</v>
      </c>
      <c r="L292" s="17" t="str">
        <f ca="1"/>
        <v>500(2)</v>
      </c>
      <c r="M292" s="83"/>
      <c r="N292" s="84" t="str">
        <f t="shared" si="67"/>
        <v/>
      </c>
      <c r="O292" s="20" t="str">
        <f t="shared" si="68"/>
        <v/>
      </c>
      <c r="P292" s="64" t="str">
        <f t="shared" si="69"/>
        <v/>
      </c>
      <c r="Q292" s="85" t="str">
        <f t="shared" ca="1" si="70"/>
        <v/>
      </c>
      <c r="R292" s="86" t="str">
        <f t="shared" si="71"/>
        <v/>
      </c>
      <c r="S292" s="86" t="str">
        <f t="shared" si="72"/>
        <v/>
      </c>
      <c r="T292" s="104" t="str">
        <f t="shared" si="73"/>
        <v/>
      </c>
      <c r="U292" s="19" t="str">
        <f>IF(AND(M292&lt;&gt;"",M292&lt;&gt;0), IF(E292 = "Muni", T292, IF(E292="Corp", T292*(1 -'Investor Input'!$C$4-'Investor Input'!$C$5), T292*(1 -'Investor Input'!$C$4))), T292)</f>
        <v/>
      </c>
      <c r="V292" s="84" t="str">
        <f t="shared" si="74"/>
        <v/>
      </c>
      <c r="W292" s="84" t="str">
        <f t="shared" si="60"/>
        <v/>
      </c>
      <c r="X292" s="21" t="str">
        <f t="shared" si="61"/>
        <v/>
      </c>
      <c r="Y292" s="60" t="str">
        <f t="shared" si="62"/>
        <v/>
      </c>
      <c r="Z292" s="60" t="str">
        <f t="shared" si="63"/>
        <v/>
      </c>
      <c r="AA292" s="64" t="str">
        <f t="shared" si="64"/>
        <v/>
      </c>
      <c r="AB292" s="64" t="str">
        <f>IF(AND(AA292&lt;&gt;"",AA292&lt;&gt;0), IF(E292="Muni", AA292, IF(E292 = "Corp", (1-'Investor Input'!$C$4-'Investor Input'!$C$5)*AA292, (1-'Investor Input'!$C$4)*AA292)), AA292)</f>
        <v/>
      </c>
      <c r="AC292" s="94" t="str">
        <f t="shared" si="65"/>
        <v/>
      </c>
      <c r="AD292" s="60" t="str">
        <f>IF(AND(M292&lt;&gt;"", M292&lt;&gt;0), N292/$N$505*MATCH(AC292,'Misc Lists'!$K$2:$K$25,0), "")</f>
        <v/>
      </c>
      <c r="AE292" s="90" t="str">
        <f t="shared" si="66"/>
        <v/>
      </c>
      <c r="AF292" s="99" t="str">
        <f>IF(AND(M292&lt;&gt;"", M292&lt;&gt;0), N292/$N$505*MATCH(AE292,'Misc Lists'!$L$2:$L$25,0), "")</f>
        <v/>
      </c>
    </row>
    <row r="293" spans="2:32" hidden="1" outlineLevel="1" x14ac:dyDescent="0.5">
      <c r="B293" s="60" t="str">
        <f ca="1"/>
        <v>166764BY5</v>
      </c>
      <c r="C293" s="61" t="str">
        <f ca="1"/>
        <v>N/A</v>
      </c>
      <c r="D293" s="60" t="str">
        <f ca="1"/>
        <v>CHEVRON CORPORATION NOTE CALL MAKE WHOLE2.23600% 05/11/2030</v>
      </c>
      <c r="E293" s="61" t="str">
        <f ca="1"/>
        <v>Corp</v>
      </c>
      <c r="F293" s="62">
        <f ca="1"/>
        <v>2.2360000000000002</v>
      </c>
      <c r="G293" s="63">
        <f ca="1"/>
        <v>47614</v>
      </c>
      <c r="H293" s="61" t="str">
        <f ca="1"/>
        <v>AA2</v>
      </c>
      <c r="I293" s="61" t="str">
        <f ca="1"/>
        <v>AA-</v>
      </c>
      <c r="J293" s="64">
        <f ca="1"/>
        <v>89.266999999999996</v>
      </c>
      <c r="K293" s="17">
        <f ca="1"/>
        <v>4.5940000000000003</v>
      </c>
      <c r="L293" s="17" t="str">
        <f ca="1"/>
        <v>500(2)</v>
      </c>
      <c r="M293" s="83"/>
      <c r="N293" s="84" t="str">
        <f t="shared" si="67"/>
        <v/>
      </c>
      <c r="O293" s="20" t="str">
        <f t="shared" si="68"/>
        <v/>
      </c>
      <c r="P293" s="64" t="str">
        <f t="shared" si="69"/>
        <v/>
      </c>
      <c r="Q293" s="85" t="str">
        <f t="shared" ca="1" si="70"/>
        <v/>
      </c>
      <c r="R293" s="86" t="str">
        <f t="shared" si="71"/>
        <v/>
      </c>
      <c r="S293" s="86" t="str">
        <f t="shared" si="72"/>
        <v/>
      </c>
      <c r="T293" s="104" t="str">
        <f t="shared" si="73"/>
        <v/>
      </c>
      <c r="U293" s="19" t="str">
        <f>IF(AND(M293&lt;&gt;"",M293&lt;&gt;0), IF(E293 = "Muni", T293, IF(E293="Corp", T293*(1 -'Investor Input'!$C$4-'Investor Input'!$C$5), T293*(1 -'Investor Input'!$C$4))), T293)</f>
        <v/>
      </c>
      <c r="V293" s="84" t="str">
        <f t="shared" si="74"/>
        <v/>
      </c>
      <c r="W293" s="84" t="str">
        <f t="shared" si="60"/>
        <v/>
      </c>
      <c r="X293" s="21" t="str">
        <f t="shared" si="61"/>
        <v/>
      </c>
      <c r="Y293" s="60" t="str">
        <f t="shared" si="62"/>
        <v/>
      </c>
      <c r="Z293" s="60" t="str">
        <f t="shared" si="63"/>
        <v/>
      </c>
      <c r="AA293" s="64" t="str">
        <f t="shared" si="64"/>
        <v/>
      </c>
      <c r="AB293" s="64" t="str">
        <f>IF(AND(AA293&lt;&gt;"",AA293&lt;&gt;0), IF(E293="Muni", AA293, IF(E293 = "Corp", (1-'Investor Input'!$C$4-'Investor Input'!$C$5)*AA293, (1-'Investor Input'!$C$4)*AA293)), AA293)</f>
        <v/>
      </c>
      <c r="AC293" s="94" t="str">
        <f t="shared" si="65"/>
        <v/>
      </c>
      <c r="AD293" s="60" t="str">
        <f>IF(AND(M293&lt;&gt;"", M293&lt;&gt;0), N293/$N$505*MATCH(AC293,'Misc Lists'!$K$2:$K$25,0), "")</f>
        <v/>
      </c>
      <c r="AE293" s="90" t="str">
        <f t="shared" si="66"/>
        <v/>
      </c>
      <c r="AF293" s="99" t="str">
        <f>IF(AND(M293&lt;&gt;"", M293&lt;&gt;0), N293/$N$505*MATCH(AE293,'Misc Lists'!$L$2:$L$25,0), "")</f>
        <v/>
      </c>
    </row>
    <row r="294" spans="2:32" hidden="1" outlineLevel="1" x14ac:dyDescent="0.5">
      <c r="B294" s="60" t="str">
        <f ca="1"/>
        <v>67021CAU1</v>
      </c>
      <c r="C294" s="61" t="str">
        <f ca="1"/>
        <v>N/A</v>
      </c>
      <c r="D294" s="60" t="str">
        <f ca="1"/>
        <v>NSTAR ELEC CO       NOTE CALL MAKE WHOLE5.60000% 10/01/2028</v>
      </c>
      <c r="E294" s="61" t="str">
        <f ca="1"/>
        <v>Corp</v>
      </c>
      <c r="F294" s="62">
        <f ca="1"/>
        <v>5.6</v>
      </c>
      <c r="G294" s="63">
        <f ca="1"/>
        <v>47027</v>
      </c>
      <c r="H294" s="61" t="str">
        <f ca="1"/>
        <v>A2</v>
      </c>
      <c r="I294" s="61" t="str">
        <f ca="1"/>
        <v>A-</v>
      </c>
      <c r="J294" s="64">
        <f ca="1"/>
        <v>103.26300000000001</v>
      </c>
      <c r="K294" s="17">
        <f ca="1"/>
        <v>4.593</v>
      </c>
      <c r="L294" s="17" t="str">
        <f ca="1"/>
        <v>50(9)</v>
      </c>
      <c r="M294" s="83"/>
      <c r="N294" s="84" t="str">
        <f t="shared" si="67"/>
        <v/>
      </c>
      <c r="O294" s="20" t="str">
        <f t="shared" si="68"/>
        <v/>
      </c>
      <c r="P294" s="64" t="str">
        <f t="shared" si="69"/>
        <v/>
      </c>
      <c r="Q294" s="85" t="str">
        <f t="shared" ca="1" si="70"/>
        <v/>
      </c>
      <c r="R294" s="86" t="str">
        <f t="shared" si="71"/>
        <v/>
      </c>
      <c r="S294" s="86" t="str">
        <f t="shared" si="72"/>
        <v/>
      </c>
      <c r="T294" s="104" t="str">
        <f t="shared" si="73"/>
        <v/>
      </c>
      <c r="U294" s="19" t="str">
        <f>IF(AND(M294&lt;&gt;"",M294&lt;&gt;0), IF(E294 = "Muni", T294, IF(E294="Corp", T294*(1 -'Investor Input'!$C$4-'Investor Input'!$C$5), T294*(1 -'Investor Input'!$C$4))), T294)</f>
        <v/>
      </c>
      <c r="V294" s="84" t="str">
        <f t="shared" si="74"/>
        <v/>
      </c>
      <c r="W294" s="84" t="str">
        <f t="shared" si="60"/>
        <v/>
      </c>
      <c r="X294" s="21" t="str">
        <f t="shared" si="61"/>
        <v/>
      </c>
      <c r="Y294" s="60" t="str">
        <f t="shared" si="62"/>
        <v/>
      </c>
      <c r="Z294" s="60" t="str">
        <f t="shared" si="63"/>
        <v/>
      </c>
      <c r="AA294" s="64" t="str">
        <f t="shared" si="64"/>
        <v/>
      </c>
      <c r="AB294" s="64" t="str">
        <f>IF(AND(AA294&lt;&gt;"",AA294&lt;&gt;0), IF(E294="Muni", AA294, IF(E294 = "Corp", (1-'Investor Input'!$C$4-'Investor Input'!$C$5)*AA294, (1-'Investor Input'!$C$4)*AA294)), AA294)</f>
        <v/>
      </c>
      <c r="AC294" s="94" t="str">
        <f t="shared" si="65"/>
        <v/>
      </c>
      <c r="AD294" s="60" t="str">
        <f>IF(AND(M294&lt;&gt;"", M294&lt;&gt;0), N294/$N$505*MATCH(AC294,'Misc Lists'!$K$2:$K$25,0), "")</f>
        <v/>
      </c>
      <c r="AE294" s="90" t="str">
        <f t="shared" si="66"/>
        <v/>
      </c>
      <c r="AF294" s="99" t="str">
        <f>IF(AND(M294&lt;&gt;"", M294&lt;&gt;0), N294/$N$505*MATCH(AE294,'Misc Lists'!$L$2:$L$25,0), "")</f>
        <v/>
      </c>
    </row>
    <row r="295" spans="2:32" hidden="1" outlineLevel="1" x14ac:dyDescent="0.5">
      <c r="B295" s="60" t="str">
        <f ca="1"/>
        <v>74340XBL4</v>
      </c>
      <c r="C295" s="61" t="str">
        <f ca="1"/>
        <v>N/A</v>
      </c>
      <c r="D295" s="60" t="str">
        <f ca="1"/>
        <v>PROLOGIS L P        SER B NOTE          4.37500% 02/01/2029 CALL MAKE WHOLE</v>
      </c>
      <c r="E295" s="61" t="str">
        <f ca="1"/>
        <v>Corp</v>
      </c>
      <c r="F295" s="62">
        <f ca="1"/>
        <v>4.375</v>
      </c>
      <c r="G295" s="63">
        <f ca="1"/>
        <v>47150</v>
      </c>
      <c r="H295" s="61" t="str">
        <f ca="1"/>
        <v>A2</v>
      </c>
      <c r="I295" s="61" t="str">
        <f ca="1"/>
        <v>A</v>
      </c>
      <c r="J295" s="64">
        <f ca="1"/>
        <v>99.228999999999999</v>
      </c>
      <c r="K295" s="17">
        <f ca="1"/>
        <v>4.593</v>
      </c>
      <c r="L295" s="17" t="str">
        <f ca="1"/>
        <v>475(1)</v>
      </c>
      <c r="M295" s="83"/>
      <c r="N295" s="84" t="str">
        <f t="shared" si="67"/>
        <v/>
      </c>
      <c r="O295" s="20" t="str">
        <f t="shared" si="68"/>
        <v/>
      </c>
      <c r="P295" s="64" t="str">
        <f t="shared" si="69"/>
        <v/>
      </c>
      <c r="Q295" s="85" t="str">
        <f t="shared" ca="1" si="70"/>
        <v/>
      </c>
      <c r="R295" s="86" t="str">
        <f t="shared" si="71"/>
        <v/>
      </c>
      <c r="S295" s="86" t="str">
        <f t="shared" si="72"/>
        <v/>
      </c>
      <c r="T295" s="104" t="str">
        <f t="shared" si="73"/>
        <v/>
      </c>
      <c r="U295" s="19" t="str">
        <f>IF(AND(M295&lt;&gt;"",M295&lt;&gt;0), IF(E295 = "Muni", T295, IF(E295="Corp", T295*(1 -'Investor Input'!$C$4-'Investor Input'!$C$5), T295*(1 -'Investor Input'!$C$4))), T295)</f>
        <v/>
      </c>
      <c r="V295" s="84" t="str">
        <f t="shared" si="74"/>
        <v/>
      </c>
      <c r="W295" s="84" t="str">
        <f t="shared" si="60"/>
        <v/>
      </c>
      <c r="X295" s="21" t="str">
        <f t="shared" si="61"/>
        <v/>
      </c>
      <c r="Y295" s="60" t="str">
        <f t="shared" si="62"/>
        <v/>
      </c>
      <c r="Z295" s="60" t="str">
        <f t="shared" si="63"/>
        <v/>
      </c>
      <c r="AA295" s="64" t="str">
        <f t="shared" si="64"/>
        <v/>
      </c>
      <c r="AB295" s="64" t="str">
        <f>IF(AND(AA295&lt;&gt;"",AA295&lt;&gt;0), IF(E295="Muni", AA295, IF(E295 = "Corp", (1-'Investor Input'!$C$4-'Investor Input'!$C$5)*AA295, (1-'Investor Input'!$C$4)*AA295)), AA295)</f>
        <v/>
      </c>
      <c r="AC295" s="94" t="str">
        <f t="shared" si="65"/>
        <v/>
      </c>
      <c r="AD295" s="60" t="str">
        <f>IF(AND(M295&lt;&gt;"", M295&lt;&gt;0), N295/$N$505*MATCH(AC295,'Misc Lists'!$K$2:$K$25,0), "")</f>
        <v/>
      </c>
      <c r="AE295" s="90" t="str">
        <f t="shared" si="66"/>
        <v/>
      </c>
      <c r="AF295" s="99" t="str">
        <f>IF(AND(M295&lt;&gt;"", M295&lt;&gt;0), N295/$N$505*MATCH(AE295,'Misc Lists'!$L$2:$L$25,0), "")</f>
        <v/>
      </c>
    </row>
    <row r="296" spans="2:32" hidden="1" outlineLevel="1" x14ac:dyDescent="0.5">
      <c r="B296" s="60" t="str">
        <f ca="1"/>
        <v>45866FAT1</v>
      </c>
      <c r="C296" s="61" t="str">
        <f ca="1"/>
        <v>N/A</v>
      </c>
      <c r="D296" s="60" t="str">
        <f ca="1"/>
        <v>INTERCONTINENTAL    EXCHANGE INC NOTE   3.65000% 05/23/2025 CALL MAKE WHOLE</v>
      </c>
      <c r="E296" s="61" t="str">
        <f ca="1"/>
        <v>Corp</v>
      </c>
      <c r="F296" s="62">
        <f ca="1"/>
        <v>3.65</v>
      </c>
      <c r="G296" s="63">
        <f ca="1"/>
        <v>45800</v>
      </c>
      <c r="H296" s="61" t="str">
        <f ca="1"/>
        <v>A3</v>
      </c>
      <c r="I296" s="61" t="str">
        <f ca="1"/>
        <v>A-</v>
      </c>
      <c r="J296" s="64">
        <f ca="1"/>
        <v>99.805999999999997</v>
      </c>
      <c r="K296" s="17">
        <f ca="1"/>
        <v>4.5919999999999996</v>
      </c>
      <c r="L296" s="17" t="str">
        <f ca="1"/>
        <v>500(10)</v>
      </c>
      <c r="M296" s="83"/>
      <c r="N296" s="84" t="str">
        <f t="shared" si="67"/>
        <v/>
      </c>
      <c r="O296" s="20" t="str">
        <f t="shared" si="68"/>
        <v/>
      </c>
      <c r="P296" s="64" t="str">
        <f t="shared" si="69"/>
        <v/>
      </c>
      <c r="Q296" s="85" t="str">
        <f t="shared" ca="1" si="70"/>
        <v/>
      </c>
      <c r="R296" s="86" t="str">
        <f t="shared" si="71"/>
        <v/>
      </c>
      <c r="S296" s="86" t="str">
        <f t="shared" si="72"/>
        <v/>
      </c>
      <c r="T296" s="104" t="str">
        <f t="shared" si="73"/>
        <v/>
      </c>
      <c r="U296" s="19" t="str">
        <f>IF(AND(M296&lt;&gt;"",M296&lt;&gt;0), IF(E296 = "Muni", T296, IF(E296="Corp", T296*(1 -'Investor Input'!$C$4-'Investor Input'!$C$5), T296*(1 -'Investor Input'!$C$4))), T296)</f>
        <v/>
      </c>
      <c r="V296" s="84" t="str">
        <f t="shared" si="74"/>
        <v/>
      </c>
      <c r="W296" s="84" t="str">
        <f t="shared" si="60"/>
        <v/>
      </c>
      <c r="X296" s="21" t="str">
        <f t="shared" si="61"/>
        <v/>
      </c>
      <c r="Y296" s="60" t="str">
        <f t="shared" si="62"/>
        <v/>
      </c>
      <c r="Z296" s="60" t="str">
        <f t="shared" si="63"/>
        <v/>
      </c>
      <c r="AA296" s="64" t="str">
        <f t="shared" si="64"/>
        <v/>
      </c>
      <c r="AB296" s="64" t="str">
        <f>IF(AND(AA296&lt;&gt;"",AA296&lt;&gt;0), IF(E296="Muni", AA296, IF(E296 = "Corp", (1-'Investor Input'!$C$4-'Investor Input'!$C$5)*AA296, (1-'Investor Input'!$C$4)*AA296)), AA296)</f>
        <v/>
      </c>
      <c r="AC296" s="94" t="str">
        <f t="shared" si="65"/>
        <v/>
      </c>
      <c r="AD296" s="60" t="str">
        <f>IF(AND(M296&lt;&gt;"", M296&lt;&gt;0), N296/$N$505*MATCH(AC296,'Misc Lists'!$K$2:$K$25,0), "")</f>
        <v/>
      </c>
      <c r="AE296" s="90" t="str">
        <f t="shared" si="66"/>
        <v/>
      </c>
      <c r="AF296" s="99" t="str">
        <f>IF(AND(M296&lt;&gt;"", M296&lt;&gt;0), N296/$N$505*MATCH(AE296,'Misc Lists'!$L$2:$L$25,0), "")</f>
        <v/>
      </c>
    </row>
    <row r="297" spans="2:32" hidden="1" outlineLevel="1" x14ac:dyDescent="0.5">
      <c r="B297" s="60" t="str">
        <f ca="1"/>
        <v>03740MAA8</v>
      </c>
      <c r="C297" s="61" t="str">
        <f ca="1"/>
        <v>N/A</v>
      </c>
      <c r="D297" s="60" t="str">
        <f ca="1"/>
        <v>AON NORTH AMERICA   INC. NOTE           5.12500% 03/01/2027 CALL MAKE WHOLE</v>
      </c>
      <c r="E297" s="61" t="str">
        <f ca="1"/>
        <v>Corp</v>
      </c>
      <c r="F297" s="62">
        <f ca="1"/>
        <v>5.125</v>
      </c>
      <c r="G297" s="63">
        <f ca="1"/>
        <v>46447</v>
      </c>
      <c r="H297" s="61" t="str">
        <f ca="1"/>
        <v>BAA2</v>
      </c>
      <c r="I297" s="61" t="str">
        <f ca="1"/>
        <v>A-</v>
      </c>
      <c r="J297" s="64">
        <f ca="1"/>
        <v>100.991</v>
      </c>
      <c r="K297" s="17">
        <f ca="1"/>
        <v>4.5919999999999996</v>
      </c>
      <c r="L297" s="17" t="str">
        <f ca="1"/>
        <v>500(2)</v>
      </c>
      <c r="M297" s="83"/>
      <c r="N297" s="84" t="str">
        <f t="shared" si="67"/>
        <v/>
      </c>
      <c r="O297" s="20" t="str">
        <f t="shared" si="68"/>
        <v/>
      </c>
      <c r="P297" s="64" t="str">
        <f t="shared" si="69"/>
        <v/>
      </c>
      <c r="Q297" s="85" t="str">
        <f t="shared" ca="1" si="70"/>
        <v/>
      </c>
      <c r="R297" s="86" t="str">
        <f t="shared" si="71"/>
        <v/>
      </c>
      <c r="S297" s="86" t="str">
        <f t="shared" si="72"/>
        <v/>
      </c>
      <c r="T297" s="104" t="str">
        <f t="shared" si="73"/>
        <v/>
      </c>
      <c r="U297" s="19" t="str">
        <f>IF(AND(M297&lt;&gt;"",M297&lt;&gt;0), IF(E297 = "Muni", T297, IF(E297="Corp", T297*(1 -'Investor Input'!$C$4-'Investor Input'!$C$5), T297*(1 -'Investor Input'!$C$4))), T297)</f>
        <v/>
      </c>
      <c r="V297" s="84" t="str">
        <f t="shared" si="74"/>
        <v/>
      </c>
      <c r="W297" s="84" t="str">
        <f t="shared" si="60"/>
        <v/>
      </c>
      <c r="X297" s="21" t="str">
        <f t="shared" si="61"/>
        <v/>
      </c>
      <c r="Y297" s="60" t="str">
        <f t="shared" si="62"/>
        <v/>
      </c>
      <c r="Z297" s="60" t="str">
        <f t="shared" si="63"/>
        <v/>
      </c>
      <c r="AA297" s="64" t="str">
        <f t="shared" si="64"/>
        <v/>
      </c>
      <c r="AB297" s="64" t="str">
        <f>IF(AND(AA297&lt;&gt;"",AA297&lt;&gt;0), IF(E297="Muni", AA297, IF(E297 = "Corp", (1-'Investor Input'!$C$4-'Investor Input'!$C$5)*AA297, (1-'Investor Input'!$C$4)*AA297)), AA297)</f>
        <v/>
      </c>
      <c r="AC297" s="94" t="str">
        <f t="shared" si="65"/>
        <v/>
      </c>
      <c r="AD297" s="60" t="str">
        <f>IF(AND(M297&lt;&gt;"", M297&lt;&gt;0), N297/$N$505*MATCH(AC297,'Misc Lists'!$K$2:$K$25,0), "")</f>
        <v/>
      </c>
      <c r="AE297" s="90" t="str">
        <f t="shared" si="66"/>
        <v/>
      </c>
      <c r="AF297" s="99" t="str">
        <f>IF(AND(M297&lt;&gt;"", M297&lt;&gt;0), N297/$N$505*MATCH(AE297,'Misc Lists'!$L$2:$L$25,0), "")</f>
        <v/>
      </c>
    </row>
    <row r="298" spans="2:32" hidden="1" outlineLevel="1" x14ac:dyDescent="0.5">
      <c r="B298" s="60" t="str">
        <f ca="1"/>
        <v>89236TMF9</v>
      </c>
      <c r="C298" s="61" t="str">
        <f ca="1"/>
        <v>N/A</v>
      </c>
      <c r="D298" s="60" t="str">
        <f ca="1"/>
        <v>TOYOTA MTR CR CORP  SER B MTN           5.05000% 05/16/2029 CALL MAKE WHOLE</v>
      </c>
      <c r="E298" s="61" t="str">
        <f ca="1"/>
        <v>Corp</v>
      </c>
      <c r="F298" s="62">
        <f ca="1"/>
        <v>5.05</v>
      </c>
      <c r="G298" s="63">
        <f ca="1"/>
        <v>47254</v>
      </c>
      <c r="H298" s="61" t="str">
        <f ca="1"/>
        <v>A1</v>
      </c>
      <c r="I298" s="61" t="str">
        <f ca="1"/>
        <v>A+</v>
      </c>
      <c r="J298" s="64">
        <f ca="1"/>
        <v>101.717</v>
      </c>
      <c r="K298" s="17">
        <f ca="1"/>
        <v>4.5919999999999996</v>
      </c>
      <c r="L298" s="17" t="str">
        <f ca="1"/>
        <v>500(2)</v>
      </c>
      <c r="M298" s="83"/>
      <c r="N298" s="84" t="str">
        <f t="shared" si="67"/>
        <v/>
      </c>
      <c r="O298" s="20" t="str">
        <f t="shared" si="68"/>
        <v/>
      </c>
      <c r="P298" s="64" t="str">
        <f t="shared" si="69"/>
        <v/>
      </c>
      <c r="Q298" s="85" t="str">
        <f t="shared" ca="1" si="70"/>
        <v/>
      </c>
      <c r="R298" s="86" t="str">
        <f t="shared" si="71"/>
        <v/>
      </c>
      <c r="S298" s="86" t="str">
        <f t="shared" si="72"/>
        <v/>
      </c>
      <c r="T298" s="104" t="str">
        <f t="shared" si="73"/>
        <v/>
      </c>
      <c r="U298" s="19" t="str">
        <f>IF(AND(M298&lt;&gt;"",M298&lt;&gt;0), IF(E298 = "Muni", T298, IF(E298="Corp", T298*(1 -'Investor Input'!$C$4-'Investor Input'!$C$5), T298*(1 -'Investor Input'!$C$4))), T298)</f>
        <v/>
      </c>
      <c r="V298" s="84" t="str">
        <f t="shared" si="74"/>
        <v/>
      </c>
      <c r="W298" s="84" t="str">
        <f t="shared" si="60"/>
        <v/>
      </c>
      <c r="X298" s="21" t="str">
        <f t="shared" si="61"/>
        <v/>
      </c>
      <c r="Y298" s="60" t="str">
        <f t="shared" si="62"/>
        <v/>
      </c>
      <c r="Z298" s="60" t="str">
        <f t="shared" si="63"/>
        <v/>
      </c>
      <c r="AA298" s="64" t="str">
        <f t="shared" si="64"/>
        <v/>
      </c>
      <c r="AB298" s="64" t="str">
        <f>IF(AND(AA298&lt;&gt;"",AA298&lt;&gt;0), IF(E298="Muni", AA298, IF(E298 = "Corp", (1-'Investor Input'!$C$4-'Investor Input'!$C$5)*AA298, (1-'Investor Input'!$C$4)*AA298)), AA298)</f>
        <v/>
      </c>
      <c r="AC298" s="94" t="str">
        <f t="shared" si="65"/>
        <v/>
      </c>
      <c r="AD298" s="60" t="str">
        <f>IF(AND(M298&lt;&gt;"", M298&lt;&gt;0), N298/$N$505*MATCH(AC298,'Misc Lists'!$K$2:$K$25,0), "")</f>
        <v/>
      </c>
      <c r="AE298" s="90" t="str">
        <f t="shared" si="66"/>
        <v/>
      </c>
      <c r="AF298" s="99" t="str">
        <f>IF(AND(M298&lt;&gt;"", M298&lt;&gt;0), N298/$N$505*MATCH(AE298,'Misc Lists'!$L$2:$L$25,0), "")</f>
        <v/>
      </c>
    </row>
    <row r="299" spans="2:32" hidden="1" outlineLevel="1" x14ac:dyDescent="0.5">
      <c r="B299" s="60" t="str">
        <f ca="1"/>
        <v>641423CC0</v>
      </c>
      <c r="C299" s="61" t="str">
        <f ca="1"/>
        <v>N/A</v>
      </c>
      <c r="D299" s="60" t="str">
        <f ca="1"/>
        <v>NEVADA POWER CO     SER CC NOTE         3.70000% 05/01/2029 CALL MAKE WHOLE</v>
      </c>
      <c r="E299" s="61" t="str">
        <f ca="1"/>
        <v>Corp</v>
      </c>
      <c r="F299" s="62">
        <f ca="1"/>
        <v>3.7</v>
      </c>
      <c r="G299" s="63">
        <f ca="1"/>
        <v>47239</v>
      </c>
      <c r="H299" s="61" t="str">
        <f ca="1"/>
        <v>A2</v>
      </c>
      <c r="I299" s="61" t="str">
        <f ca="1"/>
        <v>A</v>
      </c>
      <c r="J299" s="64">
        <f ca="1"/>
        <v>96.673000000000002</v>
      </c>
      <c r="K299" s="17">
        <f ca="1"/>
        <v>4.5910000000000002</v>
      </c>
      <c r="L299" s="17" t="str">
        <f ca="1"/>
        <v>500(15)</v>
      </c>
      <c r="M299" s="83"/>
      <c r="N299" s="84" t="str">
        <f t="shared" si="67"/>
        <v/>
      </c>
      <c r="O299" s="20" t="str">
        <f t="shared" si="68"/>
        <v/>
      </c>
      <c r="P299" s="64" t="str">
        <f t="shared" si="69"/>
        <v/>
      </c>
      <c r="Q299" s="85" t="str">
        <f t="shared" ca="1" si="70"/>
        <v/>
      </c>
      <c r="R299" s="86" t="str">
        <f t="shared" si="71"/>
        <v/>
      </c>
      <c r="S299" s="86" t="str">
        <f t="shared" si="72"/>
        <v/>
      </c>
      <c r="T299" s="104" t="str">
        <f t="shared" si="73"/>
        <v/>
      </c>
      <c r="U299" s="19" t="str">
        <f>IF(AND(M299&lt;&gt;"",M299&lt;&gt;0), IF(E299 = "Muni", T299, IF(E299="Corp", T299*(1 -'Investor Input'!$C$4-'Investor Input'!$C$5), T299*(1 -'Investor Input'!$C$4))), T299)</f>
        <v/>
      </c>
      <c r="V299" s="84" t="str">
        <f t="shared" si="74"/>
        <v/>
      </c>
      <c r="W299" s="84" t="str">
        <f t="shared" si="60"/>
        <v/>
      </c>
      <c r="X299" s="21" t="str">
        <f t="shared" si="61"/>
        <v/>
      </c>
      <c r="Y299" s="60" t="str">
        <f t="shared" si="62"/>
        <v/>
      </c>
      <c r="Z299" s="60" t="str">
        <f t="shared" si="63"/>
        <v/>
      </c>
      <c r="AA299" s="64" t="str">
        <f t="shared" si="64"/>
        <v/>
      </c>
      <c r="AB299" s="64" t="str">
        <f>IF(AND(AA299&lt;&gt;"",AA299&lt;&gt;0), IF(E299="Muni", AA299, IF(E299 = "Corp", (1-'Investor Input'!$C$4-'Investor Input'!$C$5)*AA299, (1-'Investor Input'!$C$4)*AA299)), AA299)</f>
        <v/>
      </c>
      <c r="AC299" s="94" t="str">
        <f t="shared" si="65"/>
        <v/>
      </c>
      <c r="AD299" s="60" t="str">
        <f>IF(AND(M299&lt;&gt;"", M299&lt;&gt;0), N299/$N$505*MATCH(AC299,'Misc Lists'!$K$2:$K$25,0), "")</f>
        <v/>
      </c>
      <c r="AE299" s="90" t="str">
        <f t="shared" si="66"/>
        <v/>
      </c>
      <c r="AF299" s="99" t="str">
        <f>IF(AND(M299&lt;&gt;"", M299&lt;&gt;0), N299/$N$505*MATCH(AE299,'Misc Lists'!$L$2:$L$25,0), "")</f>
        <v/>
      </c>
    </row>
    <row r="300" spans="2:32" hidden="1" outlineLevel="1" x14ac:dyDescent="0.5">
      <c r="B300" s="60" t="str">
        <f ca="1"/>
        <v>828807CW5</v>
      </c>
      <c r="C300" s="61" t="str">
        <f ca="1"/>
        <v>N/A</v>
      </c>
      <c r="D300" s="60" t="str">
        <f ca="1"/>
        <v>SIMON PPTY GROUP LP NOTE CALL MAKE WHOLE3.30000% 01/15/2026</v>
      </c>
      <c r="E300" s="61" t="str">
        <f ca="1"/>
        <v>Corp</v>
      </c>
      <c r="F300" s="62">
        <f ca="1"/>
        <v>3.3</v>
      </c>
      <c r="G300" s="63">
        <f ca="1"/>
        <v>46037</v>
      </c>
      <c r="H300" s="61" t="str">
        <f ca="1"/>
        <v>A3</v>
      </c>
      <c r="I300" s="61" t="str">
        <f ca="1"/>
        <v>A-</v>
      </c>
      <c r="J300" s="64">
        <f ca="1"/>
        <v>98.942999999999998</v>
      </c>
      <c r="K300" s="17">
        <f ca="1"/>
        <v>4.59</v>
      </c>
      <c r="L300" s="17" t="str">
        <f ca="1"/>
        <v>24(10)</v>
      </c>
      <c r="M300" s="83"/>
      <c r="N300" s="84" t="str">
        <f t="shared" si="67"/>
        <v/>
      </c>
      <c r="O300" s="20" t="str">
        <f t="shared" si="68"/>
        <v/>
      </c>
      <c r="P300" s="64" t="str">
        <f t="shared" si="69"/>
        <v/>
      </c>
      <c r="Q300" s="85" t="str">
        <f t="shared" ca="1" si="70"/>
        <v/>
      </c>
      <c r="R300" s="86" t="str">
        <f t="shared" si="71"/>
        <v/>
      </c>
      <c r="S300" s="86" t="str">
        <f t="shared" si="72"/>
        <v/>
      </c>
      <c r="T300" s="104" t="str">
        <f t="shared" si="73"/>
        <v/>
      </c>
      <c r="U300" s="19" t="str">
        <f>IF(AND(M300&lt;&gt;"",M300&lt;&gt;0), IF(E300 = "Muni", T300, IF(E300="Corp", T300*(1 -'Investor Input'!$C$4-'Investor Input'!$C$5), T300*(1 -'Investor Input'!$C$4))), T300)</f>
        <v/>
      </c>
      <c r="V300" s="84" t="str">
        <f t="shared" si="74"/>
        <v/>
      </c>
      <c r="W300" s="84" t="str">
        <f t="shared" si="60"/>
        <v/>
      </c>
      <c r="X300" s="21" t="str">
        <f t="shared" si="61"/>
        <v/>
      </c>
      <c r="Y300" s="60" t="str">
        <f t="shared" si="62"/>
        <v/>
      </c>
      <c r="Z300" s="60" t="str">
        <f t="shared" si="63"/>
        <v/>
      </c>
      <c r="AA300" s="64" t="str">
        <f t="shared" si="64"/>
        <v/>
      </c>
      <c r="AB300" s="64" t="str">
        <f>IF(AND(AA300&lt;&gt;"",AA300&lt;&gt;0), IF(E300="Muni", AA300, IF(E300 = "Corp", (1-'Investor Input'!$C$4-'Investor Input'!$C$5)*AA300, (1-'Investor Input'!$C$4)*AA300)), AA300)</f>
        <v/>
      </c>
      <c r="AC300" s="94" t="str">
        <f t="shared" si="65"/>
        <v/>
      </c>
      <c r="AD300" s="60" t="str">
        <f>IF(AND(M300&lt;&gt;"", M300&lt;&gt;0), N300/$N$505*MATCH(AC300,'Misc Lists'!$K$2:$K$25,0), "")</f>
        <v/>
      </c>
      <c r="AE300" s="90" t="str">
        <f t="shared" si="66"/>
        <v/>
      </c>
      <c r="AF300" s="99" t="str">
        <f>IF(AND(M300&lt;&gt;"", M300&lt;&gt;0), N300/$N$505*MATCH(AE300,'Misc Lists'!$L$2:$L$25,0), "")</f>
        <v/>
      </c>
    </row>
    <row r="301" spans="2:32" hidden="1" outlineLevel="1" x14ac:dyDescent="0.5">
      <c r="B301" s="60" t="str">
        <f ca="1"/>
        <v>168863DX3</v>
      </c>
      <c r="C301" s="61" t="str">
        <f ca="1"/>
        <v>N/A</v>
      </c>
      <c r="D301" s="60" t="str">
        <f ca="1"/>
        <v>CHILE REP           NOTE CALL MAKE WHOLE2.75000% 01/31/2027</v>
      </c>
      <c r="E301" s="61" t="str">
        <f ca="1"/>
        <v>Corp</v>
      </c>
      <c r="F301" s="62">
        <f ca="1"/>
        <v>2.75</v>
      </c>
      <c r="G301" s="63">
        <f ca="1"/>
        <v>46418</v>
      </c>
      <c r="H301" s="61" t="str">
        <f ca="1"/>
        <v>A2</v>
      </c>
      <c r="I301" s="61" t="str">
        <f ca="1"/>
        <v>A</v>
      </c>
      <c r="J301" s="64">
        <f ca="1"/>
        <v>96.713999999999999</v>
      </c>
      <c r="K301" s="17">
        <f ca="1"/>
        <v>4.59</v>
      </c>
      <c r="L301" s="17" t="str">
        <f ca="1"/>
        <v>225(200)</v>
      </c>
      <c r="M301" s="83"/>
      <c r="N301" s="84" t="str">
        <f t="shared" si="67"/>
        <v/>
      </c>
      <c r="O301" s="20" t="str">
        <f t="shared" si="68"/>
        <v/>
      </c>
      <c r="P301" s="64" t="str">
        <f t="shared" si="69"/>
        <v/>
      </c>
      <c r="Q301" s="85" t="str">
        <f t="shared" ca="1" si="70"/>
        <v/>
      </c>
      <c r="R301" s="86" t="str">
        <f t="shared" si="71"/>
        <v/>
      </c>
      <c r="S301" s="86" t="str">
        <f t="shared" si="72"/>
        <v/>
      </c>
      <c r="T301" s="104" t="str">
        <f t="shared" si="73"/>
        <v/>
      </c>
      <c r="U301" s="19" t="str">
        <f>IF(AND(M301&lt;&gt;"",M301&lt;&gt;0), IF(E301 = "Muni", T301, IF(E301="Corp", T301*(1 -'Investor Input'!$C$4-'Investor Input'!$C$5), T301*(1 -'Investor Input'!$C$4))), T301)</f>
        <v/>
      </c>
      <c r="V301" s="84" t="str">
        <f t="shared" si="74"/>
        <v/>
      </c>
      <c r="W301" s="84" t="str">
        <f t="shared" si="60"/>
        <v/>
      </c>
      <c r="X301" s="21" t="str">
        <f t="shared" si="61"/>
        <v/>
      </c>
      <c r="Y301" s="60" t="str">
        <f t="shared" si="62"/>
        <v/>
      </c>
      <c r="Z301" s="60" t="str">
        <f t="shared" si="63"/>
        <v/>
      </c>
      <c r="AA301" s="64" t="str">
        <f t="shared" si="64"/>
        <v/>
      </c>
      <c r="AB301" s="64" t="str">
        <f>IF(AND(AA301&lt;&gt;"",AA301&lt;&gt;0), IF(E301="Muni", AA301, IF(E301 = "Corp", (1-'Investor Input'!$C$4-'Investor Input'!$C$5)*AA301, (1-'Investor Input'!$C$4)*AA301)), AA301)</f>
        <v/>
      </c>
      <c r="AC301" s="94" t="str">
        <f t="shared" si="65"/>
        <v/>
      </c>
      <c r="AD301" s="60" t="str">
        <f>IF(AND(M301&lt;&gt;"", M301&lt;&gt;0), N301/$N$505*MATCH(AC301,'Misc Lists'!$K$2:$K$25,0), "")</f>
        <v/>
      </c>
      <c r="AE301" s="90" t="str">
        <f t="shared" si="66"/>
        <v/>
      </c>
      <c r="AF301" s="99" t="str">
        <f>IF(AND(M301&lt;&gt;"", M301&lt;&gt;0), N301/$N$505*MATCH(AE301,'Misc Lists'!$L$2:$L$25,0), "")</f>
        <v/>
      </c>
    </row>
    <row r="302" spans="2:32" hidden="1" outlineLevel="1" x14ac:dyDescent="0.5">
      <c r="B302" s="60" t="str">
        <f ca="1"/>
        <v>61766YHQ7</v>
      </c>
      <c r="C302" s="61" t="str">
        <f ca="1"/>
        <v>N/A</v>
      </c>
      <c r="D302" s="60" t="str">
        <f ca="1"/>
        <v>MORGAN STANLEY FIN  LLC MTN             2.00000% 07/31/2027</v>
      </c>
      <c r="E302" s="61" t="str">
        <f ca="1"/>
        <v>Corp</v>
      </c>
      <c r="F302" s="62">
        <f ca="1"/>
        <v>2</v>
      </c>
      <c r="G302" s="63">
        <f ca="1"/>
        <v>46599</v>
      </c>
      <c r="H302" s="61" t="str">
        <f ca="1"/>
        <v>A1</v>
      </c>
      <c r="I302" s="61" t="str">
        <f ca="1"/>
        <v>A-</v>
      </c>
      <c r="J302" s="64">
        <f ca="1"/>
        <v>94.212999999999994</v>
      </c>
      <c r="K302" s="17">
        <f ca="1"/>
        <v>4.59</v>
      </c>
      <c r="L302" s="17" t="str">
        <f ca="1"/>
        <v>10(2)</v>
      </c>
      <c r="M302" s="83"/>
      <c r="N302" s="84" t="str">
        <f t="shared" si="67"/>
        <v/>
      </c>
      <c r="O302" s="20" t="str">
        <f t="shared" si="68"/>
        <v/>
      </c>
      <c r="P302" s="64" t="str">
        <f t="shared" si="69"/>
        <v/>
      </c>
      <c r="Q302" s="85" t="str">
        <f t="shared" ca="1" si="70"/>
        <v/>
      </c>
      <c r="R302" s="86" t="str">
        <f t="shared" si="71"/>
        <v/>
      </c>
      <c r="S302" s="86" t="str">
        <f t="shared" si="72"/>
        <v/>
      </c>
      <c r="T302" s="104" t="str">
        <f t="shared" si="73"/>
        <v/>
      </c>
      <c r="U302" s="19" t="str">
        <f>IF(AND(M302&lt;&gt;"",M302&lt;&gt;0), IF(E302 = "Muni", T302, IF(E302="Corp", T302*(1 -'Investor Input'!$C$4-'Investor Input'!$C$5), T302*(1 -'Investor Input'!$C$4))), T302)</f>
        <v/>
      </c>
      <c r="V302" s="84" t="str">
        <f t="shared" si="74"/>
        <v/>
      </c>
      <c r="W302" s="84" t="str">
        <f t="shared" si="60"/>
        <v/>
      </c>
      <c r="X302" s="21" t="str">
        <f t="shared" si="61"/>
        <v/>
      </c>
      <c r="Y302" s="60" t="str">
        <f t="shared" si="62"/>
        <v/>
      </c>
      <c r="Z302" s="60" t="str">
        <f t="shared" si="63"/>
        <v/>
      </c>
      <c r="AA302" s="64" t="str">
        <f t="shared" si="64"/>
        <v/>
      </c>
      <c r="AB302" s="64" t="str">
        <f>IF(AND(AA302&lt;&gt;"",AA302&lt;&gt;0), IF(E302="Muni", AA302, IF(E302 = "Corp", (1-'Investor Input'!$C$4-'Investor Input'!$C$5)*AA302, (1-'Investor Input'!$C$4)*AA302)), AA302)</f>
        <v/>
      </c>
      <c r="AC302" s="94" t="str">
        <f t="shared" si="65"/>
        <v/>
      </c>
      <c r="AD302" s="60" t="str">
        <f>IF(AND(M302&lt;&gt;"", M302&lt;&gt;0), N302/$N$505*MATCH(AC302,'Misc Lists'!$K$2:$K$25,0), "")</f>
        <v/>
      </c>
      <c r="AE302" s="90" t="str">
        <f t="shared" si="66"/>
        <v/>
      </c>
      <c r="AF302" s="99" t="str">
        <f>IF(AND(M302&lt;&gt;"", M302&lt;&gt;0), N302/$N$505*MATCH(AE302,'Misc Lists'!$L$2:$L$25,0), "")</f>
        <v/>
      </c>
    </row>
    <row r="303" spans="2:32" hidden="1" outlineLevel="1" x14ac:dyDescent="0.5">
      <c r="B303" s="60" t="str">
        <f ca="1"/>
        <v>03076CAN6</v>
      </c>
      <c r="C303" s="61" t="str">
        <f ca="1"/>
        <v>N/A</v>
      </c>
      <c r="D303" s="60" t="str">
        <f ca="1"/>
        <v>AMERIPRISE FINL INC NOTE CALL MAKE WHOLE5.70000% 12/15/2028</v>
      </c>
      <c r="E303" s="61" t="str">
        <f ca="1"/>
        <v>Corp</v>
      </c>
      <c r="F303" s="62">
        <f ca="1"/>
        <v>5.7</v>
      </c>
      <c r="G303" s="63">
        <f ca="1"/>
        <v>47102</v>
      </c>
      <c r="H303" s="61" t="str">
        <f ca="1"/>
        <v>A3</v>
      </c>
      <c r="I303" s="61" t="str">
        <f ca="1"/>
        <v>A-</v>
      </c>
      <c r="J303" s="64">
        <f ca="1"/>
        <v>103.785</v>
      </c>
      <c r="K303" s="17">
        <f ca="1"/>
        <v>4.59</v>
      </c>
      <c r="L303" s="17" t="str">
        <f ca="1"/>
        <v>500(2)</v>
      </c>
      <c r="M303" s="83"/>
      <c r="N303" s="84" t="str">
        <f t="shared" si="67"/>
        <v/>
      </c>
      <c r="O303" s="20" t="str">
        <f t="shared" si="68"/>
        <v/>
      </c>
      <c r="P303" s="64" t="str">
        <f t="shared" si="69"/>
        <v/>
      </c>
      <c r="Q303" s="85" t="str">
        <f t="shared" ca="1" si="70"/>
        <v/>
      </c>
      <c r="R303" s="86" t="str">
        <f t="shared" si="71"/>
        <v/>
      </c>
      <c r="S303" s="86" t="str">
        <f t="shared" si="72"/>
        <v/>
      </c>
      <c r="T303" s="104" t="str">
        <f t="shared" si="73"/>
        <v/>
      </c>
      <c r="U303" s="19" t="str">
        <f>IF(AND(M303&lt;&gt;"",M303&lt;&gt;0), IF(E303 = "Muni", T303, IF(E303="Corp", T303*(1 -'Investor Input'!$C$4-'Investor Input'!$C$5), T303*(1 -'Investor Input'!$C$4))), T303)</f>
        <v/>
      </c>
      <c r="V303" s="84" t="str">
        <f t="shared" si="74"/>
        <v/>
      </c>
      <c r="W303" s="84" t="str">
        <f t="shared" si="60"/>
        <v/>
      </c>
      <c r="X303" s="21" t="str">
        <f t="shared" si="61"/>
        <v/>
      </c>
      <c r="Y303" s="60" t="str">
        <f t="shared" si="62"/>
        <v/>
      </c>
      <c r="Z303" s="60" t="str">
        <f t="shared" si="63"/>
        <v/>
      </c>
      <c r="AA303" s="64" t="str">
        <f t="shared" si="64"/>
        <v/>
      </c>
      <c r="AB303" s="64" t="str">
        <f>IF(AND(AA303&lt;&gt;"",AA303&lt;&gt;0), IF(E303="Muni", AA303, IF(E303 = "Corp", (1-'Investor Input'!$C$4-'Investor Input'!$C$5)*AA303, (1-'Investor Input'!$C$4)*AA303)), AA303)</f>
        <v/>
      </c>
      <c r="AC303" s="94" t="str">
        <f t="shared" si="65"/>
        <v/>
      </c>
      <c r="AD303" s="60" t="str">
        <f>IF(AND(M303&lt;&gt;"", M303&lt;&gt;0), N303/$N$505*MATCH(AC303,'Misc Lists'!$K$2:$K$25,0), "")</f>
        <v/>
      </c>
      <c r="AE303" s="90" t="str">
        <f t="shared" si="66"/>
        <v/>
      </c>
      <c r="AF303" s="99" t="str">
        <f>IF(AND(M303&lt;&gt;"", M303&lt;&gt;0), N303/$N$505*MATCH(AE303,'Misc Lists'!$L$2:$L$25,0), "")</f>
        <v/>
      </c>
    </row>
    <row r="304" spans="2:32" hidden="1" outlineLevel="1" x14ac:dyDescent="0.5">
      <c r="B304" s="60" t="str">
        <f ca="1"/>
        <v>26442EAF7</v>
      </c>
      <c r="C304" s="61" t="str">
        <f ca="1"/>
        <v>N/A</v>
      </c>
      <c r="D304" s="60" t="str">
        <f ca="1"/>
        <v>DUKE ENERGY OHIO INCBOND CALL MAKE WHOLE3.65000% 02/01/2029</v>
      </c>
      <c r="E304" s="61" t="str">
        <f ca="1"/>
        <v>Corp</v>
      </c>
      <c r="F304" s="62">
        <f ca="1"/>
        <v>3.65</v>
      </c>
      <c r="G304" s="63">
        <f ca="1"/>
        <v>47150</v>
      </c>
      <c r="H304" s="61" t="str">
        <f ca="1"/>
        <v>A2</v>
      </c>
      <c r="I304" s="61" t="str">
        <f ca="1"/>
        <v>A</v>
      </c>
      <c r="J304" s="64">
        <f ca="1"/>
        <v>96.683999999999997</v>
      </c>
      <c r="K304" s="17">
        <f ca="1"/>
        <v>4.59</v>
      </c>
      <c r="L304" s="17" t="str">
        <f ca="1"/>
        <v>250(10)</v>
      </c>
      <c r="M304" s="83"/>
      <c r="N304" s="84" t="str">
        <f t="shared" si="67"/>
        <v/>
      </c>
      <c r="O304" s="20" t="str">
        <f t="shared" si="68"/>
        <v/>
      </c>
      <c r="P304" s="64" t="str">
        <f t="shared" si="69"/>
        <v/>
      </c>
      <c r="Q304" s="85" t="str">
        <f t="shared" ca="1" si="70"/>
        <v/>
      </c>
      <c r="R304" s="86" t="str">
        <f t="shared" si="71"/>
        <v/>
      </c>
      <c r="S304" s="86" t="str">
        <f t="shared" si="72"/>
        <v/>
      </c>
      <c r="T304" s="104" t="str">
        <f t="shared" si="73"/>
        <v/>
      </c>
      <c r="U304" s="19" t="str">
        <f>IF(AND(M304&lt;&gt;"",M304&lt;&gt;0), IF(E304 = "Muni", T304, IF(E304="Corp", T304*(1 -'Investor Input'!$C$4-'Investor Input'!$C$5), T304*(1 -'Investor Input'!$C$4))), T304)</f>
        <v/>
      </c>
      <c r="V304" s="84" t="str">
        <f t="shared" si="74"/>
        <v/>
      </c>
      <c r="W304" s="84" t="str">
        <f t="shared" si="60"/>
        <v/>
      </c>
      <c r="X304" s="21" t="str">
        <f t="shared" si="61"/>
        <v/>
      </c>
      <c r="Y304" s="60" t="str">
        <f t="shared" si="62"/>
        <v/>
      </c>
      <c r="Z304" s="60" t="str">
        <f t="shared" si="63"/>
        <v/>
      </c>
      <c r="AA304" s="64" t="str">
        <f t="shared" si="64"/>
        <v/>
      </c>
      <c r="AB304" s="64" t="str">
        <f>IF(AND(AA304&lt;&gt;"",AA304&lt;&gt;0), IF(E304="Muni", AA304, IF(E304 = "Corp", (1-'Investor Input'!$C$4-'Investor Input'!$C$5)*AA304, (1-'Investor Input'!$C$4)*AA304)), AA304)</f>
        <v/>
      </c>
      <c r="AC304" s="94" t="str">
        <f t="shared" si="65"/>
        <v/>
      </c>
      <c r="AD304" s="60" t="str">
        <f>IF(AND(M304&lt;&gt;"", M304&lt;&gt;0), N304/$N$505*MATCH(AC304,'Misc Lists'!$K$2:$K$25,0), "")</f>
        <v/>
      </c>
      <c r="AE304" s="90" t="str">
        <f t="shared" si="66"/>
        <v/>
      </c>
      <c r="AF304" s="99" t="str">
        <f>IF(AND(M304&lt;&gt;"", M304&lt;&gt;0), N304/$N$505*MATCH(AE304,'Misc Lists'!$L$2:$L$25,0), "")</f>
        <v/>
      </c>
    </row>
    <row r="305" spans="2:32" hidden="1" outlineLevel="1" x14ac:dyDescent="0.5">
      <c r="B305" s="60" t="str">
        <f ca="1"/>
        <v>63743FYV2</v>
      </c>
      <c r="C305" s="61" t="str">
        <f ca="1"/>
        <v>N/A</v>
      </c>
      <c r="D305" s="60" t="str">
        <f ca="1"/>
        <v>NATIONAL RURAL UTILSCOOP FIN            3.50000% 08/15/2029 SER INTERNOTES MTN</v>
      </c>
      <c r="E305" s="61" t="str">
        <f ca="1"/>
        <v>Corp</v>
      </c>
      <c r="F305" s="62">
        <f ca="1"/>
        <v>3.5</v>
      </c>
      <c r="G305" s="63">
        <f ca="1"/>
        <v>47345</v>
      </c>
      <c r="H305" s="61" t="str">
        <f ca="1"/>
        <v>A2</v>
      </c>
      <c r="I305" s="61" t="str">
        <f ca="1"/>
        <v>A-</v>
      </c>
      <c r="J305" s="64">
        <f ca="1"/>
        <v>95.644999999999996</v>
      </c>
      <c r="K305" s="17">
        <f ca="1"/>
        <v>4.5890000000000004</v>
      </c>
      <c r="L305" s="17" t="str">
        <f ca="1"/>
        <v>25(5)</v>
      </c>
      <c r="M305" s="83"/>
      <c r="N305" s="84" t="str">
        <f t="shared" si="67"/>
        <v/>
      </c>
      <c r="O305" s="20" t="str">
        <f t="shared" si="68"/>
        <v/>
      </c>
      <c r="P305" s="64" t="str">
        <f t="shared" si="69"/>
        <v/>
      </c>
      <c r="Q305" s="85" t="str">
        <f t="shared" ca="1" si="70"/>
        <v/>
      </c>
      <c r="R305" s="86" t="str">
        <f t="shared" si="71"/>
        <v/>
      </c>
      <c r="S305" s="86" t="str">
        <f t="shared" si="72"/>
        <v/>
      </c>
      <c r="T305" s="104" t="str">
        <f t="shared" si="73"/>
        <v/>
      </c>
      <c r="U305" s="19" t="str">
        <f>IF(AND(M305&lt;&gt;"",M305&lt;&gt;0), IF(E305 = "Muni", T305, IF(E305="Corp", T305*(1 -'Investor Input'!$C$4-'Investor Input'!$C$5), T305*(1 -'Investor Input'!$C$4))), T305)</f>
        <v/>
      </c>
      <c r="V305" s="84" t="str">
        <f t="shared" si="74"/>
        <v/>
      </c>
      <c r="W305" s="84" t="str">
        <f t="shared" si="60"/>
        <v/>
      </c>
      <c r="X305" s="21" t="str">
        <f t="shared" si="61"/>
        <v/>
      </c>
      <c r="Y305" s="60" t="str">
        <f t="shared" si="62"/>
        <v/>
      </c>
      <c r="Z305" s="60" t="str">
        <f t="shared" si="63"/>
        <v/>
      </c>
      <c r="AA305" s="64" t="str">
        <f t="shared" si="64"/>
        <v/>
      </c>
      <c r="AB305" s="64" t="str">
        <f>IF(AND(AA305&lt;&gt;"",AA305&lt;&gt;0), IF(E305="Muni", AA305, IF(E305 = "Corp", (1-'Investor Input'!$C$4-'Investor Input'!$C$5)*AA305, (1-'Investor Input'!$C$4)*AA305)), AA305)</f>
        <v/>
      </c>
      <c r="AC305" s="94" t="str">
        <f t="shared" si="65"/>
        <v/>
      </c>
      <c r="AD305" s="60" t="str">
        <f>IF(AND(M305&lt;&gt;"", M305&lt;&gt;0), N305/$N$505*MATCH(AC305,'Misc Lists'!$K$2:$K$25,0), "")</f>
        <v/>
      </c>
      <c r="AE305" s="90" t="str">
        <f t="shared" si="66"/>
        <v/>
      </c>
      <c r="AF305" s="99" t="str">
        <f>IF(AND(M305&lt;&gt;"", M305&lt;&gt;0), N305/$N$505*MATCH(AE305,'Misc Lists'!$L$2:$L$25,0), "")</f>
        <v/>
      </c>
    </row>
    <row r="306" spans="2:32" hidden="1" outlineLevel="1" x14ac:dyDescent="0.5">
      <c r="B306" s="60" t="str">
        <f ca="1"/>
        <v>00287YAQ2</v>
      </c>
      <c r="C306" s="61" t="str">
        <f ca="1"/>
        <v>N/A</v>
      </c>
      <c r="D306" s="60" t="str">
        <f ca="1"/>
        <v>ABBVIE INC          NOTE                3.60000% 05/14/2025</v>
      </c>
      <c r="E306" s="61" t="str">
        <f ca="1"/>
        <v>Corp</v>
      </c>
      <c r="F306" s="62">
        <f ca="1"/>
        <v>3.6</v>
      </c>
      <c r="G306" s="63">
        <f ca="1"/>
        <v>45791</v>
      </c>
      <c r="H306" s="61" t="str">
        <f ca="1"/>
        <v>A3</v>
      </c>
      <c r="I306" s="61" t="str">
        <f ca="1"/>
        <v>A-</v>
      </c>
      <c r="J306" s="64">
        <f ca="1"/>
        <v>99.822000000000003</v>
      </c>
      <c r="K306" s="17">
        <f ca="1"/>
        <v>4.5880000000000001</v>
      </c>
      <c r="L306" s="17" t="str">
        <f ca="1"/>
        <v>340(340)</v>
      </c>
      <c r="M306" s="83"/>
      <c r="N306" s="84" t="str">
        <f t="shared" si="67"/>
        <v/>
      </c>
      <c r="O306" s="20" t="str">
        <f t="shared" si="68"/>
        <v/>
      </c>
      <c r="P306" s="64" t="str">
        <f t="shared" si="69"/>
        <v/>
      </c>
      <c r="Q306" s="85" t="str">
        <f t="shared" ca="1" si="70"/>
        <v/>
      </c>
      <c r="R306" s="86" t="str">
        <f t="shared" si="71"/>
        <v/>
      </c>
      <c r="S306" s="86" t="str">
        <f t="shared" si="72"/>
        <v/>
      </c>
      <c r="T306" s="104" t="str">
        <f t="shared" si="73"/>
        <v/>
      </c>
      <c r="U306" s="19" t="str">
        <f>IF(AND(M306&lt;&gt;"",M306&lt;&gt;0), IF(E306 = "Muni", T306, IF(E306="Corp", T306*(1 -'Investor Input'!$C$4-'Investor Input'!$C$5), T306*(1 -'Investor Input'!$C$4))), T306)</f>
        <v/>
      </c>
      <c r="V306" s="84" t="str">
        <f t="shared" si="74"/>
        <v/>
      </c>
      <c r="W306" s="84" t="str">
        <f t="shared" si="60"/>
        <v/>
      </c>
      <c r="X306" s="21" t="str">
        <f t="shared" si="61"/>
        <v/>
      </c>
      <c r="Y306" s="60" t="str">
        <f t="shared" si="62"/>
        <v/>
      </c>
      <c r="Z306" s="60" t="str">
        <f t="shared" si="63"/>
        <v/>
      </c>
      <c r="AA306" s="64" t="str">
        <f t="shared" si="64"/>
        <v/>
      </c>
      <c r="AB306" s="64" t="str">
        <f>IF(AND(AA306&lt;&gt;"",AA306&lt;&gt;0), IF(E306="Muni", AA306, IF(E306 = "Corp", (1-'Investor Input'!$C$4-'Investor Input'!$C$5)*AA306, (1-'Investor Input'!$C$4)*AA306)), AA306)</f>
        <v/>
      </c>
      <c r="AC306" s="94" t="str">
        <f t="shared" si="65"/>
        <v/>
      </c>
      <c r="AD306" s="60" t="str">
        <f>IF(AND(M306&lt;&gt;"", M306&lt;&gt;0), N306/$N$505*MATCH(AC306,'Misc Lists'!$K$2:$K$25,0), "")</f>
        <v/>
      </c>
      <c r="AE306" s="90" t="str">
        <f t="shared" si="66"/>
        <v/>
      </c>
      <c r="AF306" s="99" t="str">
        <f>IF(AND(M306&lt;&gt;"", M306&lt;&gt;0), N306/$N$505*MATCH(AE306,'Misc Lists'!$L$2:$L$25,0), "")</f>
        <v/>
      </c>
    </row>
    <row r="307" spans="2:32" hidden="1" outlineLevel="1" x14ac:dyDescent="0.5">
      <c r="B307" s="60" t="str">
        <f ca="1"/>
        <v>05464HAC4</v>
      </c>
      <c r="C307" s="61" t="str">
        <f ca="1"/>
        <v>N/A</v>
      </c>
      <c r="D307" s="60" t="str">
        <f ca="1"/>
        <v>AXIS SPECIALTY      FINANCE PLC NOTE    4.00000% 12/06/2027 CALL MAKE WHOLE</v>
      </c>
      <c r="E307" s="61" t="str">
        <f ca="1"/>
        <v>Corp</v>
      </c>
      <c r="F307" s="62">
        <f ca="1"/>
        <v>4</v>
      </c>
      <c r="G307" s="63">
        <f ca="1"/>
        <v>46727</v>
      </c>
      <c r="H307" s="61" t="str">
        <f ca="1"/>
        <v>BAA1</v>
      </c>
      <c r="I307" s="61" t="str">
        <f ca="1"/>
        <v>A-</v>
      </c>
      <c r="J307" s="64">
        <f ca="1"/>
        <v>98.498999999999995</v>
      </c>
      <c r="K307" s="17">
        <f ca="1"/>
        <v>4.5880000000000001</v>
      </c>
      <c r="L307" s="17" t="str">
        <f ca="1"/>
        <v>250(2)</v>
      </c>
      <c r="M307" s="83"/>
      <c r="N307" s="84" t="str">
        <f t="shared" si="67"/>
        <v/>
      </c>
      <c r="O307" s="20" t="str">
        <f t="shared" si="68"/>
        <v/>
      </c>
      <c r="P307" s="64" t="str">
        <f t="shared" si="69"/>
        <v/>
      </c>
      <c r="Q307" s="85" t="str">
        <f t="shared" ca="1" si="70"/>
        <v/>
      </c>
      <c r="R307" s="86" t="str">
        <f t="shared" si="71"/>
        <v/>
      </c>
      <c r="S307" s="86" t="str">
        <f t="shared" si="72"/>
        <v/>
      </c>
      <c r="T307" s="104" t="str">
        <f t="shared" si="73"/>
        <v/>
      </c>
      <c r="U307" s="19" t="str">
        <f>IF(AND(M307&lt;&gt;"",M307&lt;&gt;0), IF(E307 = "Muni", T307, IF(E307="Corp", T307*(1 -'Investor Input'!$C$4-'Investor Input'!$C$5), T307*(1 -'Investor Input'!$C$4))), T307)</f>
        <v/>
      </c>
      <c r="V307" s="84" t="str">
        <f t="shared" si="74"/>
        <v/>
      </c>
      <c r="W307" s="84" t="str">
        <f t="shared" si="60"/>
        <v/>
      </c>
      <c r="X307" s="21" t="str">
        <f t="shared" si="61"/>
        <v/>
      </c>
      <c r="Y307" s="60" t="str">
        <f t="shared" si="62"/>
        <v/>
      </c>
      <c r="Z307" s="60" t="str">
        <f t="shared" si="63"/>
        <v/>
      </c>
      <c r="AA307" s="64" t="str">
        <f t="shared" si="64"/>
        <v/>
      </c>
      <c r="AB307" s="64" t="str">
        <f>IF(AND(AA307&lt;&gt;"",AA307&lt;&gt;0), IF(E307="Muni", AA307, IF(E307 = "Corp", (1-'Investor Input'!$C$4-'Investor Input'!$C$5)*AA307, (1-'Investor Input'!$C$4)*AA307)), AA307)</f>
        <v/>
      </c>
      <c r="AC307" s="94" t="str">
        <f t="shared" si="65"/>
        <v/>
      </c>
      <c r="AD307" s="60" t="str">
        <f>IF(AND(M307&lt;&gt;"", M307&lt;&gt;0), N307/$N$505*MATCH(AC307,'Misc Lists'!$K$2:$K$25,0), "")</f>
        <v/>
      </c>
      <c r="AE307" s="90" t="str">
        <f t="shared" si="66"/>
        <v/>
      </c>
      <c r="AF307" s="99" t="str">
        <f>IF(AND(M307&lt;&gt;"", M307&lt;&gt;0), N307/$N$505*MATCH(AE307,'Misc Lists'!$L$2:$L$25,0), "")</f>
        <v/>
      </c>
    </row>
    <row r="308" spans="2:32" hidden="1" outlineLevel="1" x14ac:dyDescent="0.5">
      <c r="B308" s="60" t="str">
        <f ca="1"/>
        <v>26442CAY0</v>
      </c>
      <c r="C308" s="61" t="str">
        <f ca="1"/>
        <v>N/A</v>
      </c>
      <c r="D308" s="60" t="str">
        <f ca="1"/>
        <v>DUKE ENERGY         CAROLINAS LLC BOND  2.45000% 08/15/2029 CALL MAKE WHOLE</v>
      </c>
      <c r="E308" s="61" t="str">
        <f ca="1"/>
        <v>Corp</v>
      </c>
      <c r="F308" s="62">
        <f ca="1"/>
        <v>2.4500000000000002</v>
      </c>
      <c r="G308" s="63">
        <f ca="1"/>
        <v>47345</v>
      </c>
      <c r="H308" s="61" t="str">
        <f ca="1"/>
        <v>AA3</v>
      </c>
      <c r="I308" s="61" t="str">
        <f ca="1"/>
        <v>A</v>
      </c>
      <c r="J308" s="64">
        <f ca="1"/>
        <v>91.525000000000006</v>
      </c>
      <c r="K308" s="17">
        <f ca="1"/>
        <v>4.5880000000000001</v>
      </c>
      <c r="L308" s="17" t="str">
        <f ca="1"/>
        <v>500(2)</v>
      </c>
      <c r="M308" s="83"/>
      <c r="N308" s="84" t="str">
        <f t="shared" si="67"/>
        <v/>
      </c>
      <c r="O308" s="20" t="str">
        <f t="shared" si="68"/>
        <v/>
      </c>
      <c r="P308" s="64" t="str">
        <f t="shared" si="69"/>
        <v/>
      </c>
      <c r="Q308" s="85" t="str">
        <f t="shared" ca="1" si="70"/>
        <v/>
      </c>
      <c r="R308" s="86" t="str">
        <f t="shared" si="71"/>
        <v/>
      </c>
      <c r="S308" s="86" t="str">
        <f t="shared" si="72"/>
        <v/>
      </c>
      <c r="T308" s="104" t="str">
        <f t="shared" si="73"/>
        <v/>
      </c>
      <c r="U308" s="19" t="str">
        <f>IF(AND(M308&lt;&gt;"",M308&lt;&gt;0), IF(E308 = "Muni", T308, IF(E308="Corp", T308*(1 -'Investor Input'!$C$4-'Investor Input'!$C$5), T308*(1 -'Investor Input'!$C$4))), T308)</f>
        <v/>
      </c>
      <c r="V308" s="84" t="str">
        <f t="shared" si="74"/>
        <v/>
      </c>
      <c r="W308" s="84" t="str">
        <f t="shared" si="60"/>
        <v/>
      </c>
      <c r="X308" s="21" t="str">
        <f t="shared" si="61"/>
        <v/>
      </c>
      <c r="Y308" s="60" t="str">
        <f t="shared" si="62"/>
        <v/>
      </c>
      <c r="Z308" s="60" t="str">
        <f t="shared" si="63"/>
        <v/>
      </c>
      <c r="AA308" s="64" t="str">
        <f t="shared" si="64"/>
        <v/>
      </c>
      <c r="AB308" s="64" t="str">
        <f>IF(AND(AA308&lt;&gt;"",AA308&lt;&gt;0), IF(E308="Muni", AA308, IF(E308 = "Corp", (1-'Investor Input'!$C$4-'Investor Input'!$C$5)*AA308, (1-'Investor Input'!$C$4)*AA308)), AA308)</f>
        <v/>
      </c>
      <c r="AC308" s="94" t="str">
        <f t="shared" si="65"/>
        <v/>
      </c>
      <c r="AD308" s="60" t="str">
        <f>IF(AND(M308&lt;&gt;"", M308&lt;&gt;0), N308/$N$505*MATCH(AC308,'Misc Lists'!$K$2:$K$25,0), "")</f>
        <v/>
      </c>
      <c r="AE308" s="90" t="str">
        <f t="shared" si="66"/>
        <v/>
      </c>
      <c r="AF308" s="99" t="str">
        <f>IF(AND(M308&lt;&gt;"", M308&lt;&gt;0), N308/$N$505*MATCH(AE308,'Misc Lists'!$L$2:$L$25,0), "")</f>
        <v/>
      </c>
    </row>
    <row r="309" spans="2:32" hidden="1" outlineLevel="1" x14ac:dyDescent="0.5">
      <c r="B309" s="60" t="str">
        <f ca="1"/>
        <v>09247XAQ4</v>
      </c>
      <c r="C309" s="61" t="str">
        <f ca="1"/>
        <v>N/A</v>
      </c>
      <c r="D309" s="60" t="str">
        <f ca="1"/>
        <v>BLACKROCK INC       NOTE CALL MAKE WHOLE2.40000% 04/30/2030</v>
      </c>
      <c r="E309" s="61" t="str">
        <f ca="1"/>
        <v>Corp</v>
      </c>
      <c r="F309" s="62">
        <f ca="1"/>
        <v>2.4</v>
      </c>
      <c r="G309" s="63">
        <f ca="1"/>
        <v>47603</v>
      </c>
      <c r="H309" s="61" t="str">
        <f ca="1"/>
        <v>AA3</v>
      </c>
      <c r="I309" s="61" t="str">
        <f ca="1"/>
        <v>AA-</v>
      </c>
      <c r="J309" s="64">
        <f ca="1"/>
        <v>90.096999999999994</v>
      </c>
      <c r="K309" s="17">
        <f ca="1"/>
        <v>4.5869999999999997</v>
      </c>
      <c r="L309" s="17" t="str">
        <f ca="1"/>
        <v>500(2)</v>
      </c>
      <c r="M309" s="83"/>
      <c r="N309" s="84" t="str">
        <f t="shared" si="67"/>
        <v/>
      </c>
      <c r="O309" s="20" t="str">
        <f t="shared" si="68"/>
        <v/>
      </c>
      <c r="P309" s="64" t="str">
        <f t="shared" si="69"/>
        <v/>
      </c>
      <c r="Q309" s="85" t="str">
        <f t="shared" ca="1" si="70"/>
        <v/>
      </c>
      <c r="R309" s="86" t="str">
        <f t="shared" si="71"/>
        <v/>
      </c>
      <c r="S309" s="86" t="str">
        <f t="shared" si="72"/>
        <v/>
      </c>
      <c r="T309" s="104" t="str">
        <f t="shared" si="73"/>
        <v/>
      </c>
      <c r="U309" s="19" t="str">
        <f>IF(AND(M309&lt;&gt;"",M309&lt;&gt;0), IF(E309 = "Muni", T309, IF(E309="Corp", T309*(1 -'Investor Input'!$C$4-'Investor Input'!$C$5), T309*(1 -'Investor Input'!$C$4))), T309)</f>
        <v/>
      </c>
      <c r="V309" s="84" t="str">
        <f t="shared" si="74"/>
        <v/>
      </c>
      <c r="W309" s="84" t="str">
        <f t="shared" si="60"/>
        <v/>
      </c>
      <c r="X309" s="21" t="str">
        <f t="shared" si="61"/>
        <v/>
      </c>
      <c r="Y309" s="60" t="str">
        <f t="shared" si="62"/>
        <v/>
      </c>
      <c r="Z309" s="60" t="str">
        <f t="shared" si="63"/>
        <v/>
      </c>
      <c r="AA309" s="64" t="str">
        <f t="shared" si="64"/>
        <v/>
      </c>
      <c r="AB309" s="64" t="str">
        <f>IF(AND(AA309&lt;&gt;"",AA309&lt;&gt;0), IF(E309="Muni", AA309, IF(E309 = "Corp", (1-'Investor Input'!$C$4-'Investor Input'!$C$5)*AA309, (1-'Investor Input'!$C$4)*AA309)), AA309)</f>
        <v/>
      </c>
      <c r="AC309" s="94" t="str">
        <f t="shared" si="65"/>
        <v/>
      </c>
      <c r="AD309" s="60" t="str">
        <f>IF(AND(M309&lt;&gt;"", M309&lt;&gt;0), N309/$N$505*MATCH(AC309,'Misc Lists'!$K$2:$K$25,0), "")</f>
        <v/>
      </c>
      <c r="AE309" s="90" t="str">
        <f t="shared" si="66"/>
        <v/>
      </c>
      <c r="AF309" s="99" t="str">
        <f>IF(AND(M309&lt;&gt;"", M309&lt;&gt;0), N309/$N$505*MATCH(AE309,'Misc Lists'!$L$2:$L$25,0), "")</f>
        <v/>
      </c>
    </row>
    <row r="310" spans="2:32" hidden="1" outlineLevel="1" x14ac:dyDescent="0.5">
      <c r="B310" s="60" t="str">
        <f ca="1"/>
        <v>48128GT75</v>
      </c>
      <c r="C310" s="61" t="str">
        <f ca="1"/>
        <v>N/A</v>
      </c>
      <c r="D310" s="60" t="str">
        <f ca="1"/>
        <v>JPMORGAN CHASE &amp;CO  SER E MTN           2.00000% 12/09/2027</v>
      </c>
      <c r="E310" s="61" t="str">
        <f ca="1"/>
        <v>Corp</v>
      </c>
      <c r="F310" s="62">
        <f ca="1"/>
        <v>2</v>
      </c>
      <c r="G310" s="63">
        <f ca="1"/>
        <v>46730</v>
      </c>
      <c r="H310" s="61" t="str">
        <f ca="1"/>
        <v>A1</v>
      </c>
      <c r="I310" s="61" t="str">
        <f ca="1"/>
        <v>A</v>
      </c>
      <c r="J310" s="64">
        <f ca="1"/>
        <v>93.406000000000006</v>
      </c>
      <c r="K310" s="17">
        <f ca="1"/>
        <v>4.5860000000000003</v>
      </c>
      <c r="L310" s="17" t="str">
        <f ca="1"/>
        <v>5(5)</v>
      </c>
      <c r="M310" s="83"/>
      <c r="N310" s="84" t="str">
        <f t="shared" si="67"/>
        <v/>
      </c>
      <c r="O310" s="20" t="str">
        <f t="shared" si="68"/>
        <v/>
      </c>
      <c r="P310" s="64" t="str">
        <f t="shared" si="69"/>
        <v/>
      </c>
      <c r="Q310" s="85" t="str">
        <f t="shared" ca="1" si="70"/>
        <v/>
      </c>
      <c r="R310" s="86" t="str">
        <f t="shared" si="71"/>
        <v/>
      </c>
      <c r="S310" s="86" t="str">
        <f t="shared" si="72"/>
        <v/>
      </c>
      <c r="T310" s="104" t="str">
        <f t="shared" si="73"/>
        <v/>
      </c>
      <c r="U310" s="19" t="str">
        <f>IF(AND(M310&lt;&gt;"",M310&lt;&gt;0), IF(E310 = "Muni", T310, IF(E310="Corp", T310*(1 -'Investor Input'!$C$4-'Investor Input'!$C$5), T310*(1 -'Investor Input'!$C$4))), T310)</f>
        <v/>
      </c>
      <c r="V310" s="84" t="str">
        <f t="shared" si="74"/>
        <v/>
      </c>
      <c r="W310" s="84" t="str">
        <f t="shared" si="60"/>
        <v/>
      </c>
      <c r="X310" s="21" t="str">
        <f t="shared" si="61"/>
        <v/>
      </c>
      <c r="Y310" s="60" t="str">
        <f t="shared" si="62"/>
        <v/>
      </c>
      <c r="Z310" s="60" t="str">
        <f t="shared" si="63"/>
        <v/>
      </c>
      <c r="AA310" s="64" t="str">
        <f t="shared" si="64"/>
        <v/>
      </c>
      <c r="AB310" s="64" t="str">
        <f>IF(AND(AA310&lt;&gt;"",AA310&lt;&gt;0), IF(E310="Muni", AA310, IF(E310 = "Corp", (1-'Investor Input'!$C$4-'Investor Input'!$C$5)*AA310, (1-'Investor Input'!$C$4)*AA310)), AA310)</f>
        <v/>
      </c>
      <c r="AC310" s="94" t="str">
        <f t="shared" si="65"/>
        <v/>
      </c>
      <c r="AD310" s="60" t="str">
        <f>IF(AND(M310&lt;&gt;"", M310&lt;&gt;0), N310/$N$505*MATCH(AC310,'Misc Lists'!$K$2:$K$25,0), "")</f>
        <v/>
      </c>
      <c r="AE310" s="90" t="str">
        <f t="shared" si="66"/>
        <v/>
      </c>
      <c r="AF310" s="99" t="str">
        <f>IF(AND(M310&lt;&gt;"", M310&lt;&gt;0), N310/$N$505*MATCH(AE310,'Misc Lists'!$L$2:$L$25,0), "")</f>
        <v/>
      </c>
    </row>
    <row r="311" spans="2:32" hidden="1" outlineLevel="1" x14ac:dyDescent="0.5">
      <c r="B311" s="60" t="str">
        <f ca="1"/>
        <v>10373QAC4</v>
      </c>
      <c r="C311" s="61" t="str">
        <f ca="1"/>
        <v>N/A</v>
      </c>
      <c r="D311" s="60" t="str">
        <f ca="1"/>
        <v>BP CAP MKTS AMER INCNOTE CALL MAKE WHOLE3.93700% 09/21/2028</v>
      </c>
      <c r="E311" s="61" t="str">
        <f ca="1"/>
        <v>Corp</v>
      </c>
      <c r="F311" s="62">
        <f ca="1"/>
        <v>3.9369999999999998</v>
      </c>
      <c r="G311" s="63">
        <f ca="1"/>
        <v>47017</v>
      </c>
      <c r="H311" s="61" t="str">
        <f ca="1"/>
        <v>A1</v>
      </c>
      <c r="I311" s="61" t="str">
        <f ca="1"/>
        <v>A-</v>
      </c>
      <c r="J311" s="64">
        <f ca="1"/>
        <v>97.908000000000001</v>
      </c>
      <c r="K311" s="17">
        <f ca="1"/>
        <v>4.5860000000000003</v>
      </c>
      <c r="L311" s="17" t="str">
        <f ca="1"/>
        <v>200(1)</v>
      </c>
      <c r="M311" s="83"/>
      <c r="N311" s="84" t="str">
        <f t="shared" si="67"/>
        <v/>
      </c>
      <c r="O311" s="20" t="str">
        <f t="shared" si="68"/>
        <v/>
      </c>
      <c r="P311" s="64" t="str">
        <f t="shared" si="69"/>
        <v/>
      </c>
      <c r="Q311" s="85" t="str">
        <f t="shared" ca="1" si="70"/>
        <v/>
      </c>
      <c r="R311" s="86" t="str">
        <f t="shared" si="71"/>
        <v/>
      </c>
      <c r="S311" s="86" t="str">
        <f t="shared" si="72"/>
        <v/>
      </c>
      <c r="T311" s="104" t="str">
        <f t="shared" si="73"/>
        <v/>
      </c>
      <c r="U311" s="19" t="str">
        <f>IF(AND(M311&lt;&gt;"",M311&lt;&gt;0), IF(E311 = "Muni", T311, IF(E311="Corp", T311*(1 -'Investor Input'!$C$4-'Investor Input'!$C$5), T311*(1 -'Investor Input'!$C$4))), T311)</f>
        <v/>
      </c>
      <c r="V311" s="84" t="str">
        <f t="shared" si="74"/>
        <v/>
      </c>
      <c r="W311" s="84" t="str">
        <f t="shared" si="60"/>
        <v/>
      </c>
      <c r="X311" s="21" t="str">
        <f t="shared" si="61"/>
        <v/>
      </c>
      <c r="Y311" s="60" t="str">
        <f t="shared" si="62"/>
        <v/>
      </c>
      <c r="Z311" s="60" t="str">
        <f t="shared" si="63"/>
        <v/>
      </c>
      <c r="AA311" s="64" t="str">
        <f t="shared" si="64"/>
        <v/>
      </c>
      <c r="AB311" s="64" t="str">
        <f>IF(AND(AA311&lt;&gt;"",AA311&lt;&gt;0), IF(E311="Muni", AA311, IF(E311 = "Corp", (1-'Investor Input'!$C$4-'Investor Input'!$C$5)*AA311, (1-'Investor Input'!$C$4)*AA311)), AA311)</f>
        <v/>
      </c>
      <c r="AC311" s="94" t="str">
        <f t="shared" si="65"/>
        <v/>
      </c>
      <c r="AD311" s="60" t="str">
        <f>IF(AND(M311&lt;&gt;"", M311&lt;&gt;0), N311/$N$505*MATCH(AC311,'Misc Lists'!$K$2:$K$25,0), "")</f>
        <v/>
      </c>
      <c r="AE311" s="90" t="str">
        <f t="shared" si="66"/>
        <v/>
      </c>
      <c r="AF311" s="99" t="str">
        <f>IF(AND(M311&lt;&gt;"", M311&lt;&gt;0), N311/$N$505*MATCH(AE311,'Misc Lists'!$L$2:$L$25,0), "")</f>
        <v/>
      </c>
    </row>
    <row r="312" spans="2:32" hidden="1" outlineLevel="1" x14ac:dyDescent="0.5">
      <c r="B312" s="60" t="str">
        <f ca="1"/>
        <v>10373QAE0</v>
      </c>
      <c r="C312" s="61" t="str">
        <f ca="1"/>
        <v>N/A</v>
      </c>
      <c r="D312" s="60" t="str">
        <f ca="1"/>
        <v>BP CAP MKTS AMER INCNOTE CALL MAKE WHOLE4.23400% 11/06/2028</v>
      </c>
      <c r="E312" s="61" t="str">
        <f ca="1"/>
        <v>Corp</v>
      </c>
      <c r="F312" s="62">
        <f ca="1"/>
        <v>4.234</v>
      </c>
      <c r="G312" s="63">
        <f ca="1"/>
        <v>47063</v>
      </c>
      <c r="H312" s="61" t="str">
        <f ca="1"/>
        <v>A1</v>
      </c>
      <c r="I312" s="61" t="str">
        <f ca="1"/>
        <v>A-</v>
      </c>
      <c r="J312" s="64">
        <f ca="1"/>
        <v>98.823999999999998</v>
      </c>
      <c r="K312" s="17">
        <f ca="1"/>
        <v>4.5860000000000003</v>
      </c>
      <c r="L312" s="17" t="str">
        <f ca="1"/>
        <v>500(1)</v>
      </c>
      <c r="M312" s="83"/>
      <c r="N312" s="84" t="str">
        <f t="shared" si="67"/>
        <v/>
      </c>
      <c r="O312" s="20" t="str">
        <f t="shared" si="68"/>
        <v/>
      </c>
      <c r="P312" s="64" t="str">
        <f t="shared" si="69"/>
        <v/>
      </c>
      <c r="Q312" s="85" t="str">
        <f t="shared" ca="1" si="70"/>
        <v/>
      </c>
      <c r="R312" s="86" t="str">
        <f t="shared" si="71"/>
        <v/>
      </c>
      <c r="S312" s="86" t="str">
        <f t="shared" si="72"/>
        <v/>
      </c>
      <c r="T312" s="104" t="str">
        <f t="shared" si="73"/>
        <v/>
      </c>
      <c r="U312" s="19" t="str">
        <f>IF(AND(M312&lt;&gt;"",M312&lt;&gt;0), IF(E312 = "Muni", T312, IF(E312="Corp", T312*(1 -'Investor Input'!$C$4-'Investor Input'!$C$5), T312*(1 -'Investor Input'!$C$4))), T312)</f>
        <v/>
      </c>
      <c r="V312" s="84" t="str">
        <f t="shared" si="74"/>
        <v/>
      </c>
      <c r="W312" s="84" t="str">
        <f t="shared" si="60"/>
        <v/>
      </c>
      <c r="X312" s="21" t="str">
        <f t="shared" si="61"/>
        <v/>
      </c>
      <c r="Y312" s="60" t="str">
        <f t="shared" si="62"/>
        <v/>
      </c>
      <c r="Z312" s="60" t="str">
        <f t="shared" si="63"/>
        <v/>
      </c>
      <c r="AA312" s="64" t="str">
        <f t="shared" si="64"/>
        <v/>
      </c>
      <c r="AB312" s="64" t="str">
        <f>IF(AND(AA312&lt;&gt;"",AA312&lt;&gt;0), IF(E312="Muni", AA312, IF(E312 = "Corp", (1-'Investor Input'!$C$4-'Investor Input'!$C$5)*AA312, (1-'Investor Input'!$C$4)*AA312)), AA312)</f>
        <v/>
      </c>
      <c r="AC312" s="94" t="str">
        <f t="shared" si="65"/>
        <v/>
      </c>
      <c r="AD312" s="60" t="str">
        <f>IF(AND(M312&lt;&gt;"", M312&lt;&gt;0), N312/$N$505*MATCH(AC312,'Misc Lists'!$K$2:$K$25,0), "")</f>
        <v/>
      </c>
      <c r="AE312" s="90" t="str">
        <f t="shared" si="66"/>
        <v/>
      </c>
      <c r="AF312" s="99" t="str">
        <f>IF(AND(M312&lt;&gt;"", M312&lt;&gt;0), N312/$N$505*MATCH(AE312,'Misc Lists'!$L$2:$L$25,0), "")</f>
        <v/>
      </c>
    </row>
    <row r="313" spans="2:32" hidden="1" outlineLevel="1" x14ac:dyDescent="0.5">
      <c r="B313" s="60" t="str">
        <f ca="1"/>
        <v>13605W6T3</v>
      </c>
      <c r="C313" s="61" t="str">
        <f ca="1"/>
        <v>N/A</v>
      </c>
      <c r="D313" s="60" t="str">
        <f ca="1"/>
        <v>CANADIAN IMPERIAL BKCOMM MTN            1.34000% 09/22/2026</v>
      </c>
      <c r="E313" s="61" t="str">
        <f ca="1"/>
        <v>Corp</v>
      </c>
      <c r="F313" s="62">
        <f ca="1"/>
        <v>1.34</v>
      </c>
      <c r="G313" s="63">
        <f ca="1"/>
        <v>46287</v>
      </c>
      <c r="H313" s="61" t="str">
        <f ca="1"/>
        <v>A2</v>
      </c>
      <c r="I313" s="61" t="str">
        <f ca="1"/>
        <v>A-</v>
      </c>
      <c r="J313" s="64">
        <f ca="1"/>
        <v>95.265000000000001</v>
      </c>
      <c r="K313" s="17">
        <f ca="1"/>
        <v>4.5839999999999996</v>
      </c>
      <c r="L313" s="17" t="str">
        <f ca="1"/>
        <v>15(15)</v>
      </c>
      <c r="M313" s="83"/>
      <c r="N313" s="84" t="str">
        <f t="shared" si="67"/>
        <v/>
      </c>
      <c r="O313" s="20" t="str">
        <f t="shared" si="68"/>
        <v/>
      </c>
      <c r="P313" s="64" t="str">
        <f t="shared" si="69"/>
        <v/>
      </c>
      <c r="Q313" s="85" t="str">
        <f t="shared" ca="1" si="70"/>
        <v/>
      </c>
      <c r="R313" s="86" t="str">
        <f t="shared" si="71"/>
        <v/>
      </c>
      <c r="S313" s="86" t="str">
        <f t="shared" si="72"/>
        <v/>
      </c>
      <c r="T313" s="104" t="str">
        <f t="shared" si="73"/>
        <v/>
      </c>
      <c r="U313" s="19" t="str">
        <f>IF(AND(M313&lt;&gt;"",M313&lt;&gt;0), IF(E313 = "Muni", T313, IF(E313="Corp", T313*(1 -'Investor Input'!$C$4-'Investor Input'!$C$5), T313*(1 -'Investor Input'!$C$4))), T313)</f>
        <v/>
      </c>
      <c r="V313" s="84" t="str">
        <f t="shared" si="74"/>
        <v/>
      </c>
      <c r="W313" s="84" t="str">
        <f t="shared" si="60"/>
        <v/>
      </c>
      <c r="X313" s="21" t="str">
        <f t="shared" si="61"/>
        <v/>
      </c>
      <c r="Y313" s="60" t="str">
        <f t="shared" si="62"/>
        <v/>
      </c>
      <c r="Z313" s="60" t="str">
        <f t="shared" si="63"/>
        <v/>
      </c>
      <c r="AA313" s="64" t="str">
        <f t="shared" si="64"/>
        <v/>
      </c>
      <c r="AB313" s="64" t="str">
        <f>IF(AND(AA313&lt;&gt;"",AA313&lt;&gt;0), IF(E313="Muni", AA313, IF(E313 = "Corp", (1-'Investor Input'!$C$4-'Investor Input'!$C$5)*AA313, (1-'Investor Input'!$C$4)*AA313)), AA313)</f>
        <v/>
      </c>
      <c r="AC313" s="94" t="str">
        <f t="shared" si="65"/>
        <v/>
      </c>
      <c r="AD313" s="60" t="str">
        <f>IF(AND(M313&lt;&gt;"", M313&lt;&gt;0), N313/$N$505*MATCH(AC313,'Misc Lists'!$K$2:$K$25,0), "")</f>
        <v/>
      </c>
      <c r="AE313" s="90" t="str">
        <f t="shared" si="66"/>
        <v/>
      </c>
      <c r="AF313" s="99" t="str">
        <f>IF(AND(M313&lt;&gt;"", M313&lt;&gt;0), N313/$N$505*MATCH(AE313,'Misc Lists'!$L$2:$L$25,0), "")</f>
        <v/>
      </c>
    </row>
    <row r="314" spans="2:32" hidden="1" outlineLevel="1" x14ac:dyDescent="0.5">
      <c r="B314" s="60" t="str">
        <f ca="1"/>
        <v>826418BM6</v>
      </c>
      <c r="C314" s="61" t="str">
        <f ca="1"/>
        <v>N/A</v>
      </c>
      <c r="D314" s="60" t="str">
        <f ca="1"/>
        <v>SIERRA PAC PWR CO   SER V NOTE          2.60000% 05/01/2026 CALL MAKE WHOLE</v>
      </c>
      <c r="E314" s="61" t="str">
        <f ca="1"/>
        <v>Corp</v>
      </c>
      <c r="F314" s="62">
        <f ca="1"/>
        <v>2.6</v>
      </c>
      <c r="G314" s="63">
        <f ca="1"/>
        <v>46143</v>
      </c>
      <c r="H314" s="61" t="str">
        <f ca="1"/>
        <v>A3</v>
      </c>
      <c r="I314" s="61" t="str">
        <f ca="1"/>
        <v>A</v>
      </c>
      <c r="J314" s="64">
        <f ca="1"/>
        <v>97.825999999999993</v>
      </c>
      <c r="K314" s="17">
        <f ca="1"/>
        <v>4.5830000000000002</v>
      </c>
      <c r="L314" s="17" t="str">
        <f ca="1"/>
        <v>1,294(2)</v>
      </c>
      <c r="M314" s="83"/>
      <c r="N314" s="84" t="str">
        <f t="shared" si="67"/>
        <v/>
      </c>
      <c r="O314" s="20" t="str">
        <f t="shared" si="68"/>
        <v/>
      </c>
      <c r="P314" s="64" t="str">
        <f t="shared" si="69"/>
        <v/>
      </c>
      <c r="Q314" s="85" t="str">
        <f t="shared" ca="1" si="70"/>
        <v/>
      </c>
      <c r="R314" s="86" t="str">
        <f t="shared" si="71"/>
        <v/>
      </c>
      <c r="S314" s="86" t="str">
        <f t="shared" si="72"/>
        <v/>
      </c>
      <c r="T314" s="104" t="str">
        <f t="shared" si="73"/>
        <v/>
      </c>
      <c r="U314" s="19" t="str">
        <f>IF(AND(M314&lt;&gt;"",M314&lt;&gt;0), IF(E314 = "Muni", T314, IF(E314="Corp", T314*(1 -'Investor Input'!$C$4-'Investor Input'!$C$5), T314*(1 -'Investor Input'!$C$4))), T314)</f>
        <v/>
      </c>
      <c r="V314" s="84" t="str">
        <f t="shared" si="74"/>
        <v/>
      </c>
      <c r="W314" s="84" t="str">
        <f t="shared" si="60"/>
        <v/>
      </c>
      <c r="X314" s="21" t="str">
        <f t="shared" si="61"/>
        <v/>
      </c>
      <c r="Y314" s="60" t="str">
        <f t="shared" si="62"/>
        <v/>
      </c>
      <c r="Z314" s="60" t="str">
        <f t="shared" si="63"/>
        <v/>
      </c>
      <c r="AA314" s="64" t="str">
        <f t="shared" si="64"/>
        <v/>
      </c>
      <c r="AB314" s="64" t="str">
        <f>IF(AND(AA314&lt;&gt;"",AA314&lt;&gt;0), IF(E314="Muni", AA314, IF(E314 = "Corp", (1-'Investor Input'!$C$4-'Investor Input'!$C$5)*AA314, (1-'Investor Input'!$C$4)*AA314)), AA314)</f>
        <v/>
      </c>
      <c r="AC314" s="94" t="str">
        <f t="shared" si="65"/>
        <v/>
      </c>
      <c r="AD314" s="60" t="str">
        <f>IF(AND(M314&lt;&gt;"", M314&lt;&gt;0), N314/$N$505*MATCH(AC314,'Misc Lists'!$K$2:$K$25,0), "")</f>
        <v/>
      </c>
      <c r="AE314" s="90" t="str">
        <f t="shared" si="66"/>
        <v/>
      </c>
      <c r="AF314" s="99" t="str">
        <f>IF(AND(M314&lt;&gt;"", M314&lt;&gt;0), N314/$N$505*MATCH(AE314,'Misc Lists'!$L$2:$L$25,0), "")</f>
        <v/>
      </c>
    </row>
    <row r="315" spans="2:32" hidden="1" outlineLevel="1" x14ac:dyDescent="0.5">
      <c r="B315" s="60" t="str">
        <f ca="1"/>
        <v>89115A3E0</v>
      </c>
      <c r="C315" s="61" t="str">
        <f ca="1"/>
        <v>N/A</v>
      </c>
      <c r="D315" s="60" t="str">
        <f ca="1"/>
        <v>TORONTO DOMINION BK ONT SER C MTN       4.86100% 01/31/2028 CALL MAKE WHOLE     ISIN #US89115A3E02</v>
      </c>
      <c r="E315" s="61" t="str">
        <f ca="1"/>
        <v>Corp</v>
      </c>
      <c r="F315" s="62">
        <f ca="1"/>
        <v>4.8609999999999998</v>
      </c>
      <c r="G315" s="63">
        <f ca="1"/>
        <v>46783</v>
      </c>
      <c r="H315" s="61" t="str">
        <f ca="1"/>
        <v>A2</v>
      </c>
      <c r="I315" s="61" t="str">
        <f ca="1"/>
        <v>A-</v>
      </c>
      <c r="J315" s="64">
        <f ca="1"/>
        <v>100.741</v>
      </c>
      <c r="K315" s="17">
        <f ca="1"/>
        <v>4.5819999999999999</v>
      </c>
      <c r="L315" s="17" t="str">
        <f ca="1"/>
        <v>500(2)</v>
      </c>
      <c r="M315" s="83"/>
      <c r="N315" s="84" t="str">
        <f t="shared" si="67"/>
        <v/>
      </c>
      <c r="O315" s="20" t="str">
        <f t="shared" si="68"/>
        <v/>
      </c>
      <c r="P315" s="64" t="str">
        <f t="shared" si="69"/>
        <v/>
      </c>
      <c r="Q315" s="85" t="str">
        <f t="shared" ca="1" si="70"/>
        <v/>
      </c>
      <c r="R315" s="86" t="str">
        <f t="shared" si="71"/>
        <v/>
      </c>
      <c r="S315" s="86" t="str">
        <f t="shared" si="72"/>
        <v/>
      </c>
      <c r="T315" s="104" t="str">
        <f t="shared" si="73"/>
        <v/>
      </c>
      <c r="U315" s="19" t="str">
        <f>IF(AND(M315&lt;&gt;"",M315&lt;&gt;0), IF(E315 = "Muni", T315, IF(E315="Corp", T315*(1 -'Investor Input'!$C$4-'Investor Input'!$C$5), T315*(1 -'Investor Input'!$C$4))), T315)</f>
        <v/>
      </c>
      <c r="V315" s="84" t="str">
        <f t="shared" si="74"/>
        <v/>
      </c>
      <c r="W315" s="84" t="str">
        <f t="shared" si="60"/>
        <v/>
      </c>
      <c r="X315" s="21" t="str">
        <f t="shared" si="61"/>
        <v/>
      </c>
      <c r="Y315" s="60" t="str">
        <f t="shared" si="62"/>
        <v/>
      </c>
      <c r="Z315" s="60" t="str">
        <f t="shared" si="63"/>
        <v/>
      </c>
      <c r="AA315" s="64" t="str">
        <f t="shared" si="64"/>
        <v/>
      </c>
      <c r="AB315" s="64" t="str">
        <f>IF(AND(AA315&lt;&gt;"",AA315&lt;&gt;0), IF(E315="Muni", AA315, IF(E315 = "Corp", (1-'Investor Input'!$C$4-'Investor Input'!$C$5)*AA315, (1-'Investor Input'!$C$4)*AA315)), AA315)</f>
        <v/>
      </c>
      <c r="AC315" s="94" t="str">
        <f t="shared" si="65"/>
        <v/>
      </c>
      <c r="AD315" s="60" t="str">
        <f>IF(AND(M315&lt;&gt;"", M315&lt;&gt;0), N315/$N$505*MATCH(AC315,'Misc Lists'!$K$2:$K$25,0), "")</f>
        <v/>
      </c>
      <c r="AE315" s="90" t="str">
        <f t="shared" si="66"/>
        <v/>
      </c>
      <c r="AF315" s="99" t="str">
        <f>IF(AND(M315&lt;&gt;"", M315&lt;&gt;0), N315/$N$505*MATCH(AE315,'Misc Lists'!$L$2:$L$25,0), "")</f>
        <v/>
      </c>
    </row>
    <row r="316" spans="2:32" hidden="1" outlineLevel="1" x14ac:dyDescent="0.5">
      <c r="B316" s="60" t="str">
        <f ca="1"/>
        <v>02665WFX4</v>
      </c>
      <c r="C316" s="61" t="str">
        <f ca="1"/>
        <v>N/A</v>
      </c>
      <c r="D316" s="60" t="str">
        <f ca="1"/>
        <v>AMERICAN HONDA FIN  CORP  SER A MTN     4.55000% 03/03/2028 CALL MAKE WHOLE</v>
      </c>
      <c r="E316" s="61" t="str">
        <f ca="1"/>
        <v>Corp</v>
      </c>
      <c r="F316" s="62">
        <f ca="1"/>
        <v>4.55</v>
      </c>
      <c r="G316" s="63">
        <f ca="1"/>
        <v>46815</v>
      </c>
      <c r="H316" s="61" t="str">
        <f ca="1"/>
        <v>A3</v>
      </c>
      <c r="I316" s="61" t="str">
        <f ca="1"/>
        <v>A-</v>
      </c>
      <c r="J316" s="64">
        <f ca="1"/>
        <v>99.915999999999997</v>
      </c>
      <c r="K316" s="17">
        <f ca="1"/>
        <v>4.58</v>
      </c>
      <c r="L316" s="17" t="str">
        <f ca="1"/>
        <v>500(2)</v>
      </c>
      <c r="M316" s="83"/>
      <c r="N316" s="84" t="str">
        <f t="shared" si="67"/>
        <v/>
      </c>
      <c r="O316" s="20" t="str">
        <f t="shared" si="68"/>
        <v/>
      </c>
      <c r="P316" s="64" t="str">
        <f t="shared" si="69"/>
        <v/>
      </c>
      <c r="Q316" s="85" t="str">
        <f t="shared" ca="1" si="70"/>
        <v/>
      </c>
      <c r="R316" s="86" t="str">
        <f t="shared" si="71"/>
        <v/>
      </c>
      <c r="S316" s="86" t="str">
        <f t="shared" si="72"/>
        <v/>
      </c>
      <c r="T316" s="104" t="str">
        <f t="shared" si="73"/>
        <v/>
      </c>
      <c r="U316" s="19" t="str">
        <f>IF(AND(M316&lt;&gt;"",M316&lt;&gt;0), IF(E316 = "Muni", T316, IF(E316="Corp", T316*(1 -'Investor Input'!$C$4-'Investor Input'!$C$5), T316*(1 -'Investor Input'!$C$4))), T316)</f>
        <v/>
      </c>
      <c r="V316" s="84" t="str">
        <f t="shared" si="74"/>
        <v/>
      </c>
      <c r="W316" s="84" t="str">
        <f t="shared" si="60"/>
        <v/>
      </c>
      <c r="X316" s="21" t="str">
        <f t="shared" si="61"/>
        <v/>
      </c>
      <c r="Y316" s="60" t="str">
        <f t="shared" si="62"/>
        <v/>
      </c>
      <c r="Z316" s="60" t="str">
        <f t="shared" si="63"/>
        <v/>
      </c>
      <c r="AA316" s="64" t="str">
        <f t="shared" si="64"/>
        <v/>
      </c>
      <c r="AB316" s="64" t="str">
        <f>IF(AND(AA316&lt;&gt;"",AA316&lt;&gt;0), IF(E316="Muni", AA316, IF(E316 = "Corp", (1-'Investor Input'!$C$4-'Investor Input'!$C$5)*AA316, (1-'Investor Input'!$C$4)*AA316)), AA316)</f>
        <v/>
      </c>
      <c r="AC316" s="94" t="str">
        <f t="shared" si="65"/>
        <v/>
      </c>
      <c r="AD316" s="60" t="str">
        <f>IF(AND(M316&lt;&gt;"", M316&lt;&gt;0), N316/$N$505*MATCH(AC316,'Misc Lists'!$K$2:$K$25,0), "")</f>
        <v/>
      </c>
      <c r="AE316" s="90" t="str">
        <f t="shared" si="66"/>
        <v/>
      </c>
      <c r="AF316" s="99" t="str">
        <f>IF(AND(M316&lt;&gt;"", M316&lt;&gt;0), N316/$N$505*MATCH(AE316,'Misc Lists'!$L$2:$L$25,0), "")</f>
        <v/>
      </c>
    </row>
    <row r="317" spans="2:32" hidden="1" outlineLevel="1" x14ac:dyDescent="0.5">
      <c r="B317" s="60" t="str">
        <f ca="1"/>
        <v>45866FBB9</v>
      </c>
      <c r="C317" s="61" t="str">
        <f ca="1"/>
        <v>N/A</v>
      </c>
      <c r="D317" s="60" t="str">
        <f ca="1"/>
        <v>INTERCONTINENTAL    EXCHANGE INC SER B  3.62500% 09/01/2028 NOTE CALL MAKE WHOLE</v>
      </c>
      <c r="E317" s="61" t="str">
        <f ca="1"/>
        <v>Corp</v>
      </c>
      <c r="F317" s="62">
        <f ca="1"/>
        <v>3.625</v>
      </c>
      <c r="G317" s="63">
        <f ca="1"/>
        <v>46997</v>
      </c>
      <c r="H317" s="61" t="str">
        <f ca="1"/>
        <v>A3</v>
      </c>
      <c r="I317" s="61" t="str">
        <f ca="1"/>
        <v>A-</v>
      </c>
      <c r="J317" s="64">
        <f ca="1"/>
        <v>96.966999999999999</v>
      </c>
      <c r="K317" s="17">
        <f ca="1"/>
        <v>4.58</v>
      </c>
      <c r="L317" s="17" t="str">
        <f ca="1"/>
        <v>750(2)</v>
      </c>
      <c r="M317" s="83"/>
      <c r="N317" s="84" t="str">
        <f t="shared" si="67"/>
        <v/>
      </c>
      <c r="O317" s="20" t="str">
        <f t="shared" si="68"/>
        <v/>
      </c>
      <c r="P317" s="64" t="str">
        <f t="shared" si="69"/>
        <v/>
      </c>
      <c r="Q317" s="85" t="str">
        <f t="shared" ca="1" si="70"/>
        <v/>
      </c>
      <c r="R317" s="86" t="str">
        <f t="shared" si="71"/>
        <v/>
      </c>
      <c r="S317" s="86" t="str">
        <f t="shared" si="72"/>
        <v/>
      </c>
      <c r="T317" s="104" t="str">
        <f t="shared" si="73"/>
        <v/>
      </c>
      <c r="U317" s="19" t="str">
        <f>IF(AND(M317&lt;&gt;"",M317&lt;&gt;0), IF(E317 = "Muni", T317, IF(E317="Corp", T317*(1 -'Investor Input'!$C$4-'Investor Input'!$C$5), T317*(1 -'Investor Input'!$C$4))), T317)</f>
        <v/>
      </c>
      <c r="V317" s="84" t="str">
        <f t="shared" si="74"/>
        <v/>
      </c>
      <c r="W317" s="84" t="str">
        <f t="shared" si="60"/>
        <v/>
      </c>
      <c r="X317" s="21" t="str">
        <f t="shared" si="61"/>
        <v/>
      </c>
      <c r="Y317" s="60" t="str">
        <f t="shared" si="62"/>
        <v/>
      </c>
      <c r="Z317" s="60" t="str">
        <f t="shared" si="63"/>
        <v/>
      </c>
      <c r="AA317" s="64" t="str">
        <f t="shared" si="64"/>
        <v/>
      </c>
      <c r="AB317" s="64" t="str">
        <f>IF(AND(AA317&lt;&gt;"",AA317&lt;&gt;0), IF(E317="Muni", AA317, IF(E317 = "Corp", (1-'Investor Input'!$C$4-'Investor Input'!$C$5)*AA317, (1-'Investor Input'!$C$4)*AA317)), AA317)</f>
        <v/>
      </c>
      <c r="AC317" s="94" t="str">
        <f t="shared" si="65"/>
        <v/>
      </c>
      <c r="AD317" s="60" t="str">
        <f>IF(AND(M317&lt;&gt;"", M317&lt;&gt;0), N317/$N$505*MATCH(AC317,'Misc Lists'!$K$2:$K$25,0), "")</f>
        <v/>
      </c>
      <c r="AE317" s="90" t="str">
        <f t="shared" si="66"/>
        <v/>
      </c>
      <c r="AF317" s="99" t="str">
        <f>IF(AND(M317&lt;&gt;"", M317&lt;&gt;0), N317/$N$505*MATCH(AE317,'Misc Lists'!$L$2:$L$25,0), "")</f>
        <v/>
      </c>
    </row>
    <row r="318" spans="2:32" hidden="1" outlineLevel="1" x14ac:dyDescent="0.5">
      <c r="B318" s="60" t="str">
        <f ca="1"/>
        <v>637432NS0</v>
      </c>
      <c r="C318" s="61" t="str">
        <f ca="1"/>
        <v>N/A</v>
      </c>
      <c r="D318" s="60" t="str">
        <f ca="1"/>
        <v>NATIONAL RURAL UTILSCOOP FIN BOND       3.70000% 03/15/2029 CALL MAKE WHOLE</v>
      </c>
      <c r="E318" s="61" t="str">
        <f ca="1"/>
        <v>Corp</v>
      </c>
      <c r="F318" s="62">
        <f ca="1"/>
        <v>3.7</v>
      </c>
      <c r="G318" s="63">
        <f ca="1"/>
        <v>47192</v>
      </c>
      <c r="H318" s="61" t="str">
        <f ca="1"/>
        <v>A1</v>
      </c>
      <c r="I318" s="61" t="str">
        <f ca="1"/>
        <v>A-</v>
      </c>
      <c r="J318" s="64">
        <f ca="1"/>
        <v>96.811999999999998</v>
      </c>
      <c r="K318" s="17">
        <f ca="1"/>
        <v>4.58</v>
      </c>
      <c r="L318" s="17" t="str">
        <f ca="1"/>
        <v>250(10)</v>
      </c>
      <c r="M318" s="83"/>
      <c r="N318" s="84" t="str">
        <f t="shared" si="67"/>
        <v/>
      </c>
      <c r="O318" s="20" t="str">
        <f t="shared" si="68"/>
        <v/>
      </c>
      <c r="P318" s="64" t="str">
        <f t="shared" si="69"/>
        <v/>
      </c>
      <c r="Q318" s="85" t="str">
        <f t="shared" ca="1" si="70"/>
        <v/>
      </c>
      <c r="R318" s="86" t="str">
        <f t="shared" si="71"/>
        <v/>
      </c>
      <c r="S318" s="86" t="str">
        <f t="shared" si="72"/>
        <v/>
      </c>
      <c r="T318" s="104" t="str">
        <f t="shared" si="73"/>
        <v/>
      </c>
      <c r="U318" s="19" t="str">
        <f>IF(AND(M318&lt;&gt;"",M318&lt;&gt;0), IF(E318 = "Muni", T318, IF(E318="Corp", T318*(1 -'Investor Input'!$C$4-'Investor Input'!$C$5), T318*(1 -'Investor Input'!$C$4))), T318)</f>
        <v/>
      </c>
      <c r="V318" s="84" t="str">
        <f t="shared" si="74"/>
        <v/>
      </c>
      <c r="W318" s="84" t="str">
        <f t="shared" si="60"/>
        <v/>
      </c>
      <c r="X318" s="21" t="str">
        <f t="shared" si="61"/>
        <v/>
      </c>
      <c r="Y318" s="60" t="str">
        <f t="shared" si="62"/>
        <v/>
      </c>
      <c r="Z318" s="60" t="str">
        <f t="shared" si="63"/>
        <v/>
      </c>
      <c r="AA318" s="64" t="str">
        <f t="shared" si="64"/>
        <v/>
      </c>
      <c r="AB318" s="64" t="str">
        <f>IF(AND(AA318&lt;&gt;"",AA318&lt;&gt;0), IF(E318="Muni", AA318, IF(E318 = "Corp", (1-'Investor Input'!$C$4-'Investor Input'!$C$5)*AA318, (1-'Investor Input'!$C$4)*AA318)), AA318)</f>
        <v/>
      </c>
      <c r="AC318" s="94" t="str">
        <f t="shared" si="65"/>
        <v/>
      </c>
      <c r="AD318" s="60" t="str">
        <f>IF(AND(M318&lt;&gt;"", M318&lt;&gt;0), N318/$N$505*MATCH(AC318,'Misc Lists'!$K$2:$K$25,0), "")</f>
        <v/>
      </c>
      <c r="AE318" s="90" t="str">
        <f t="shared" si="66"/>
        <v/>
      </c>
      <c r="AF318" s="99" t="str">
        <f>IF(AND(M318&lt;&gt;"", M318&lt;&gt;0), N318/$N$505*MATCH(AE318,'Misc Lists'!$L$2:$L$25,0), "")</f>
        <v/>
      </c>
    </row>
    <row r="319" spans="2:32" hidden="1" outlineLevel="1" x14ac:dyDescent="0.5">
      <c r="B319" s="60" t="str">
        <f ca="1"/>
        <v>210518DW3</v>
      </c>
      <c r="C319" s="61" t="str">
        <f ca="1"/>
        <v>N/A</v>
      </c>
      <c r="D319" s="60" t="str">
        <f ca="1"/>
        <v>CONSUMERS ENERGY CO BOND CALL MAKE WHOLE4.60000% 05/30/2029</v>
      </c>
      <c r="E319" s="61" t="str">
        <f ca="1"/>
        <v>Corp</v>
      </c>
      <c r="F319" s="62">
        <f ca="1"/>
        <v>4.5999999999999996</v>
      </c>
      <c r="G319" s="63">
        <f ca="1"/>
        <v>47268</v>
      </c>
      <c r="H319" s="61" t="str">
        <f ca="1"/>
        <v>A1</v>
      </c>
      <c r="I319" s="61" t="str">
        <f ca="1"/>
        <v>A</v>
      </c>
      <c r="J319" s="64">
        <f ca="1"/>
        <v>100.07</v>
      </c>
      <c r="K319" s="17">
        <f ca="1"/>
        <v>4.58</v>
      </c>
      <c r="L319" s="17" t="str">
        <f ca="1"/>
        <v>100(10)</v>
      </c>
      <c r="M319" s="83"/>
      <c r="N319" s="84" t="str">
        <f t="shared" si="67"/>
        <v/>
      </c>
      <c r="O319" s="20" t="str">
        <f t="shared" si="68"/>
        <v/>
      </c>
      <c r="P319" s="64" t="str">
        <f t="shared" si="69"/>
        <v/>
      </c>
      <c r="Q319" s="85" t="str">
        <f t="shared" ca="1" si="70"/>
        <v/>
      </c>
      <c r="R319" s="86" t="str">
        <f t="shared" si="71"/>
        <v/>
      </c>
      <c r="S319" s="86" t="str">
        <f t="shared" si="72"/>
        <v/>
      </c>
      <c r="T319" s="104" t="str">
        <f t="shared" si="73"/>
        <v/>
      </c>
      <c r="U319" s="19" t="str">
        <f>IF(AND(M319&lt;&gt;"",M319&lt;&gt;0), IF(E319 = "Muni", T319, IF(E319="Corp", T319*(1 -'Investor Input'!$C$4-'Investor Input'!$C$5), T319*(1 -'Investor Input'!$C$4))), T319)</f>
        <v/>
      </c>
      <c r="V319" s="84" t="str">
        <f t="shared" si="74"/>
        <v/>
      </c>
      <c r="W319" s="84" t="str">
        <f t="shared" si="60"/>
        <v/>
      </c>
      <c r="X319" s="21" t="str">
        <f t="shared" si="61"/>
        <v/>
      </c>
      <c r="Y319" s="60" t="str">
        <f t="shared" si="62"/>
        <v/>
      </c>
      <c r="Z319" s="60" t="str">
        <f t="shared" si="63"/>
        <v/>
      </c>
      <c r="AA319" s="64" t="str">
        <f t="shared" si="64"/>
        <v/>
      </c>
      <c r="AB319" s="64" t="str">
        <f>IF(AND(AA319&lt;&gt;"",AA319&lt;&gt;0), IF(E319="Muni", AA319, IF(E319 = "Corp", (1-'Investor Input'!$C$4-'Investor Input'!$C$5)*AA319, (1-'Investor Input'!$C$4)*AA319)), AA319)</f>
        <v/>
      </c>
      <c r="AC319" s="94" t="str">
        <f t="shared" si="65"/>
        <v/>
      </c>
      <c r="AD319" s="60" t="str">
        <f>IF(AND(M319&lt;&gt;"", M319&lt;&gt;0), N319/$N$505*MATCH(AC319,'Misc Lists'!$K$2:$K$25,0), "")</f>
        <v/>
      </c>
      <c r="AE319" s="90" t="str">
        <f t="shared" si="66"/>
        <v/>
      </c>
      <c r="AF319" s="99" t="str">
        <f>IF(AND(M319&lt;&gt;"", M319&lt;&gt;0), N319/$N$505*MATCH(AE319,'Misc Lists'!$L$2:$L$25,0), "")</f>
        <v/>
      </c>
    </row>
    <row r="320" spans="2:32" hidden="1" outlineLevel="1" x14ac:dyDescent="0.5">
      <c r="B320" s="60" t="str">
        <f ca="1"/>
        <v>02665WCE9</v>
      </c>
      <c r="C320" s="61" t="str">
        <f ca="1"/>
        <v>N/A</v>
      </c>
      <c r="D320" s="60" t="str">
        <f ca="1"/>
        <v>AMERICAN HONDA FIN  CORP  SER A MTN     3.50000% 02/15/2028 CALL MAKE WHOLE</v>
      </c>
      <c r="E320" s="61" t="str">
        <f ca="1"/>
        <v>Corp</v>
      </c>
      <c r="F320" s="62">
        <f ca="1"/>
        <v>3.5</v>
      </c>
      <c r="G320" s="63">
        <f ca="1"/>
        <v>46798</v>
      </c>
      <c r="H320" s="61" t="str">
        <f ca="1"/>
        <v>A3</v>
      </c>
      <c r="I320" s="61" t="str">
        <f ca="1"/>
        <v>A-</v>
      </c>
      <c r="J320" s="64">
        <f ca="1"/>
        <v>97.075999999999993</v>
      </c>
      <c r="K320" s="17">
        <f ca="1"/>
        <v>4.5789999999999997</v>
      </c>
      <c r="L320" s="17" t="str">
        <f ca="1"/>
        <v>100(5)</v>
      </c>
      <c r="M320" s="83"/>
      <c r="N320" s="84" t="str">
        <f t="shared" si="67"/>
        <v/>
      </c>
      <c r="O320" s="20" t="str">
        <f t="shared" si="68"/>
        <v/>
      </c>
      <c r="P320" s="64" t="str">
        <f t="shared" si="69"/>
        <v/>
      </c>
      <c r="Q320" s="85" t="str">
        <f t="shared" ca="1" si="70"/>
        <v/>
      </c>
      <c r="R320" s="86" t="str">
        <f t="shared" si="71"/>
        <v/>
      </c>
      <c r="S320" s="86" t="str">
        <f t="shared" si="72"/>
        <v/>
      </c>
      <c r="T320" s="104" t="str">
        <f t="shared" si="73"/>
        <v/>
      </c>
      <c r="U320" s="19" t="str">
        <f>IF(AND(M320&lt;&gt;"",M320&lt;&gt;0), IF(E320 = "Muni", T320, IF(E320="Corp", T320*(1 -'Investor Input'!$C$4-'Investor Input'!$C$5), T320*(1 -'Investor Input'!$C$4))), T320)</f>
        <v/>
      </c>
      <c r="V320" s="84" t="str">
        <f t="shared" si="74"/>
        <v/>
      </c>
      <c r="W320" s="84" t="str">
        <f t="shared" si="60"/>
        <v/>
      </c>
      <c r="X320" s="21" t="str">
        <f t="shared" si="61"/>
        <v/>
      </c>
      <c r="Y320" s="60" t="str">
        <f t="shared" si="62"/>
        <v/>
      </c>
      <c r="Z320" s="60" t="str">
        <f t="shared" si="63"/>
        <v/>
      </c>
      <c r="AA320" s="64" t="str">
        <f t="shared" si="64"/>
        <v/>
      </c>
      <c r="AB320" s="64" t="str">
        <f>IF(AND(AA320&lt;&gt;"",AA320&lt;&gt;0), IF(E320="Muni", AA320, IF(E320 = "Corp", (1-'Investor Input'!$C$4-'Investor Input'!$C$5)*AA320, (1-'Investor Input'!$C$4)*AA320)), AA320)</f>
        <v/>
      </c>
      <c r="AC320" s="94" t="str">
        <f t="shared" si="65"/>
        <v/>
      </c>
      <c r="AD320" s="60" t="str">
        <f>IF(AND(M320&lt;&gt;"", M320&lt;&gt;0), N320/$N$505*MATCH(AC320,'Misc Lists'!$K$2:$K$25,0), "")</f>
        <v/>
      </c>
      <c r="AE320" s="90" t="str">
        <f t="shared" si="66"/>
        <v/>
      </c>
      <c r="AF320" s="99" t="str">
        <f>IF(AND(M320&lt;&gt;"", M320&lt;&gt;0), N320/$N$505*MATCH(AE320,'Misc Lists'!$L$2:$L$25,0), "")</f>
        <v/>
      </c>
    </row>
    <row r="321" spans="2:32" hidden="1" outlineLevel="1" x14ac:dyDescent="0.5">
      <c r="B321" s="60" t="str">
        <f ca="1"/>
        <v>053484AC5</v>
      </c>
      <c r="C321" s="61" t="str">
        <f ca="1"/>
        <v>N/A</v>
      </c>
      <c r="D321" s="60" t="str">
        <f ca="1"/>
        <v>AVALONBAY CMNTYS INCNOTE CALL MAKE WHOLE1.90000% 12/01/2028</v>
      </c>
      <c r="E321" s="61" t="str">
        <f ca="1"/>
        <v>Corp</v>
      </c>
      <c r="F321" s="62">
        <f ca="1"/>
        <v>1.9</v>
      </c>
      <c r="G321" s="63">
        <f ca="1"/>
        <v>47088</v>
      </c>
      <c r="H321" s="61" t="str">
        <f ca="1"/>
        <v>A3</v>
      </c>
      <c r="I321" s="61" t="str">
        <f ca="1"/>
        <v>A-</v>
      </c>
      <c r="J321" s="64">
        <f ca="1"/>
        <v>90.929000000000002</v>
      </c>
      <c r="K321" s="17">
        <f ca="1"/>
        <v>4.5789999999999997</v>
      </c>
      <c r="L321" s="17" t="str">
        <f ca="1"/>
        <v>475(2)</v>
      </c>
      <c r="M321" s="83"/>
      <c r="N321" s="84" t="str">
        <f t="shared" si="67"/>
        <v/>
      </c>
      <c r="O321" s="20" t="str">
        <f t="shared" si="68"/>
        <v/>
      </c>
      <c r="P321" s="64" t="str">
        <f t="shared" si="69"/>
        <v/>
      </c>
      <c r="Q321" s="85" t="str">
        <f t="shared" ca="1" si="70"/>
        <v/>
      </c>
      <c r="R321" s="86" t="str">
        <f t="shared" si="71"/>
        <v/>
      </c>
      <c r="S321" s="86" t="str">
        <f t="shared" si="72"/>
        <v/>
      </c>
      <c r="T321" s="104" t="str">
        <f t="shared" si="73"/>
        <v/>
      </c>
      <c r="U321" s="19" t="str">
        <f>IF(AND(M321&lt;&gt;"",M321&lt;&gt;0), IF(E321 = "Muni", T321, IF(E321="Corp", T321*(1 -'Investor Input'!$C$4-'Investor Input'!$C$5), T321*(1 -'Investor Input'!$C$4))), T321)</f>
        <v/>
      </c>
      <c r="V321" s="84" t="str">
        <f t="shared" si="74"/>
        <v/>
      </c>
      <c r="W321" s="84" t="str">
        <f t="shared" si="60"/>
        <v/>
      </c>
      <c r="X321" s="21" t="str">
        <f t="shared" si="61"/>
        <v/>
      </c>
      <c r="Y321" s="60" t="str">
        <f t="shared" si="62"/>
        <v/>
      </c>
      <c r="Z321" s="60" t="str">
        <f t="shared" si="63"/>
        <v/>
      </c>
      <c r="AA321" s="64" t="str">
        <f t="shared" si="64"/>
        <v/>
      </c>
      <c r="AB321" s="64" t="str">
        <f>IF(AND(AA321&lt;&gt;"",AA321&lt;&gt;0), IF(E321="Muni", AA321, IF(E321 = "Corp", (1-'Investor Input'!$C$4-'Investor Input'!$C$5)*AA321, (1-'Investor Input'!$C$4)*AA321)), AA321)</f>
        <v/>
      </c>
      <c r="AC321" s="94" t="str">
        <f t="shared" si="65"/>
        <v/>
      </c>
      <c r="AD321" s="60" t="str">
        <f>IF(AND(M321&lt;&gt;"", M321&lt;&gt;0), N321/$N$505*MATCH(AC321,'Misc Lists'!$K$2:$K$25,0), "")</f>
        <v/>
      </c>
      <c r="AE321" s="90" t="str">
        <f t="shared" si="66"/>
        <v/>
      </c>
      <c r="AF321" s="99" t="str">
        <f>IF(AND(M321&lt;&gt;"", M321&lt;&gt;0), N321/$N$505*MATCH(AE321,'Misc Lists'!$L$2:$L$25,0), "")</f>
        <v/>
      </c>
    </row>
    <row r="322" spans="2:32" hidden="1" outlineLevel="1" x14ac:dyDescent="0.5">
      <c r="B322" s="60" t="str">
        <f ca="1"/>
        <v>14913UAQ3</v>
      </c>
      <c r="C322" s="61" t="str">
        <f ca="1"/>
        <v>N/A</v>
      </c>
      <c r="D322" s="60" t="str">
        <f ca="1"/>
        <v>CATERPILLAR FINL    SVCS S BE MTN       4.37500% 08/16/2029 CALL MAKE WHOLE</v>
      </c>
      <c r="E322" s="61" t="str">
        <f ca="1"/>
        <v>Corp</v>
      </c>
      <c r="F322" s="62">
        <f ca="1"/>
        <v>4.375</v>
      </c>
      <c r="G322" s="63">
        <f ca="1"/>
        <v>47346</v>
      </c>
      <c r="H322" s="61" t="str">
        <f ca="1"/>
        <v>A2</v>
      </c>
      <c r="I322" s="61" t="str">
        <f ca="1"/>
        <v>A</v>
      </c>
      <c r="J322" s="64">
        <f ca="1"/>
        <v>99.2</v>
      </c>
      <c r="K322" s="17">
        <f ca="1"/>
        <v>4.5759999999999996</v>
      </c>
      <c r="L322" s="17" t="str">
        <f ca="1"/>
        <v>500(9)</v>
      </c>
      <c r="M322" s="83"/>
      <c r="N322" s="84" t="str">
        <f t="shared" si="67"/>
        <v/>
      </c>
      <c r="O322" s="20" t="str">
        <f t="shared" si="68"/>
        <v/>
      </c>
      <c r="P322" s="64" t="str">
        <f t="shared" si="69"/>
        <v/>
      </c>
      <c r="Q322" s="85" t="str">
        <f t="shared" ca="1" si="70"/>
        <v/>
      </c>
      <c r="R322" s="86" t="str">
        <f t="shared" si="71"/>
        <v/>
      </c>
      <c r="S322" s="86" t="str">
        <f t="shared" si="72"/>
        <v/>
      </c>
      <c r="T322" s="104" t="str">
        <f t="shared" si="73"/>
        <v/>
      </c>
      <c r="U322" s="19" t="str">
        <f>IF(AND(M322&lt;&gt;"",M322&lt;&gt;0), IF(E322 = "Muni", T322, IF(E322="Corp", T322*(1 -'Investor Input'!$C$4-'Investor Input'!$C$5), T322*(1 -'Investor Input'!$C$4))), T322)</f>
        <v/>
      </c>
      <c r="V322" s="84" t="str">
        <f t="shared" si="74"/>
        <v/>
      </c>
      <c r="W322" s="84" t="str">
        <f t="shared" si="60"/>
        <v/>
      </c>
      <c r="X322" s="21" t="str">
        <f t="shared" si="61"/>
        <v/>
      </c>
      <c r="Y322" s="60" t="str">
        <f t="shared" si="62"/>
        <v/>
      </c>
      <c r="Z322" s="60" t="str">
        <f t="shared" si="63"/>
        <v/>
      </c>
      <c r="AA322" s="64" t="str">
        <f t="shared" si="64"/>
        <v/>
      </c>
      <c r="AB322" s="64" t="str">
        <f>IF(AND(AA322&lt;&gt;"",AA322&lt;&gt;0), IF(E322="Muni", AA322, IF(E322 = "Corp", (1-'Investor Input'!$C$4-'Investor Input'!$C$5)*AA322, (1-'Investor Input'!$C$4)*AA322)), AA322)</f>
        <v/>
      </c>
      <c r="AC322" s="94" t="str">
        <f t="shared" si="65"/>
        <v/>
      </c>
      <c r="AD322" s="60" t="str">
        <f>IF(AND(M322&lt;&gt;"", M322&lt;&gt;0), N322/$N$505*MATCH(AC322,'Misc Lists'!$K$2:$K$25,0), "")</f>
        <v/>
      </c>
      <c r="AE322" s="90" t="str">
        <f t="shared" si="66"/>
        <v/>
      </c>
      <c r="AF322" s="99" t="str">
        <f>IF(AND(M322&lt;&gt;"", M322&lt;&gt;0), N322/$N$505*MATCH(AE322,'Misc Lists'!$L$2:$L$25,0), "")</f>
        <v/>
      </c>
    </row>
    <row r="323" spans="2:32" hidden="1" outlineLevel="1" x14ac:dyDescent="0.5">
      <c r="B323" s="60" t="str">
        <f ca="1"/>
        <v>25243YBB4</v>
      </c>
      <c r="C323" s="61" t="str">
        <f ca="1"/>
        <v>N/A</v>
      </c>
      <c r="D323" s="60" t="str">
        <f ca="1"/>
        <v>DIAGEO CAP PLC      NOTE CALL MAKE WHOLE2.37500% 10/24/2029</v>
      </c>
      <c r="E323" s="61" t="str">
        <f ca="1"/>
        <v>Corp</v>
      </c>
      <c r="F323" s="62">
        <f ca="1"/>
        <v>2.375</v>
      </c>
      <c r="G323" s="63">
        <f ca="1"/>
        <v>47415</v>
      </c>
      <c r="H323" s="61" t="str">
        <f ca="1"/>
        <v>A3</v>
      </c>
      <c r="I323" s="61" t="str">
        <f ca="1"/>
        <v>A-</v>
      </c>
      <c r="J323" s="64">
        <f ca="1"/>
        <v>90.930999999999997</v>
      </c>
      <c r="K323" s="17">
        <f ca="1"/>
        <v>4.5759999999999996</v>
      </c>
      <c r="L323" s="17" t="str">
        <f ca="1"/>
        <v>200(200)</v>
      </c>
      <c r="M323" s="83"/>
      <c r="N323" s="84" t="str">
        <f t="shared" si="67"/>
        <v/>
      </c>
      <c r="O323" s="20" t="str">
        <f t="shared" si="68"/>
        <v/>
      </c>
      <c r="P323" s="64" t="str">
        <f t="shared" si="69"/>
        <v/>
      </c>
      <c r="Q323" s="85" t="str">
        <f t="shared" ca="1" si="70"/>
        <v/>
      </c>
      <c r="R323" s="86" t="str">
        <f t="shared" si="71"/>
        <v/>
      </c>
      <c r="S323" s="86" t="str">
        <f t="shared" si="72"/>
        <v/>
      </c>
      <c r="T323" s="104" t="str">
        <f t="shared" si="73"/>
        <v/>
      </c>
      <c r="U323" s="19" t="str">
        <f>IF(AND(M323&lt;&gt;"",M323&lt;&gt;0), IF(E323 = "Muni", T323, IF(E323="Corp", T323*(1 -'Investor Input'!$C$4-'Investor Input'!$C$5), T323*(1 -'Investor Input'!$C$4))), T323)</f>
        <v/>
      </c>
      <c r="V323" s="84" t="str">
        <f t="shared" si="74"/>
        <v/>
      </c>
      <c r="W323" s="84" t="str">
        <f t="shared" si="60"/>
        <v/>
      </c>
      <c r="X323" s="21" t="str">
        <f t="shared" si="61"/>
        <v/>
      </c>
      <c r="Y323" s="60" t="str">
        <f t="shared" si="62"/>
        <v/>
      </c>
      <c r="Z323" s="60" t="str">
        <f t="shared" si="63"/>
        <v/>
      </c>
      <c r="AA323" s="64" t="str">
        <f t="shared" si="64"/>
        <v/>
      </c>
      <c r="AB323" s="64" t="str">
        <f>IF(AND(AA323&lt;&gt;"",AA323&lt;&gt;0), IF(E323="Muni", AA323, IF(E323 = "Corp", (1-'Investor Input'!$C$4-'Investor Input'!$C$5)*AA323, (1-'Investor Input'!$C$4)*AA323)), AA323)</f>
        <v/>
      </c>
      <c r="AC323" s="94" t="str">
        <f t="shared" si="65"/>
        <v/>
      </c>
      <c r="AD323" s="60" t="str">
        <f>IF(AND(M323&lt;&gt;"", M323&lt;&gt;0), N323/$N$505*MATCH(AC323,'Misc Lists'!$K$2:$K$25,0), "")</f>
        <v/>
      </c>
      <c r="AE323" s="90" t="str">
        <f t="shared" si="66"/>
        <v/>
      </c>
      <c r="AF323" s="99" t="str">
        <f>IF(AND(M323&lt;&gt;"", M323&lt;&gt;0), N323/$N$505*MATCH(AE323,'Misc Lists'!$L$2:$L$25,0), "")</f>
        <v/>
      </c>
    </row>
    <row r="324" spans="2:32" hidden="1" outlineLevel="1" x14ac:dyDescent="0.5">
      <c r="B324" s="60" t="str">
        <f ca="1"/>
        <v>494368CB7</v>
      </c>
      <c r="C324" s="61" t="str">
        <f ca="1"/>
        <v>N/A</v>
      </c>
      <c r="D324" s="60" t="str">
        <f ca="1"/>
        <v>KIMBERLY-CLARK CORP NOTE CALL MAKE WHOLE3.10000% 03/26/2030</v>
      </c>
      <c r="E324" s="61" t="str">
        <f ca="1"/>
        <v>Corp</v>
      </c>
      <c r="F324" s="62">
        <f ca="1"/>
        <v>3.1</v>
      </c>
      <c r="G324" s="63">
        <f ca="1"/>
        <v>47568</v>
      </c>
      <c r="H324" s="61" t="str">
        <f ca="1"/>
        <v>A2</v>
      </c>
      <c r="I324" s="61" t="str">
        <f ca="1"/>
        <v>A</v>
      </c>
      <c r="J324" s="64">
        <f ca="1"/>
        <v>93.424999999999997</v>
      </c>
      <c r="K324" s="17">
        <f ca="1"/>
        <v>4.5759999999999996</v>
      </c>
      <c r="L324" s="17" t="str">
        <f ca="1"/>
        <v>500(2)</v>
      </c>
      <c r="M324" s="83"/>
      <c r="N324" s="84" t="str">
        <f t="shared" si="67"/>
        <v/>
      </c>
      <c r="O324" s="20" t="str">
        <f t="shared" si="68"/>
        <v/>
      </c>
      <c r="P324" s="64" t="str">
        <f t="shared" si="69"/>
        <v/>
      </c>
      <c r="Q324" s="85" t="str">
        <f t="shared" ca="1" si="70"/>
        <v/>
      </c>
      <c r="R324" s="86" t="str">
        <f t="shared" si="71"/>
        <v/>
      </c>
      <c r="S324" s="86" t="str">
        <f t="shared" si="72"/>
        <v/>
      </c>
      <c r="T324" s="104" t="str">
        <f t="shared" si="73"/>
        <v/>
      </c>
      <c r="U324" s="19" t="str">
        <f>IF(AND(M324&lt;&gt;"",M324&lt;&gt;0), IF(E324 = "Muni", T324, IF(E324="Corp", T324*(1 -'Investor Input'!$C$4-'Investor Input'!$C$5), T324*(1 -'Investor Input'!$C$4))), T324)</f>
        <v/>
      </c>
      <c r="V324" s="84" t="str">
        <f t="shared" si="74"/>
        <v/>
      </c>
      <c r="W324" s="84" t="str">
        <f t="shared" ref="W324:W387" si="75">IF(AND(M324&lt;&gt;"",M324&lt;&gt;0),V324-N324,"")</f>
        <v/>
      </c>
      <c r="X324" s="21" t="str">
        <f t="shared" ref="X324:X387" si="76">IF(AND(M324&lt;&gt;"",M324&lt;&gt;0),W324/N324,"")</f>
        <v/>
      </c>
      <c r="Y324" s="60" t="str">
        <f t="shared" ref="Y324:Y387" si="77">IF(AND(M324&lt;&gt;"", M324&lt;&gt;0), MONTH(G324), "")</f>
        <v/>
      </c>
      <c r="Z324" s="60" t="str">
        <f t="shared" ref="Z324:Z387" si="78">IF(AND(M324&lt;&gt;"", M324&lt;&gt;0), MONTH(EDATE(G324, 6)), "")</f>
        <v/>
      </c>
      <c r="AA324" s="64" t="str">
        <f t="shared" ref="AA324:AA387" si="79">IF(AND(M324&lt;&gt;"", M324&lt;&gt;0), F324*1000*M324/(100*2), "")</f>
        <v/>
      </c>
      <c r="AB324" s="64" t="str">
        <f>IF(AND(AA324&lt;&gt;"",AA324&lt;&gt;0), IF(E324="Muni", AA324, IF(E324 = "Corp", (1-'Investor Input'!$C$4-'Investor Input'!$C$5)*AA324, (1-'Investor Input'!$C$4)*AA324)), AA324)</f>
        <v/>
      </c>
      <c r="AC324" s="94" t="str">
        <f t="shared" ref="AC324:AC387" si="80">IF(AND(M324&lt;&gt;"", M324&lt;&gt;0), H324, "")</f>
        <v/>
      </c>
      <c r="AD324" s="60" t="str">
        <f>IF(AND(M324&lt;&gt;"", M324&lt;&gt;0), N324/$N$505*MATCH(AC324,'Misc Lists'!$K$2:$K$25,0), "")</f>
        <v/>
      </c>
      <c r="AE324" s="90" t="str">
        <f t="shared" ref="AE324:AE387" si="81">IF(AND(M324&lt;&gt;"", M324&lt;&gt;0), I324, "")</f>
        <v/>
      </c>
      <c r="AF324" s="99" t="str">
        <f>IF(AND(M324&lt;&gt;"", M324&lt;&gt;0), N324/$N$505*MATCH(AE324,'Misc Lists'!$L$2:$L$25,0), "")</f>
        <v/>
      </c>
    </row>
    <row r="325" spans="2:32" hidden="1" outlineLevel="1" x14ac:dyDescent="0.5">
      <c r="B325" s="60" t="str">
        <f ca="1"/>
        <v>06048WM31</v>
      </c>
      <c r="C325" s="61" t="str">
        <f ca="1"/>
        <v>N/A</v>
      </c>
      <c r="D325" s="60" t="str">
        <f ca="1"/>
        <v>BANK AMERICA CORP   SER N MTN           1.25000% 05/28/2026</v>
      </c>
      <c r="E325" s="61" t="str">
        <f ca="1"/>
        <v>Corp</v>
      </c>
      <c r="F325" s="62">
        <f ca="1"/>
        <v>1.25</v>
      </c>
      <c r="G325" s="63">
        <f ca="1"/>
        <v>46170</v>
      </c>
      <c r="H325" s="61" t="str">
        <f ca="1"/>
        <v>A1</v>
      </c>
      <c r="I325" s="61" t="str">
        <f ca="1"/>
        <v>A-</v>
      </c>
      <c r="J325" s="64">
        <f ca="1"/>
        <v>96.125</v>
      </c>
      <c r="K325" s="17">
        <f ca="1"/>
        <v>4.5739999999999998</v>
      </c>
      <c r="L325" s="17" t="str">
        <f ca="1"/>
        <v>535(15)</v>
      </c>
      <c r="M325" s="83"/>
      <c r="N325" s="84" t="str">
        <f t="shared" ref="N325:N388" si="82">IF(AND(M325&lt;&gt;"", M325&lt;&gt;0), IF(L325 &lt;&gt; "N/A", IF(M325&gt;=VALUE(LEFT(L325, FIND("(", L325)-1)), J325*10*M325, 1000*M325), 1000*M325), "")</f>
        <v/>
      </c>
      <c r="O325" s="20" t="str">
        <f t="shared" ref="O325:O388" si="83">IF(AND(M325&lt;&gt;"",M325&lt;&gt;0),N325/$N$505, "")</f>
        <v/>
      </c>
      <c r="P325" s="64" t="str">
        <f t="shared" ref="P325:P388" si="84">IF(AND(M325&lt;&gt;"", M325&lt;&gt;0), F325*1000/100, "")</f>
        <v/>
      </c>
      <c r="Q325" s="85" t="str">
        <f t="shared" ref="Q325:Q388" ca="1" si="85">IF(AND(M325&lt;&gt;"", M325&lt;&gt;0), NOW(), "")</f>
        <v/>
      </c>
      <c r="R325" s="86" t="str">
        <f t="shared" ref="R325:R388" si="86">IF(AND(M325&lt;&gt;"", M325&lt;&gt;0), ROUND((G325 - Q325)/365, 0), "")</f>
        <v/>
      </c>
      <c r="S325" s="86" t="str">
        <f t="shared" ref="S325:S388" si="87">IF(AND(M325&lt;&gt;"",M325&lt;&gt;0),MDURATION(Q325,G325,F325/100,K325/100,2), "")</f>
        <v/>
      </c>
      <c r="T325" s="104" t="str">
        <f t="shared" ref="T325:T388" si="88">IF(AND(M325&lt;&gt;"",M325&lt;&gt;0),YIELD(Q325,G325,F325/100,N325/(M325*10),100,2),"")</f>
        <v/>
      </c>
      <c r="U325" s="19" t="str">
        <f>IF(AND(M325&lt;&gt;"",M325&lt;&gt;0), IF(E325 = "Muni", T325, IF(E325="Corp", T325*(1 -'Investor Input'!$C$4-'Investor Input'!$C$5), T325*(1 -'Investor Input'!$C$4))), T325)</f>
        <v/>
      </c>
      <c r="V325" s="84" t="str">
        <f t="shared" ref="V325:V388" si="89">IF(AND(M325&lt;&gt;"",M325&lt;&gt;0),(FV(K325/(2*100),(G325-Q325)*2/365, F325*1000/(2*100), -N325/M325))*M325, "")</f>
        <v/>
      </c>
      <c r="W325" s="84" t="str">
        <f t="shared" si="75"/>
        <v/>
      </c>
      <c r="X325" s="21" t="str">
        <f t="shared" si="76"/>
        <v/>
      </c>
      <c r="Y325" s="60" t="str">
        <f t="shared" si="77"/>
        <v/>
      </c>
      <c r="Z325" s="60" t="str">
        <f t="shared" si="78"/>
        <v/>
      </c>
      <c r="AA325" s="64" t="str">
        <f t="shared" si="79"/>
        <v/>
      </c>
      <c r="AB325" s="64" t="str">
        <f>IF(AND(AA325&lt;&gt;"",AA325&lt;&gt;0), IF(E325="Muni", AA325, IF(E325 = "Corp", (1-'Investor Input'!$C$4-'Investor Input'!$C$5)*AA325, (1-'Investor Input'!$C$4)*AA325)), AA325)</f>
        <v/>
      </c>
      <c r="AC325" s="94" t="str">
        <f t="shared" si="80"/>
        <v/>
      </c>
      <c r="AD325" s="60" t="str">
        <f>IF(AND(M325&lt;&gt;"", M325&lt;&gt;0), N325/$N$505*MATCH(AC325,'Misc Lists'!$K$2:$K$25,0), "")</f>
        <v/>
      </c>
      <c r="AE325" s="90" t="str">
        <f t="shared" si="81"/>
        <v/>
      </c>
      <c r="AF325" s="99" t="str">
        <f>IF(AND(M325&lt;&gt;"", M325&lt;&gt;0), N325/$N$505*MATCH(AE325,'Misc Lists'!$L$2:$L$25,0), "")</f>
        <v/>
      </c>
    </row>
    <row r="326" spans="2:32" hidden="1" outlineLevel="1" x14ac:dyDescent="0.5">
      <c r="B326" s="60" t="str">
        <f ca="1"/>
        <v>06048WU57</v>
      </c>
      <c r="C326" s="61" t="str">
        <f ca="1"/>
        <v>N/A</v>
      </c>
      <c r="D326" s="60" t="str">
        <f ca="1"/>
        <v>BANK AMERICA CORP   SER N MTN           3.45000% 03/28/2029</v>
      </c>
      <c r="E326" s="61" t="str">
        <f ca="1"/>
        <v>Corp</v>
      </c>
      <c r="F326" s="62">
        <f ca="1"/>
        <v>3.45</v>
      </c>
      <c r="G326" s="63">
        <f ca="1"/>
        <v>47205</v>
      </c>
      <c r="H326" s="61" t="str">
        <f ca="1"/>
        <v>A1</v>
      </c>
      <c r="I326" s="61" t="str">
        <f ca="1"/>
        <v>A-</v>
      </c>
      <c r="J326" s="64">
        <f ca="1"/>
        <v>95.891000000000005</v>
      </c>
      <c r="K326" s="17">
        <f ca="1"/>
        <v>4.5739999999999998</v>
      </c>
      <c r="L326" s="17" t="str">
        <f ca="1"/>
        <v>7(7)</v>
      </c>
      <c r="M326" s="83"/>
      <c r="N326" s="84" t="str">
        <f t="shared" si="82"/>
        <v/>
      </c>
      <c r="O326" s="20" t="str">
        <f t="shared" si="83"/>
        <v/>
      </c>
      <c r="P326" s="64" t="str">
        <f t="shared" si="84"/>
        <v/>
      </c>
      <c r="Q326" s="85" t="str">
        <f t="shared" ca="1" si="85"/>
        <v/>
      </c>
      <c r="R326" s="86" t="str">
        <f t="shared" si="86"/>
        <v/>
      </c>
      <c r="S326" s="86" t="str">
        <f t="shared" si="87"/>
        <v/>
      </c>
      <c r="T326" s="104" t="str">
        <f t="shared" si="88"/>
        <v/>
      </c>
      <c r="U326" s="19" t="str">
        <f>IF(AND(M326&lt;&gt;"",M326&lt;&gt;0), IF(E326 = "Muni", T326, IF(E326="Corp", T326*(1 -'Investor Input'!$C$4-'Investor Input'!$C$5), T326*(1 -'Investor Input'!$C$4))), T326)</f>
        <v/>
      </c>
      <c r="V326" s="84" t="str">
        <f t="shared" si="89"/>
        <v/>
      </c>
      <c r="W326" s="84" t="str">
        <f t="shared" si="75"/>
        <v/>
      </c>
      <c r="X326" s="21" t="str">
        <f t="shared" si="76"/>
        <v/>
      </c>
      <c r="Y326" s="60" t="str">
        <f t="shared" si="77"/>
        <v/>
      </c>
      <c r="Z326" s="60" t="str">
        <f t="shared" si="78"/>
        <v/>
      </c>
      <c r="AA326" s="64" t="str">
        <f t="shared" si="79"/>
        <v/>
      </c>
      <c r="AB326" s="64" t="str">
        <f>IF(AND(AA326&lt;&gt;"",AA326&lt;&gt;0), IF(E326="Muni", AA326, IF(E326 = "Corp", (1-'Investor Input'!$C$4-'Investor Input'!$C$5)*AA326, (1-'Investor Input'!$C$4)*AA326)), AA326)</f>
        <v/>
      </c>
      <c r="AC326" s="94" t="str">
        <f t="shared" si="80"/>
        <v/>
      </c>
      <c r="AD326" s="60" t="str">
        <f>IF(AND(M326&lt;&gt;"", M326&lt;&gt;0), N326/$N$505*MATCH(AC326,'Misc Lists'!$K$2:$K$25,0), "")</f>
        <v/>
      </c>
      <c r="AE326" s="90" t="str">
        <f t="shared" si="81"/>
        <v/>
      </c>
      <c r="AF326" s="99" t="str">
        <f>IF(AND(M326&lt;&gt;"", M326&lt;&gt;0), N326/$N$505*MATCH(AE326,'Misc Lists'!$L$2:$L$25,0), "")</f>
        <v/>
      </c>
    </row>
    <row r="327" spans="2:32" hidden="1" outlineLevel="1" x14ac:dyDescent="0.5">
      <c r="B327" s="60" t="str">
        <f ca="1"/>
        <v>6174468C6</v>
      </c>
      <c r="C327" s="61" t="str">
        <f ca="1"/>
        <v>N/A</v>
      </c>
      <c r="D327" s="60" t="str">
        <f ca="1"/>
        <v>MORGAN STANLEY      MTN CALL MAKE WHOLE 4.00000% 07/23/2025</v>
      </c>
      <c r="E327" s="61" t="str">
        <f ca="1"/>
        <v>Corp</v>
      </c>
      <c r="F327" s="62">
        <f ca="1"/>
        <v>4</v>
      </c>
      <c r="G327" s="63">
        <f ca="1"/>
        <v>45861</v>
      </c>
      <c r="H327" s="61" t="str">
        <f ca="1"/>
        <v>A1</v>
      </c>
      <c r="I327" s="61" t="str">
        <f ca="1"/>
        <v>A-</v>
      </c>
      <c r="J327" s="64">
        <f ca="1"/>
        <v>99.786000000000001</v>
      </c>
      <c r="K327" s="17">
        <f ca="1"/>
        <v>4.5730000000000004</v>
      </c>
      <c r="L327" s="17" t="str">
        <f ca="1"/>
        <v>77(5)</v>
      </c>
      <c r="M327" s="83"/>
      <c r="N327" s="84" t="str">
        <f t="shared" si="82"/>
        <v/>
      </c>
      <c r="O327" s="20" t="str">
        <f t="shared" si="83"/>
        <v/>
      </c>
      <c r="P327" s="64" t="str">
        <f t="shared" si="84"/>
        <v/>
      </c>
      <c r="Q327" s="85" t="str">
        <f t="shared" ca="1" si="85"/>
        <v/>
      </c>
      <c r="R327" s="86" t="str">
        <f t="shared" si="86"/>
        <v/>
      </c>
      <c r="S327" s="86" t="str">
        <f t="shared" si="87"/>
        <v/>
      </c>
      <c r="T327" s="104" t="str">
        <f t="shared" si="88"/>
        <v/>
      </c>
      <c r="U327" s="19" t="str">
        <f>IF(AND(M327&lt;&gt;"",M327&lt;&gt;0), IF(E327 = "Muni", T327, IF(E327="Corp", T327*(1 -'Investor Input'!$C$4-'Investor Input'!$C$5), T327*(1 -'Investor Input'!$C$4))), T327)</f>
        <v/>
      </c>
      <c r="V327" s="84" t="str">
        <f t="shared" si="89"/>
        <v/>
      </c>
      <c r="W327" s="84" t="str">
        <f t="shared" si="75"/>
        <v/>
      </c>
      <c r="X327" s="21" t="str">
        <f t="shared" si="76"/>
        <v/>
      </c>
      <c r="Y327" s="60" t="str">
        <f t="shared" si="77"/>
        <v/>
      </c>
      <c r="Z327" s="60" t="str">
        <f t="shared" si="78"/>
        <v/>
      </c>
      <c r="AA327" s="64" t="str">
        <f t="shared" si="79"/>
        <v/>
      </c>
      <c r="AB327" s="64" t="str">
        <f>IF(AND(AA327&lt;&gt;"",AA327&lt;&gt;0), IF(E327="Muni", AA327, IF(E327 = "Corp", (1-'Investor Input'!$C$4-'Investor Input'!$C$5)*AA327, (1-'Investor Input'!$C$4)*AA327)), AA327)</f>
        <v/>
      </c>
      <c r="AC327" s="94" t="str">
        <f t="shared" si="80"/>
        <v/>
      </c>
      <c r="AD327" s="60" t="str">
        <f>IF(AND(M327&lt;&gt;"", M327&lt;&gt;0), N327/$N$505*MATCH(AC327,'Misc Lists'!$K$2:$K$25,0), "")</f>
        <v/>
      </c>
      <c r="AE327" s="90" t="str">
        <f t="shared" si="81"/>
        <v/>
      </c>
      <c r="AF327" s="99" t="str">
        <f>IF(AND(M327&lt;&gt;"", M327&lt;&gt;0), N327/$N$505*MATCH(AE327,'Misc Lists'!$L$2:$L$25,0), "")</f>
        <v/>
      </c>
    </row>
    <row r="328" spans="2:32" hidden="1" outlineLevel="1" x14ac:dyDescent="0.5">
      <c r="B328" s="60" t="str">
        <f ca="1"/>
        <v>756109BF0</v>
      </c>
      <c r="C328" s="61" t="str">
        <f ca="1"/>
        <v>N/A</v>
      </c>
      <c r="D328" s="60" t="str">
        <f ca="1"/>
        <v>REALTY INCOME CORP  NOTE CALL MAKE WHOLE4.87500% 06/01/2026</v>
      </c>
      <c r="E328" s="61" t="str">
        <f ca="1"/>
        <v>Corp</v>
      </c>
      <c r="F328" s="62">
        <f ca="1"/>
        <v>4.875</v>
      </c>
      <c r="G328" s="63">
        <f ca="1"/>
        <v>46174</v>
      </c>
      <c r="H328" s="61" t="str">
        <f ca="1"/>
        <v>A3</v>
      </c>
      <c r="I328" s="61" t="str">
        <f ca="1"/>
        <v>A-</v>
      </c>
      <c r="J328" s="64">
        <f ca="1"/>
        <v>100.348</v>
      </c>
      <c r="K328" s="17">
        <f ca="1"/>
        <v>4.5730000000000004</v>
      </c>
      <c r="L328" s="17" t="str">
        <f ca="1"/>
        <v>500(2)</v>
      </c>
      <c r="M328" s="83"/>
      <c r="N328" s="84" t="str">
        <f t="shared" si="82"/>
        <v/>
      </c>
      <c r="O328" s="20" t="str">
        <f t="shared" si="83"/>
        <v/>
      </c>
      <c r="P328" s="64" t="str">
        <f t="shared" si="84"/>
        <v/>
      </c>
      <c r="Q328" s="85" t="str">
        <f t="shared" ca="1" si="85"/>
        <v/>
      </c>
      <c r="R328" s="86" t="str">
        <f t="shared" si="86"/>
        <v/>
      </c>
      <c r="S328" s="86" t="str">
        <f t="shared" si="87"/>
        <v/>
      </c>
      <c r="T328" s="104" t="str">
        <f t="shared" si="88"/>
        <v/>
      </c>
      <c r="U328" s="19" t="str">
        <f>IF(AND(M328&lt;&gt;"",M328&lt;&gt;0), IF(E328 = "Muni", T328, IF(E328="Corp", T328*(1 -'Investor Input'!$C$4-'Investor Input'!$C$5), T328*(1 -'Investor Input'!$C$4))), T328)</f>
        <v/>
      </c>
      <c r="V328" s="84" t="str">
        <f t="shared" si="89"/>
        <v/>
      </c>
      <c r="W328" s="84" t="str">
        <f t="shared" si="75"/>
        <v/>
      </c>
      <c r="X328" s="21" t="str">
        <f t="shared" si="76"/>
        <v/>
      </c>
      <c r="Y328" s="60" t="str">
        <f t="shared" si="77"/>
        <v/>
      </c>
      <c r="Z328" s="60" t="str">
        <f t="shared" si="78"/>
        <v/>
      </c>
      <c r="AA328" s="64" t="str">
        <f t="shared" si="79"/>
        <v/>
      </c>
      <c r="AB328" s="64" t="str">
        <f>IF(AND(AA328&lt;&gt;"",AA328&lt;&gt;0), IF(E328="Muni", AA328, IF(E328 = "Corp", (1-'Investor Input'!$C$4-'Investor Input'!$C$5)*AA328, (1-'Investor Input'!$C$4)*AA328)), AA328)</f>
        <v/>
      </c>
      <c r="AC328" s="94" t="str">
        <f t="shared" si="80"/>
        <v/>
      </c>
      <c r="AD328" s="60" t="str">
        <f>IF(AND(M328&lt;&gt;"", M328&lt;&gt;0), N328/$N$505*MATCH(AC328,'Misc Lists'!$K$2:$K$25,0), "")</f>
        <v/>
      </c>
      <c r="AE328" s="90" t="str">
        <f t="shared" si="81"/>
        <v/>
      </c>
      <c r="AF328" s="99" t="str">
        <f>IF(AND(M328&lt;&gt;"", M328&lt;&gt;0), N328/$N$505*MATCH(AE328,'Misc Lists'!$L$2:$L$25,0), "")</f>
        <v/>
      </c>
    </row>
    <row r="329" spans="2:32" hidden="1" outlineLevel="1" x14ac:dyDescent="0.5">
      <c r="B329" s="60" t="str">
        <f ca="1"/>
        <v>13607L8C0</v>
      </c>
      <c r="C329" s="61" t="str">
        <f ca="1"/>
        <v>N/A</v>
      </c>
      <c r="D329" s="60" t="str">
        <f ca="1"/>
        <v>CANADIAN IMPERIAL BKCOMM NOTE           5.23700% 06/28/2027 CALL MAKE WHOLE</v>
      </c>
      <c r="E329" s="61" t="str">
        <f ca="1"/>
        <v>Corp</v>
      </c>
      <c r="F329" s="62">
        <f ca="1"/>
        <v>5.2370000000000001</v>
      </c>
      <c r="G329" s="63">
        <f ca="1"/>
        <v>46566</v>
      </c>
      <c r="H329" s="61" t="str">
        <f ca="1"/>
        <v>A2</v>
      </c>
      <c r="I329" s="61" t="str">
        <f ca="1"/>
        <v>A-</v>
      </c>
      <c r="J329" s="64">
        <f ca="1"/>
        <v>101.42400000000001</v>
      </c>
      <c r="K329" s="17">
        <f ca="1"/>
        <v>4.5730000000000004</v>
      </c>
      <c r="L329" s="17" t="str">
        <f ca="1"/>
        <v>50(2)</v>
      </c>
      <c r="M329" s="83"/>
      <c r="N329" s="84" t="str">
        <f t="shared" si="82"/>
        <v/>
      </c>
      <c r="O329" s="20" t="str">
        <f t="shared" si="83"/>
        <v/>
      </c>
      <c r="P329" s="64" t="str">
        <f t="shared" si="84"/>
        <v/>
      </c>
      <c r="Q329" s="85" t="str">
        <f t="shared" ca="1" si="85"/>
        <v/>
      </c>
      <c r="R329" s="86" t="str">
        <f t="shared" si="86"/>
        <v/>
      </c>
      <c r="S329" s="86" t="str">
        <f t="shared" si="87"/>
        <v/>
      </c>
      <c r="T329" s="104" t="str">
        <f t="shared" si="88"/>
        <v/>
      </c>
      <c r="U329" s="19" t="str">
        <f>IF(AND(M329&lt;&gt;"",M329&lt;&gt;0), IF(E329 = "Muni", T329, IF(E329="Corp", T329*(1 -'Investor Input'!$C$4-'Investor Input'!$C$5), T329*(1 -'Investor Input'!$C$4))), T329)</f>
        <v/>
      </c>
      <c r="V329" s="84" t="str">
        <f t="shared" si="89"/>
        <v/>
      </c>
      <c r="W329" s="84" t="str">
        <f t="shared" si="75"/>
        <v/>
      </c>
      <c r="X329" s="21" t="str">
        <f t="shared" si="76"/>
        <v/>
      </c>
      <c r="Y329" s="60" t="str">
        <f t="shared" si="77"/>
        <v/>
      </c>
      <c r="Z329" s="60" t="str">
        <f t="shared" si="78"/>
        <v/>
      </c>
      <c r="AA329" s="64" t="str">
        <f t="shared" si="79"/>
        <v/>
      </c>
      <c r="AB329" s="64" t="str">
        <f>IF(AND(AA329&lt;&gt;"",AA329&lt;&gt;0), IF(E329="Muni", AA329, IF(E329 = "Corp", (1-'Investor Input'!$C$4-'Investor Input'!$C$5)*AA329, (1-'Investor Input'!$C$4)*AA329)), AA329)</f>
        <v/>
      </c>
      <c r="AC329" s="94" t="str">
        <f t="shared" si="80"/>
        <v/>
      </c>
      <c r="AD329" s="60" t="str">
        <f>IF(AND(M329&lt;&gt;"", M329&lt;&gt;0), N329/$N$505*MATCH(AC329,'Misc Lists'!$K$2:$K$25,0), "")</f>
        <v/>
      </c>
      <c r="AE329" s="90" t="str">
        <f t="shared" si="81"/>
        <v/>
      </c>
      <c r="AF329" s="99" t="str">
        <f>IF(AND(M329&lt;&gt;"", M329&lt;&gt;0), N329/$N$505*MATCH(AE329,'Misc Lists'!$L$2:$L$25,0), "")</f>
        <v/>
      </c>
    </row>
    <row r="330" spans="2:32" hidden="1" outlineLevel="1" x14ac:dyDescent="0.5">
      <c r="B330" s="60" t="str">
        <f ca="1"/>
        <v>036752AG8</v>
      </c>
      <c r="C330" s="61" t="str">
        <f ca="1"/>
        <v>N/A</v>
      </c>
      <c r="D330" s="60" t="str">
        <f ca="1"/>
        <v>ELEVANCE HEALTH INC NOTE CALL MAKE WHOLE4.10100% 03/01/2028</v>
      </c>
      <c r="E330" s="61" t="str">
        <f ca="1"/>
        <v>Corp</v>
      </c>
      <c r="F330" s="62">
        <f ca="1"/>
        <v>4.101</v>
      </c>
      <c r="G330" s="63">
        <f ca="1"/>
        <v>46813</v>
      </c>
      <c r="H330" s="61" t="str">
        <f ca="1"/>
        <v>BAA2</v>
      </c>
      <c r="I330" s="61" t="str">
        <f ca="1"/>
        <v>A</v>
      </c>
      <c r="J330" s="64">
        <f ca="1"/>
        <v>98.701999999999998</v>
      </c>
      <c r="K330" s="17">
        <f ca="1"/>
        <v>4.5730000000000004</v>
      </c>
      <c r="L330" s="17" t="str">
        <f ca="1"/>
        <v>500(1)</v>
      </c>
      <c r="M330" s="83"/>
      <c r="N330" s="84" t="str">
        <f t="shared" si="82"/>
        <v/>
      </c>
      <c r="O330" s="20" t="str">
        <f t="shared" si="83"/>
        <v/>
      </c>
      <c r="P330" s="64" t="str">
        <f t="shared" si="84"/>
        <v/>
      </c>
      <c r="Q330" s="85" t="str">
        <f t="shared" ca="1" si="85"/>
        <v/>
      </c>
      <c r="R330" s="86" t="str">
        <f t="shared" si="86"/>
        <v/>
      </c>
      <c r="S330" s="86" t="str">
        <f t="shared" si="87"/>
        <v/>
      </c>
      <c r="T330" s="104" t="str">
        <f t="shared" si="88"/>
        <v/>
      </c>
      <c r="U330" s="19" t="str">
        <f>IF(AND(M330&lt;&gt;"",M330&lt;&gt;0), IF(E330 = "Muni", T330, IF(E330="Corp", T330*(1 -'Investor Input'!$C$4-'Investor Input'!$C$5), T330*(1 -'Investor Input'!$C$4))), T330)</f>
        <v/>
      </c>
      <c r="V330" s="84" t="str">
        <f t="shared" si="89"/>
        <v/>
      </c>
      <c r="W330" s="84" t="str">
        <f t="shared" si="75"/>
        <v/>
      </c>
      <c r="X330" s="21" t="str">
        <f t="shared" si="76"/>
        <v/>
      </c>
      <c r="Y330" s="60" t="str">
        <f t="shared" si="77"/>
        <v/>
      </c>
      <c r="Z330" s="60" t="str">
        <f t="shared" si="78"/>
        <v/>
      </c>
      <c r="AA330" s="64" t="str">
        <f t="shared" si="79"/>
        <v/>
      </c>
      <c r="AB330" s="64" t="str">
        <f>IF(AND(AA330&lt;&gt;"",AA330&lt;&gt;0), IF(E330="Muni", AA330, IF(E330 = "Corp", (1-'Investor Input'!$C$4-'Investor Input'!$C$5)*AA330, (1-'Investor Input'!$C$4)*AA330)), AA330)</f>
        <v/>
      </c>
      <c r="AC330" s="94" t="str">
        <f t="shared" si="80"/>
        <v/>
      </c>
      <c r="AD330" s="60" t="str">
        <f>IF(AND(M330&lt;&gt;"", M330&lt;&gt;0), N330/$N$505*MATCH(AC330,'Misc Lists'!$K$2:$K$25,0), "")</f>
        <v/>
      </c>
      <c r="AE330" s="90" t="str">
        <f t="shared" si="81"/>
        <v/>
      </c>
      <c r="AF330" s="99" t="str">
        <f>IF(AND(M330&lt;&gt;"", M330&lt;&gt;0), N330/$N$505*MATCH(AE330,'Misc Lists'!$L$2:$L$25,0), "")</f>
        <v/>
      </c>
    </row>
    <row r="331" spans="2:32" hidden="1" outlineLevel="1" x14ac:dyDescent="0.5">
      <c r="B331" s="60" t="str">
        <f ca="1"/>
        <v>74460WAF4</v>
      </c>
      <c r="C331" s="61" t="str">
        <f ca="1"/>
        <v>N/A</v>
      </c>
      <c r="D331" s="60" t="str">
        <f ca="1"/>
        <v>PUBLIC STORAGE OPER CO NOTE             5.12500% 01/15/2029 CALL MAKE WHOLE</v>
      </c>
      <c r="E331" s="61" t="str">
        <f ca="1"/>
        <v>Corp</v>
      </c>
      <c r="F331" s="62">
        <f ca="1"/>
        <v>5.125</v>
      </c>
      <c r="G331" s="63">
        <f ca="1"/>
        <v>47133</v>
      </c>
      <c r="H331" s="61" t="str">
        <f ca="1"/>
        <v>A2</v>
      </c>
      <c r="I331" s="61" t="str">
        <f ca="1"/>
        <v>A</v>
      </c>
      <c r="J331" s="64">
        <f ca="1"/>
        <v>101.92</v>
      </c>
      <c r="K331" s="17">
        <f ca="1"/>
        <v>4.5730000000000004</v>
      </c>
      <c r="L331" s="17" t="str">
        <f ca="1"/>
        <v>500(2)</v>
      </c>
      <c r="M331" s="83"/>
      <c r="N331" s="84" t="str">
        <f t="shared" si="82"/>
        <v/>
      </c>
      <c r="O331" s="20" t="str">
        <f t="shared" si="83"/>
        <v/>
      </c>
      <c r="P331" s="64" t="str">
        <f t="shared" si="84"/>
        <v/>
      </c>
      <c r="Q331" s="85" t="str">
        <f t="shared" ca="1" si="85"/>
        <v/>
      </c>
      <c r="R331" s="86" t="str">
        <f t="shared" si="86"/>
        <v/>
      </c>
      <c r="S331" s="86" t="str">
        <f t="shared" si="87"/>
        <v/>
      </c>
      <c r="T331" s="104" t="str">
        <f t="shared" si="88"/>
        <v/>
      </c>
      <c r="U331" s="19" t="str">
        <f>IF(AND(M331&lt;&gt;"",M331&lt;&gt;0), IF(E331 = "Muni", T331, IF(E331="Corp", T331*(1 -'Investor Input'!$C$4-'Investor Input'!$C$5), T331*(1 -'Investor Input'!$C$4))), T331)</f>
        <v/>
      </c>
      <c r="V331" s="84" t="str">
        <f t="shared" si="89"/>
        <v/>
      </c>
      <c r="W331" s="84" t="str">
        <f t="shared" si="75"/>
        <v/>
      </c>
      <c r="X331" s="21" t="str">
        <f t="shared" si="76"/>
        <v/>
      </c>
      <c r="Y331" s="60" t="str">
        <f t="shared" si="77"/>
        <v/>
      </c>
      <c r="Z331" s="60" t="str">
        <f t="shared" si="78"/>
        <v/>
      </c>
      <c r="AA331" s="64" t="str">
        <f t="shared" si="79"/>
        <v/>
      </c>
      <c r="AB331" s="64" t="str">
        <f>IF(AND(AA331&lt;&gt;"",AA331&lt;&gt;0), IF(E331="Muni", AA331, IF(E331 = "Corp", (1-'Investor Input'!$C$4-'Investor Input'!$C$5)*AA331, (1-'Investor Input'!$C$4)*AA331)), AA331)</f>
        <v/>
      </c>
      <c r="AC331" s="94" t="str">
        <f t="shared" si="80"/>
        <v/>
      </c>
      <c r="AD331" s="60" t="str">
        <f>IF(AND(M331&lt;&gt;"", M331&lt;&gt;0), N331/$N$505*MATCH(AC331,'Misc Lists'!$K$2:$K$25,0), "")</f>
        <v/>
      </c>
      <c r="AE331" s="90" t="str">
        <f t="shared" si="81"/>
        <v/>
      </c>
      <c r="AF331" s="99" t="str">
        <f>IF(AND(M331&lt;&gt;"", M331&lt;&gt;0), N331/$N$505*MATCH(AE331,'Misc Lists'!$L$2:$L$25,0), "")</f>
        <v/>
      </c>
    </row>
    <row r="332" spans="2:32" hidden="1" outlineLevel="1" x14ac:dyDescent="0.5">
      <c r="B332" s="60" t="str">
        <f ca="1"/>
        <v>17325FBB3</v>
      </c>
      <c r="C332" s="61" t="str">
        <f ca="1"/>
        <v>N/A</v>
      </c>
      <c r="D332" s="60" t="str">
        <f ca="1"/>
        <v>CITIBANK N A        NOTE                5.80300% 09/29/2028</v>
      </c>
      <c r="E332" s="61" t="str">
        <f ca="1"/>
        <v>Corp</v>
      </c>
      <c r="F332" s="62">
        <f ca="1"/>
        <v>5.8029999999999999</v>
      </c>
      <c r="G332" s="63">
        <f ca="1"/>
        <v>47025</v>
      </c>
      <c r="H332" s="61" t="str">
        <f ca="1"/>
        <v>AA3</v>
      </c>
      <c r="I332" s="61" t="str">
        <f ca="1"/>
        <v>A+</v>
      </c>
      <c r="J332" s="64">
        <f ca="1"/>
        <v>103.98699999999999</v>
      </c>
      <c r="K332" s="17">
        <f ca="1"/>
        <v>4.5720000000000001</v>
      </c>
      <c r="L332" s="17" t="str">
        <f ca="1"/>
        <v>1,000(250)</v>
      </c>
      <c r="M332" s="83"/>
      <c r="N332" s="84" t="str">
        <f t="shared" si="82"/>
        <v/>
      </c>
      <c r="O332" s="20" t="str">
        <f t="shared" si="83"/>
        <v/>
      </c>
      <c r="P332" s="64" t="str">
        <f t="shared" si="84"/>
        <v/>
      </c>
      <c r="Q332" s="85" t="str">
        <f t="shared" ca="1" si="85"/>
        <v/>
      </c>
      <c r="R332" s="86" t="str">
        <f t="shared" si="86"/>
        <v/>
      </c>
      <c r="S332" s="86" t="str">
        <f t="shared" si="87"/>
        <v/>
      </c>
      <c r="T332" s="104" t="str">
        <f t="shared" si="88"/>
        <v/>
      </c>
      <c r="U332" s="19" t="str">
        <f>IF(AND(M332&lt;&gt;"",M332&lt;&gt;0), IF(E332 = "Muni", T332, IF(E332="Corp", T332*(1 -'Investor Input'!$C$4-'Investor Input'!$C$5), T332*(1 -'Investor Input'!$C$4))), T332)</f>
        <v/>
      </c>
      <c r="V332" s="84" t="str">
        <f t="shared" si="89"/>
        <v/>
      </c>
      <c r="W332" s="84" t="str">
        <f t="shared" si="75"/>
        <v/>
      </c>
      <c r="X332" s="21" t="str">
        <f t="shared" si="76"/>
        <v/>
      </c>
      <c r="Y332" s="60" t="str">
        <f t="shared" si="77"/>
        <v/>
      </c>
      <c r="Z332" s="60" t="str">
        <f t="shared" si="78"/>
        <v/>
      </c>
      <c r="AA332" s="64" t="str">
        <f t="shared" si="79"/>
        <v/>
      </c>
      <c r="AB332" s="64" t="str">
        <f>IF(AND(AA332&lt;&gt;"",AA332&lt;&gt;0), IF(E332="Muni", AA332, IF(E332 = "Corp", (1-'Investor Input'!$C$4-'Investor Input'!$C$5)*AA332, (1-'Investor Input'!$C$4)*AA332)), AA332)</f>
        <v/>
      </c>
      <c r="AC332" s="94" t="str">
        <f t="shared" si="80"/>
        <v/>
      </c>
      <c r="AD332" s="60" t="str">
        <f>IF(AND(M332&lt;&gt;"", M332&lt;&gt;0), N332/$N$505*MATCH(AC332,'Misc Lists'!$K$2:$K$25,0), "")</f>
        <v/>
      </c>
      <c r="AE332" s="90" t="str">
        <f t="shared" si="81"/>
        <v/>
      </c>
      <c r="AF332" s="99" t="str">
        <f>IF(AND(M332&lt;&gt;"", M332&lt;&gt;0), N332/$N$505*MATCH(AE332,'Misc Lists'!$L$2:$L$25,0), "")</f>
        <v/>
      </c>
    </row>
    <row r="333" spans="2:32" hidden="1" outlineLevel="1" x14ac:dyDescent="0.5">
      <c r="B333" s="60" t="str">
        <f ca="1"/>
        <v>06406GAA9</v>
      </c>
      <c r="C333" s="61" t="str">
        <f ca="1"/>
        <v>N/A</v>
      </c>
      <c r="D333" s="60" t="str">
        <f ca="1"/>
        <v>BANK NEW YORK MELLONCORP SER J MTN      3.00000% 10/30/2028</v>
      </c>
      <c r="E333" s="61" t="str">
        <f ca="1"/>
        <v>Corp</v>
      </c>
      <c r="F333" s="62">
        <f ca="1"/>
        <v>3</v>
      </c>
      <c r="G333" s="63">
        <f ca="1"/>
        <v>47056</v>
      </c>
      <c r="H333" s="61" t="str">
        <f ca="1"/>
        <v>A2</v>
      </c>
      <c r="I333" s="61" t="str">
        <f ca="1"/>
        <v>A-</v>
      </c>
      <c r="J333" s="64">
        <f ca="1"/>
        <v>94.789000000000001</v>
      </c>
      <c r="K333" s="17">
        <f ca="1"/>
        <v>4.5720000000000001</v>
      </c>
      <c r="L333" s="17" t="str">
        <f ca="1"/>
        <v>500(1)</v>
      </c>
      <c r="M333" s="83"/>
      <c r="N333" s="84" t="str">
        <f t="shared" si="82"/>
        <v/>
      </c>
      <c r="O333" s="20" t="str">
        <f t="shared" si="83"/>
        <v/>
      </c>
      <c r="P333" s="64" t="str">
        <f t="shared" si="84"/>
        <v/>
      </c>
      <c r="Q333" s="85" t="str">
        <f t="shared" ca="1" si="85"/>
        <v/>
      </c>
      <c r="R333" s="86" t="str">
        <f t="shared" si="86"/>
        <v/>
      </c>
      <c r="S333" s="86" t="str">
        <f t="shared" si="87"/>
        <v/>
      </c>
      <c r="T333" s="104" t="str">
        <f t="shared" si="88"/>
        <v/>
      </c>
      <c r="U333" s="19" t="str">
        <f>IF(AND(M333&lt;&gt;"",M333&lt;&gt;0), IF(E333 = "Muni", T333, IF(E333="Corp", T333*(1 -'Investor Input'!$C$4-'Investor Input'!$C$5), T333*(1 -'Investor Input'!$C$4))), T333)</f>
        <v/>
      </c>
      <c r="V333" s="84" t="str">
        <f t="shared" si="89"/>
        <v/>
      </c>
      <c r="W333" s="84" t="str">
        <f t="shared" si="75"/>
        <v/>
      </c>
      <c r="X333" s="21" t="str">
        <f t="shared" si="76"/>
        <v/>
      </c>
      <c r="Y333" s="60" t="str">
        <f t="shared" si="77"/>
        <v/>
      </c>
      <c r="Z333" s="60" t="str">
        <f t="shared" si="78"/>
        <v/>
      </c>
      <c r="AA333" s="64" t="str">
        <f t="shared" si="79"/>
        <v/>
      </c>
      <c r="AB333" s="64" t="str">
        <f>IF(AND(AA333&lt;&gt;"",AA333&lt;&gt;0), IF(E333="Muni", AA333, IF(E333 = "Corp", (1-'Investor Input'!$C$4-'Investor Input'!$C$5)*AA333, (1-'Investor Input'!$C$4)*AA333)), AA333)</f>
        <v/>
      </c>
      <c r="AC333" s="94" t="str">
        <f t="shared" si="80"/>
        <v/>
      </c>
      <c r="AD333" s="60" t="str">
        <f>IF(AND(M333&lt;&gt;"", M333&lt;&gt;0), N333/$N$505*MATCH(AC333,'Misc Lists'!$K$2:$K$25,0), "")</f>
        <v/>
      </c>
      <c r="AE333" s="90" t="str">
        <f t="shared" si="81"/>
        <v/>
      </c>
      <c r="AF333" s="99" t="str">
        <f>IF(AND(M333&lt;&gt;"", M333&lt;&gt;0), N333/$N$505*MATCH(AE333,'Misc Lists'!$L$2:$L$25,0), "")</f>
        <v/>
      </c>
    </row>
    <row r="334" spans="2:32" hidden="1" outlineLevel="1" x14ac:dyDescent="0.5">
      <c r="B334" s="60" t="str">
        <f ca="1"/>
        <v>75884RAX1</v>
      </c>
      <c r="C334" s="61" t="str">
        <f ca="1"/>
        <v>N/A</v>
      </c>
      <c r="D334" s="60" t="str">
        <f ca="1"/>
        <v>REGENCY CTRS L P    SER 7 NOTE          4.12500% 03/15/2028 CALL MAKE WHOLE</v>
      </c>
      <c r="E334" s="61" t="str">
        <f ca="1"/>
        <v>Corp</v>
      </c>
      <c r="F334" s="62">
        <f ca="1"/>
        <v>4.125</v>
      </c>
      <c r="G334" s="63">
        <f ca="1"/>
        <v>46827</v>
      </c>
      <c r="H334" s="61" t="str">
        <f ca="1"/>
        <v>A3</v>
      </c>
      <c r="I334" s="61" t="str">
        <f ca="1"/>
        <v>A-</v>
      </c>
      <c r="J334" s="64">
        <f ca="1"/>
        <v>98.757999999999996</v>
      </c>
      <c r="K334" s="17">
        <f ca="1"/>
        <v>4.5709999999999997</v>
      </c>
      <c r="L334" s="17" t="str">
        <f ca="1"/>
        <v>525(2)</v>
      </c>
      <c r="M334" s="83"/>
      <c r="N334" s="84" t="str">
        <f t="shared" si="82"/>
        <v/>
      </c>
      <c r="O334" s="20" t="str">
        <f t="shared" si="83"/>
        <v/>
      </c>
      <c r="P334" s="64" t="str">
        <f t="shared" si="84"/>
        <v/>
      </c>
      <c r="Q334" s="85" t="str">
        <f t="shared" ca="1" si="85"/>
        <v/>
      </c>
      <c r="R334" s="86" t="str">
        <f t="shared" si="86"/>
        <v/>
      </c>
      <c r="S334" s="86" t="str">
        <f t="shared" si="87"/>
        <v/>
      </c>
      <c r="T334" s="104" t="str">
        <f t="shared" si="88"/>
        <v/>
      </c>
      <c r="U334" s="19" t="str">
        <f>IF(AND(M334&lt;&gt;"",M334&lt;&gt;0), IF(E334 = "Muni", T334, IF(E334="Corp", T334*(1 -'Investor Input'!$C$4-'Investor Input'!$C$5), T334*(1 -'Investor Input'!$C$4))), T334)</f>
        <v/>
      </c>
      <c r="V334" s="84" t="str">
        <f t="shared" si="89"/>
        <v/>
      </c>
      <c r="W334" s="84" t="str">
        <f t="shared" si="75"/>
        <v/>
      </c>
      <c r="X334" s="21" t="str">
        <f t="shared" si="76"/>
        <v/>
      </c>
      <c r="Y334" s="60" t="str">
        <f t="shared" si="77"/>
        <v/>
      </c>
      <c r="Z334" s="60" t="str">
        <f t="shared" si="78"/>
        <v/>
      </c>
      <c r="AA334" s="64" t="str">
        <f t="shared" si="79"/>
        <v/>
      </c>
      <c r="AB334" s="64" t="str">
        <f>IF(AND(AA334&lt;&gt;"",AA334&lt;&gt;0), IF(E334="Muni", AA334, IF(E334 = "Corp", (1-'Investor Input'!$C$4-'Investor Input'!$C$5)*AA334, (1-'Investor Input'!$C$4)*AA334)), AA334)</f>
        <v/>
      </c>
      <c r="AC334" s="94" t="str">
        <f t="shared" si="80"/>
        <v/>
      </c>
      <c r="AD334" s="60" t="str">
        <f>IF(AND(M334&lt;&gt;"", M334&lt;&gt;0), N334/$N$505*MATCH(AC334,'Misc Lists'!$K$2:$K$25,0), "")</f>
        <v/>
      </c>
      <c r="AE334" s="90" t="str">
        <f t="shared" si="81"/>
        <v/>
      </c>
      <c r="AF334" s="99" t="str">
        <f>IF(AND(M334&lt;&gt;"", M334&lt;&gt;0), N334/$N$505*MATCH(AE334,'Misc Lists'!$L$2:$L$25,0), "")</f>
        <v/>
      </c>
    </row>
    <row r="335" spans="2:32" hidden="1" outlineLevel="1" x14ac:dyDescent="0.5">
      <c r="B335" s="60" t="str">
        <f ca="1"/>
        <v>05565QDH8</v>
      </c>
      <c r="C335" s="61" t="str">
        <f ca="1"/>
        <v>N/A</v>
      </c>
      <c r="D335" s="60" t="str">
        <f ca="1"/>
        <v>BP CAP MKTS P L C   NOTE CALL MAKE WHOLE3.72300% 11/28/2028</v>
      </c>
      <c r="E335" s="61" t="str">
        <f ca="1"/>
        <v>Corp</v>
      </c>
      <c r="F335" s="62">
        <f ca="1"/>
        <v>3.7229999999999999</v>
      </c>
      <c r="G335" s="63">
        <f ca="1"/>
        <v>47085</v>
      </c>
      <c r="H335" s="61" t="str">
        <f ca="1"/>
        <v>A1</v>
      </c>
      <c r="I335" s="61" t="str">
        <f ca="1"/>
        <v>A-</v>
      </c>
      <c r="J335" s="64">
        <f ca="1"/>
        <v>97.13</v>
      </c>
      <c r="K335" s="17">
        <f ca="1"/>
        <v>4.5709999999999997</v>
      </c>
      <c r="L335" s="17" t="str">
        <f ca="1"/>
        <v>250(1)</v>
      </c>
      <c r="M335" s="83"/>
      <c r="N335" s="84" t="str">
        <f t="shared" si="82"/>
        <v/>
      </c>
      <c r="O335" s="20" t="str">
        <f t="shared" si="83"/>
        <v/>
      </c>
      <c r="P335" s="64" t="str">
        <f t="shared" si="84"/>
        <v/>
      </c>
      <c r="Q335" s="85" t="str">
        <f t="shared" ca="1" si="85"/>
        <v/>
      </c>
      <c r="R335" s="86" t="str">
        <f t="shared" si="86"/>
        <v/>
      </c>
      <c r="S335" s="86" t="str">
        <f t="shared" si="87"/>
        <v/>
      </c>
      <c r="T335" s="104" t="str">
        <f t="shared" si="88"/>
        <v/>
      </c>
      <c r="U335" s="19" t="str">
        <f>IF(AND(M335&lt;&gt;"",M335&lt;&gt;0), IF(E335 = "Muni", T335, IF(E335="Corp", T335*(1 -'Investor Input'!$C$4-'Investor Input'!$C$5), T335*(1 -'Investor Input'!$C$4))), T335)</f>
        <v/>
      </c>
      <c r="V335" s="84" t="str">
        <f t="shared" si="89"/>
        <v/>
      </c>
      <c r="W335" s="84" t="str">
        <f t="shared" si="75"/>
        <v/>
      </c>
      <c r="X335" s="21" t="str">
        <f t="shared" si="76"/>
        <v/>
      </c>
      <c r="Y335" s="60" t="str">
        <f t="shared" si="77"/>
        <v/>
      </c>
      <c r="Z335" s="60" t="str">
        <f t="shared" si="78"/>
        <v/>
      </c>
      <c r="AA335" s="64" t="str">
        <f t="shared" si="79"/>
        <v/>
      </c>
      <c r="AB335" s="64" t="str">
        <f>IF(AND(AA335&lt;&gt;"",AA335&lt;&gt;0), IF(E335="Muni", AA335, IF(E335 = "Corp", (1-'Investor Input'!$C$4-'Investor Input'!$C$5)*AA335, (1-'Investor Input'!$C$4)*AA335)), AA335)</f>
        <v/>
      </c>
      <c r="AC335" s="94" t="str">
        <f t="shared" si="80"/>
        <v/>
      </c>
      <c r="AD335" s="60" t="str">
        <f>IF(AND(M335&lt;&gt;"", M335&lt;&gt;0), N335/$N$505*MATCH(AC335,'Misc Lists'!$K$2:$K$25,0), "")</f>
        <v/>
      </c>
      <c r="AE335" s="90" t="str">
        <f t="shared" si="81"/>
        <v/>
      </c>
      <c r="AF335" s="99" t="str">
        <f>IF(AND(M335&lt;&gt;"", M335&lt;&gt;0), N335/$N$505*MATCH(AE335,'Misc Lists'!$L$2:$L$25,0), "")</f>
        <v/>
      </c>
    </row>
    <row r="336" spans="2:32" hidden="1" outlineLevel="1" x14ac:dyDescent="0.5">
      <c r="B336" s="60" t="str">
        <f ca="1"/>
        <v>101137AX5</v>
      </c>
      <c r="C336" s="61" t="str">
        <f ca="1"/>
        <v>N/A</v>
      </c>
      <c r="D336" s="60" t="str">
        <f ca="1"/>
        <v>BOSTON SCIENTIFIC   CORP NOTE           4.00000% 03/01/2029 CALL MAKE WHOLE</v>
      </c>
      <c r="E336" s="61" t="str">
        <f ca="1"/>
        <v>Corp</v>
      </c>
      <c r="F336" s="62">
        <f ca="1"/>
        <v>4</v>
      </c>
      <c r="G336" s="63">
        <f ca="1"/>
        <v>47178</v>
      </c>
      <c r="H336" s="61" t="str">
        <f ca="1"/>
        <v>BAA1</v>
      </c>
      <c r="I336" s="61" t="str">
        <f ca="1"/>
        <v>A-</v>
      </c>
      <c r="J336" s="64">
        <f ca="1"/>
        <v>97.947000000000003</v>
      </c>
      <c r="K336" s="17">
        <f ca="1"/>
        <v>4.5709999999999997</v>
      </c>
      <c r="L336" s="17" t="str">
        <f ca="1"/>
        <v>100(9)</v>
      </c>
      <c r="M336" s="83"/>
      <c r="N336" s="84" t="str">
        <f t="shared" si="82"/>
        <v/>
      </c>
      <c r="O336" s="20" t="str">
        <f t="shared" si="83"/>
        <v/>
      </c>
      <c r="P336" s="64" t="str">
        <f t="shared" si="84"/>
        <v/>
      </c>
      <c r="Q336" s="85" t="str">
        <f t="shared" ca="1" si="85"/>
        <v/>
      </c>
      <c r="R336" s="86" t="str">
        <f t="shared" si="86"/>
        <v/>
      </c>
      <c r="S336" s="86" t="str">
        <f t="shared" si="87"/>
        <v/>
      </c>
      <c r="T336" s="104" t="str">
        <f t="shared" si="88"/>
        <v/>
      </c>
      <c r="U336" s="19" t="str">
        <f>IF(AND(M336&lt;&gt;"",M336&lt;&gt;0), IF(E336 = "Muni", T336, IF(E336="Corp", T336*(1 -'Investor Input'!$C$4-'Investor Input'!$C$5), T336*(1 -'Investor Input'!$C$4))), T336)</f>
        <v/>
      </c>
      <c r="V336" s="84" t="str">
        <f t="shared" si="89"/>
        <v/>
      </c>
      <c r="W336" s="84" t="str">
        <f t="shared" si="75"/>
        <v/>
      </c>
      <c r="X336" s="21" t="str">
        <f t="shared" si="76"/>
        <v/>
      </c>
      <c r="Y336" s="60" t="str">
        <f t="shared" si="77"/>
        <v/>
      </c>
      <c r="Z336" s="60" t="str">
        <f t="shared" si="78"/>
        <v/>
      </c>
      <c r="AA336" s="64" t="str">
        <f t="shared" si="79"/>
        <v/>
      </c>
      <c r="AB336" s="64" t="str">
        <f>IF(AND(AA336&lt;&gt;"",AA336&lt;&gt;0), IF(E336="Muni", AA336, IF(E336 = "Corp", (1-'Investor Input'!$C$4-'Investor Input'!$C$5)*AA336, (1-'Investor Input'!$C$4)*AA336)), AA336)</f>
        <v/>
      </c>
      <c r="AC336" s="94" t="str">
        <f t="shared" si="80"/>
        <v/>
      </c>
      <c r="AD336" s="60" t="str">
        <f>IF(AND(M336&lt;&gt;"", M336&lt;&gt;0), N336/$N$505*MATCH(AC336,'Misc Lists'!$K$2:$K$25,0), "")</f>
        <v/>
      </c>
      <c r="AE336" s="90" t="str">
        <f t="shared" si="81"/>
        <v/>
      </c>
      <c r="AF336" s="99" t="str">
        <f>IF(AND(M336&lt;&gt;"", M336&lt;&gt;0), N336/$N$505*MATCH(AE336,'Misc Lists'!$L$2:$L$25,0), "")</f>
        <v/>
      </c>
    </row>
    <row r="337" spans="2:32" hidden="1" outlineLevel="1" x14ac:dyDescent="0.5">
      <c r="B337" s="60" t="str">
        <f ca="1"/>
        <v>911312BY1</v>
      </c>
      <c r="C337" s="61" t="str">
        <f ca="1"/>
        <v>N/A</v>
      </c>
      <c r="D337" s="60" t="str">
        <f ca="1"/>
        <v>UNITED PARCEL SVCS  INC NOTE            4.45000% 04/01/2030 CALL MAKE WHOLE</v>
      </c>
      <c r="E337" s="61" t="str">
        <f ca="1"/>
        <v>Corp</v>
      </c>
      <c r="F337" s="62">
        <f ca="1"/>
        <v>4.45</v>
      </c>
      <c r="G337" s="63">
        <f ca="1"/>
        <v>47574</v>
      </c>
      <c r="H337" s="61" t="str">
        <f ca="1"/>
        <v>A2</v>
      </c>
      <c r="I337" s="61" t="str">
        <f ca="1"/>
        <v>A</v>
      </c>
      <c r="J337" s="64">
        <f ca="1"/>
        <v>99.46</v>
      </c>
      <c r="K337" s="17">
        <f ca="1"/>
        <v>4.57</v>
      </c>
      <c r="L337" s="17" t="str">
        <f ca="1"/>
        <v>200(2)</v>
      </c>
      <c r="M337" s="83"/>
      <c r="N337" s="84" t="str">
        <f t="shared" si="82"/>
        <v/>
      </c>
      <c r="O337" s="20" t="str">
        <f t="shared" si="83"/>
        <v/>
      </c>
      <c r="P337" s="64" t="str">
        <f t="shared" si="84"/>
        <v/>
      </c>
      <c r="Q337" s="85" t="str">
        <f t="shared" ca="1" si="85"/>
        <v/>
      </c>
      <c r="R337" s="86" t="str">
        <f t="shared" si="86"/>
        <v/>
      </c>
      <c r="S337" s="86" t="str">
        <f t="shared" si="87"/>
        <v/>
      </c>
      <c r="T337" s="104" t="str">
        <f t="shared" si="88"/>
        <v/>
      </c>
      <c r="U337" s="19" t="str">
        <f>IF(AND(M337&lt;&gt;"",M337&lt;&gt;0), IF(E337 = "Muni", T337, IF(E337="Corp", T337*(1 -'Investor Input'!$C$4-'Investor Input'!$C$5), T337*(1 -'Investor Input'!$C$4))), T337)</f>
        <v/>
      </c>
      <c r="V337" s="84" t="str">
        <f t="shared" si="89"/>
        <v/>
      </c>
      <c r="W337" s="84" t="str">
        <f t="shared" si="75"/>
        <v/>
      </c>
      <c r="X337" s="21" t="str">
        <f t="shared" si="76"/>
        <v/>
      </c>
      <c r="Y337" s="60" t="str">
        <f t="shared" si="77"/>
        <v/>
      </c>
      <c r="Z337" s="60" t="str">
        <f t="shared" si="78"/>
        <v/>
      </c>
      <c r="AA337" s="64" t="str">
        <f t="shared" si="79"/>
        <v/>
      </c>
      <c r="AB337" s="64" t="str">
        <f>IF(AND(AA337&lt;&gt;"",AA337&lt;&gt;0), IF(E337="Muni", AA337, IF(E337 = "Corp", (1-'Investor Input'!$C$4-'Investor Input'!$C$5)*AA337, (1-'Investor Input'!$C$4)*AA337)), AA337)</f>
        <v/>
      </c>
      <c r="AC337" s="94" t="str">
        <f t="shared" si="80"/>
        <v/>
      </c>
      <c r="AD337" s="60" t="str">
        <f>IF(AND(M337&lt;&gt;"", M337&lt;&gt;0), N337/$N$505*MATCH(AC337,'Misc Lists'!$K$2:$K$25,0), "")</f>
        <v/>
      </c>
      <c r="AE337" s="90" t="str">
        <f t="shared" si="81"/>
        <v/>
      </c>
      <c r="AF337" s="99" t="str">
        <f>IF(AND(M337&lt;&gt;"", M337&lt;&gt;0), N337/$N$505*MATCH(AE337,'Misc Lists'!$L$2:$L$25,0), "")</f>
        <v/>
      </c>
    </row>
    <row r="338" spans="2:32" hidden="1" outlineLevel="1" x14ac:dyDescent="0.5">
      <c r="B338" s="60" t="str">
        <f ca="1"/>
        <v>037389BB8</v>
      </c>
      <c r="C338" s="61" t="str">
        <f ca="1"/>
        <v>N/A</v>
      </c>
      <c r="D338" s="60" t="str">
        <f ca="1"/>
        <v>AON CORP            NOTE CALL MAKE WHOLE4.50000% 12/15/2028</v>
      </c>
      <c r="E338" s="61" t="str">
        <f ca="1"/>
        <v>Corp</v>
      </c>
      <c r="F338" s="62">
        <f ca="1"/>
        <v>4.5</v>
      </c>
      <c r="G338" s="63">
        <f ca="1"/>
        <v>47102</v>
      </c>
      <c r="H338" s="61" t="str">
        <f ca="1"/>
        <v>BAA2</v>
      </c>
      <c r="I338" s="61" t="str">
        <f ca="1"/>
        <v>A-</v>
      </c>
      <c r="J338" s="64">
        <f ca="1"/>
        <v>99.759</v>
      </c>
      <c r="K338" s="17">
        <f ca="1"/>
        <v>4.569</v>
      </c>
      <c r="L338" s="17" t="str">
        <f ca="1"/>
        <v>100(9)</v>
      </c>
      <c r="M338" s="83"/>
      <c r="N338" s="84" t="str">
        <f t="shared" si="82"/>
        <v/>
      </c>
      <c r="O338" s="20" t="str">
        <f t="shared" si="83"/>
        <v/>
      </c>
      <c r="P338" s="64" t="str">
        <f t="shared" si="84"/>
        <v/>
      </c>
      <c r="Q338" s="85" t="str">
        <f t="shared" ca="1" si="85"/>
        <v/>
      </c>
      <c r="R338" s="86" t="str">
        <f t="shared" si="86"/>
        <v/>
      </c>
      <c r="S338" s="86" t="str">
        <f t="shared" si="87"/>
        <v/>
      </c>
      <c r="T338" s="104" t="str">
        <f t="shared" si="88"/>
        <v/>
      </c>
      <c r="U338" s="19" t="str">
        <f>IF(AND(M338&lt;&gt;"",M338&lt;&gt;0), IF(E338 = "Muni", T338, IF(E338="Corp", T338*(1 -'Investor Input'!$C$4-'Investor Input'!$C$5), T338*(1 -'Investor Input'!$C$4))), T338)</f>
        <v/>
      </c>
      <c r="V338" s="84" t="str">
        <f t="shared" si="89"/>
        <v/>
      </c>
      <c r="W338" s="84" t="str">
        <f t="shared" si="75"/>
        <v/>
      </c>
      <c r="X338" s="21" t="str">
        <f t="shared" si="76"/>
        <v/>
      </c>
      <c r="Y338" s="60" t="str">
        <f t="shared" si="77"/>
        <v/>
      </c>
      <c r="Z338" s="60" t="str">
        <f t="shared" si="78"/>
        <v/>
      </c>
      <c r="AA338" s="64" t="str">
        <f t="shared" si="79"/>
        <v/>
      </c>
      <c r="AB338" s="64" t="str">
        <f>IF(AND(AA338&lt;&gt;"",AA338&lt;&gt;0), IF(E338="Muni", AA338, IF(E338 = "Corp", (1-'Investor Input'!$C$4-'Investor Input'!$C$5)*AA338, (1-'Investor Input'!$C$4)*AA338)), AA338)</f>
        <v/>
      </c>
      <c r="AC338" s="94" t="str">
        <f t="shared" si="80"/>
        <v/>
      </c>
      <c r="AD338" s="60" t="str">
        <f>IF(AND(M338&lt;&gt;"", M338&lt;&gt;0), N338/$N$505*MATCH(AC338,'Misc Lists'!$K$2:$K$25,0), "")</f>
        <v/>
      </c>
      <c r="AE338" s="90" t="str">
        <f t="shared" si="81"/>
        <v/>
      </c>
      <c r="AF338" s="99" t="str">
        <f>IF(AND(M338&lt;&gt;"", M338&lt;&gt;0), N338/$N$505*MATCH(AE338,'Misc Lists'!$L$2:$L$25,0), "")</f>
        <v/>
      </c>
    </row>
    <row r="339" spans="2:32" hidden="1" outlineLevel="1" x14ac:dyDescent="0.5">
      <c r="B339" s="60" t="str">
        <f ca="1"/>
        <v>906548CP5</v>
      </c>
      <c r="C339" s="61" t="str">
        <f ca="1"/>
        <v>N/A</v>
      </c>
      <c r="D339" s="60" t="str">
        <f ca="1"/>
        <v>UNION ELEC CO       BOND CALL MAKE WHOLE3.50000% 03/15/2029</v>
      </c>
      <c r="E339" s="61" t="str">
        <f ca="1"/>
        <v>Corp</v>
      </c>
      <c r="F339" s="62">
        <f ca="1"/>
        <v>3.5</v>
      </c>
      <c r="G339" s="63">
        <f ca="1"/>
        <v>47192</v>
      </c>
      <c r="H339" s="61" t="str">
        <f ca="1"/>
        <v>A2</v>
      </c>
      <c r="I339" s="61" t="str">
        <f ca="1"/>
        <v>A</v>
      </c>
      <c r="J339" s="64">
        <f ca="1"/>
        <v>96.125</v>
      </c>
      <c r="K339" s="17">
        <f ca="1"/>
        <v>4.569</v>
      </c>
      <c r="L339" s="17" t="str">
        <f ca="1"/>
        <v>500(2)</v>
      </c>
      <c r="M339" s="83"/>
      <c r="N339" s="84" t="str">
        <f t="shared" si="82"/>
        <v/>
      </c>
      <c r="O339" s="20" t="str">
        <f t="shared" si="83"/>
        <v/>
      </c>
      <c r="P339" s="64" t="str">
        <f t="shared" si="84"/>
        <v/>
      </c>
      <c r="Q339" s="85" t="str">
        <f t="shared" ca="1" si="85"/>
        <v/>
      </c>
      <c r="R339" s="86" t="str">
        <f t="shared" si="86"/>
        <v/>
      </c>
      <c r="S339" s="86" t="str">
        <f t="shared" si="87"/>
        <v/>
      </c>
      <c r="T339" s="104" t="str">
        <f t="shared" si="88"/>
        <v/>
      </c>
      <c r="U339" s="19" t="str">
        <f>IF(AND(M339&lt;&gt;"",M339&lt;&gt;0), IF(E339 = "Muni", T339, IF(E339="Corp", T339*(1 -'Investor Input'!$C$4-'Investor Input'!$C$5), T339*(1 -'Investor Input'!$C$4))), T339)</f>
        <v/>
      </c>
      <c r="V339" s="84" t="str">
        <f t="shared" si="89"/>
        <v/>
      </c>
      <c r="W339" s="84" t="str">
        <f t="shared" si="75"/>
        <v/>
      </c>
      <c r="X339" s="21" t="str">
        <f t="shared" si="76"/>
        <v/>
      </c>
      <c r="Y339" s="60" t="str">
        <f t="shared" si="77"/>
        <v/>
      </c>
      <c r="Z339" s="60" t="str">
        <f t="shared" si="78"/>
        <v/>
      </c>
      <c r="AA339" s="64" t="str">
        <f t="shared" si="79"/>
        <v/>
      </c>
      <c r="AB339" s="64" t="str">
        <f>IF(AND(AA339&lt;&gt;"",AA339&lt;&gt;0), IF(E339="Muni", AA339, IF(E339 = "Corp", (1-'Investor Input'!$C$4-'Investor Input'!$C$5)*AA339, (1-'Investor Input'!$C$4)*AA339)), AA339)</f>
        <v/>
      </c>
      <c r="AC339" s="94" t="str">
        <f t="shared" si="80"/>
        <v/>
      </c>
      <c r="AD339" s="60" t="str">
        <f>IF(AND(M339&lt;&gt;"", M339&lt;&gt;0), N339/$N$505*MATCH(AC339,'Misc Lists'!$K$2:$K$25,0), "")</f>
        <v/>
      </c>
      <c r="AE339" s="90" t="str">
        <f t="shared" si="81"/>
        <v/>
      </c>
      <c r="AF339" s="99" t="str">
        <f>IF(AND(M339&lt;&gt;"", M339&lt;&gt;0), N339/$N$505*MATCH(AE339,'Misc Lists'!$L$2:$L$25,0), "")</f>
        <v/>
      </c>
    </row>
    <row r="340" spans="2:32" hidden="1" outlineLevel="1" x14ac:dyDescent="0.5">
      <c r="B340" s="60" t="str">
        <f ca="1"/>
        <v>595620AT2</v>
      </c>
      <c r="C340" s="61" t="str">
        <f ca="1"/>
        <v>N/A</v>
      </c>
      <c r="D340" s="60" t="str">
        <f ca="1"/>
        <v>MIDAMERICAN ENERGY  COMPANY BOND        3.65000% 04/15/2029 CALL MAKE WHOLE</v>
      </c>
      <c r="E340" s="61" t="str">
        <f ca="1"/>
        <v>Corp</v>
      </c>
      <c r="F340" s="62">
        <f ca="1"/>
        <v>3.65</v>
      </c>
      <c r="G340" s="63">
        <f ca="1"/>
        <v>47223</v>
      </c>
      <c r="H340" s="61" t="str">
        <f ca="1"/>
        <v>AA2</v>
      </c>
      <c r="I340" s="61" t="str">
        <f ca="1"/>
        <v>A</v>
      </c>
      <c r="J340" s="64">
        <f ca="1"/>
        <v>96.603999999999999</v>
      </c>
      <c r="K340" s="17">
        <f ca="1"/>
        <v>4.569</v>
      </c>
      <c r="L340" s="17" t="str">
        <f ca="1"/>
        <v>500(2)</v>
      </c>
      <c r="M340" s="83"/>
      <c r="N340" s="84" t="str">
        <f t="shared" si="82"/>
        <v/>
      </c>
      <c r="O340" s="20" t="str">
        <f t="shared" si="83"/>
        <v/>
      </c>
      <c r="P340" s="64" t="str">
        <f t="shared" si="84"/>
        <v/>
      </c>
      <c r="Q340" s="85" t="str">
        <f t="shared" ca="1" si="85"/>
        <v/>
      </c>
      <c r="R340" s="86" t="str">
        <f t="shared" si="86"/>
        <v/>
      </c>
      <c r="S340" s="86" t="str">
        <f t="shared" si="87"/>
        <v/>
      </c>
      <c r="T340" s="104" t="str">
        <f t="shared" si="88"/>
        <v/>
      </c>
      <c r="U340" s="19" t="str">
        <f>IF(AND(M340&lt;&gt;"",M340&lt;&gt;0), IF(E340 = "Muni", T340, IF(E340="Corp", T340*(1 -'Investor Input'!$C$4-'Investor Input'!$C$5), T340*(1 -'Investor Input'!$C$4))), T340)</f>
        <v/>
      </c>
      <c r="V340" s="84" t="str">
        <f t="shared" si="89"/>
        <v/>
      </c>
      <c r="W340" s="84" t="str">
        <f t="shared" si="75"/>
        <v/>
      </c>
      <c r="X340" s="21" t="str">
        <f t="shared" si="76"/>
        <v/>
      </c>
      <c r="Y340" s="60" t="str">
        <f t="shared" si="77"/>
        <v/>
      </c>
      <c r="Z340" s="60" t="str">
        <f t="shared" si="78"/>
        <v/>
      </c>
      <c r="AA340" s="64" t="str">
        <f t="shared" si="79"/>
        <v/>
      </c>
      <c r="AB340" s="64" t="str">
        <f>IF(AND(AA340&lt;&gt;"",AA340&lt;&gt;0), IF(E340="Muni", AA340, IF(E340 = "Corp", (1-'Investor Input'!$C$4-'Investor Input'!$C$5)*AA340, (1-'Investor Input'!$C$4)*AA340)), AA340)</f>
        <v/>
      </c>
      <c r="AC340" s="94" t="str">
        <f t="shared" si="80"/>
        <v/>
      </c>
      <c r="AD340" s="60" t="str">
        <f>IF(AND(M340&lt;&gt;"", M340&lt;&gt;0), N340/$N$505*MATCH(AC340,'Misc Lists'!$K$2:$K$25,0), "")</f>
        <v/>
      </c>
      <c r="AE340" s="90" t="str">
        <f t="shared" si="81"/>
        <v/>
      </c>
      <c r="AF340" s="99" t="str">
        <f>IF(AND(M340&lt;&gt;"", M340&lt;&gt;0), N340/$N$505*MATCH(AE340,'Misc Lists'!$L$2:$L$25,0), "")</f>
        <v/>
      </c>
    </row>
    <row r="341" spans="2:32" hidden="1" outlineLevel="1" x14ac:dyDescent="0.5">
      <c r="B341" s="60" t="str">
        <f ca="1"/>
        <v>101137AZ0</v>
      </c>
      <c r="C341" s="61" t="str">
        <f ca="1"/>
        <v>N/A</v>
      </c>
      <c r="D341" s="60" t="str">
        <f ca="1"/>
        <v>BOSTON SCIENTIFIC   CORP NOTE           1.90000% 06/01/2025 CALL MAKE WHOLE</v>
      </c>
      <c r="E341" s="61" t="str">
        <f ca="1"/>
        <v>Corp</v>
      </c>
      <c r="F341" s="62">
        <f ca="1"/>
        <v>1.9</v>
      </c>
      <c r="G341" s="63">
        <f ca="1"/>
        <v>45809</v>
      </c>
      <c r="H341" s="61" t="str">
        <f ca="1"/>
        <v>BAA1</v>
      </c>
      <c r="I341" s="61" t="str">
        <f ca="1"/>
        <v>A-</v>
      </c>
      <c r="J341" s="64">
        <f ca="1"/>
        <v>99.415000000000006</v>
      </c>
      <c r="K341" s="17">
        <f ca="1"/>
        <v>4.5679999999999996</v>
      </c>
      <c r="L341" s="17" t="str">
        <f ca="1"/>
        <v>5(2)</v>
      </c>
      <c r="M341" s="83"/>
      <c r="N341" s="84" t="str">
        <f t="shared" si="82"/>
        <v/>
      </c>
      <c r="O341" s="20" t="str">
        <f t="shared" si="83"/>
        <v/>
      </c>
      <c r="P341" s="64" t="str">
        <f t="shared" si="84"/>
        <v/>
      </c>
      <c r="Q341" s="85" t="str">
        <f t="shared" ca="1" si="85"/>
        <v/>
      </c>
      <c r="R341" s="86" t="str">
        <f t="shared" si="86"/>
        <v/>
      </c>
      <c r="S341" s="86" t="str">
        <f t="shared" si="87"/>
        <v/>
      </c>
      <c r="T341" s="104" t="str">
        <f t="shared" si="88"/>
        <v/>
      </c>
      <c r="U341" s="19" t="str">
        <f>IF(AND(M341&lt;&gt;"",M341&lt;&gt;0), IF(E341 = "Muni", T341, IF(E341="Corp", T341*(1 -'Investor Input'!$C$4-'Investor Input'!$C$5), T341*(1 -'Investor Input'!$C$4))), T341)</f>
        <v/>
      </c>
      <c r="V341" s="84" t="str">
        <f t="shared" si="89"/>
        <v/>
      </c>
      <c r="W341" s="84" t="str">
        <f t="shared" si="75"/>
        <v/>
      </c>
      <c r="X341" s="21" t="str">
        <f t="shared" si="76"/>
        <v/>
      </c>
      <c r="Y341" s="60" t="str">
        <f t="shared" si="77"/>
        <v/>
      </c>
      <c r="Z341" s="60" t="str">
        <f t="shared" si="78"/>
        <v/>
      </c>
      <c r="AA341" s="64" t="str">
        <f t="shared" si="79"/>
        <v/>
      </c>
      <c r="AB341" s="64" t="str">
        <f>IF(AND(AA341&lt;&gt;"",AA341&lt;&gt;0), IF(E341="Muni", AA341, IF(E341 = "Corp", (1-'Investor Input'!$C$4-'Investor Input'!$C$5)*AA341, (1-'Investor Input'!$C$4)*AA341)), AA341)</f>
        <v/>
      </c>
      <c r="AC341" s="94" t="str">
        <f t="shared" si="80"/>
        <v/>
      </c>
      <c r="AD341" s="60" t="str">
        <f>IF(AND(M341&lt;&gt;"", M341&lt;&gt;0), N341/$N$505*MATCH(AC341,'Misc Lists'!$K$2:$K$25,0), "")</f>
        <v/>
      </c>
      <c r="AE341" s="90" t="str">
        <f t="shared" si="81"/>
        <v/>
      </c>
      <c r="AF341" s="99" t="str">
        <f>IF(AND(M341&lt;&gt;"", M341&lt;&gt;0), N341/$N$505*MATCH(AE341,'Misc Lists'!$L$2:$L$25,0), "")</f>
        <v/>
      </c>
    </row>
    <row r="342" spans="2:32" hidden="1" outlineLevel="1" x14ac:dyDescent="0.5">
      <c r="B342" s="60" t="str">
        <f ca="1"/>
        <v>29379VBT9</v>
      </c>
      <c r="C342" s="61" t="str">
        <f ca="1"/>
        <v>N/A</v>
      </c>
      <c r="D342" s="60" t="str">
        <f ca="1"/>
        <v>ENTERPRISE PRODS    OPER LLC NOTE       4.15000% 10/16/2028 CALL MAKE WHOLE</v>
      </c>
      <c r="E342" s="61" t="str">
        <f ca="1"/>
        <v>Corp</v>
      </c>
      <c r="F342" s="62">
        <f ca="1"/>
        <v>4.1500000000000004</v>
      </c>
      <c r="G342" s="63">
        <f ca="1"/>
        <v>47042</v>
      </c>
      <c r="H342" s="61" t="str">
        <f ca="1"/>
        <v>A3</v>
      </c>
      <c r="I342" s="61" t="str">
        <f ca="1"/>
        <v>A-</v>
      </c>
      <c r="J342" s="64">
        <f ca="1"/>
        <v>98.625</v>
      </c>
      <c r="K342" s="17">
        <f ca="1"/>
        <v>4.5679999999999996</v>
      </c>
      <c r="L342" s="17" t="str">
        <f ca="1"/>
        <v>500(1)</v>
      </c>
      <c r="M342" s="83"/>
      <c r="N342" s="84" t="str">
        <f t="shared" si="82"/>
        <v/>
      </c>
      <c r="O342" s="20" t="str">
        <f t="shared" si="83"/>
        <v/>
      </c>
      <c r="P342" s="64" t="str">
        <f t="shared" si="84"/>
        <v/>
      </c>
      <c r="Q342" s="85" t="str">
        <f t="shared" ca="1" si="85"/>
        <v/>
      </c>
      <c r="R342" s="86" t="str">
        <f t="shared" si="86"/>
        <v/>
      </c>
      <c r="S342" s="86" t="str">
        <f t="shared" si="87"/>
        <v/>
      </c>
      <c r="T342" s="104" t="str">
        <f t="shared" si="88"/>
        <v/>
      </c>
      <c r="U342" s="19" t="str">
        <f>IF(AND(M342&lt;&gt;"",M342&lt;&gt;0), IF(E342 = "Muni", T342, IF(E342="Corp", T342*(1 -'Investor Input'!$C$4-'Investor Input'!$C$5), T342*(1 -'Investor Input'!$C$4))), T342)</f>
        <v/>
      </c>
      <c r="V342" s="84" t="str">
        <f t="shared" si="89"/>
        <v/>
      </c>
      <c r="W342" s="84" t="str">
        <f t="shared" si="75"/>
        <v/>
      </c>
      <c r="X342" s="21" t="str">
        <f t="shared" si="76"/>
        <v/>
      </c>
      <c r="Y342" s="60" t="str">
        <f t="shared" si="77"/>
        <v/>
      </c>
      <c r="Z342" s="60" t="str">
        <f t="shared" si="78"/>
        <v/>
      </c>
      <c r="AA342" s="64" t="str">
        <f t="shared" si="79"/>
        <v/>
      </c>
      <c r="AB342" s="64" t="str">
        <f>IF(AND(AA342&lt;&gt;"",AA342&lt;&gt;0), IF(E342="Muni", AA342, IF(E342 = "Corp", (1-'Investor Input'!$C$4-'Investor Input'!$C$5)*AA342, (1-'Investor Input'!$C$4)*AA342)), AA342)</f>
        <v/>
      </c>
      <c r="AC342" s="94" t="str">
        <f t="shared" si="80"/>
        <v/>
      </c>
      <c r="AD342" s="60" t="str">
        <f>IF(AND(M342&lt;&gt;"", M342&lt;&gt;0), N342/$N$505*MATCH(AC342,'Misc Lists'!$K$2:$K$25,0), "")</f>
        <v/>
      </c>
      <c r="AE342" s="90" t="str">
        <f t="shared" si="81"/>
        <v/>
      </c>
      <c r="AF342" s="99" t="str">
        <f>IF(AND(M342&lt;&gt;"", M342&lt;&gt;0), N342/$N$505*MATCH(AE342,'Misc Lists'!$L$2:$L$25,0), "")</f>
        <v/>
      </c>
    </row>
    <row r="343" spans="2:32" hidden="1" outlineLevel="1" x14ac:dyDescent="0.5">
      <c r="B343" s="60" t="str">
        <f ca="1"/>
        <v>45866FAJ3</v>
      </c>
      <c r="C343" s="61" t="str">
        <f ca="1"/>
        <v>N/A</v>
      </c>
      <c r="D343" s="60" t="str">
        <f ca="1"/>
        <v>INTERCONTINENTAL    EXCHANGE INC NOTE   3.75000% 09/21/2028 CALL MAKE WHOLE</v>
      </c>
      <c r="E343" s="61" t="str">
        <f ca="1"/>
        <v>Corp</v>
      </c>
      <c r="F343" s="62">
        <f ca="1"/>
        <v>3.75</v>
      </c>
      <c r="G343" s="63">
        <f ca="1"/>
        <v>47017</v>
      </c>
      <c r="H343" s="61" t="str">
        <f ca="1"/>
        <v>A3</v>
      </c>
      <c r="I343" s="61" t="str">
        <f ca="1"/>
        <v>A-</v>
      </c>
      <c r="J343" s="64">
        <f ca="1"/>
        <v>97.367000000000004</v>
      </c>
      <c r="K343" s="17">
        <f ca="1"/>
        <v>4.5670000000000002</v>
      </c>
      <c r="L343" s="17" t="str">
        <f ca="1"/>
        <v>500(15)</v>
      </c>
      <c r="M343" s="83"/>
      <c r="N343" s="84" t="str">
        <f t="shared" si="82"/>
        <v/>
      </c>
      <c r="O343" s="20" t="str">
        <f t="shared" si="83"/>
        <v/>
      </c>
      <c r="P343" s="64" t="str">
        <f t="shared" si="84"/>
        <v/>
      </c>
      <c r="Q343" s="85" t="str">
        <f t="shared" ca="1" si="85"/>
        <v/>
      </c>
      <c r="R343" s="86" t="str">
        <f t="shared" si="86"/>
        <v/>
      </c>
      <c r="S343" s="86" t="str">
        <f t="shared" si="87"/>
        <v/>
      </c>
      <c r="T343" s="104" t="str">
        <f t="shared" si="88"/>
        <v/>
      </c>
      <c r="U343" s="19" t="str">
        <f>IF(AND(M343&lt;&gt;"",M343&lt;&gt;0), IF(E343 = "Muni", T343, IF(E343="Corp", T343*(1 -'Investor Input'!$C$4-'Investor Input'!$C$5), T343*(1 -'Investor Input'!$C$4))), T343)</f>
        <v/>
      </c>
      <c r="V343" s="84" t="str">
        <f t="shared" si="89"/>
        <v/>
      </c>
      <c r="W343" s="84" t="str">
        <f t="shared" si="75"/>
        <v/>
      </c>
      <c r="X343" s="21" t="str">
        <f t="shared" si="76"/>
        <v/>
      </c>
      <c r="Y343" s="60" t="str">
        <f t="shared" si="77"/>
        <v/>
      </c>
      <c r="Z343" s="60" t="str">
        <f t="shared" si="78"/>
        <v/>
      </c>
      <c r="AA343" s="64" t="str">
        <f t="shared" si="79"/>
        <v/>
      </c>
      <c r="AB343" s="64" t="str">
        <f>IF(AND(AA343&lt;&gt;"",AA343&lt;&gt;0), IF(E343="Muni", AA343, IF(E343 = "Corp", (1-'Investor Input'!$C$4-'Investor Input'!$C$5)*AA343, (1-'Investor Input'!$C$4)*AA343)), AA343)</f>
        <v/>
      </c>
      <c r="AC343" s="94" t="str">
        <f t="shared" si="80"/>
        <v/>
      </c>
      <c r="AD343" s="60" t="str">
        <f>IF(AND(M343&lt;&gt;"", M343&lt;&gt;0), N343/$N$505*MATCH(AC343,'Misc Lists'!$K$2:$K$25,0), "")</f>
        <v/>
      </c>
      <c r="AE343" s="90" t="str">
        <f t="shared" si="81"/>
        <v/>
      </c>
      <c r="AF343" s="99" t="str">
        <f>IF(AND(M343&lt;&gt;"", M343&lt;&gt;0), N343/$N$505*MATCH(AE343,'Misc Lists'!$L$2:$L$25,0), "")</f>
        <v/>
      </c>
    </row>
    <row r="344" spans="2:32" hidden="1" outlineLevel="1" x14ac:dyDescent="0.5">
      <c r="B344" s="60" t="str">
        <f ca="1"/>
        <v>854502AH4</v>
      </c>
      <c r="C344" s="61" t="str">
        <f ca="1"/>
        <v>N/A</v>
      </c>
      <c r="D344" s="60" t="str">
        <f ca="1"/>
        <v>STANLEY BLACK &amp;DECKER INC NOTE    4.25000% 11/15/2028 CALL MAKE WHOLE</v>
      </c>
      <c r="E344" s="61" t="str">
        <f ca="1"/>
        <v>Corp</v>
      </c>
      <c r="F344" s="62">
        <f ca="1"/>
        <v>4.25</v>
      </c>
      <c r="G344" s="63">
        <f ca="1"/>
        <v>47072</v>
      </c>
      <c r="H344" s="61" t="str">
        <f ca="1"/>
        <v>BAA3</v>
      </c>
      <c r="I344" s="61" t="str">
        <f ca="1"/>
        <v>A-</v>
      </c>
      <c r="J344" s="64">
        <f ca="1"/>
        <v>98.936999999999998</v>
      </c>
      <c r="K344" s="17">
        <f ca="1"/>
        <v>4.5659999999999998</v>
      </c>
      <c r="L344" s="17" t="str">
        <f ca="1"/>
        <v>500(2)</v>
      </c>
      <c r="M344" s="83"/>
      <c r="N344" s="84" t="str">
        <f t="shared" si="82"/>
        <v/>
      </c>
      <c r="O344" s="20" t="str">
        <f t="shared" si="83"/>
        <v/>
      </c>
      <c r="P344" s="64" t="str">
        <f t="shared" si="84"/>
        <v/>
      </c>
      <c r="Q344" s="85" t="str">
        <f t="shared" ca="1" si="85"/>
        <v/>
      </c>
      <c r="R344" s="86" t="str">
        <f t="shared" si="86"/>
        <v/>
      </c>
      <c r="S344" s="86" t="str">
        <f t="shared" si="87"/>
        <v/>
      </c>
      <c r="T344" s="104" t="str">
        <f t="shared" si="88"/>
        <v/>
      </c>
      <c r="U344" s="19" t="str">
        <f>IF(AND(M344&lt;&gt;"",M344&lt;&gt;0), IF(E344 = "Muni", T344, IF(E344="Corp", T344*(1 -'Investor Input'!$C$4-'Investor Input'!$C$5), T344*(1 -'Investor Input'!$C$4))), T344)</f>
        <v/>
      </c>
      <c r="V344" s="84" t="str">
        <f t="shared" si="89"/>
        <v/>
      </c>
      <c r="W344" s="84" t="str">
        <f t="shared" si="75"/>
        <v/>
      </c>
      <c r="X344" s="21" t="str">
        <f t="shared" si="76"/>
        <v/>
      </c>
      <c r="Y344" s="60" t="str">
        <f t="shared" si="77"/>
        <v/>
      </c>
      <c r="Z344" s="60" t="str">
        <f t="shared" si="78"/>
        <v/>
      </c>
      <c r="AA344" s="64" t="str">
        <f t="shared" si="79"/>
        <v/>
      </c>
      <c r="AB344" s="64" t="str">
        <f>IF(AND(AA344&lt;&gt;"",AA344&lt;&gt;0), IF(E344="Muni", AA344, IF(E344 = "Corp", (1-'Investor Input'!$C$4-'Investor Input'!$C$5)*AA344, (1-'Investor Input'!$C$4)*AA344)), AA344)</f>
        <v/>
      </c>
      <c r="AC344" s="94" t="str">
        <f t="shared" si="80"/>
        <v/>
      </c>
      <c r="AD344" s="60" t="str">
        <f>IF(AND(M344&lt;&gt;"", M344&lt;&gt;0), N344/$N$505*MATCH(AC344,'Misc Lists'!$K$2:$K$25,0), "")</f>
        <v/>
      </c>
      <c r="AE344" s="90" t="str">
        <f t="shared" si="81"/>
        <v/>
      </c>
      <c r="AF344" s="99" t="str">
        <f>IF(AND(M344&lt;&gt;"", M344&lt;&gt;0), N344/$N$505*MATCH(AE344,'Misc Lists'!$L$2:$L$25,0), "")</f>
        <v/>
      </c>
    </row>
    <row r="345" spans="2:32" hidden="1" outlineLevel="1" x14ac:dyDescent="0.5">
      <c r="B345" s="60" t="str">
        <f ca="1"/>
        <v>74456QCB0</v>
      </c>
      <c r="C345" s="61" t="str">
        <f ca="1"/>
        <v>N/A</v>
      </c>
      <c r="D345" s="60" t="str">
        <f ca="1"/>
        <v>PUBLIC SVC ELEC &amp;GASCO SER N BOND       2.45000% 01/15/2030 CALL MAKE WHOLE</v>
      </c>
      <c r="E345" s="61" t="str">
        <f ca="1"/>
        <v>Corp</v>
      </c>
      <c r="F345" s="62">
        <f ca="1"/>
        <v>2.4500000000000002</v>
      </c>
      <c r="G345" s="63">
        <f ca="1"/>
        <v>47498</v>
      </c>
      <c r="H345" s="61" t="str">
        <f ca="1"/>
        <v>A1</v>
      </c>
      <c r="I345" s="61" t="str">
        <f ca="1"/>
        <v>A</v>
      </c>
      <c r="J345" s="64">
        <f ca="1"/>
        <v>90.896000000000001</v>
      </c>
      <c r="K345" s="17">
        <f ca="1"/>
        <v>4.5659999999999998</v>
      </c>
      <c r="L345" s="17" t="str">
        <f ca="1"/>
        <v>500(2)</v>
      </c>
      <c r="M345" s="83"/>
      <c r="N345" s="84" t="str">
        <f t="shared" si="82"/>
        <v/>
      </c>
      <c r="O345" s="20" t="str">
        <f t="shared" si="83"/>
        <v/>
      </c>
      <c r="P345" s="64" t="str">
        <f t="shared" si="84"/>
        <v/>
      </c>
      <c r="Q345" s="85" t="str">
        <f t="shared" ca="1" si="85"/>
        <v/>
      </c>
      <c r="R345" s="86" t="str">
        <f t="shared" si="86"/>
        <v/>
      </c>
      <c r="S345" s="86" t="str">
        <f t="shared" si="87"/>
        <v/>
      </c>
      <c r="T345" s="104" t="str">
        <f t="shared" si="88"/>
        <v/>
      </c>
      <c r="U345" s="19" t="str">
        <f>IF(AND(M345&lt;&gt;"",M345&lt;&gt;0), IF(E345 = "Muni", T345, IF(E345="Corp", T345*(1 -'Investor Input'!$C$4-'Investor Input'!$C$5), T345*(1 -'Investor Input'!$C$4))), T345)</f>
        <v/>
      </c>
      <c r="V345" s="84" t="str">
        <f t="shared" si="89"/>
        <v/>
      </c>
      <c r="W345" s="84" t="str">
        <f t="shared" si="75"/>
        <v/>
      </c>
      <c r="X345" s="21" t="str">
        <f t="shared" si="76"/>
        <v/>
      </c>
      <c r="Y345" s="60" t="str">
        <f t="shared" si="77"/>
        <v/>
      </c>
      <c r="Z345" s="60" t="str">
        <f t="shared" si="78"/>
        <v/>
      </c>
      <c r="AA345" s="64" t="str">
        <f t="shared" si="79"/>
        <v/>
      </c>
      <c r="AB345" s="64" t="str">
        <f>IF(AND(AA345&lt;&gt;"",AA345&lt;&gt;0), IF(E345="Muni", AA345, IF(E345 = "Corp", (1-'Investor Input'!$C$4-'Investor Input'!$C$5)*AA345, (1-'Investor Input'!$C$4)*AA345)), AA345)</f>
        <v/>
      </c>
      <c r="AC345" s="94" t="str">
        <f t="shared" si="80"/>
        <v/>
      </c>
      <c r="AD345" s="60" t="str">
        <f>IF(AND(M345&lt;&gt;"", M345&lt;&gt;0), N345/$N$505*MATCH(AC345,'Misc Lists'!$K$2:$K$25,0), "")</f>
        <v/>
      </c>
      <c r="AE345" s="90" t="str">
        <f t="shared" si="81"/>
        <v/>
      </c>
      <c r="AF345" s="99" t="str">
        <f>IF(AND(M345&lt;&gt;"", M345&lt;&gt;0), N345/$N$505*MATCH(AE345,'Misc Lists'!$L$2:$L$25,0), "")</f>
        <v/>
      </c>
    </row>
    <row r="346" spans="2:32" hidden="1" outlineLevel="1" x14ac:dyDescent="0.5">
      <c r="B346" s="60" t="str">
        <f ca="1"/>
        <v>209111FJ7</v>
      </c>
      <c r="C346" s="61" t="str">
        <f ca="1"/>
        <v>N/A</v>
      </c>
      <c r="D346" s="60" t="str">
        <f ca="1"/>
        <v>CONSOLIDATED EDISON CO N Y INC          2.90000% 12/01/2026 SER 2016 B BOND     CALL MAKE WHOLE</v>
      </c>
      <c r="E346" s="61" t="str">
        <f ca="1"/>
        <v>Corp</v>
      </c>
      <c r="F346" s="62">
        <f ca="1"/>
        <v>2.9</v>
      </c>
      <c r="G346" s="63">
        <f ca="1"/>
        <v>46357</v>
      </c>
      <c r="H346" s="61" t="str">
        <f ca="1"/>
        <v>A3</v>
      </c>
      <c r="I346" s="61" t="str">
        <f ca="1"/>
        <v>A-</v>
      </c>
      <c r="J346" s="64">
        <f ca="1"/>
        <v>97.272999999999996</v>
      </c>
      <c r="K346" s="17">
        <f ca="1"/>
        <v>4.5650000000000004</v>
      </c>
      <c r="L346" s="17" t="str">
        <f ca="1"/>
        <v>25(10)</v>
      </c>
      <c r="M346" s="83"/>
      <c r="N346" s="84" t="str">
        <f t="shared" si="82"/>
        <v/>
      </c>
      <c r="O346" s="20" t="str">
        <f t="shared" si="83"/>
        <v/>
      </c>
      <c r="P346" s="64" t="str">
        <f t="shared" si="84"/>
        <v/>
      </c>
      <c r="Q346" s="85" t="str">
        <f t="shared" ca="1" si="85"/>
        <v/>
      </c>
      <c r="R346" s="86" t="str">
        <f t="shared" si="86"/>
        <v/>
      </c>
      <c r="S346" s="86" t="str">
        <f t="shared" si="87"/>
        <v/>
      </c>
      <c r="T346" s="104" t="str">
        <f t="shared" si="88"/>
        <v/>
      </c>
      <c r="U346" s="19" t="str">
        <f>IF(AND(M346&lt;&gt;"",M346&lt;&gt;0), IF(E346 = "Muni", T346, IF(E346="Corp", T346*(1 -'Investor Input'!$C$4-'Investor Input'!$C$5), T346*(1 -'Investor Input'!$C$4))), T346)</f>
        <v/>
      </c>
      <c r="V346" s="84" t="str">
        <f t="shared" si="89"/>
        <v/>
      </c>
      <c r="W346" s="84" t="str">
        <f t="shared" si="75"/>
        <v/>
      </c>
      <c r="X346" s="21" t="str">
        <f t="shared" si="76"/>
        <v/>
      </c>
      <c r="Y346" s="60" t="str">
        <f t="shared" si="77"/>
        <v/>
      </c>
      <c r="Z346" s="60" t="str">
        <f t="shared" si="78"/>
        <v/>
      </c>
      <c r="AA346" s="64" t="str">
        <f t="shared" si="79"/>
        <v/>
      </c>
      <c r="AB346" s="64" t="str">
        <f>IF(AND(AA346&lt;&gt;"",AA346&lt;&gt;0), IF(E346="Muni", AA346, IF(E346 = "Corp", (1-'Investor Input'!$C$4-'Investor Input'!$C$5)*AA346, (1-'Investor Input'!$C$4)*AA346)), AA346)</f>
        <v/>
      </c>
      <c r="AC346" s="94" t="str">
        <f t="shared" si="80"/>
        <v/>
      </c>
      <c r="AD346" s="60" t="str">
        <f>IF(AND(M346&lt;&gt;"", M346&lt;&gt;0), N346/$N$505*MATCH(AC346,'Misc Lists'!$K$2:$K$25,0), "")</f>
        <v/>
      </c>
      <c r="AE346" s="90" t="str">
        <f t="shared" si="81"/>
        <v/>
      </c>
      <c r="AF346" s="99" t="str">
        <f>IF(AND(M346&lt;&gt;"", M346&lt;&gt;0), N346/$N$505*MATCH(AE346,'Misc Lists'!$L$2:$L$25,0), "")</f>
        <v/>
      </c>
    </row>
    <row r="347" spans="2:32" hidden="1" outlineLevel="1" x14ac:dyDescent="0.5">
      <c r="B347" s="60" t="str">
        <f ca="1"/>
        <v>15189XBD9</v>
      </c>
      <c r="C347" s="61" t="str">
        <f ca="1"/>
        <v>N/A</v>
      </c>
      <c r="D347" s="60" t="str">
        <f ca="1"/>
        <v>CENTERPOINT ENERGY  HOUSTON ELE SER AM  5.20000% 10/01/2028 BOND CALL MAKE WHOLE</v>
      </c>
      <c r="E347" s="61" t="str">
        <f ca="1"/>
        <v>Corp</v>
      </c>
      <c r="F347" s="62">
        <f ca="1"/>
        <v>5.2</v>
      </c>
      <c r="G347" s="63">
        <f ca="1"/>
        <v>47027</v>
      </c>
      <c r="H347" s="61" t="str">
        <f ca="1"/>
        <v>A2</v>
      </c>
      <c r="I347" s="61" t="str">
        <f ca="1"/>
        <v>A</v>
      </c>
      <c r="J347" s="64">
        <f ca="1"/>
        <v>102.059</v>
      </c>
      <c r="K347" s="17">
        <f ca="1"/>
        <v>4.5650000000000004</v>
      </c>
      <c r="L347" s="17" t="str">
        <f ca="1"/>
        <v>200(2)</v>
      </c>
      <c r="M347" s="83"/>
      <c r="N347" s="84" t="str">
        <f t="shared" si="82"/>
        <v/>
      </c>
      <c r="O347" s="20" t="str">
        <f t="shared" si="83"/>
        <v/>
      </c>
      <c r="P347" s="64" t="str">
        <f t="shared" si="84"/>
        <v/>
      </c>
      <c r="Q347" s="85" t="str">
        <f t="shared" ca="1" si="85"/>
        <v/>
      </c>
      <c r="R347" s="86" t="str">
        <f t="shared" si="86"/>
        <v/>
      </c>
      <c r="S347" s="86" t="str">
        <f t="shared" si="87"/>
        <v/>
      </c>
      <c r="T347" s="104" t="str">
        <f t="shared" si="88"/>
        <v/>
      </c>
      <c r="U347" s="19" t="str">
        <f>IF(AND(M347&lt;&gt;"",M347&lt;&gt;0), IF(E347 = "Muni", T347, IF(E347="Corp", T347*(1 -'Investor Input'!$C$4-'Investor Input'!$C$5), T347*(1 -'Investor Input'!$C$4))), T347)</f>
        <v/>
      </c>
      <c r="V347" s="84" t="str">
        <f t="shared" si="89"/>
        <v/>
      </c>
      <c r="W347" s="84" t="str">
        <f t="shared" si="75"/>
        <v/>
      </c>
      <c r="X347" s="21" t="str">
        <f t="shared" si="76"/>
        <v/>
      </c>
      <c r="Y347" s="60" t="str">
        <f t="shared" si="77"/>
        <v/>
      </c>
      <c r="Z347" s="60" t="str">
        <f t="shared" si="78"/>
        <v/>
      </c>
      <c r="AA347" s="64" t="str">
        <f t="shared" si="79"/>
        <v/>
      </c>
      <c r="AB347" s="64" t="str">
        <f>IF(AND(AA347&lt;&gt;"",AA347&lt;&gt;0), IF(E347="Muni", AA347, IF(E347 = "Corp", (1-'Investor Input'!$C$4-'Investor Input'!$C$5)*AA347, (1-'Investor Input'!$C$4)*AA347)), AA347)</f>
        <v/>
      </c>
      <c r="AC347" s="94" t="str">
        <f t="shared" si="80"/>
        <v/>
      </c>
      <c r="AD347" s="60" t="str">
        <f>IF(AND(M347&lt;&gt;"", M347&lt;&gt;0), N347/$N$505*MATCH(AC347,'Misc Lists'!$K$2:$K$25,0), "")</f>
        <v/>
      </c>
      <c r="AE347" s="90" t="str">
        <f t="shared" si="81"/>
        <v/>
      </c>
      <c r="AF347" s="99" t="str">
        <f>IF(AND(M347&lt;&gt;"", M347&lt;&gt;0), N347/$N$505*MATCH(AE347,'Misc Lists'!$L$2:$L$25,0), "")</f>
        <v/>
      </c>
    </row>
    <row r="348" spans="2:32" hidden="1" outlineLevel="1" x14ac:dyDescent="0.5">
      <c r="B348" s="60" t="str">
        <f ca="1"/>
        <v>20030NCT6</v>
      </c>
      <c r="C348" s="61" t="str">
        <f ca="1"/>
        <v>N/A</v>
      </c>
      <c r="D348" s="60" t="str">
        <f ca="1"/>
        <v>COMCAST CORP NEW    NOTE CALL MAKE WHOLE4.15000% 10/15/2028</v>
      </c>
      <c r="E348" s="61" t="str">
        <f ca="1"/>
        <v>Corp</v>
      </c>
      <c r="F348" s="62">
        <f ca="1"/>
        <v>4.1500000000000004</v>
      </c>
      <c r="G348" s="63">
        <f ca="1"/>
        <v>47041</v>
      </c>
      <c r="H348" s="61" t="str">
        <f ca="1"/>
        <v>A3</v>
      </c>
      <c r="I348" s="61" t="str">
        <f ca="1"/>
        <v>A-</v>
      </c>
      <c r="J348" s="64">
        <f ca="1"/>
        <v>98.635999999999996</v>
      </c>
      <c r="K348" s="17">
        <f ca="1"/>
        <v>4.5650000000000004</v>
      </c>
      <c r="L348" s="17" t="str">
        <f ca="1"/>
        <v>500(2)</v>
      </c>
      <c r="M348" s="83"/>
      <c r="N348" s="84" t="str">
        <f t="shared" si="82"/>
        <v/>
      </c>
      <c r="O348" s="20" t="str">
        <f t="shared" si="83"/>
        <v/>
      </c>
      <c r="P348" s="64" t="str">
        <f t="shared" si="84"/>
        <v/>
      </c>
      <c r="Q348" s="85" t="str">
        <f t="shared" ca="1" si="85"/>
        <v/>
      </c>
      <c r="R348" s="86" t="str">
        <f t="shared" si="86"/>
        <v/>
      </c>
      <c r="S348" s="86" t="str">
        <f t="shared" si="87"/>
        <v/>
      </c>
      <c r="T348" s="104" t="str">
        <f t="shared" si="88"/>
        <v/>
      </c>
      <c r="U348" s="19" t="str">
        <f>IF(AND(M348&lt;&gt;"",M348&lt;&gt;0), IF(E348 = "Muni", T348, IF(E348="Corp", T348*(1 -'Investor Input'!$C$4-'Investor Input'!$C$5), T348*(1 -'Investor Input'!$C$4))), T348)</f>
        <v/>
      </c>
      <c r="V348" s="84" t="str">
        <f t="shared" si="89"/>
        <v/>
      </c>
      <c r="W348" s="84" t="str">
        <f t="shared" si="75"/>
        <v/>
      </c>
      <c r="X348" s="21" t="str">
        <f t="shared" si="76"/>
        <v/>
      </c>
      <c r="Y348" s="60" t="str">
        <f t="shared" si="77"/>
        <v/>
      </c>
      <c r="Z348" s="60" t="str">
        <f t="shared" si="78"/>
        <v/>
      </c>
      <c r="AA348" s="64" t="str">
        <f t="shared" si="79"/>
        <v/>
      </c>
      <c r="AB348" s="64" t="str">
        <f>IF(AND(AA348&lt;&gt;"",AA348&lt;&gt;0), IF(E348="Muni", AA348, IF(E348 = "Corp", (1-'Investor Input'!$C$4-'Investor Input'!$C$5)*AA348, (1-'Investor Input'!$C$4)*AA348)), AA348)</f>
        <v/>
      </c>
      <c r="AC348" s="94" t="str">
        <f t="shared" si="80"/>
        <v/>
      </c>
      <c r="AD348" s="60" t="str">
        <f>IF(AND(M348&lt;&gt;"", M348&lt;&gt;0), N348/$N$505*MATCH(AC348,'Misc Lists'!$K$2:$K$25,0), "")</f>
        <v/>
      </c>
      <c r="AE348" s="90" t="str">
        <f t="shared" si="81"/>
        <v/>
      </c>
      <c r="AF348" s="99" t="str">
        <f>IF(AND(M348&lt;&gt;"", M348&lt;&gt;0), N348/$N$505*MATCH(AE348,'Misc Lists'!$L$2:$L$25,0), "")</f>
        <v/>
      </c>
    </row>
    <row r="349" spans="2:32" hidden="1" outlineLevel="1" x14ac:dyDescent="0.5">
      <c r="B349" s="60" t="str">
        <f ca="1"/>
        <v>976843BQ4</v>
      </c>
      <c r="C349" s="61" t="str">
        <f ca="1"/>
        <v>N/A</v>
      </c>
      <c r="D349" s="60" t="str">
        <f ca="1"/>
        <v>WISCONSIN PUB SVC   CORP NOTE           4.55000% 12/01/2029 CALL MAKE WHOLE</v>
      </c>
      <c r="E349" s="61" t="str">
        <f ca="1"/>
        <v>Corp</v>
      </c>
      <c r="F349" s="62">
        <f ca="1"/>
        <v>4.55</v>
      </c>
      <c r="G349" s="63">
        <f ca="1"/>
        <v>47453</v>
      </c>
      <c r="H349" s="61" t="str">
        <f ca="1"/>
        <v>A2</v>
      </c>
      <c r="I349" s="61" t="str">
        <f ca="1"/>
        <v>A-</v>
      </c>
      <c r="J349" s="64">
        <f ca="1"/>
        <v>99.932000000000002</v>
      </c>
      <c r="K349" s="17">
        <f ca="1"/>
        <v>4.5650000000000004</v>
      </c>
      <c r="L349" s="17" t="str">
        <f ca="1"/>
        <v>500(1)</v>
      </c>
      <c r="M349" s="83"/>
      <c r="N349" s="84" t="str">
        <f t="shared" si="82"/>
        <v/>
      </c>
      <c r="O349" s="20" t="str">
        <f t="shared" si="83"/>
        <v/>
      </c>
      <c r="P349" s="64" t="str">
        <f t="shared" si="84"/>
        <v/>
      </c>
      <c r="Q349" s="85" t="str">
        <f t="shared" ca="1" si="85"/>
        <v/>
      </c>
      <c r="R349" s="86" t="str">
        <f t="shared" si="86"/>
        <v/>
      </c>
      <c r="S349" s="86" t="str">
        <f t="shared" si="87"/>
        <v/>
      </c>
      <c r="T349" s="104" t="str">
        <f t="shared" si="88"/>
        <v/>
      </c>
      <c r="U349" s="19" t="str">
        <f>IF(AND(M349&lt;&gt;"",M349&lt;&gt;0), IF(E349 = "Muni", T349, IF(E349="Corp", T349*(1 -'Investor Input'!$C$4-'Investor Input'!$C$5), T349*(1 -'Investor Input'!$C$4))), T349)</f>
        <v/>
      </c>
      <c r="V349" s="84" t="str">
        <f t="shared" si="89"/>
        <v/>
      </c>
      <c r="W349" s="84" t="str">
        <f t="shared" si="75"/>
        <v/>
      </c>
      <c r="X349" s="21" t="str">
        <f t="shared" si="76"/>
        <v/>
      </c>
      <c r="Y349" s="60" t="str">
        <f t="shared" si="77"/>
        <v/>
      </c>
      <c r="Z349" s="60" t="str">
        <f t="shared" si="78"/>
        <v/>
      </c>
      <c r="AA349" s="64" t="str">
        <f t="shared" si="79"/>
        <v/>
      </c>
      <c r="AB349" s="64" t="str">
        <f>IF(AND(AA349&lt;&gt;"",AA349&lt;&gt;0), IF(E349="Muni", AA349, IF(E349 = "Corp", (1-'Investor Input'!$C$4-'Investor Input'!$C$5)*AA349, (1-'Investor Input'!$C$4)*AA349)), AA349)</f>
        <v/>
      </c>
      <c r="AC349" s="94" t="str">
        <f t="shared" si="80"/>
        <v/>
      </c>
      <c r="AD349" s="60" t="str">
        <f>IF(AND(M349&lt;&gt;"", M349&lt;&gt;0), N349/$N$505*MATCH(AC349,'Misc Lists'!$K$2:$K$25,0), "")</f>
        <v/>
      </c>
      <c r="AE349" s="90" t="str">
        <f t="shared" si="81"/>
        <v/>
      </c>
      <c r="AF349" s="99" t="str">
        <f>IF(AND(M349&lt;&gt;"", M349&lt;&gt;0), N349/$N$505*MATCH(AE349,'Misc Lists'!$L$2:$L$25,0), "")</f>
        <v/>
      </c>
    </row>
    <row r="350" spans="2:32" hidden="1" outlineLevel="1" x14ac:dyDescent="0.5">
      <c r="B350" s="60" t="str">
        <f ca="1"/>
        <v>29364WAW8</v>
      </c>
      <c r="C350" s="61" t="str">
        <f ca="1"/>
        <v>N/A</v>
      </c>
      <c r="D350" s="60" t="str">
        <f ca="1"/>
        <v>ENTERGY LA LLC      BOND CALL MAKE WHOLE3.25000% 04/01/2028</v>
      </c>
      <c r="E350" s="61" t="str">
        <f ca="1"/>
        <v>Corp</v>
      </c>
      <c r="F350" s="62">
        <f ca="1"/>
        <v>3.25</v>
      </c>
      <c r="G350" s="63">
        <f ca="1"/>
        <v>46844</v>
      </c>
      <c r="H350" s="61" t="str">
        <f ca="1"/>
        <v>A2</v>
      </c>
      <c r="I350" s="61" t="str">
        <f ca="1"/>
        <v>A</v>
      </c>
      <c r="J350" s="64">
        <f ca="1"/>
        <v>96.293000000000006</v>
      </c>
      <c r="K350" s="17">
        <f ca="1"/>
        <v>4.5640000000000001</v>
      </c>
      <c r="L350" s="17" t="str">
        <f ca="1"/>
        <v>600(1)</v>
      </c>
      <c r="M350" s="83"/>
      <c r="N350" s="84" t="str">
        <f t="shared" si="82"/>
        <v/>
      </c>
      <c r="O350" s="20" t="str">
        <f t="shared" si="83"/>
        <v/>
      </c>
      <c r="P350" s="64" t="str">
        <f t="shared" si="84"/>
        <v/>
      </c>
      <c r="Q350" s="85" t="str">
        <f t="shared" ca="1" si="85"/>
        <v/>
      </c>
      <c r="R350" s="86" t="str">
        <f t="shared" si="86"/>
        <v/>
      </c>
      <c r="S350" s="86" t="str">
        <f t="shared" si="87"/>
        <v/>
      </c>
      <c r="T350" s="104" t="str">
        <f t="shared" si="88"/>
        <v/>
      </c>
      <c r="U350" s="19" t="str">
        <f>IF(AND(M350&lt;&gt;"",M350&lt;&gt;0), IF(E350 = "Muni", T350, IF(E350="Corp", T350*(1 -'Investor Input'!$C$4-'Investor Input'!$C$5), T350*(1 -'Investor Input'!$C$4))), T350)</f>
        <v/>
      </c>
      <c r="V350" s="84" t="str">
        <f t="shared" si="89"/>
        <v/>
      </c>
      <c r="W350" s="84" t="str">
        <f t="shared" si="75"/>
        <v/>
      </c>
      <c r="X350" s="21" t="str">
        <f t="shared" si="76"/>
        <v/>
      </c>
      <c r="Y350" s="60" t="str">
        <f t="shared" si="77"/>
        <v/>
      </c>
      <c r="Z350" s="60" t="str">
        <f t="shared" si="78"/>
        <v/>
      </c>
      <c r="AA350" s="64" t="str">
        <f t="shared" si="79"/>
        <v/>
      </c>
      <c r="AB350" s="64" t="str">
        <f>IF(AND(AA350&lt;&gt;"",AA350&lt;&gt;0), IF(E350="Muni", AA350, IF(E350 = "Corp", (1-'Investor Input'!$C$4-'Investor Input'!$C$5)*AA350, (1-'Investor Input'!$C$4)*AA350)), AA350)</f>
        <v/>
      </c>
      <c r="AC350" s="94" t="str">
        <f t="shared" si="80"/>
        <v/>
      </c>
      <c r="AD350" s="60" t="str">
        <f>IF(AND(M350&lt;&gt;"", M350&lt;&gt;0), N350/$N$505*MATCH(AC350,'Misc Lists'!$K$2:$K$25,0), "")</f>
        <v/>
      </c>
      <c r="AE350" s="90" t="str">
        <f t="shared" si="81"/>
        <v/>
      </c>
      <c r="AF350" s="99" t="str">
        <f>IF(AND(M350&lt;&gt;"", M350&lt;&gt;0), N350/$N$505*MATCH(AE350,'Misc Lists'!$L$2:$L$25,0), "")</f>
        <v/>
      </c>
    </row>
    <row r="351" spans="2:32" hidden="1" outlineLevel="1" x14ac:dyDescent="0.5">
      <c r="B351" s="60" t="str">
        <f ca="1"/>
        <v>00287YDS5</v>
      </c>
      <c r="C351" s="61" t="str">
        <f ca="1"/>
        <v>N/A</v>
      </c>
      <c r="D351" s="60" t="str">
        <f ca="1"/>
        <v>ABBVIE INC          NOTE CALL MAKE WHOLE4.80000% 03/15/2029</v>
      </c>
      <c r="E351" s="61" t="str">
        <f ca="1"/>
        <v>Corp</v>
      </c>
      <c r="F351" s="62">
        <f ca="1"/>
        <v>4.8</v>
      </c>
      <c r="G351" s="63">
        <f ca="1"/>
        <v>47192</v>
      </c>
      <c r="H351" s="61" t="str">
        <f ca="1"/>
        <v>A3</v>
      </c>
      <c r="I351" s="61" t="str">
        <f ca="1"/>
        <v>A-</v>
      </c>
      <c r="J351" s="64">
        <f ca="1"/>
        <v>100.855</v>
      </c>
      <c r="K351" s="17">
        <f ca="1"/>
        <v>4.5640000000000001</v>
      </c>
      <c r="L351" s="17" t="str">
        <f ca="1"/>
        <v>500(2)</v>
      </c>
      <c r="M351" s="83"/>
      <c r="N351" s="84" t="str">
        <f t="shared" si="82"/>
        <v/>
      </c>
      <c r="O351" s="20" t="str">
        <f t="shared" si="83"/>
        <v/>
      </c>
      <c r="P351" s="64" t="str">
        <f t="shared" si="84"/>
        <v/>
      </c>
      <c r="Q351" s="85" t="str">
        <f t="shared" ca="1" si="85"/>
        <v/>
      </c>
      <c r="R351" s="86" t="str">
        <f t="shared" si="86"/>
        <v/>
      </c>
      <c r="S351" s="86" t="str">
        <f t="shared" si="87"/>
        <v/>
      </c>
      <c r="T351" s="104" t="str">
        <f t="shared" si="88"/>
        <v/>
      </c>
      <c r="U351" s="19" t="str">
        <f>IF(AND(M351&lt;&gt;"",M351&lt;&gt;0), IF(E351 = "Muni", T351, IF(E351="Corp", T351*(1 -'Investor Input'!$C$4-'Investor Input'!$C$5), T351*(1 -'Investor Input'!$C$4))), T351)</f>
        <v/>
      </c>
      <c r="V351" s="84" t="str">
        <f t="shared" si="89"/>
        <v/>
      </c>
      <c r="W351" s="84" t="str">
        <f t="shared" si="75"/>
        <v/>
      </c>
      <c r="X351" s="21" t="str">
        <f t="shared" si="76"/>
        <v/>
      </c>
      <c r="Y351" s="60" t="str">
        <f t="shared" si="77"/>
        <v/>
      </c>
      <c r="Z351" s="60" t="str">
        <f t="shared" si="78"/>
        <v/>
      </c>
      <c r="AA351" s="64" t="str">
        <f t="shared" si="79"/>
        <v/>
      </c>
      <c r="AB351" s="64" t="str">
        <f>IF(AND(AA351&lt;&gt;"",AA351&lt;&gt;0), IF(E351="Muni", AA351, IF(E351 = "Corp", (1-'Investor Input'!$C$4-'Investor Input'!$C$5)*AA351, (1-'Investor Input'!$C$4)*AA351)), AA351)</f>
        <v/>
      </c>
      <c r="AC351" s="94" t="str">
        <f t="shared" si="80"/>
        <v/>
      </c>
      <c r="AD351" s="60" t="str">
        <f>IF(AND(M351&lt;&gt;"", M351&lt;&gt;0), N351/$N$505*MATCH(AC351,'Misc Lists'!$K$2:$K$25,0), "")</f>
        <v/>
      </c>
      <c r="AE351" s="90" t="str">
        <f t="shared" si="81"/>
        <v/>
      </c>
      <c r="AF351" s="99" t="str">
        <f>IF(AND(M351&lt;&gt;"", M351&lt;&gt;0), N351/$N$505*MATCH(AE351,'Misc Lists'!$L$2:$L$25,0), "")</f>
        <v/>
      </c>
    </row>
    <row r="352" spans="2:32" hidden="1" outlineLevel="1" x14ac:dyDescent="0.5">
      <c r="B352" s="60" t="str">
        <f ca="1"/>
        <v>756109BY9</v>
      </c>
      <c r="C352" s="61" t="str">
        <f ca="1"/>
        <v>N/A</v>
      </c>
      <c r="D352" s="60" t="str">
        <f ca="1"/>
        <v>REALTY INCOME CORP  NOTE CALL MAKE WHOLE4.45000% 09/15/2026</v>
      </c>
      <c r="E352" s="61" t="str">
        <f ca="1"/>
        <v>Corp</v>
      </c>
      <c r="F352" s="62">
        <f ca="1"/>
        <v>4.45</v>
      </c>
      <c r="G352" s="63">
        <f ca="1"/>
        <v>46280</v>
      </c>
      <c r="H352" s="61" t="str">
        <f ca="1"/>
        <v>A3</v>
      </c>
      <c r="I352" s="61" t="str">
        <f ca="1"/>
        <v>A-</v>
      </c>
      <c r="J352" s="64">
        <f ca="1"/>
        <v>99.835999999999999</v>
      </c>
      <c r="K352" s="17">
        <f ca="1"/>
        <v>4.5629999999999997</v>
      </c>
      <c r="L352" s="17" t="str">
        <f ca="1"/>
        <v>50(10)</v>
      </c>
      <c r="M352" s="83"/>
      <c r="N352" s="84" t="str">
        <f t="shared" si="82"/>
        <v/>
      </c>
      <c r="O352" s="20" t="str">
        <f t="shared" si="83"/>
        <v/>
      </c>
      <c r="P352" s="64" t="str">
        <f t="shared" si="84"/>
        <v/>
      </c>
      <c r="Q352" s="85" t="str">
        <f t="shared" ca="1" si="85"/>
        <v/>
      </c>
      <c r="R352" s="86" t="str">
        <f t="shared" si="86"/>
        <v/>
      </c>
      <c r="S352" s="86" t="str">
        <f t="shared" si="87"/>
        <v/>
      </c>
      <c r="T352" s="104" t="str">
        <f t="shared" si="88"/>
        <v/>
      </c>
      <c r="U352" s="19" t="str">
        <f>IF(AND(M352&lt;&gt;"",M352&lt;&gt;0), IF(E352 = "Muni", T352, IF(E352="Corp", T352*(1 -'Investor Input'!$C$4-'Investor Input'!$C$5), T352*(1 -'Investor Input'!$C$4))), T352)</f>
        <v/>
      </c>
      <c r="V352" s="84" t="str">
        <f t="shared" si="89"/>
        <v/>
      </c>
      <c r="W352" s="84" t="str">
        <f t="shared" si="75"/>
        <v/>
      </c>
      <c r="X352" s="21" t="str">
        <f t="shared" si="76"/>
        <v/>
      </c>
      <c r="Y352" s="60" t="str">
        <f t="shared" si="77"/>
        <v/>
      </c>
      <c r="Z352" s="60" t="str">
        <f t="shared" si="78"/>
        <v/>
      </c>
      <c r="AA352" s="64" t="str">
        <f t="shared" si="79"/>
        <v/>
      </c>
      <c r="AB352" s="64" t="str">
        <f>IF(AND(AA352&lt;&gt;"",AA352&lt;&gt;0), IF(E352="Muni", AA352, IF(E352 = "Corp", (1-'Investor Input'!$C$4-'Investor Input'!$C$5)*AA352, (1-'Investor Input'!$C$4)*AA352)), AA352)</f>
        <v/>
      </c>
      <c r="AC352" s="94" t="str">
        <f t="shared" si="80"/>
        <v/>
      </c>
      <c r="AD352" s="60" t="str">
        <f>IF(AND(M352&lt;&gt;"", M352&lt;&gt;0), N352/$N$505*MATCH(AC352,'Misc Lists'!$K$2:$K$25,0), "")</f>
        <v/>
      </c>
      <c r="AE352" s="90" t="str">
        <f t="shared" si="81"/>
        <v/>
      </c>
      <c r="AF352" s="99" t="str">
        <f>IF(AND(M352&lt;&gt;"", M352&lt;&gt;0), N352/$N$505*MATCH(AE352,'Misc Lists'!$L$2:$L$25,0), "")</f>
        <v/>
      </c>
    </row>
    <row r="353" spans="2:32" hidden="1" outlineLevel="1" x14ac:dyDescent="0.5">
      <c r="B353" s="60" t="str">
        <f ca="1"/>
        <v>86562MBC3</v>
      </c>
      <c r="C353" s="61" t="str">
        <f ca="1"/>
        <v>N/A</v>
      </c>
      <c r="D353" s="60" t="str">
        <f ca="1"/>
        <v>SUMITOMO MITSUI     FINANCIAL GROUP INC 3.94400% 07/19/2028 NOTE</v>
      </c>
      <c r="E353" s="61" t="str">
        <f ca="1"/>
        <v>Corp</v>
      </c>
      <c r="F353" s="62">
        <f ca="1"/>
        <v>3.944</v>
      </c>
      <c r="G353" s="63">
        <f ca="1"/>
        <v>46953</v>
      </c>
      <c r="H353" s="61" t="str">
        <f ca="1"/>
        <v>A1</v>
      </c>
      <c r="I353" s="61" t="str">
        <f ca="1"/>
        <v>A-</v>
      </c>
      <c r="J353" s="64">
        <f ca="1"/>
        <v>98.09</v>
      </c>
      <c r="K353" s="17">
        <f ca="1"/>
        <v>4.5629999999999997</v>
      </c>
      <c r="L353" s="17" t="str">
        <f ca="1"/>
        <v>500(10)</v>
      </c>
      <c r="M353" s="83"/>
      <c r="N353" s="84" t="str">
        <f t="shared" si="82"/>
        <v/>
      </c>
      <c r="O353" s="20" t="str">
        <f t="shared" si="83"/>
        <v/>
      </c>
      <c r="P353" s="64" t="str">
        <f t="shared" si="84"/>
        <v/>
      </c>
      <c r="Q353" s="85" t="str">
        <f t="shared" ca="1" si="85"/>
        <v/>
      </c>
      <c r="R353" s="86" t="str">
        <f t="shared" si="86"/>
        <v/>
      </c>
      <c r="S353" s="86" t="str">
        <f t="shared" si="87"/>
        <v/>
      </c>
      <c r="T353" s="104" t="str">
        <f t="shared" si="88"/>
        <v/>
      </c>
      <c r="U353" s="19" t="str">
        <f>IF(AND(M353&lt;&gt;"",M353&lt;&gt;0), IF(E353 = "Muni", T353, IF(E353="Corp", T353*(1 -'Investor Input'!$C$4-'Investor Input'!$C$5), T353*(1 -'Investor Input'!$C$4))), T353)</f>
        <v/>
      </c>
      <c r="V353" s="84" t="str">
        <f t="shared" si="89"/>
        <v/>
      </c>
      <c r="W353" s="84" t="str">
        <f t="shared" si="75"/>
        <v/>
      </c>
      <c r="X353" s="21" t="str">
        <f t="shared" si="76"/>
        <v/>
      </c>
      <c r="Y353" s="60" t="str">
        <f t="shared" si="77"/>
        <v/>
      </c>
      <c r="Z353" s="60" t="str">
        <f t="shared" si="78"/>
        <v/>
      </c>
      <c r="AA353" s="64" t="str">
        <f t="shared" si="79"/>
        <v/>
      </c>
      <c r="AB353" s="64" t="str">
        <f>IF(AND(AA353&lt;&gt;"",AA353&lt;&gt;0), IF(E353="Muni", AA353, IF(E353 = "Corp", (1-'Investor Input'!$C$4-'Investor Input'!$C$5)*AA353, (1-'Investor Input'!$C$4)*AA353)), AA353)</f>
        <v/>
      </c>
      <c r="AC353" s="94" t="str">
        <f t="shared" si="80"/>
        <v/>
      </c>
      <c r="AD353" s="60" t="str">
        <f>IF(AND(M353&lt;&gt;"", M353&lt;&gt;0), N353/$N$505*MATCH(AC353,'Misc Lists'!$K$2:$K$25,0), "")</f>
        <v/>
      </c>
      <c r="AE353" s="90" t="str">
        <f t="shared" si="81"/>
        <v/>
      </c>
      <c r="AF353" s="99" t="str">
        <f>IF(AND(M353&lt;&gt;"", M353&lt;&gt;0), N353/$N$505*MATCH(AE353,'Misc Lists'!$L$2:$L$25,0), "")</f>
        <v/>
      </c>
    </row>
    <row r="354" spans="2:32" hidden="1" outlineLevel="1" x14ac:dyDescent="0.5">
      <c r="B354" s="60" t="str">
        <f ca="1"/>
        <v>055451BC1</v>
      </c>
      <c r="C354" s="61" t="str">
        <f ca="1"/>
        <v>N/A</v>
      </c>
      <c r="D354" s="60" t="str">
        <f ca="1"/>
        <v>BHP BILLITON FIN USALTD NOTE            5.10000% 09/08/2028 CALL MAKE WHOLE     ISIN #US055451BC11</v>
      </c>
      <c r="E354" s="61" t="str">
        <f ca="1"/>
        <v>Corp</v>
      </c>
      <c r="F354" s="62">
        <f ca="1"/>
        <v>5.0999999999999996</v>
      </c>
      <c r="G354" s="63">
        <f ca="1"/>
        <v>47004</v>
      </c>
      <c r="H354" s="61" t="str">
        <f ca="1"/>
        <v>A1</v>
      </c>
      <c r="I354" s="61" t="str">
        <f ca="1"/>
        <v>A-</v>
      </c>
      <c r="J354" s="64">
        <f ca="1"/>
        <v>101.715</v>
      </c>
      <c r="K354" s="17">
        <f ca="1"/>
        <v>4.5629999999999997</v>
      </c>
      <c r="L354" s="17" t="str">
        <f ca="1"/>
        <v>500(2)</v>
      </c>
      <c r="M354" s="83"/>
      <c r="N354" s="84" t="str">
        <f t="shared" si="82"/>
        <v/>
      </c>
      <c r="O354" s="20" t="str">
        <f t="shared" si="83"/>
        <v/>
      </c>
      <c r="P354" s="64" t="str">
        <f t="shared" si="84"/>
        <v/>
      </c>
      <c r="Q354" s="85" t="str">
        <f t="shared" ca="1" si="85"/>
        <v/>
      </c>
      <c r="R354" s="86" t="str">
        <f t="shared" si="86"/>
        <v/>
      </c>
      <c r="S354" s="86" t="str">
        <f t="shared" si="87"/>
        <v/>
      </c>
      <c r="T354" s="104" t="str">
        <f t="shared" si="88"/>
        <v/>
      </c>
      <c r="U354" s="19" t="str">
        <f>IF(AND(M354&lt;&gt;"",M354&lt;&gt;0), IF(E354 = "Muni", T354, IF(E354="Corp", T354*(1 -'Investor Input'!$C$4-'Investor Input'!$C$5), T354*(1 -'Investor Input'!$C$4))), T354)</f>
        <v/>
      </c>
      <c r="V354" s="84" t="str">
        <f t="shared" si="89"/>
        <v/>
      </c>
      <c r="W354" s="84" t="str">
        <f t="shared" si="75"/>
        <v/>
      </c>
      <c r="X354" s="21" t="str">
        <f t="shared" si="76"/>
        <v/>
      </c>
      <c r="Y354" s="60" t="str">
        <f t="shared" si="77"/>
        <v/>
      </c>
      <c r="Z354" s="60" t="str">
        <f t="shared" si="78"/>
        <v/>
      </c>
      <c r="AA354" s="64" t="str">
        <f t="shared" si="79"/>
        <v/>
      </c>
      <c r="AB354" s="64" t="str">
        <f>IF(AND(AA354&lt;&gt;"",AA354&lt;&gt;0), IF(E354="Muni", AA354, IF(E354 = "Corp", (1-'Investor Input'!$C$4-'Investor Input'!$C$5)*AA354, (1-'Investor Input'!$C$4)*AA354)), AA354)</f>
        <v/>
      </c>
      <c r="AC354" s="94" t="str">
        <f t="shared" si="80"/>
        <v/>
      </c>
      <c r="AD354" s="60" t="str">
        <f>IF(AND(M354&lt;&gt;"", M354&lt;&gt;0), N354/$N$505*MATCH(AC354,'Misc Lists'!$K$2:$K$25,0), "")</f>
        <v/>
      </c>
      <c r="AE354" s="90" t="str">
        <f t="shared" si="81"/>
        <v/>
      </c>
      <c r="AF354" s="99" t="str">
        <f>IF(AND(M354&lt;&gt;"", M354&lt;&gt;0), N354/$N$505*MATCH(AE354,'Misc Lists'!$L$2:$L$25,0), "")</f>
        <v/>
      </c>
    </row>
    <row r="355" spans="2:32" hidden="1" outlineLevel="1" x14ac:dyDescent="0.5">
      <c r="B355" s="60" t="str">
        <f ca="1"/>
        <v>822905AF2</v>
      </c>
      <c r="C355" s="61" t="str">
        <f ca="1"/>
        <v>N/A</v>
      </c>
      <c r="D355" s="60" t="str">
        <f ca="1"/>
        <v>SHELL FIN US INC    SER B NOTE          2.37500% 11/07/2029 CALL MAKE WHOLE</v>
      </c>
      <c r="E355" s="61" t="str">
        <f ca="1"/>
        <v>Corp</v>
      </c>
      <c r="F355" s="62">
        <f ca="1"/>
        <v>2.375</v>
      </c>
      <c r="G355" s="63">
        <f ca="1"/>
        <v>47429</v>
      </c>
      <c r="H355" s="61" t="str">
        <f ca="1"/>
        <v>AA2</v>
      </c>
      <c r="I355" s="61" t="str">
        <f ca="1"/>
        <v>A+</v>
      </c>
      <c r="J355" s="64">
        <f ca="1"/>
        <v>90.915999999999997</v>
      </c>
      <c r="K355" s="17">
        <f ca="1"/>
        <v>4.5629999999999997</v>
      </c>
      <c r="L355" s="17" t="str">
        <f ca="1"/>
        <v>500(1)</v>
      </c>
      <c r="M355" s="83"/>
      <c r="N355" s="84" t="str">
        <f t="shared" si="82"/>
        <v/>
      </c>
      <c r="O355" s="20" t="str">
        <f t="shared" si="83"/>
        <v/>
      </c>
      <c r="P355" s="64" t="str">
        <f t="shared" si="84"/>
        <v/>
      </c>
      <c r="Q355" s="85" t="str">
        <f t="shared" ca="1" si="85"/>
        <v/>
      </c>
      <c r="R355" s="86" t="str">
        <f t="shared" si="86"/>
        <v/>
      </c>
      <c r="S355" s="86" t="str">
        <f t="shared" si="87"/>
        <v/>
      </c>
      <c r="T355" s="104" t="str">
        <f t="shared" si="88"/>
        <v/>
      </c>
      <c r="U355" s="19" t="str">
        <f>IF(AND(M355&lt;&gt;"",M355&lt;&gt;0), IF(E355 = "Muni", T355, IF(E355="Corp", T355*(1 -'Investor Input'!$C$4-'Investor Input'!$C$5), T355*(1 -'Investor Input'!$C$4))), T355)</f>
        <v/>
      </c>
      <c r="V355" s="84" t="str">
        <f t="shared" si="89"/>
        <v/>
      </c>
      <c r="W355" s="84" t="str">
        <f t="shared" si="75"/>
        <v/>
      </c>
      <c r="X355" s="21" t="str">
        <f t="shared" si="76"/>
        <v/>
      </c>
      <c r="Y355" s="60" t="str">
        <f t="shared" si="77"/>
        <v/>
      </c>
      <c r="Z355" s="60" t="str">
        <f t="shared" si="78"/>
        <v/>
      </c>
      <c r="AA355" s="64" t="str">
        <f t="shared" si="79"/>
        <v/>
      </c>
      <c r="AB355" s="64" t="str">
        <f>IF(AND(AA355&lt;&gt;"",AA355&lt;&gt;0), IF(E355="Muni", AA355, IF(E355 = "Corp", (1-'Investor Input'!$C$4-'Investor Input'!$C$5)*AA355, (1-'Investor Input'!$C$4)*AA355)), AA355)</f>
        <v/>
      </c>
      <c r="AC355" s="94" t="str">
        <f t="shared" si="80"/>
        <v/>
      </c>
      <c r="AD355" s="60" t="str">
        <f>IF(AND(M355&lt;&gt;"", M355&lt;&gt;0), N355/$N$505*MATCH(AC355,'Misc Lists'!$K$2:$K$25,0), "")</f>
        <v/>
      </c>
      <c r="AE355" s="90" t="str">
        <f t="shared" si="81"/>
        <v/>
      </c>
      <c r="AF355" s="99" t="str">
        <f>IF(AND(M355&lt;&gt;"", M355&lt;&gt;0), N355/$N$505*MATCH(AE355,'Misc Lists'!$L$2:$L$25,0), "")</f>
        <v/>
      </c>
    </row>
    <row r="356" spans="2:32" hidden="1" outlineLevel="1" x14ac:dyDescent="0.5">
      <c r="B356" s="60" t="str">
        <f ca="1"/>
        <v>87612EBJ4</v>
      </c>
      <c r="C356" s="61" t="str">
        <f ca="1"/>
        <v>N/A</v>
      </c>
      <c r="D356" s="60" t="str">
        <f ca="1"/>
        <v>TARGET CORP         NOTE CALL MAKE WHOLE2.35000% 02/15/2030</v>
      </c>
      <c r="E356" s="61" t="str">
        <f ca="1"/>
        <v>Corp</v>
      </c>
      <c r="F356" s="62">
        <f ca="1"/>
        <v>2.35</v>
      </c>
      <c r="G356" s="63">
        <f ca="1"/>
        <v>47529</v>
      </c>
      <c r="H356" s="61" t="str">
        <f ca="1"/>
        <v>A2</v>
      </c>
      <c r="I356" s="61" t="str">
        <f ca="1"/>
        <v>A</v>
      </c>
      <c r="J356" s="64">
        <f ca="1"/>
        <v>90.334999999999994</v>
      </c>
      <c r="K356" s="17">
        <f ca="1"/>
        <v>4.5629999999999997</v>
      </c>
      <c r="L356" s="17" t="str">
        <f ca="1"/>
        <v>500(2)</v>
      </c>
      <c r="M356" s="83"/>
      <c r="N356" s="84" t="str">
        <f t="shared" si="82"/>
        <v/>
      </c>
      <c r="O356" s="20" t="str">
        <f t="shared" si="83"/>
        <v/>
      </c>
      <c r="P356" s="64" t="str">
        <f t="shared" si="84"/>
        <v/>
      </c>
      <c r="Q356" s="85" t="str">
        <f t="shared" ca="1" si="85"/>
        <v/>
      </c>
      <c r="R356" s="86" t="str">
        <f t="shared" si="86"/>
        <v/>
      </c>
      <c r="S356" s="86" t="str">
        <f t="shared" si="87"/>
        <v/>
      </c>
      <c r="T356" s="104" t="str">
        <f t="shared" si="88"/>
        <v/>
      </c>
      <c r="U356" s="19" t="str">
        <f>IF(AND(M356&lt;&gt;"",M356&lt;&gt;0), IF(E356 = "Muni", T356, IF(E356="Corp", T356*(1 -'Investor Input'!$C$4-'Investor Input'!$C$5), T356*(1 -'Investor Input'!$C$4))), T356)</f>
        <v/>
      </c>
      <c r="V356" s="84" t="str">
        <f t="shared" si="89"/>
        <v/>
      </c>
      <c r="W356" s="84" t="str">
        <f t="shared" si="75"/>
        <v/>
      </c>
      <c r="X356" s="21" t="str">
        <f t="shared" si="76"/>
        <v/>
      </c>
      <c r="Y356" s="60" t="str">
        <f t="shared" si="77"/>
        <v/>
      </c>
      <c r="Z356" s="60" t="str">
        <f t="shared" si="78"/>
        <v/>
      </c>
      <c r="AA356" s="64" t="str">
        <f t="shared" si="79"/>
        <v/>
      </c>
      <c r="AB356" s="64" t="str">
        <f>IF(AND(AA356&lt;&gt;"",AA356&lt;&gt;0), IF(E356="Muni", AA356, IF(E356 = "Corp", (1-'Investor Input'!$C$4-'Investor Input'!$C$5)*AA356, (1-'Investor Input'!$C$4)*AA356)), AA356)</f>
        <v/>
      </c>
      <c r="AC356" s="94" t="str">
        <f t="shared" si="80"/>
        <v/>
      </c>
      <c r="AD356" s="60" t="str">
        <f>IF(AND(M356&lt;&gt;"", M356&lt;&gt;0), N356/$N$505*MATCH(AC356,'Misc Lists'!$K$2:$K$25,0), "")</f>
        <v/>
      </c>
      <c r="AE356" s="90" t="str">
        <f t="shared" si="81"/>
        <v/>
      </c>
      <c r="AF356" s="99" t="str">
        <f>IF(AND(M356&lt;&gt;"", M356&lt;&gt;0), N356/$N$505*MATCH(AE356,'Misc Lists'!$L$2:$L$25,0), "")</f>
        <v/>
      </c>
    </row>
    <row r="357" spans="2:32" hidden="1" outlineLevel="1" x14ac:dyDescent="0.5">
      <c r="B357" s="60" t="str">
        <f ca="1"/>
        <v>17330RB61</v>
      </c>
      <c r="C357" s="61" t="str">
        <f ca="1"/>
        <v>N/A</v>
      </c>
      <c r="D357" s="60" t="str">
        <f ca="1"/>
        <v>CITIGROUP GLOBAL    MKTS HLDGS IN SER N 4.60000% 08/30/2027 MTN</v>
      </c>
      <c r="E357" s="61" t="str">
        <f ca="1"/>
        <v>Corp</v>
      </c>
      <c r="F357" s="62">
        <f ca="1"/>
        <v>4.5999999999999996</v>
      </c>
      <c r="G357" s="63">
        <f ca="1"/>
        <v>46629</v>
      </c>
      <c r="H357" s="61" t="str">
        <f ca="1"/>
        <v>A2</v>
      </c>
      <c r="I357" s="61" t="str">
        <f ca="1"/>
        <v>A</v>
      </c>
      <c r="J357" s="64">
        <f ca="1"/>
        <v>100.087</v>
      </c>
      <c r="K357" s="17">
        <f ca="1"/>
        <v>4.5620000000000003</v>
      </c>
      <c r="L357" s="17" t="str">
        <f ca="1"/>
        <v>5(5)</v>
      </c>
      <c r="M357" s="83"/>
      <c r="N357" s="84" t="str">
        <f t="shared" si="82"/>
        <v/>
      </c>
      <c r="O357" s="20" t="str">
        <f t="shared" si="83"/>
        <v/>
      </c>
      <c r="P357" s="64" t="str">
        <f t="shared" si="84"/>
        <v/>
      </c>
      <c r="Q357" s="85" t="str">
        <f t="shared" ca="1" si="85"/>
        <v/>
      </c>
      <c r="R357" s="86" t="str">
        <f t="shared" si="86"/>
        <v/>
      </c>
      <c r="S357" s="86" t="str">
        <f t="shared" si="87"/>
        <v/>
      </c>
      <c r="T357" s="104" t="str">
        <f t="shared" si="88"/>
        <v/>
      </c>
      <c r="U357" s="19" t="str">
        <f>IF(AND(M357&lt;&gt;"",M357&lt;&gt;0), IF(E357 = "Muni", T357, IF(E357="Corp", T357*(1 -'Investor Input'!$C$4-'Investor Input'!$C$5), T357*(1 -'Investor Input'!$C$4))), T357)</f>
        <v/>
      </c>
      <c r="V357" s="84" t="str">
        <f t="shared" si="89"/>
        <v/>
      </c>
      <c r="W357" s="84" t="str">
        <f t="shared" si="75"/>
        <v/>
      </c>
      <c r="X357" s="21" t="str">
        <f t="shared" si="76"/>
        <v/>
      </c>
      <c r="Y357" s="60" t="str">
        <f t="shared" si="77"/>
        <v/>
      </c>
      <c r="Z357" s="60" t="str">
        <f t="shared" si="78"/>
        <v/>
      </c>
      <c r="AA357" s="64" t="str">
        <f t="shared" si="79"/>
        <v/>
      </c>
      <c r="AB357" s="64" t="str">
        <f>IF(AND(AA357&lt;&gt;"",AA357&lt;&gt;0), IF(E357="Muni", AA357, IF(E357 = "Corp", (1-'Investor Input'!$C$4-'Investor Input'!$C$5)*AA357, (1-'Investor Input'!$C$4)*AA357)), AA357)</f>
        <v/>
      </c>
      <c r="AC357" s="94" t="str">
        <f t="shared" si="80"/>
        <v/>
      </c>
      <c r="AD357" s="60" t="str">
        <f>IF(AND(M357&lt;&gt;"", M357&lt;&gt;0), N357/$N$505*MATCH(AC357,'Misc Lists'!$K$2:$K$25,0), "")</f>
        <v/>
      </c>
      <c r="AE357" s="90" t="str">
        <f t="shared" si="81"/>
        <v/>
      </c>
      <c r="AF357" s="99" t="str">
        <f>IF(AND(M357&lt;&gt;"", M357&lt;&gt;0), N357/$N$505*MATCH(AE357,'Misc Lists'!$L$2:$L$25,0), "")</f>
        <v/>
      </c>
    </row>
    <row r="358" spans="2:32" hidden="1" outlineLevel="1" x14ac:dyDescent="0.5">
      <c r="B358" s="60" t="str">
        <f ca="1"/>
        <v>136375BD3</v>
      </c>
      <c r="C358" s="61" t="str">
        <f ca="1"/>
        <v>N/A</v>
      </c>
      <c r="D358" s="60" t="str">
        <f ca="1"/>
        <v>CANADIAN NATL RY CO NOTE CALL MAKE WHOLE6.90000% 07/15/2028</v>
      </c>
      <c r="E358" s="61" t="str">
        <f ca="1"/>
        <v>Corp</v>
      </c>
      <c r="F358" s="62">
        <f ca="1"/>
        <v>6.9</v>
      </c>
      <c r="G358" s="63">
        <f ca="1"/>
        <v>46949</v>
      </c>
      <c r="H358" s="61" t="str">
        <f ca="1"/>
        <v>A2</v>
      </c>
      <c r="I358" s="61" t="str">
        <f ca="1"/>
        <v>A-</v>
      </c>
      <c r="J358" s="64">
        <f ca="1"/>
        <v>107.16200000000001</v>
      </c>
      <c r="K358" s="17">
        <f ca="1"/>
        <v>4.5620000000000003</v>
      </c>
      <c r="L358" s="17" t="str">
        <f ca="1"/>
        <v>1,000(1)</v>
      </c>
      <c r="M358" s="83"/>
      <c r="N358" s="84" t="str">
        <f t="shared" si="82"/>
        <v/>
      </c>
      <c r="O358" s="20" t="str">
        <f t="shared" si="83"/>
        <v/>
      </c>
      <c r="P358" s="64" t="str">
        <f t="shared" si="84"/>
        <v/>
      </c>
      <c r="Q358" s="85" t="str">
        <f t="shared" ca="1" si="85"/>
        <v/>
      </c>
      <c r="R358" s="86" t="str">
        <f t="shared" si="86"/>
        <v/>
      </c>
      <c r="S358" s="86" t="str">
        <f t="shared" si="87"/>
        <v/>
      </c>
      <c r="T358" s="104" t="str">
        <f t="shared" si="88"/>
        <v/>
      </c>
      <c r="U358" s="19" t="str">
        <f>IF(AND(M358&lt;&gt;"",M358&lt;&gt;0), IF(E358 = "Muni", T358, IF(E358="Corp", T358*(1 -'Investor Input'!$C$4-'Investor Input'!$C$5), T358*(1 -'Investor Input'!$C$4))), T358)</f>
        <v/>
      </c>
      <c r="V358" s="84" t="str">
        <f t="shared" si="89"/>
        <v/>
      </c>
      <c r="W358" s="84" t="str">
        <f t="shared" si="75"/>
        <v/>
      </c>
      <c r="X358" s="21" t="str">
        <f t="shared" si="76"/>
        <v/>
      </c>
      <c r="Y358" s="60" t="str">
        <f t="shared" si="77"/>
        <v/>
      </c>
      <c r="Z358" s="60" t="str">
        <f t="shared" si="78"/>
        <v/>
      </c>
      <c r="AA358" s="64" t="str">
        <f t="shared" si="79"/>
        <v/>
      </c>
      <c r="AB358" s="64" t="str">
        <f>IF(AND(AA358&lt;&gt;"",AA358&lt;&gt;0), IF(E358="Muni", AA358, IF(E358 = "Corp", (1-'Investor Input'!$C$4-'Investor Input'!$C$5)*AA358, (1-'Investor Input'!$C$4)*AA358)), AA358)</f>
        <v/>
      </c>
      <c r="AC358" s="94" t="str">
        <f t="shared" si="80"/>
        <v/>
      </c>
      <c r="AD358" s="60" t="str">
        <f>IF(AND(M358&lt;&gt;"", M358&lt;&gt;0), N358/$N$505*MATCH(AC358,'Misc Lists'!$K$2:$K$25,0), "")</f>
        <v/>
      </c>
      <c r="AE358" s="90" t="str">
        <f t="shared" si="81"/>
        <v/>
      </c>
      <c r="AF358" s="99" t="str">
        <f>IF(AND(M358&lt;&gt;"", M358&lt;&gt;0), N358/$N$505*MATCH(AE358,'Misc Lists'!$L$2:$L$25,0), "")</f>
        <v/>
      </c>
    </row>
    <row r="359" spans="2:32" hidden="1" outlineLevel="1" x14ac:dyDescent="0.5">
      <c r="B359" s="60" t="str">
        <f ca="1"/>
        <v>61760LEZ4</v>
      </c>
      <c r="C359" s="61" t="str">
        <f ca="1"/>
        <v>N/A</v>
      </c>
      <c r="D359" s="60" t="str">
        <f ca="1"/>
        <v>MORGAN STANLEY      MTN                 4.37500% 11/15/2028</v>
      </c>
      <c r="E359" s="61" t="str">
        <f ca="1"/>
        <v>Corp</v>
      </c>
      <c r="F359" s="62">
        <f ca="1"/>
        <v>4.375</v>
      </c>
      <c r="G359" s="63">
        <f ca="1"/>
        <v>47072</v>
      </c>
      <c r="H359" s="61" t="str">
        <f ca="1"/>
        <v>A1</v>
      </c>
      <c r="I359" s="61" t="str">
        <f ca="1"/>
        <v>A-</v>
      </c>
      <c r="J359" s="64">
        <f ca="1"/>
        <v>99.367000000000004</v>
      </c>
      <c r="K359" s="17">
        <f ca="1"/>
        <v>4.5620000000000003</v>
      </c>
      <c r="L359" s="17" t="str">
        <f ca="1"/>
        <v>5(5)</v>
      </c>
      <c r="M359" s="83"/>
      <c r="N359" s="84" t="str">
        <f t="shared" si="82"/>
        <v/>
      </c>
      <c r="O359" s="20" t="str">
        <f t="shared" si="83"/>
        <v/>
      </c>
      <c r="P359" s="64" t="str">
        <f t="shared" si="84"/>
        <v/>
      </c>
      <c r="Q359" s="85" t="str">
        <f t="shared" ca="1" si="85"/>
        <v/>
      </c>
      <c r="R359" s="86" t="str">
        <f t="shared" si="86"/>
        <v/>
      </c>
      <c r="S359" s="86" t="str">
        <f t="shared" si="87"/>
        <v/>
      </c>
      <c r="T359" s="104" t="str">
        <f t="shared" si="88"/>
        <v/>
      </c>
      <c r="U359" s="19" t="str">
        <f>IF(AND(M359&lt;&gt;"",M359&lt;&gt;0), IF(E359 = "Muni", T359, IF(E359="Corp", T359*(1 -'Investor Input'!$C$4-'Investor Input'!$C$5), T359*(1 -'Investor Input'!$C$4))), T359)</f>
        <v/>
      </c>
      <c r="V359" s="84" t="str">
        <f t="shared" si="89"/>
        <v/>
      </c>
      <c r="W359" s="84" t="str">
        <f t="shared" si="75"/>
        <v/>
      </c>
      <c r="X359" s="21" t="str">
        <f t="shared" si="76"/>
        <v/>
      </c>
      <c r="Y359" s="60" t="str">
        <f t="shared" si="77"/>
        <v/>
      </c>
      <c r="Z359" s="60" t="str">
        <f t="shared" si="78"/>
        <v/>
      </c>
      <c r="AA359" s="64" t="str">
        <f t="shared" si="79"/>
        <v/>
      </c>
      <c r="AB359" s="64" t="str">
        <f>IF(AND(AA359&lt;&gt;"",AA359&lt;&gt;0), IF(E359="Muni", AA359, IF(E359 = "Corp", (1-'Investor Input'!$C$4-'Investor Input'!$C$5)*AA359, (1-'Investor Input'!$C$4)*AA359)), AA359)</f>
        <v/>
      </c>
      <c r="AC359" s="94" t="str">
        <f t="shared" si="80"/>
        <v/>
      </c>
      <c r="AD359" s="60" t="str">
        <f>IF(AND(M359&lt;&gt;"", M359&lt;&gt;0), N359/$N$505*MATCH(AC359,'Misc Lists'!$K$2:$K$25,0), "")</f>
        <v/>
      </c>
      <c r="AE359" s="90" t="str">
        <f t="shared" si="81"/>
        <v/>
      </c>
      <c r="AF359" s="99" t="str">
        <f>IF(AND(M359&lt;&gt;"", M359&lt;&gt;0), N359/$N$505*MATCH(AE359,'Misc Lists'!$L$2:$L$25,0), "")</f>
        <v/>
      </c>
    </row>
    <row r="360" spans="2:32" hidden="1" outlineLevel="1" x14ac:dyDescent="0.5">
      <c r="B360" s="60" t="str">
        <f ca="1"/>
        <v>26442UAH7</v>
      </c>
      <c r="C360" s="61" t="str">
        <f ca="1"/>
        <v>N/A</v>
      </c>
      <c r="D360" s="60" t="str">
        <f ca="1"/>
        <v>DUKE ENERGY PROGRESSLLC BOND            3.45000% 03/15/2029 CALL MAKE WHOLE</v>
      </c>
      <c r="E360" s="61" t="str">
        <f ca="1"/>
        <v>Corp</v>
      </c>
      <c r="F360" s="62">
        <f ca="1"/>
        <v>3.45</v>
      </c>
      <c r="G360" s="63">
        <f ca="1"/>
        <v>47192</v>
      </c>
      <c r="H360" s="61" t="str">
        <f ca="1"/>
        <v>AA3</v>
      </c>
      <c r="I360" s="61" t="str">
        <f ca="1"/>
        <v>A</v>
      </c>
      <c r="J360" s="64">
        <f ca="1"/>
        <v>95.968000000000004</v>
      </c>
      <c r="K360" s="17">
        <f ca="1"/>
        <v>4.5620000000000003</v>
      </c>
      <c r="L360" s="17" t="str">
        <f ca="1"/>
        <v>200(2)</v>
      </c>
      <c r="M360" s="83"/>
      <c r="N360" s="84" t="str">
        <f t="shared" si="82"/>
        <v/>
      </c>
      <c r="O360" s="20" t="str">
        <f t="shared" si="83"/>
        <v/>
      </c>
      <c r="P360" s="64" t="str">
        <f t="shared" si="84"/>
        <v/>
      </c>
      <c r="Q360" s="85" t="str">
        <f t="shared" ca="1" si="85"/>
        <v/>
      </c>
      <c r="R360" s="86" t="str">
        <f t="shared" si="86"/>
        <v/>
      </c>
      <c r="S360" s="86" t="str">
        <f t="shared" si="87"/>
        <v/>
      </c>
      <c r="T360" s="104" t="str">
        <f t="shared" si="88"/>
        <v/>
      </c>
      <c r="U360" s="19" t="str">
        <f>IF(AND(M360&lt;&gt;"",M360&lt;&gt;0), IF(E360 = "Muni", T360, IF(E360="Corp", T360*(1 -'Investor Input'!$C$4-'Investor Input'!$C$5), T360*(1 -'Investor Input'!$C$4))), T360)</f>
        <v/>
      </c>
      <c r="V360" s="84" t="str">
        <f t="shared" si="89"/>
        <v/>
      </c>
      <c r="W360" s="84" t="str">
        <f t="shared" si="75"/>
        <v/>
      </c>
      <c r="X360" s="21" t="str">
        <f t="shared" si="76"/>
        <v/>
      </c>
      <c r="Y360" s="60" t="str">
        <f t="shared" si="77"/>
        <v/>
      </c>
      <c r="Z360" s="60" t="str">
        <f t="shared" si="78"/>
        <v/>
      </c>
      <c r="AA360" s="64" t="str">
        <f t="shared" si="79"/>
        <v/>
      </c>
      <c r="AB360" s="64" t="str">
        <f>IF(AND(AA360&lt;&gt;"",AA360&lt;&gt;0), IF(E360="Muni", AA360, IF(E360 = "Corp", (1-'Investor Input'!$C$4-'Investor Input'!$C$5)*AA360, (1-'Investor Input'!$C$4)*AA360)), AA360)</f>
        <v/>
      </c>
      <c r="AC360" s="94" t="str">
        <f t="shared" si="80"/>
        <v/>
      </c>
      <c r="AD360" s="60" t="str">
        <f>IF(AND(M360&lt;&gt;"", M360&lt;&gt;0), N360/$N$505*MATCH(AC360,'Misc Lists'!$K$2:$K$25,0), "")</f>
        <v/>
      </c>
      <c r="AE360" s="90" t="str">
        <f t="shared" si="81"/>
        <v/>
      </c>
      <c r="AF360" s="99" t="str">
        <f>IF(AND(M360&lt;&gt;"", M360&lt;&gt;0), N360/$N$505*MATCH(AE360,'Misc Lists'!$L$2:$L$25,0), "")</f>
        <v/>
      </c>
    </row>
    <row r="361" spans="2:32" hidden="1" outlineLevel="1" x14ac:dyDescent="0.5">
      <c r="B361" s="60" t="str">
        <f ca="1"/>
        <v>731011AX0</v>
      </c>
      <c r="C361" s="61" t="str">
        <f ca="1"/>
        <v>N/A</v>
      </c>
      <c r="D361" s="60" t="str">
        <f ca="1"/>
        <v>POLAND REP          NOTE                4.62500% 03/18/2029</v>
      </c>
      <c r="E361" s="61" t="str">
        <f ca="1"/>
        <v>Corp</v>
      </c>
      <c r="F361" s="62">
        <f ca="1"/>
        <v>4.625</v>
      </c>
      <c r="G361" s="63">
        <f ca="1"/>
        <v>47195</v>
      </c>
      <c r="H361" s="61" t="str">
        <f ca="1"/>
        <v>A2</v>
      </c>
      <c r="I361" s="61" t="str">
        <f ca="1"/>
        <v>A-</v>
      </c>
      <c r="J361" s="64">
        <f ca="1"/>
        <v>100.227</v>
      </c>
      <c r="K361" s="17">
        <f ca="1"/>
        <v>4.5620000000000003</v>
      </c>
      <c r="L361" s="17" t="str">
        <f ca="1"/>
        <v>30(1)</v>
      </c>
      <c r="M361" s="83"/>
      <c r="N361" s="84" t="str">
        <f t="shared" si="82"/>
        <v/>
      </c>
      <c r="O361" s="20" t="str">
        <f t="shared" si="83"/>
        <v/>
      </c>
      <c r="P361" s="64" t="str">
        <f t="shared" si="84"/>
        <v/>
      </c>
      <c r="Q361" s="85" t="str">
        <f t="shared" ca="1" si="85"/>
        <v/>
      </c>
      <c r="R361" s="86" t="str">
        <f t="shared" si="86"/>
        <v/>
      </c>
      <c r="S361" s="86" t="str">
        <f t="shared" si="87"/>
        <v/>
      </c>
      <c r="T361" s="104" t="str">
        <f t="shared" si="88"/>
        <v/>
      </c>
      <c r="U361" s="19" t="str">
        <f>IF(AND(M361&lt;&gt;"",M361&lt;&gt;0), IF(E361 = "Muni", T361, IF(E361="Corp", T361*(1 -'Investor Input'!$C$4-'Investor Input'!$C$5), T361*(1 -'Investor Input'!$C$4))), T361)</f>
        <v/>
      </c>
      <c r="V361" s="84" t="str">
        <f t="shared" si="89"/>
        <v/>
      </c>
      <c r="W361" s="84" t="str">
        <f t="shared" si="75"/>
        <v/>
      </c>
      <c r="X361" s="21" t="str">
        <f t="shared" si="76"/>
        <v/>
      </c>
      <c r="Y361" s="60" t="str">
        <f t="shared" si="77"/>
        <v/>
      </c>
      <c r="Z361" s="60" t="str">
        <f t="shared" si="78"/>
        <v/>
      </c>
      <c r="AA361" s="64" t="str">
        <f t="shared" si="79"/>
        <v/>
      </c>
      <c r="AB361" s="64" t="str">
        <f>IF(AND(AA361&lt;&gt;"",AA361&lt;&gt;0), IF(E361="Muni", AA361, IF(E361 = "Corp", (1-'Investor Input'!$C$4-'Investor Input'!$C$5)*AA361, (1-'Investor Input'!$C$4)*AA361)), AA361)</f>
        <v/>
      </c>
      <c r="AC361" s="94" t="str">
        <f t="shared" si="80"/>
        <v/>
      </c>
      <c r="AD361" s="60" t="str">
        <f>IF(AND(M361&lt;&gt;"", M361&lt;&gt;0), N361/$N$505*MATCH(AC361,'Misc Lists'!$K$2:$K$25,0), "")</f>
        <v/>
      </c>
      <c r="AE361" s="90" t="str">
        <f t="shared" si="81"/>
        <v/>
      </c>
      <c r="AF361" s="99" t="str">
        <f>IF(AND(M361&lt;&gt;"", M361&lt;&gt;0), N361/$N$505*MATCH(AE361,'Misc Lists'!$L$2:$L$25,0), "")</f>
        <v/>
      </c>
    </row>
    <row r="362" spans="2:32" hidden="1" outlineLevel="1" x14ac:dyDescent="0.5">
      <c r="B362" s="60" t="str">
        <f ca="1"/>
        <v>61690U7U8</v>
      </c>
      <c r="C362" s="61" t="str">
        <f ca="1"/>
        <v>N/A</v>
      </c>
      <c r="D362" s="60" t="str">
        <f ca="1"/>
        <v>MORGAN STANLEY BK N A NOTE              5.47900% 07/16/2025 CALL MAKE WHOLE</v>
      </c>
      <c r="E362" s="61" t="str">
        <f ca="1"/>
        <v>Corp</v>
      </c>
      <c r="F362" s="62">
        <f ca="1"/>
        <v>5.4790000000000001</v>
      </c>
      <c r="G362" s="63">
        <f ca="1"/>
        <v>45854</v>
      </c>
      <c r="H362" s="61" t="str">
        <f ca="1"/>
        <v>AA3</v>
      </c>
      <c r="I362" s="61" t="str">
        <f ca="1"/>
        <v>A+</v>
      </c>
      <c r="J362" s="64">
        <f ca="1"/>
        <v>100.298</v>
      </c>
      <c r="K362" s="17">
        <f ca="1"/>
        <v>4.5609999999999999</v>
      </c>
      <c r="L362" s="17" t="str">
        <f ca="1"/>
        <v>500(250)</v>
      </c>
      <c r="M362" s="83"/>
      <c r="N362" s="84" t="str">
        <f t="shared" si="82"/>
        <v/>
      </c>
      <c r="O362" s="20" t="str">
        <f t="shared" si="83"/>
        <v/>
      </c>
      <c r="P362" s="64" t="str">
        <f t="shared" si="84"/>
        <v/>
      </c>
      <c r="Q362" s="85" t="str">
        <f t="shared" ca="1" si="85"/>
        <v/>
      </c>
      <c r="R362" s="86" t="str">
        <f t="shared" si="86"/>
        <v/>
      </c>
      <c r="S362" s="86" t="str">
        <f t="shared" si="87"/>
        <v/>
      </c>
      <c r="T362" s="104" t="str">
        <f t="shared" si="88"/>
        <v/>
      </c>
      <c r="U362" s="19" t="str">
        <f>IF(AND(M362&lt;&gt;"",M362&lt;&gt;0), IF(E362 = "Muni", T362, IF(E362="Corp", T362*(1 -'Investor Input'!$C$4-'Investor Input'!$C$5), T362*(1 -'Investor Input'!$C$4))), T362)</f>
        <v/>
      </c>
      <c r="V362" s="84" t="str">
        <f t="shared" si="89"/>
        <v/>
      </c>
      <c r="W362" s="84" t="str">
        <f t="shared" si="75"/>
        <v/>
      </c>
      <c r="X362" s="21" t="str">
        <f t="shared" si="76"/>
        <v/>
      </c>
      <c r="Y362" s="60" t="str">
        <f t="shared" si="77"/>
        <v/>
      </c>
      <c r="Z362" s="60" t="str">
        <f t="shared" si="78"/>
        <v/>
      </c>
      <c r="AA362" s="64" t="str">
        <f t="shared" si="79"/>
        <v/>
      </c>
      <c r="AB362" s="64" t="str">
        <f>IF(AND(AA362&lt;&gt;"",AA362&lt;&gt;0), IF(E362="Muni", AA362, IF(E362 = "Corp", (1-'Investor Input'!$C$4-'Investor Input'!$C$5)*AA362, (1-'Investor Input'!$C$4)*AA362)), AA362)</f>
        <v/>
      </c>
      <c r="AC362" s="94" t="str">
        <f t="shared" si="80"/>
        <v/>
      </c>
      <c r="AD362" s="60" t="str">
        <f>IF(AND(M362&lt;&gt;"", M362&lt;&gt;0), N362/$N$505*MATCH(AC362,'Misc Lists'!$K$2:$K$25,0), "")</f>
        <v/>
      </c>
      <c r="AE362" s="90" t="str">
        <f t="shared" si="81"/>
        <v/>
      </c>
      <c r="AF362" s="99" t="str">
        <f>IF(AND(M362&lt;&gt;"", M362&lt;&gt;0), N362/$N$505*MATCH(AE362,'Misc Lists'!$L$2:$L$25,0), "")</f>
        <v/>
      </c>
    </row>
    <row r="363" spans="2:32" hidden="1" outlineLevel="1" x14ac:dyDescent="0.5">
      <c r="B363" s="60" t="str">
        <f ca="1"/>
        <v>86562MCR9</v>
      </c>
      <c r="C363" s="61" t="str">
        <f ca="1"/>
        <v>N/A</v>
      </c>
      <c r="D363" s="60" t="str">
        <f ca="1"/>
        <v>SUMITOMO MITSUI FIN GRP INC NOTE        5.52000% 01/13/2028</v>
      </c>
      <c r="E363" s="61" t="str">
        <f ca="1"/>
        <v>Corp</v>
      </c>
      <c r="F363" s="62">
        <f ca="1"/>
        <v>5.52</v>
      </c>
      <c r="G363" s="63">
        <f ca="1"/>
        <v>46765</v>
      </c>
      <c r="H363" s="61" t="str">
        <f ca="1"/>
        <v>A1</v>
      </c>
      <c r="I363" s="61" t="str">
        <f ca="1"/>
        <v>A-</v>
      </c>
      <c r="J363" s="64">
        <f ca="1"/>
        <v>102.518</v>
      </c>
      <c r="K363" s="17">
        <f ca="1"/>
        <v>4.5609999999999999</v>
      </c>
      <c r="L363" s="17" t="str">
        <f ca="1"/>
        <v>500(200)</v>
      </c>
      <c r="M363" s="83"/>
      <c r="N363" s="84" t="str">
        <f t="shared" si="82"/>
        <v/>
      </c>
      <c r="O363" s="20" t="str">
        <f t="shared" si="83"/>
        <v/>
      </c>
      <c r="P363" s="64" t="str">
        <f t="shared" si="84"/>
        <v/>
      </c>
      <c r="Q363" s="85" t="str">
        <f t="shared" ca="1" si="85"/>
        <v/>
      </c>
      <c r="R363" s="86" t="str">
        <f t="shared" si="86"/>
        <v/>
      </c>
      <c r="S363" s="86" t="str">
        <f t="shared" si="87"/>
        <v/>
      </c>
      <c r="T363" s="104" t="str">
        <f t="shared" si="88"/>
        <v/>
      </c>
      <c r="U363" s="19" t="str">
        <f>IF(AND(M363&lt;&gt;"",M363&lt;&gt;0), IF(E363 = "Muni", T363, IF(E363="Corp", T363*(1 -'Investor Input'!$C$4-'Investor Input'!$C$5), T363*(1 -'Investor Input'!$C$4))), T363)</f>
        <v/>
      </c>
      <c r="V363" s="84" t="str">
        <f t="shared" si="89"/>
        <v/>
      </c>
      <c r="W363" s="84" t="str">
        <f t="shared" si="75"/>
        <v/>
      </c>
      <c r="X363" s="21" t="str">
        <f t="shared" si="76"/>
        <v/>
      </c>
      <c r="Y363" s="60" t="str">
        <f t="shared" si="77"/>
        <v/>
      </c>
      <c r="Z363" s="60" t="str">
        <f t="shared" si="78"/>
        <v/>
      </c>
      <c r="AA363" s="64" t="str">
        <f t="shared" si="79"/>
        <v/>
      </c>
      <c r="AB363" s="64" t="str">
        <f>IF(AND(AA363&lt;&gt;"",AA363&lt;&gt;0), IF(E363="Muni", AA363, IF(E363 = "Corp", (1-'Investor Input'!$C$4-'Investor Input'!$C$5)*AA363, (1-'Investor Input'!$C$4)*AA363)), AA363)</f>
        <v/>
      </c>
      <c r="AC363" s="94" t="str">
        <f t="shared" si="80"/>
        <v/>
      </c>
      <c r="AD363" s="60" t="str">
        <f>IF(AND(M363&lt;&gt;"", M363&lt;&gt;0), N363/$N$505*MATCH(AC363,'Misc Lists'!$K$2:$K$25,0), "")</f>
        <v/>
      </c>
      <c r="AE363" s="90" t="str">
        <f t="shared" si="81"/>
        <v/>
      </c>
      <c r="AF363" s="99" t="str">
        <f>IF(AND(M363&lt;&gt;"", M363&lt;&gt;0), N363/$N$505*MATCH(AE363,'Misc Lists'!$L$2:$L$25,0), "")</f>
        <v/>
      </c>
    </row>
    <row r="364" spans="2:32" hidden="1" outlineLevel="1" x14ac:dyDescent="0.5">
      <c r="B364" s="60" t="str">
        <f ca="1"/>
        <v>06418GAD9</v>
      </c>
      <c r="C364" s="61" t="str">
        <f ca="1"/>
        <v>N/A</v>
      </c>
      <c r="D364" s="60" t="str">
        <f ca="1"/>
        <v>BANK NOVA SCOTIA B CSER I MTN           5.25000% 06/12/2028 CALL MAKE WHOLE     ISIN #US06418GAD97</v>
      </c>
      <c r="E364" s="61" t="str">
        <f ca="1"/>
        <v>Corp</v>
      </c>
      <c r="F364" s="62">
        <f ca="1"/>
        <v>5.25</v>
      </c>
      <c r="G364" s="63">
        <f ca="1"/>
        <v>46916</v>
      </c>
      <c r="H364" s="61" t="str">
        <f ca="1"/>
        <v>A2</v>
      </c>
      <c r="I364" s="61" t="str">
        <f ca="1"/>
        <v>A-</v>
      </c>
      <c r="J364" s="64">
        <f ca="1"/>
        <v>102.059</v>
      </c>
      <c r="K364" s="17">
        <f ca="1"/>
        <v>4.5590000000000002</v>
      </c>
      <c r="L364" s="17" t="str">
        <f ca="1"/>
        <v>200(2)</v>
      </c>
      <c r="M364" s="83"/>
      <c r="N364" s="84" t="str">
        <f t="shared" si="82"/>
        <v/>
      </c>
      <c r="O364" s="20" t="str">
        <f t="shared" si="83"/>
        <v/>
      </c>
      <c r="P364" s="64" t="str">
        <f t="shared" si="84"/>
        <v/>
      </c>
      <c r="Q364" s="85" t="str">
        <f t="shared" ca="1" si="85"/>
        <v/>
      </c>
      <c r="R364" s="86" t="str">
        <f t="shared" si="86"/>
        <v/>
      </c>
      <c r="S364" s="86" t="str">
        <f t="shared" si="87"/>
        <v/>
      </c>
      <c r="T364" s="104" t="str">
        <f t="shared" si="88"/>
        <v/>
      </c>
      <c r="U364" s="19" t="str">
        <f>IF(AND(M364&lt;&gt;"",M364&lt;&gt;0), IF(E364 = "Muni", T364, IF(E364="Corp", T364*(1 -'Investor Input'!$C$4-'Investor Input'!$C$5), T364*(1 -'Investor Input'!$C$4))), T364)</f>
        <v/>
      </c>
      <c r="V364" s="84" t="str">
        <f t="shared" si="89"/>
        <v/>
      </c>
      <c r="W364" s="84" t="str">
        <f t="shared" si="75"/>
        <v/>
      </c>
      <c r="X364" s="21" t="str">
        <f t="shared" si="76"/>
        <v/>
      </c>
      <c r="Y364" s="60" t="str">
        <f t="shared" si="77"/>
        <v/>
      </c>
      <c r="Z364" s="60" t="str">
        <f t="shared" si="78"/>
        <v/>
      </c>
      <c r="AA364" s="64" t="str">
        <f t="shared" si="79"/>
        <v/>
      </c>
      <c r="AB364" s="64" t="str">
        <f>IF(AND(AA364&lt;&gt;"",AA364&lt;&gt;0), IF(E364="Muni", AA364, IF(E364 = "Corp", (1-'Investor Input'!$C$4-'Investor Input'!$C$5)*AA364, (1-'Investor Input'!$C$4)*AA364)), AA364)</f>
        <v/>
      </c>
      <c r="AC364" s="94" t="str">
        <f t="shared" si="80"/>
        <v/>
      </c>
      <c r="AD364" s="60" t="str">
        <f>IF(AND(M364&lt;&gt;"", M364&lt;&gt;0), N364/$N$505*MATCH(AC364,'Misc Lists'!$K$2:$K$25,0), "")</f>
        <v/>
      </c>
      <c r="AE364" s="90" t="str">
        <f t="shared" si="81"/>
        <v/>
      </c>
      <c r="AF364" s="99" t="str">
        <f>IF(AND(M364&lt;&gt;"", M364&lt;&gt;0), N364/$N$505*MATCH(AE364,'Misc Lists'!$L$2:$L$25,0), "")</f>
        <v/>
      </c>
    </row>
    <row r="365" spans="2:32" hidden="1" outlineLevel="1" x14ac:dyDescent="0.5">
      <c r="B365" s="60" t="str">
        <f ca="1"/>
        <v>756109CA0</v>
      </c>
      <c r="C365" s="61" t="str">
        <f ca="1"/>
        <v>N/A</v>
      </c>
      <c r="D365" s="60" t="str">
        <f ca="1"/>
        <v>REALTY INCOME CORP  NOTE CALL MAKE WHOLE2.10000% 03/15/2028</v>
      </c>
      <c r="E365" s="61" t="str">
        <f ca="1"/>
        <v>Corp</v>
      </c>
      <c r="F365" s="62">
        <f ca="1"/>
        <v>2.1</v>
      </c>
      <c r="G365" s="63">
        <f ca="1"/>
        <v>46827</v>
      </c>
      <c r="H365" s="61" t="str">
        <f ca="1"/>
        <v>A3</v>
      </c>
      <c r="I365" s="61" t="str">
        <f ca="1"/>
        <v>A-</v>
      </c>
      <c r="J365" s="64">
        <f ca="1"/>
        <v>93.161000000000001</v>
      </c>
      <c r="K365" s="17">
        <f ca="1"/>
        <v>4.5579999999999998</v>
      </c>
      <c r="L365" s="17" t="str">
        <f ca="1"/>
        <v>500(2)</v>
      </c>
      <c r="M365" s="83"/>
      <c r="N365" s="84" t="str">
        <f t="shared" si="82"/>
        <v/>
      </c>
      <c r="O365" s="20" t="str">
        <f t="shared" si="83"/>
        <v/>
      </c>
      <c r="P365" s="64" t="str">
        <f t="shared" si="84"/>
        <v/>
      </c>
      <c r="Q365" s="85" t="str">
        <f t="shared" ca="1" si="85"/>
        <v/>
      </c>
      <c r="R365" s="86" t="str">
        <f t="shared" si="86"/>
        <v/>
      </c>
      <c r="S365" s="86" t="str">
        <f t="shared" si="87"/>
        <v/>
      </c>
      <c r="T365" s="104" t="str">
        <f t="shared" si="88"/>
        <v/>
      </c>
      <c r="U365" s="19" t="str">
        <f>IF(AND(M365&lt;&gt;"",M365&lt;&gt;0), IF(E365 = "Muni", T365, IF(E365="Corp", T365*(1 -'Investor Input'!$C$4-'Investor Input'!$C$5), T365*(1 -'Investor Input'!$C$4))), T365)</f>
        <v/>
      </c>
      <c r="V365" s="84" t="str">
        <f t="shared" si="89"/>
        <v/>
      </c>
      <c r="W365" s="84" t="str">
        <f t="shared" si="75"/>
        <v/>
      </c>
      <c r="X365" s="21" t="str">
        <f t="shared" si="76"/>
        <v/>
      </c>
      <c r="Y365" s="60" t="str">
        <f t="shared" si="77"/>
        <v/>
      </c>
      <c r="Z365" s="60" t="str">
        <f t="shared" si="78"/>
        <v/>
      </c>
      <c r="AA365" s="64" t="str">
        <f t="shared" si="79"/>
        <v/>
      </c>
      <c r="AB365" s="64" t="str">
        <f>IF(AND(AA365&lt;&gt;"",AA365&lt;&gt;0), IF(E365="Muni", AA365, IF(E365 = "Corp", (1-'Investor Input'!$C$4-'Investor Input'!$C$5)*AA365, (1-'Investor Input'!$C$4)*AA365)), AA365)</f>
        <v/>
      </c>
      <c r="AC365" s="94" t="str">
        <f t="shared" si="80"/>
        <v/>
      </c>
      <c r="AD365" s="60" t="str">
        <f>IF(AND(M365&lt;&gt;"", M365&lt;&gt;0), N365/$N$505*MATCH(AC365,'Misc Lists'!$K$2:$K$25,0), "")</f>
        <v/>
      </c>
      <c r="AE365" s="90" t="str">
        <f t="shared" si="81"/>
        <v/>
      </c>
      <c r="AF365" s="99" t="str">
        <f>IF(AND(M365&lt;&gt;"", M365&lt;&gt;0), N365/$N$505*MATCH(AE365,'Misc Lists'!$L$2:$L$25,0), "")</f>
        <v/>
      </c>
    </row>
    <row r="366" spans="2:32" hidden="1" outlineLevel="1" x14ac:dyDescent="0.5">
      <c r="B366" s="60" t="str">
        <f ca="1"/>
        <v>857477BG7</v>
      </c>
      <c r="C366" s="61" t="str">
        <f ca="1"/>
        <v>N/A</v>
      </c>
      <c r="D366" s="60" t="str">
        <f ca="1"/>
        <v>STATE STR CORP      NOTE                2.40000% 01/24/2030</v>
      </c>
      <c r="E366" s="61" t="str">
        <f ca="1"/>
        <v>Corp</v>
      </c>
      <c r="F366" s="62">
        <f ca="1"/>
        <v>2.4</v>
      </c>
      <c r="G366" s="63">
        <f ca="1"/>
        <v>47507</v>
      </c>
      <c r="H366" s="61" t="str">
        <f ca="1"/>
        <v>AA3</v>
      </c>
      <c r="I366" s="61" t="str">
        <f ca="1"/>
        <v>A</v>
      </c>
      <c r="J366" s="64">
        <f ca="1"/>
        <v>90.671999999999997</v>
      </c>
      <c r="K366" s="17">
        <f ca="1"/>
        <v>4.5579999999999998</v>
      </c>
      <c r="L366" s="17" t="str">
        <f ca="1"/>
        <v>500(2)</v>
      </c>
      <c r="M366" s="83"/>
      <c r="N366" s="84" t="str">
        <f t="shared" si="82"/>
        <v/>
      </c>
      <c r="O366" s="20" t="str">
        <f t="shared" si="83"/>
        <v/>
      </c>
      <c r="P366" s="64" t="str">
        <f t="shared" si="84"/>
        <v/>
      </c>
      <c r="Q366" s="85" t="str">
        <f t="shared" ca="1" si="85"/>
        <v/>
      </c>
      <c r="R366" s="86" t="str">
        <f t="shared" si="86"/>
        <v/>
      </c>
      <c r="S366" s="86" t="str">
        <f t="shared" si="87"/>
        <v/>
      </c>
      <c r="T366" s="104" t="str">
        <f t="shared" si="88"/>
        <v/>
      </c>
      <c r="U366" s="19" t="str">
        <f>IF(AND(M366&lt;&gt;"",M366&lt;&gt;0), IF(E366 = "Muni", T366, IF(E366="Corp", T366*(1 -'Investor Input'!$C$4-'Investor Input'!$C$5), T366*(1 -'Investor Input'!$C$4))), T366)</f>
        <v/>
      </c>
      <c r="V366" s="84" t="str">
        <f t="shared" si="89"/>
        <v/>
      </c>
      <c r="W366" s="84" t="str">
        <f t="shared" si="75"/>
        <v/>
      </c>
      <c r="X366" s="21" t="str">
        <f t="shared" si="76"/>
        <v/>
      </c>
      <c r="Y366" s="60" t="str">
        <f t="shared" si="77"/>
        <v/>
      </c>
      <c r="Z366" s="60" t="str">
        <f t="shared" si="78"/>
        <v/>
      </c>
      <c r="AA366" s="64" t="str">
        <f t="shared" si="79"/>
        <v/>
      </c>
      <c r="AB366" s="64" t="str">
        <f>IF(AND(AA366&lt;&gt;"",AA366&lt;&gt;0), IF(E366="Muni", AA366, IF(E366 = "Corp", (1-'Investor Input'!$C$4-'Investor Input'!$C$5)*AA366, (1-'Investor Input'!$C$4)*AA366)), AA366)</f>
        <v/>
      </c>
      <c r="AC366" s="94" t="str">
        <f t="shared" si="80"/>
        <v/>
      </c>
      <c r="AD366" s="60" t="str">
        <f>IF(AND(M366&lt;&gt;"", M366&lt;&gt;0), N366/$N$505*MATCH(AC366,'Misc Lists'!$K$2:$K$25,0), "")</f>
        <v/>
      </c>
      <c r="AE366" s="90" t="str">
        <f t="shared" si="81"/>
        <v/>
      </c>
      <c r="AF366" s="99" t="str">
        <f>IF(AND(M366&lt;&gt;"", M366&lt;&gt;0), N366/$N$505*MATCH(AE366,'Misc Lists'!$L$2:$L$25,0), "")</f>
        <v/>
      </c>
    </row>
    <row r="367" spans="2:32" hidden="1" outlineLevel="1" x14ac:dyDescent="0.5">
      <c r="B367" s="60" t="str">
        <f ca="1"/>
        <v>828807CV7</v>
      </c>
      <c r="C367" s="61" t="str">
        <f ca="1"/>
        <v>N/A</v>
      </c>
      <c r="D367" s="60" t="str">
        <f ca="1"/>
        <v>SIMON PPTY GROUP LP NOTE CALL MAKE WHOLE3.50000% 09/01/2025</v>
      </c>
      <c r="E367" s="61" t="str">
        <f ca="1"/>
        <v>Corp</v>
      </c>
      <c r="F367" s="62">
        <f ca="1"/>
        <v>3.5</v>
      </c>
      <c r="G367" s="63">
        <f ca="1"/>
        <v>45901</v>
      </c>
      <c r="H367" s="61" t="str">
        <f ca="1"/>
        <v>A3</v>
      </c>
      <c r="I367" s="61" t="str">
        <f ca="1"/>
        <v>A-</v>
      </c>
      <c r="J367" s="64">
        <f ca="1"/>
        <v>99.512</v>
      </c>
      <c r="K367" s="17">
        <f ca="1"/>
        <v>4.5570000000000004</v>
      </c>
      <c r="L367" s="17" t="str">
        <f ca="1"/>
        <v>14(2)</v>
      </c>
      <c r="M367" s="83"/>
      <c r="N367" s="84" t="str">
        <f t="shared" si="82"/>
        <v/>
      </c>
      <c r="O367" s="20" t="str">
        <f t="shared" si="83"/>
        <v/>
      </c>
      <c r="P367" s="64" t="str">
        <f t="shared" si="84"/>
        <v/>
      </c>
      <c r="Q367" s="85" t="str">
        <f t="shared" ca="1" si="85"/>
        <v/>
      </c>
      <c r="R367" s="86" t="str">
        <f t="shared" si="86"/>
        <v/>
      </c>
      <c r="S367" s="86" t="str">
        <f t="shared" si="87"/>
        <v/>
      </c>
      <c r="T367" s="104" t="str">
        <f t="shared" si="88"/>
        <v/>
      </c>
      <c r="U367" s="19" t="str">
        <f>IF(AND(M367&lt;&gt;"",M367&lt;&gt;0), IF(E367 = "Muni", T367, IF(E367="Corp", T367*(1 -'Investor Input'!$C$4-'Investor Input'!$C$5), T367*(1 -'Investor Input'!$C$4))), T367)</f>
        <v/>
      </c>
      <c r="V367" s="84" t="str">
        <f t="shared" si="89"/>
        <v/>
      </c>
      <c r="W367" s="84" t="str">
        <f t="shared" si="75"/>
        <v/>
      </c>
      <c r="X367" s="21" t="str">
        <f t="shared" si="76"/>
        <v/>
      </c>
      <c r="Y367" s="60" t="str">
        <f t="shared" si="77"/>
        <v/>
      </c>
      <c r="Z367" s="60" t="str">
        <f t="shared" si="78"/>
        <v/>
      </c>
      <c r="AA367" s="64" t="str">
        <f t="shared" si="79"/>
        <v/>
      </c>
      <c r="AB367" s="64" t="str">
        <f>IF(AND(AA367&lt;&gt;"",AA367&lt;&gt;0), IF(E367="Muni", AA367, IF(E367 = "Corp", (1-'Investor Input'!$C$4-'Investor Input'!$C$5)*AA367, (1-'Investor Input'!$C$4)*AA367)), AA367)</f>
        <v/>
      </c>
      <c r="AC367" s="94" t="str">
        <f t="shared" si="80"/>
        <v/>
      </c>
      <c r="AD367" s="60" t="str">
        <f>IF(AND(M367&lt;&gt;"", M367&lt;&gt;0), N367/$N$505*MATCH(AC367,'Misc Lists'!$K$2:$K$25,0), "")</f>
        <v/>
      </c>
      <c r="AE367" s="90" t="str">
        <f t="shared" si="81"/>
        <v/>
      </c>
      <c r="AF367" s="99" t="str">
        <f>IF(AND(M367&lt;&gt;"", M367&lt;&gt;0), N367/$N$505*MATCH(AE367,'Misc Lists'!$L$2:$L$25,0), "")</f>
        <v/>
      </c>
    </row>
    <row r="368" spans="2:32" hidden="1" outlineLevel="1" x14ac:dyDescent="0.5">
      <c r="B368" s="60" t="str">
        <f ca="1"/>
        <v>126117AU4</v>
      </c>
      <c r="C368" s="61" t="str">
        <f ca="1"/>
        <v>N/A</v>
      </c>
      <c r="D368" s="60" t="str">
        <f ca="1"/>
        <v>CNA FINL CORP       NOTE CALL MAKE WHOLE3.45000% 08/15/2027</v>
      </c>
      <c r="E368" s="61" t="str">
        <f ca="1"/>
        <v>Corp</v>
      </c>
      <c r="F368" s="62">
        <f ca="1"/>
        <v>3.45</v>
      </c>
      <c r="G368" s="63">
        <f ca="1"/>
        <v>46614</v>
      </c>
      <c r="H368" s="61" t="str">
        <f ca="1"/>
        <v>BAA2</v>
      </c>
      <c r="I368" s="61" t="str">
        <f ca="1"/>
        <v>A-</v>
      </c>
      <c r="J368" s="64">
        <f ca="1"/>
        <v>97.483000000000004</v>
      </c>
      <c r="K368" s="17">
        <f ca="1"/>
        <v>4.5570000000000004</v>
      </c>
      <c r="L368" s="17" t="str">
        <f ca="1"/>
        <v>75(2)</v>
      </c>
      <c r="M368" s="83"/>
      <c r="N368" s="84" t="str">
        <f t="shared" si="82"/>
        <v/>
      </c>
      <c r="O368" s="20" t="str">
        <f t="shared" si="83"/>
        <v/>
      </c>
      <c r="P368" s="64" t="str">
        <f t="shared" si="84"/>
        <v/>
      </c>
      <c r="Q368" s="85" t="str">
        <f t="shared" ca="1" si="85"/>
        <v/>
      </c>
      <c r="R368" s="86" t="str">
        <f t="shared" si="86"/>
        <v/>
      </c>
      <c r="S368" s="86" t="str">
        <f t="shared" si="87"/>
        <v/>
      </c>
      <c r="T368" s="104" t="str">
        <f t="shared" si="88"/>
        <v/>
      </c>
      <c r="U368" s="19" t="str">
        <f>IF(AND(M368&lt;&gt;"",M368&lt;&gt;0), IF(E368 = "Muni", T368, IF(E368="Corp", T368*(1 -'Investor Input'!$C$4-'Investor Input'!$C$5), T368*(1 -'Investor Input'!$C$4))), T368)</f>
        <v/>
      </c>
      <c r="V368" s="84" t="str">
        <f t="shared" si="89"/>
        <v/>
      </c>
      <c r="W368" s="84" t="str">
        <f t="shared" si="75"/>
        <v/>
      </c>
      <c r="X368" s="21" t="str">
        <f t="shared" si="76"/>
        <v/>
      </c>
      <c r="Y368" s="60" t="str">
        <f t="shared" si="77"/>
        <v/>
      </c>
      <c r="Z368" s="60" t="str">
        <f t="shared" si="78"/>
        <v/>
      </c>
      <c r="AA368" s="64" t="str">
        <f t="shared" si="79"/>
        <v/>
      </c>
      <c r="AB368" s="64" t="str">
        <f>IF(AND(AA368&lt;&gt;"",AA368&lt;&gt;0), IF(E368="Muni", AA368, IF(E368 = "Corp", (1-'Investor Input'!$C$4-'Investor Input'!$C$5)*AA368, (1-'Investor Input'!$C$4)*AA368)), AA368)</f>
        <v/>
      </c>
      <c r="AC368" s="94" t="str">
        <f t="shared" si="80"/>
        <v/>
      </c>
      <c r="AD368" s="60" t="str">
        <f>IF(AND(M368&lt;&gt;"", M368&lt;&gt;0), N368/$N$505*MATCH(AC368,'Misc Lists'!$K$2:$K$25,0), "")</f>
        <v/>
      </c>
      <c r="AE368" s="90" t="str">
        <f t="shared" si="81"/>
        <v/>
      </c>
      <c r="AF368" s="99" t="str">
        <f>IF(AND(M368&lt;&gt;"", M368&lt;&gt;0), N368/$N$505*MATCH(AE368,'Misc Lists'!$L$2:$L$25,0), "")</f>
        <v/>
      </c>
    </row>
    <row r="369" spans="2:32" hidden="1" outlineLevel="1" x14ac:dyDescent="0.5">
      <c r="B369" s="60" t="str">
        <f ca="1"/>
        <v>48133MCD0</v>
      </c>
      <c r="C369" s="61" t="str">
        <f ca="1"/>
        <v>N/A</v>
      </c>
      <c r="D369" s="60" t="str">
        <f ca="1"/>
        <v>JPMORGAN CHASE FINL CO LLC SER A MTN    4.60000% 09/15/2027</v>
      </c>
      <c r="E369" s="61" t="str">
        <f ca="1"/>
        <v>Corp</v>
      </c>
      <c r="F369" s="62">
        <f ca="1"/>
        <v>4.5999999999999996</v>
      </c>
      <c r="G369" s="63">
        <f ca="1"/>
        <v>46645</v>
      </c>
      <c r="H369" s="61" t="str">
        <f ca="1"/>
        <v>A1</v>
      </c>
      <c r="I369" s="61" t="str">
        <f ca="1"/>
        <v>A</v>
      </c>
      <c r="J369" s="64">
        <f ca="1"/>
        <v>100.1</v>
      </c>
      <c r="K369" s="17">
        <f ca="1"/>
        <v>4.5570000000000004</v>
      </c>
      <c r="L369" s="17" t="str">
        <f ca="1"/>
        <v>10(1)</v>
      </c>
      <c r="M369" s="83"/>
      <c r="N369" s="84" t="str">
        <f t="shared" si="82"/>
        <v/>
      </c>
      <c r="O369" s="20" t="str">
        <f t="shared" si="83"/>
        <v/>
      </c>
      <c r="P369" s="64" t="str">
        <f t="shared" si="84"/>
        <v/>
      </c>
      <c r="Q369" s="85" t="str">
        <f t="shared" ca="1" si="85"/>
        <v/>
      </c>
      <c r="R369" s="86" t="str">
        <f t="shared" si="86"/>
        <v/>
      </c>
      <c r="S369" s="86" t="str">
        <f t="shared" si="87"/>
        <v/>
      </c>
      <c r="T369" s="104" t="str">
        <f t="shared" si="88"/>
        <v/>
      </c>
      <c r="U369" s="19" t="str">
        <f>IF(AND(M369&lt;&gt;"",M369&lt;&gt;0), IF(E369 = "Muni", T369, IF(E369="Corp", T369*(1 -'Investor Input'!$C$4-'Investor Input'!$C$5), T369*(1 -'Investor Input'!$C$4))), T369)</f>
        <v/>
      </c>
      <c r="V369" s="84" t="str">
        <f t="shared" si="89"/>
        <v/>
      </c>
      <c r="W369" s="84" t="str">
        <f t="shared" si="75"/>
        <v/>
      </c>
      <c r="X369" s="21" t="str">
        <f t="shared" si="76"/>
        <v/>
      </c>
      <c r="Y369" s="60" t="str">
        <f t="shared" si="77"/>
        <v/>
      </c>
      <c r="Z369" s="60" t="str">
        <f t="shared" si="78"/>
        <v/>
      </c>
      <c r="AA369" s="64" t="str">
        <f t="shared" si="79"/>
        <v/>
      </c>
      <c r="AB369" s="64" t="str">
        <f>IF(AND(AA369&lt;&gt;"",AA369&lt;&gt;0), IF(E369="Muni", AA369, IF(E369 = "Corp", (1-'Investor Input'!$C$4-'Investor Input'!$C$5)*AA369, (1-'Investor Input'!$C$4)*AA369)), AA369)</f>
        <v/>
      </c>
      <c r="AC369" s="94" t="str">
        <f t="shared" si="80"/>
        <v/>
      </c>
      <c r="AD369" s="60" t="str">
        <f>IF(AND(M369&lt;&gt;"", M369&lt;&gt;0), N369/$N$505*MATCH(AC369,'Misc Lists'!$K$2:$K$25,0), "")</f>
        <v/>
      </c>
      <c r="AE369" s="90" t="str">
        <f t="shared" si="81"/>
        <v/>
      </c>
      <c r="AF369" s="99" t="str">
        <f>IF(AND(M369&lt;&gt;"", M369&lt;&gt;0), N369/$N$505*MATCH(AE369,'Misc Lists'!$L$2:$L$25,0), "")</f>
        <v/>
      </c>
    </row>
    <row r="370" spans="2:32" hidden="1" outlineLevel="1" x14ac:dyDescent="0.5">
      <c r="B370" s="60" t="str">
        <f ca="1"/>
        <v>14913UAU4</v>
      </c>
      <c r="C370" s="61" t="str">
        <f ca="1"/>
        <v>N/A</v>
      </c>
      <c r="D370" s="60" t="str">
        <f ca="1"/>
        <v>CATERPILLAR FINL    SVCS MTNS BE SER K  4.70000% 11/15/2029 CALL MAKE WHOLE</v>
      </c>
      <c r="E370" s="61" t="str">
        <f ca="1"/>
        <v>Corp</v>
      </c>
      <c r="F370" s="62">
        <f ca="1"/>
        <v>4.7</v>
      </c>
      <c r="G370" s="63">
        <f ca="1"/>
        <v>47437</v>
      </c>
      <c r="H370" s="61" t="str">
        <f ca="1"/>
        <v>A2</v>
      </c>
      <c r="I370" s="61" t="str">
        <f ca="1"/>
        <v>A</v>
      </c>
      <c r="J370" s="64">
        <f ca="1"/>
        <v>100.592</v>
      </c>
      <c r="K370" s="17">
        <f ca="1"/>
        <v>4.5570000000000004</v>
      </c>
      <c r="L370" s="17" t="str">
        <f ca="1"/>
        <v>500(1)</v>
      </c>
      <c r="M370" s="83"/>
      <c r="N370" s="84" t="str">
        <f t="shared" si="82"/>
        <v/>
      </c>
      <c r="O370" s="20" t="str">
        <f t="shared" si="83"/>
        <v/>
      </c>
      <c r="P370" s="64" t="str">
        <f t="shared" si="84"/>
        <v/>
      </c>
      <c r="Q370" s="85" t="str">
        <f t="shared" ca="1" si="85"/>
        <v/>
      </c>
      <c r="R370" s="86" t="str">
        <f t="shared" si="86"/>
        <v/>
      </c>
      <c r="S370" s="86" t="str">
        <f t="shared" si="87"/>
        <v/>
      </c>
      <c r="T370" s="104" t="str">
        <f t="shared" si="88"/>
        <v/>
      </c>
      <c r="U370" s="19" t="str">
        <f>IF(AND(M370&lt;&gt;"",M370&lt;&gt;0), IF(E370 = "Muni", T370, IF(E370="Corp", T370*(1 -'Investor Input'!$C$4-'Investor Input'!$C$5), T370*(1 -'Investor Input'!$C$4))), T370)</f>
        <v/>
      </c>
      <c r="V370" s="84" t="str">
        <f t="shared" si="89"/>
        <v/>
      </c>
      <c r="W370" s="84" t="str">
        <f t="shared" si="75"/>
        <v/>
      </c>
      <c r="X370" s="21" t="str">
        <f t="shared" si="76"/>
        <v/>
      </c>
      <c r="Y370" s="60" t="str">
        <f t="shared" si="77"/>
        <v/>
      </c>
      <c r="Z370" s="60" t="str">
        <f t="shared" si="78"/>
        <v/>
      </c>
      <c r="AA370" s="64" t="str">
        <f t="shared" si="79"/>
        <v/>
      </c>
      <c r="AB370" s="64" t="str">
        <f>IF(AND(AA370&lt;&gt;"",AA370&lt;&gt;0), IF(E370="Muni", AA370, IF(E370 = "Corp", (1-'Investor Input'!$C$4-'Investor Input'!$C$5)*AA370, (1-'Investor Input'!$C$4)*AA370)), AA370)</f>
        <v/>
      </c>
      <c r="AC370" s="94" t="str">
        <f t="shared" si="80"/>
        <v/>
      </c>
      <c r="AD370" s="60" t="str">
        <f>IF(AND(M370&lt;&gt;"", M370&lt;&gt;0), N370/$N$505*MATCH(AC370,'Misc Lists'!$K$2:$K$25,0), "")</f>
        <v/>
      </c>
      <c r="AE370" s="90" t="str">
        <f t="shared" si="81"/>
        <v/>
      </c>
      <c r="AF370" s="99" t="str">
        <f>IF(AND(M370&lt;&gt;"", M370&lt;&gt;0), N370/$N$505*MATCH(AE370,'Misc Lists'!$L$2:$L$25,0), "")</f>
        <v/>
      </c>
    </row>
    <row r="371" spans="2:32" hidden="1" outlineLevel="1" x14ac:dyDescent="0.5">
      <c r="B371" s="60" t="str">
        <f ca="1"/>
        <v>89153VAT6</v>
      </c>
      <c r="C371" s="61" t="str">
        <f ca="1"/>
        <v>N/A</v>
      </c>
      <c r="D371" s="60" t="str">
        <f ca="1"/>
        <v>TOTALENERGIES       CAPITAL INTERNATIONA2.82900% 01/10/2030 BOND CALL MAKE WHOLE</v>
      </c>
      <c r="E371" s="61" t="str">
        <f ca="1"/>
        <v>Corp</v>
      </c>
      <c r="F371" s="62">
        <f ca="1"/>
        <v>2.8290000000000002</v>
      </c>
      <c r="G371" s="63">
        <f ca="1"/>
        <v>47493</v>
      </c>
      <c r="H371" s="61" t="str">
        <f ca="1"/>
        <v>AA3</v>
      </c>
      <c r="I371" s="61" t="str">
        <f ca="1"/>
        <v>A+</v>
      </c>
      <c r="J371" s="64">
        <f ca="1"/>
        <v>92.582999999999998</v>
      </c>
      <c r="K371" s="17">
        <f ca="1"/>
        <v>4.5570000000000004</v>
      </c>
      <c r="L371" s="17" t="str">
        <f ca="1"/>
        <v>250(2)</v>
      </c>
      <c r="M371" s="83"/>
      <c r="N371" s="84" t="str">
        <f t="shared" si="82"/>
        <v/>
      </c>
      <c r="O371" s="20" t="str">
        <f t="shared" si="83"/>
        <v/>
      </c>
      <c r="P371" s="64" t="str">
        <f t="shared" si="84"/>
        <v/>
      </c>
      <c r="Q371" s="85" t="str">
        <f t="shared" ca="1" si="85"/>
        <v/>
      </c>
      <c r="R371" s="86" t="str">
        <f t="shared" si="86"/>
        <v/>
      </c>
      <c r="S371" s="86" t="str">
        <f t="shared" si="87"/>
        <v/>
      </c>
      <c r="T371" s="104" t="str">
        <f t="shared" si="88"/>
        <v/>
      </c>
      <c r="U371" s="19" t="str">
        <f>IF(AND(M371&lt;&gt;"",M371&lt;&gt;0), IF(E371 = "Muni", T371, IF(E371="Corp", T371*(1 -'Investor Input'!$C$4-'Investor Input'!$C$5), T371*(1 -'Investor Input'!$C$4))), T371)</f>
        <v/>
      </c>
      <c r="V371" s="84" t="str">
        <f t="shared" si="89"/>
        <v/>
      </c>
      <c r="W371" s="84" t="str">
        <f t="shared" si="75"/>
        <v/>
      </c>
      <c r="X371" s="21" t="str">
        <f t="shared" si="76"/>
        <v/>
      </c>
      <c r="Y371" s="60" t="str">
        <f t="shared" si="77"/>
        <v/>
      </c>
      <c r="Z371" s="60" t="str">
        <f t="shared" si="78"/>
        <v/>
      </c>
      <c r="AA371" s="64" t="str">
        <f t="shared" si="79"/>
        <v/>
      </c>
      <c r="AB371" s="64" t="str">
        <f>IF(AND(AA371&lt;&gt;"",AA371&lt;&gt;0), IF(E371="Muni", AA371, IF(E371 = "Corp", (1-'Investor Input'!$C$4-'Investor Input'!$C$5)*AA371, (1-'Investor Input'!$C$4)*AA371)), AA371)</f>
        <v/>
      </c>
      <c r="AC371" s="94" t="str">
        <f t="shared" si="80"/>
        <v/>
      </c>
      <c r="AD371" s="60" t="str">
        <f>IF(AND(M371&lt;&gt;"", M371&lt;&gt;0), N371/$N$505*MATCH(AC371,'Misc Lists'!$K$2:$K$25,0), "")</f>
        <v/>
      </c>
      <c r="AE371" s="90" t="str">
        <f t="shared" si="81"/>
        <v/>
      </c>
      <c r="AF371" s="99" t="str">
        <f>IF(AND(M371&lt;&gt;"", M371&lt;&gt;0), N371/$N$505*MATCH(AE371,'Misc Lists'!$L$2:$L$25,0), "")</f>
        <v/>
      </c>
    </row>
    <row r="372" spans="2:32" hidden="1" outlineLevel="1" x14ac:dyDescent="0.5">
      <c r="B372" s="60" t="str">
        <f ca="1"/>
        <v>06055JKL2</v>
      </c>
      <c r="C372" s="61" t="str">
        <f ca="1"/>
        <v>N/A</v>
      </c>
      <c r="D372" s="60" t="str">
        <f ca="1"/>
        <v>BANK AMERICA CORP   MTN                 4.55000% 09/04/2026</v>
      </c>
      <c r="E372" s="61" t="str">
        <f ca="1"/>
        <v>Corp</v>
      </c>
      <c r="F372" s="62">
        <f ca="1"/>
        <v>4.55</v>
      </c>
      <c r="G372" s="63">
        <f ca="1"/>
        <v>46269</v>
      </c>
      <c r="H372" s="61" t="str">
        <f ca="1"/>
        <v>A1</v>
      </c>
      <c r="I372" s="61" t="str">
        <f ca="1"/>
        <v>A-</v>
      </c>
      <c r="J372" s="64">
        <f ca="1"/>
        <v>99.99</v>
      </c>
      <c r="K372" s="17">
        <f ca="1"/>
        <v>4.556</v>
      </c>
      <c r="L372" s="17" t="str">
        <f ca="1"/>
        <v>6,000(20)</v>
      </c>
      <c r="M372" s="83"/>
      <c r="N372" s="84" t="str">
        <f t="shared" si="82"/>
        <v/>
      </c>
      <c r="O372" s="20" t="str">
        <f t="shared" si="83"/>
        <v/>
      </c>
      <c r="P372" s="64" t="str">
        <f t="shared" si="84"/>
        <v/>
      </c>
      <c r="Q372" s="85" t="str">
        <f t="shared" ca="1" si="85"/>
        <v/>
      </c>
      <c r="R372" s="86" t="str">
        <f t="shared" si="86"/>
        <v/>
      </c>
      <c r="S372" s="86" t="str">
        <f t="shared" si="87"/>
        <v/>
      </c>
      <c r="T372" s="104" t="str">
        <f t="shared" si="88"/>
        <v/>
      </c>
      <c r="U372" s="19" t="str">
        <f>IF(AND(M372&lt;&gt;"",M372&lt;&gt;0), IF(E372 = "Muni", T372, IF(E372="Corp", T372*(1 -'Investor Input'!$C$4-'Investor Input'!$C$5), T372*(1 -'Investor Input'!$C$4))), T372)</f>
        <v/>
      </c>
      <c r="V372" s="84" t="str">
        <f t="shared" si="89"/>
        <v/>
      </c>
      <c r="W372" s="84" t="str">
        <f t="shared" si="75"/>
        <v/>
      </c>
      <c r="X372" s="21" t="str">
        <f t="shared" si="76"/>
        <v/>
      </c>
      <c r="Y372" s="60" t="str">
        <f t="shared" si="77"/>
        <v/>
      </c>
      <c r="Z372" s="60" t="str">
        <f t="shared" si="78"/>
        <v/>
      </c>
      <c r="AA372" s="64" t="str">
        <f t="shared" si="79"/>
        <v/>
      </c>
      <c r="AB372" s="64" t="str">
        <f>IF(AND(AA372&lt;&gt;"",AA372&lt;&gt;0), IF(E372="Muni", AA372, IF(E372 = "Corp", (1-'Investor Input'!$C$4-'Investor Input'!$C$5)*AA372, (1-'Investor Input'!$C$4)*AA372)), AA372)</f>
        <v/>
      </c>
      <c r="AC372" s="94" t="str">
        <f t="shared" si="80"/>
        <v/>
      </c>
      <c r="AD372" s="60" t="str">
        <f>IF(AND(M372&lt;&gt;"", M372&lt;&gt;0), N372/$N$505*MATCH(AC372,'Misc Lists'!$K$2:$K$25,0), "")</f>
        <v/>
      </c>
      <c r="AE372" s="90" t="str">
        <f t="shared" si="81"/>
        <v/>
      </c>
      <c r="AF372" s="99" t="str">
        <f>IF(AND(M372&lt;&gt;"", M372&lt;&gt;0), N372/$N$505*MATCH(AE372,'Misc Lists'!$L$2:$L$25,0), "")</f>
        <v/>
      </c>
    </row>
    <row r="373" spans="2:32" hidden="1" outlineLevel="1" x14ac:dyDescent="0.5">
      <c r="B373" s="60" t="str">
        <f ca="1"/>
        <v>713448ES3</v>
      </c>
      <c r="C373" s="61" t="str">
        <f ca="1"/>
        <v>N/A</v>
      </c>
      <c r="D373" s="60" t="str">
        <f ca="1"/>
        <v>PEPSICO INC         NOTE CALL MAKE WHOLE2.75000% 03/19/2030</v>
      </c>
      <c r="E373" s="61" t="str">
        <f ca="1"/>
        <v>Corp</v>
      </c>
      <c r="F373" s="62">
        <f ca="1"/>
        <v>2.75</v>
      </c>
      <c r="G373" s="63">
        <f ca="1"/>
        <v>47561</v>
      </c>
      <c r="H373" s="61" t="str">
        <f ca="1"/>
        <v>A1</v>
      </c>
      <c r="I373" s="61" t="str">
        <f ca="1"/>
        <v>A+</v>
      </c>
      <c r="J373" s="64">
        <f ca="1"/>
        <v>91.975999999999999</v>
      </c>
      <c r="K373" s="17">
        <f ca="1"/>
        <v>4.556</v>
      </c>
      <c r="L373" s="17" t="str">
        <f ca="1"/>
        <v>500(2)</v>
      </c>
      <c r="M373" s="83"/>
      <c r="N373" s="84" t="str">
        <f t="shared" si="82"/>
        <v/>
      </c>
      <c r="O373" s="20" t="str">
        <f t="shared" si="83"/>
        <v/>
      </c>
      <c r="P373" s="64" t="str">
        <f t="shared" si="84"/>
        <v/>
      </c>
      <c r="Q373" s="85" t="str">
        <f t="shared" ca="1" si="85"/>
        <v/>
      </c>
      <c r="R373" s="86" t="str">
        <f t="shared" si="86"/>
        <v/>
      </c>
      <c r="S373" s="86" t="str">
        <f t="shared" si="87"/>
        <v/>
      </c>
      <c r="T373" s="104" t="str">
        <f t="shared" si="88"/>
        <v/>
      </c>
      <c r="U373" s="19" t="str">
        <f>IF(AND(M373&lt;&gt;"",M373&lt;&gt;0), IF(E373 = "Muni", T373, IF(E373="Corp", T373*(1 -'Investor Input'!$C$4-'Investor Input'!$C$5), T373*(1 -'Investor Input'!$C$4))), T373)</f>
        <v/>
      </c>
      <c r="V373" s="84" t="str">
        <f t="shared" si="89"/>
        <v/>
      </c>
      <c r="W373" s="84" t="str">
        <f t="shared" si="75"/>
        <v/>
      </c>
      <c r="X373" s="21" t="str">
        <f t="shared" si="76"/>
        <v/>
      </c>
      <c r="Y373" s="60" t="str">
        <f t="shared" si="77"/>
        <v/>
      </c>
      <c r="Z373" s="60" t="str">
        <f t="shared" si="78"/>
        <v/>
      </c>
      <c r="AA373" s="64" t="str">
        <f t="shared" si="79"/>
        <v/>
      </c>
      <c r="AB373" s="64" t="str">
        <f>IF(AND(AA373&lt;&gt;"",AA373&lt;&gt;0), IF(E373="Muni", AA373, IF(E373 = "Corp", (1-'Investor Input'!$C$4-'Investor Input'!$C$5)*AA373, (1-'Investor Input'!$C$4)*AA373)), AA373)</f>
        <v/>
      </c>
      <c r="AC373" s="94" t="str">
        <f t="shared" si="80"/>
        <v/>
      </c>
      <c r="AD373" s="60" t="str">
        <f>IF(AND(M373&lt;&gt;"", M373&lt;&gt;0), N373/$N$505*MATCH(AC373,'Misc Lists'!$K$2:$K$25,0), "")</f>
        <v/>
      </c>
      <c r="AE373" s="90" t="str">
        <f t="shared" si="81"/>
        <v/>
      </c>
      <c r="AF373" s="99" t="str">
        <f>IF(AND(M373&lt;&gt;"", M373&lt;&gt;0), N373/$N$505*MATCH(AE373,'Misc Lists'!$L$2:$L$25,0), "")</f>
        <v/>
      </c>
    </row>
    <row r="374" spans="2:32" hidden="1" outlineLevel="1" x14ac:dyDescent="0.5">
      <c r="B374" s="60" t="str">
        <f ca="1"/>
        <v>867914BS1</v>
      </c>
      <c r="C374" s="61" t="str">
        <f ca="1"/>
        <v>N/A</v>
      </c>
      <c r="D374" s="60" t="str">
        <f ca="1"/>
        <v>TRUIST FINL CORP    SER G NOTE          4.00000% 05/01/2025</v>
      </c>
      <c r="E374" s="61" t="str">
        <f ca="1"/>
        <v>Corp</v>
      </c>
      <c r="F374" s="62">
        <f ca="1"/>
        <v>4</v>
      </c>
      <c r="G374" s="63">
        <f ca="1"/>
        <v>45778</v>
      </c>
      <c r="H374" s="61" t="str">
        <f ca="1"/>
        <v>BAA1</v>
      </c>
      <c r="I374" s="61" t="str">
        <f ca="1"/>
        <v>A-</v>
      </c>
      <c r="J374" s="64">
        <f ca="1"/>
        <v>99.915999999999997</v>
      </c>
      <c r="K374" s="17">
        <f ca="1"/>
        <v>4.5549999999999997</v>
      </c>
      <c r="L374" s="17" t="str">
        <f ca="1"/>
        <v>1,440(5)</v>
      </c>
      <c r="M374" s="83"/>
      <c r="N374" s="84" t="str">
        <f t="shared" si="82"/>
        <v/>
      </c>
      <c r="O374" s="20" t="str">
        <f t="shared" si="83"/>
        <v/>
      </c>
      <c r="P374" s="64" t="str">
        <f t="shared" si="84"/>
        <v/>
      </c>
      <c r="Q374" s="85" t="str">
        <f t="shared" ca="1" si="85"/>
        <v/>
      </c>
      <c r="R374" s="86" t="str">
        <f t="shared" si="86"/>
        <v/>
      </c>
      <c r="S374" s="86" t="str">
        <f t="shared" si="87"/>
        <v/>
      </c>
      <c r="T374" s="104" t="str">
        <f t="shared" si="88"/>
        <v/>
      </c>
      <c r="U374" s="19" t="str">
        <f>IF(AND(M374&lt;&gt;"",M374&lt;&gt;0), IF(E374 = "Muni", T374, IF(E374="Corp", T374*(1 -'Investor Input'!$C$4-'Investor Input'!$C$5), T374*(1 -'Investor Input'!$C$4))), T374)</f>
        <v/>
      </c>
      <c r="V374" s="84" t="str">
        <f t="shared" si="89"/>
        <v/>
      </c>
      <c r="W374" s="84" t="str">
        <f t="shared" si="75"/>
        <v/>
      </c>
      <c r="X374" s="21" t="str">
        <f t="shared" si="76"/>
        <v/>
      </c>
      <c r="Y374" s="60" t="str">
        <f t="shared" si="77"/>
        <v/>
      </c>
      <c r="Z374" s="60" t="str">
        <f t="shared" si="78"/>
        <v/>
      </c>
      <c r="AA374" s="64" t="str">
        <f t="shared" si="79"/>
        <v/>
      </c>
      <c r="AB374" s="64" t="str">
        <f>IF(AND(AA374&lt;&gt;"",AA374&lt;&gt;0), IF(E374="Muni", AA374, IF(E374 = "Corp", (1-'Investor Input'!$C$4-'Investor Input'!$C$5)*AA374, (1-'Investor Input'!$C$4)*AA374)), AA374)</f>
        <v/>
      </c>
      <c r="AC374" s="94" t="str">
        <f t="shared" si="80"/>
        <v/>
      </c>
      <c r="AD374" s="60" t="str">
        <f>IF(AND(M374&lt;&gt;"", M374&lt;&gt;0), N374/$N$505*MATCH(AC374,'Misc Lists'!$K$2:$K$25,0), "")</f>
        <v/>
      </c>
      <c r="AE374" s="90" t="str">
        <f t="shared" si="81"/>
        <v/>
      </c>
      <c r="AF374" s="99" t="str">
        <f>IF(AND(M374&lt;&gt;"", M374&lt;&gt;0), N374/$N$505*MATCH(AE374,'Misc Lists'!$L$2:$L$25,0), "")</f>
        <v/>
      </c>
    </row>
    <row r="375" spans="2:32" hidden="1" outlineLevel="1" x14ac:dyDescent="0.5">
      <c r="B375" s="60" t="str">
        <f ca="1"/>
        <v>91324PEU2</v>
      </c>
      <c r="C375" s="61" t="str">
        <f ca="1"/>
        <v>N/A</v>
      </c>
      <c r="D375" s="60" t="str">
        <f ca="1"/>
        <v>UNITEDHEALTH GROUP  INC NOTE            4.25000% 01/15/2029 CALL MAKE WHOLE</v>
      </c>
      <c r="E375" s="61" t="str">
        <f ca="1"/>
        <v>Corp</v>
      </c>
      <c r="F375" s="62">
        <f ca="1"/>
        <v>4.25</v>
      </c>
      <c r="G375" s="63">
        <f ca="1"/>
        <v>47133</v>
      </c>
      <c r="H375" s="61" t="str">
        <f ca="1"/>
        <v>A2</v>
      </c>
      <c r="I375" s="61" t="str">
        <f ca="1"/>
        <v>A+</v>
      </c>
      <c r="J375" s="64">
        <f ca="1"/>
        <v>98.930999999999997</v>
      </c>
      <c r="K375" s="17">
        <f ca="1"/>
        <v>4.5549999999999997</v>
      </c>
      <c r="L375" s="17" t="str">
        <f ca="1"/>
        <v>500(2)</v>
      </c>
      <c r="M375" s="83"/>
      <c r="N375" s="84" t="str">
        <f t="shared" si="82"/>
        <v/>
      </c>
      <c r="O375" s="20" t="str">
        <f t="shared" si="83"/>
        <v/>
      </c>
      <c r="P375" s="64" t="str">
        <f t="shared" si="84"/>
        <v/>
      </c>
      <c r="Q375" s="85" t="str">
        <f t="shared" ca="1" si="85"/>
        <v/>
      </c>
      <c r="R375" s="86" t="str">
        <f t="shared" si="86"/>
        <v/>
      </c>
      <c r="S375" s="86" t="str">
        <f t="shared" si="87"/>
        <v/>
      </c>
      <c r="T375" s="104" t="str">
        <f t="shared" si="88"/>
        <v/>
      </c>
      <c r="U375" s="19" t="str">
        <f>IF(AND(M375&lt;&gt;"",M375&lt;&gt;0), IF(E375 = "Muni", T375, IF(E375="Corp", T375*(1 -'Investor Input'!$C$4-'Investor Input'!$C$5), T375*(1 -'Investor Input'!$C$4))), T375)</f>
        <v/>
      </c>
      <c r="V375" s="84" t="str">
        <f t="shared" si="89"/>
        <v/>
      </c>
      <c r="W375" s="84" t="str">
        <f t="shared" si="75"/>
        <v/>
      </c>
      <c r="X375" s="21" t="str">
        <f t="shared" si="76"/>
        <v/>
      </c>
      <c r="Y375" s="60" t="str">
        <f t="shared" si="77"/>
        <v/>
      </c>
      <c r="Z375" s="60" t="str">
        <f t="shared" si="78"/>
        <v/>
      </c>
      <c r="AA375" s="64" t="str">
        <f t="shared" si="79"/>
        <v/>
      </c>
      <c r="AB375" s="64" t="str">
        <f>IF(AND(AA375&lt;&gt;"",AA375&lt;&gt;0), IF(E375="Muni", AA375, IF(E375 = "Corp", (1-'Investor Input'!$C$4-'Investor Input'!$C$5)*AA375, (1-'Investor Input'!$C$4)*AA375)), AA375)</f>
        <v/>
      </c>
      <c r="AC375" s="94" t="str">
        <f t="shared" si="80"/>
        <v/>
      </c>
      <c r="AD375" s="60" t="str">
        <f>IF(AND(M375&lt;&gt;"", M375&lt;&gt;0), N375/$N$505*MATCH(AC375,'Misc Lists'!$K$2:$K$25,0), "")</f>
        <v/>
      </c>
      <c r="AE375" s="90" t="str">
        <f t="shared" si="81"/>
        <v/>
      </c>
      <c r="AF375" s="99" t="str">
        <f>IF(AND(M375&lt;&gt;"", M375&lt;&gt;0), N375/$N$505*MATCH(AE375,'Misc Lists'!$L$2:$L$25,0), "")</f>
        <v/>
      </c>
    </row>
    <row r="376" spans="2:32" hidden="1" outlineLevel="1" x14ac:dyDescent="0.5">
      <c r="B376" s="60" t="str">
        <f ca="1"/>
        <v>91324PDS8</v>
      </c>
      <c r="C376" s="61" t="str">
        <f ca="1"/>
        <v>N/A</v>
      </c>
      <c r="D376" s="60" t="str">
        <f ca="1"/>
        <v>UNITEDHEALTH GROUP  INC NOTE            2.87500% 08/15/2029 CALL MAKE WHOLE</v>
      </c>
      <c r="E376" s="61" t="str">
        <f ca="1"/>
        <v>Corp</v>
      </c>
      <c r="F376" s="62">
        <f ca="1"/>
        <v>2.875</v>
      </c>
      <c r="G376" s="63">
        <f ca="1"/>
        <v>47345</v>
      </c>
      <c r="H376" s="61" t="str">
        <f ca="1"/>
        <v>A2</v>
      </c>
      <c r="I376" s="61" t="str">
        <f ca="1"/>
        <v>A+</v>
      </c>
      <c r="J376" s="64">
        <f ca="1"/>
        <v>93.332999999999998</v>
      </c>
      <c r="K376" s="17">
        <f ca="1"/>
        <v>4.5549999999999997</v>
      </c>
      <c r="L376" s="17" t="str">
        <f ca="1"/>
        <v>500(2)</v>
      </c>
      <c r="M376" s="83"/>
      <c r="N376" s="84" t="str">
        <f t="shared" si="82"/>
        <v/>
      </c>
      <c r="O376" s="20" t="str">
        <f t="shared" si="83"/>
        <v/>
      </c>
      <c r="P376" s="64" t="str">
        <f t="shared" si="84"/>
        <v/>
      </c>
      <c r="Q376" s="85" t="str">
        <f t="shared" ca="1" si="85"/>
        <v/>
      </c>
      <c r="R376" s="86" t="str">
        <f t="shared" si="86"/>
        <v/>
      </c>
      <c r="S376" s="86" t="str">
        <f t="shared" si="87"/>
        <v/>
      </c>
      <c r="T376" s="104" t="str">
        <f t="shared" si="88"/>
        <v/>
      </c>
      <c r="U376" s="19" t="str">
        <f>IF(AND(M376&lt;&gt;"",M376&lt;&gt;0), IF(E376 = "Muni", T376, IF(E376="Corp", T376*(1 -'Investor Input'!$C$4-'Investor Input'!$C$5), T376*(1 -'Investor Input'!$C$4))), T376)</f>
        <v/>
      </c>
      <c r="V376" s="84" t="str">
        <f t="shared" si="89"/>
        <v/>
      </c>
      <c r="W376" s="84" t="str">
        <f t="shared" si="75"/>
        <v/>
      </c>
      <c r="X376" s="21" t="str">
        <f t="shared" si="76"/>
        <v/>
      </c>
      <c r="Y376" s="60" t="str">
        <f t="shared" si="77"/>
        <v/>
      </c>
      <c r="Z376" s="60" t="str">
        <f t="shared" si="78"/>
        <v/>
      </c>
      <c r="AA376" s="64" t="str">
        <f t="shared" si="79"/>
        <v/>
      </c>
      <c r="AB376" s="64" t="str">
        <f>IF(AND(AA376&lt;&gt;"",AA376&lt;&gt;0), IF(E376="Muni", AA376, IF(E376 = "Corp", (1-'Investor Input'!$C$4-'Investor Input'!$C$5)*AA376, (1-'Investor Input'!$C$4)*AA376)), AA376)</f>
        <v/>
      </c>
      <c r="AC376" s="94" t="str">
        <f t="shared" si="80"/>
        <v/>
      </c>
      <c r="AD376" s="60" t="str">
        <f>IF(AND(M376&lt;&gt;"", M376&lt;&gt;0), N376/$N$505*MATCH(AC376,'Misc Lists'!$K$2:$K$25,0), "")</f>
        <v/>
      </c>
      <c r="AE376" s="90" t="str">
        <f t="shared" si="81"/>
        <v/>
      </c>
      <c r="AF376" s="99" t="str">
        <f>IF(AND(M376&lt;&gt;"", M376&lt;&gt;0), N376/$N$505*MATCH(AE376,'Misc Lists'!$L$2:$L$25,0), "")</f>
        <v/>
      </c>
    </row>
    <row r="377" spans="2:32" hidden="1" outlineLevel="1" x14ac:dyDescent="0.5">
      <c r="B377" s="60" t="str">
        <f ca="1"/>
        <v>75884RAU7</v>
      </c>
      <c r="C377" s="61" t="str">
        <f ca="1"/>
        <v>N/A</v>
      </c>
      <c r="D377" s="60" t="str">
        <f ca="1"/>
        <v>REGENCY CTRS L P    NOTE CALL MAKE WHOLE3.90000% 11/01/2025</v>
      </c>
      <c r="E377" s="61" t="str">
        <f ca="1"/>
        <v>Corp</v>
      </c>
      <c r="F377" s="62">
        <f ca="1"/>
        <v>3.9</v>
      </c>
      <c r="G377" s="63">
        <f ca="1"/>
        <v>45962</v>
      </c>
      <c r="H377" s="61" t="str">
        <f ca="1"/>
        <v>A3</v>
      </c>
      <c r="I377" s="61" t="str">
        <f ca="1"/>
        <v>A-</v>
      </c>
      <c r="J377" s="64">
        <f ca="1"/>
        <v>99.59</v>
      </c>
      <c r="K377" s="17">
        <f ca="1"/>
        <v>4.5540000000000003</v>
      </c>
      <c r="L377" s="17" t="str">
        <f ca="1"/>
        <v>275(2)</v>
      </c>
      <c r="M377" s="83"/>
      <c r="N377" s="84" t="str">
        <f t="shared" si="82"/>
        <v/>
      </c>
      <c r="O377" s="20" t="str">
        <f t="shared" si="83"/>
        <v/>
      </c>
      <c r="P377" s="64" t="str">
        <f t="shared" si="84"/>
        <v/>
      </c>
      <c r="Q377" s="85" t="str">
        <f t="shared" ca="1" si="85"/>
        <v/>
      </c>
      <c r="R377" s="86" t="str">
        <f t="shared" si="86"/>
        <v/>
      </c>
      <c r="S377" s="86" t="str">
        <f t="shared" si="87"/>
        <v/>
      </c>
      <c r="T377" s="104" t="str">
        <f t="shared" si="88"/>
        <v/>
      </c>
      <c r="U377" s="19" t="str">
        <f>IF(AND(M377&lt;&gt;"",M377&lt;&gt;0), IF(E377 = "Muni", T377, IF(E377="Corp", T377*(1 -'Investor Input'!$C$4-'Investor Input'!$C$5), T377*(1 -'Investor Input'!$C$4))), T377)</f>
        <v/>
      </c>
      <c r="V377" s="84" t="str">
        <f t="shared" si="89"/>
        <v/>
      </c>
      <c r="W377" s="84" t="str">
        <f t="shared" si="75"/>
        <v/>
      </c>
      <c r="X377" s="21" t="str">
        <f t="shared" si="76"/>
        <v/>
      </c>
      <c r="Y377" s="60" t="str">
        <f t="shared" si="77"/>
        <v/>
      </c>
      <c r="Z377" s="60" t="str">
        <f t="shared" si="78"/>
        <v/>
      </c>
      <c r="AA377" s="64" t="str">
        <f t="shared" si="79"/>
        <v/>
      </c>
      <c r="AB377" s="64" t="str">
        <f>IF(AND(AA377&lt;&gt;"",AA377&lt;&gt;0), IF(E377="Muni", AA377, IF(E377 = "Corp", (1-'Investor Input'!$C$4-'Investor Input'!$C$5)*AA377, (1-'Investor Input'!$C$4)*AA377)), AA377)</f>
        <v/>
      </c>
      <c r="AC377" s="94" t="str">
        <f t="shared" si="80"/>
        <v/>
      </c>
      <c r="AD377" s="60" t="str">
        <f>IF(AND(M377&lt;&gt;"", M377&lt;&gt;0), N377/$N$505*MATCH(AC377,'Misc Lists'!$K$2:$K$25,0), "")</f>
        <v/>
      </c>
      <c r="AE377" s="90" t="str">
        <f t="shared" si="81"/>
        <v/>
      </c>
      <c r="AF377" s="99" t="str">
        <f>IF(AND(M377&lt;&gt;"", M377&lt;&gt;0), N377/$N$505*MATCH(AE377,'Misc Lists'!$L$2:$L$25,0), "")</f>
        <v/>
      </c>
    </row>
    <row r="378" spans="2:32" hidden="1" outlineLevel="1" x14ac:dyDescent="0.5">
      <c r="B378" s="60" t="str">
        <f ca="1"/>
        <v>91324PEH1</v>
      </c>
      <c r="C378" s="61" t="str">
        <f ca="1"/>
        <v>N/A</v>
      </c>
      <c r="D378" s="60" t="str">
        <f ca="1"/>
        <v>UNITEDHEALTH GROUP  INC NOTE            4.00000% 05/15/2029 CALL MAKE WHOLE</v>
      </c>
      <c r="E378" s="61" t="str">
        <f ca="1"/>
        <v>Corp</v>
      </c>
      <c r="F378" s="62">
        <f ca="1"/>
        <v>4</v>
      </c>
      <c r="G378" s="63">
        <f ca="1"/>
        <v>47253</v>
      </c>
      <c r="H378" s="61" t="str">
        <f ca="1"/>
        <v>A2</v>
      </c>
      <c r="I378" s="61" t="str">
        <f ca="1"/>
        <v>A+</v>
      </c>
      <c r="J378" s="64">
        <f ca="1"/>
        <v>97.909000000000006</v>
      </c>
      <c r="K378" s="17">
        <f ca="1"/>
        <v>4.5540000000000003</v>
      </c>
      <c r="L378" s="17" t="str">
        <f ca="1"/>
        <v>500(2)</v>
      </c>
      <c r="M378" s="83"/>
      <c r="N378" s="84" t="str">
        <f t="shared" si="82"/>
        <v/>
      </c>
      <c r="O378" s="20" t="str">
        <f t="shared" si="83"/>
        <v/>
      </c>
      <c r="P378" s="64" t="str">
        <f t="shared" si="84"/>
        <v/>
      </c>
      <c r="Q378" s="85" t="str">
        <f t="shared" ca="1" si="85"/>
        <v/>
      </c>
      <c r="R378" s="86" t="str">
        <f t="shared" si="86"/>
        <v/>
      </c>
      <c r="S378" s="86" t="str">
        <f t="shared" si="87"/>
        <v/>
      </c>
      <c r="T378" s="104" t="str">
        <f t="shared" si="88"/>
        <v/>
      </c>
      <c r="U378" s="19" t="str">
        <f>IF(AND(M378&lt;&gt;"",M378&lt;&gt;0), IF(E378 = "Muni", T378, IF(E378="Corp", T378*(1 -'Investor Input'!$C$4-'Investor Input'!$C$5), T378*(1 -'Investor Input'!$C$4))), T378)</f>
        <v/>
      </c>
      <c r="V378" s="84" t="str">
        <f t="shared" si="89"/>
        <v/>
      </c>
      <c r="W378" s="84" t="str">
        <f t="shared" si="75"/>
        <v/>
      </c>
      <c r="X378" s="21" t="str">
        <f t="shared" si="76"/>
        <v/>
      </c>
      <c r="Y378" s="60" t="str">
        <f t="shared" si="77"/>
        <v/>
      </c>
      <c r="Z378" s="60" t="str">
        <f t="shared" si="78"/>
        <v/>
      </c>
      <c r="AA378" s="64" t="str">
        <f t="shared" si="79"/>
        <v/>
      </c>
      <c r="AB378" s="64" t="str">
        <f>IF(AND(AA378&lt;&gt;"",AA378&lt;&gt;0), IF(E378="Muni", AA378, IF(E378 = "Corp", (1-'Investor Input'!$C$4-'Investor Input'!$C$5)*AA378, (1-'Investor Input'!$C$4)*AA378)), AA378)</f>
        <v/>
      </c>
      <c r="AC378" s="94" t="str">
        <f t="shared" si="80"/>
        <v/>
      </c>
      <c r="AD378" s="60" t="str">
        <f>IF(AND(M378&lt;&gt;"", M378&lt;&gt;0), N378/$N$505*MATCH(AC378,'Misc Lists'!$K$2:$K$25,0), "")</f>
        <v/>
      </c>
      <c r="AE378" s="90" t="str">
        <f t="shared" si="81"/>
        <v/>
      </c>
      <c r="AF378" s="99" t="str">
        <f>IF(AND(M378&lt;&gt;"", M378&lt;&gt;0), N378/$N$505*MATCH(AE378,'Misc Lists'!$L$2:$L$25,0), "")</f>
        <v/>
      </c>
    </row>
    <row r="379" spans="2:32" hidden="1" outlineLevel="1" x14ac:dyDescent="0.5">
      <c r="B379" s="60" t="str">
        <f ca="1"/>
        <v>459200LF6</v>
      </c>
      <c r="C379" s="61" t="str">
        <f ca="1"/>
        <v>N/A</v>
      </c>
      <c r="D379" s="60" t="str">
        <f ca="1"/>
        <v>INTERNATIONAL       BUSINESS MACHS NOTE 4.65000% 02/10/2028 CALL MAKE WHOLE</v>
      </c>
      <c r="E379" s="61" t="str">
        <f ca="1"/>
        <v>Corp</v>
      </c>
      <c r="F379" s="62">
        <f ca="1"/>
        <v>4.6500000000000004</v>
      </c>
      <c r="G379" s="63">
        <f ca="1"/>
        <v>46793</v>
      </c>
      <c r="H379" s="61" t="str">
        <f ca="1"/>
        <v>A3</v>
      </c>
      <c r="I379" s="61" t="str">
        <f ca="1"/>
        <v>A-</v>
      </c>
      <c r="J379" s="64">
        <f ca="1"/>
        <v>100.259</v>
      </c>
      <c r="K379" s="17">
        <f ca="1"/>
        <v>4.5529999999999999</v>
      </c>
      <c r="L379" s="17" t="str">
        <f ca="1"/>
        <v>625(100)</v>
      </c>
      <c r="M379" s="83"/>
      <c r="N379" s="84" t="str">
        <f t="shared" si="82"/>
        <v/>
      </c>
      <c r="O379" s="20" t="str">
        <f t="shared" si="83"/>
        <v/>
      </c>
      <c r="P379" s="64" t="str">
        <f t="shared" si="84"/>
        <v/>
      </c>
      <c r="Q379" s="85" t="str">
        <f t="shared" ca="1" si="85"/>
        <v/>
      </c>
      <c r="R379" s="86" t="str">
        <f t="shared" si="86"/>
        <v/>
      </c>
      <c r="S379" s="86" t="str">
        <f t="shared" si="87"/>
        <v/>
      </c>
      <c r="T379" s="104" t="str">
        <f t="shared" si="88"/>
        <v/>
      </c>
      <c r="U379" s="19" t="str">
        <f>IF(AND(M379&lt;&gt;"",M379&lt;&gt;0), IF(E379 = "Muni", T379, IF(E379="Corp", T379*(1 -'Investor Input'!$C$4-'Investor Input'!$C$5), T379*(1 -'Investor Input'!$C$4))), T379)</f>
        <v/>
      </c>
      <c r="V379" s="84" t="str">
        <f t="shared" si="89"/>
        <v/>
      </c>
      <c r="W379" s="84" t="str">
        <f t="shared" si="75"/>
        <v/>
      </c>
      <c r="X379" s="21" t="str">
        <f t="shared" si="76"/>
        <v/>
      </c>
      <c r="Y379" s="60" t="str">
        <f t="shared" si="77"/>
        <v/>
      </c>
      <c r="Z379" s="60" t="str">
        <f t="shared" si="78"/>
        <v/>
      </c>
      <c r="AA379" s="64" t="str">
        <f t="shared" si="79"/>
        <v/>
      </c>
      <c r="AB379" s="64" t="str">
        <f>IF(AND(AA379&lt;&gt;"",AA379&lt;&gt;0), IF(E379="Muni", AA379, IF(E379 = "Corp", (1-'Investor Input'!$C$4-'Investor Input'!$C$5)*AA379, (1-'Investor Input'!$C$4)*AA379)), AA379)</f>
        <v/>
      </c>
      <c r="AC379" s="94" t="str">
        <f t="shared" si="80"/>
        <v/>
      </c>
      <c r="AD379" s="60" t="str">
        <f>IF(AND(M379&lt;&gt;"", M379&lt;&gt;0), N379/$N$505*MATCH(AC379,'Misc Lists'!$K$2:$K$25,0), "")</f>
        <v/>
      </c>
      <c r="AE379" s="90" t="str">
        <f t="shared" si="81"/>
        <v/>
      </c>
      <c r="AF379" s="99" t="str">
        <f>IF(AND(M379&lt;&gt;"", M379&lt;&gt;0), N379/$N$505*MATCH(AE379,'Misc Lists'!$L$2:$L$25,0), "")</f>
        <v/>
      </c>
    </row>
    <row r="380" spans="2:32" hidden="1" outlineLevel="1" x14ac:dyDescent="0.5">
      <c r="B380" s="60" t="str">
        <f ca="1"/>
        <v>278865BE9</v>
      </c>
      <c r="C380" s="61" t="str">
        <f ca="1"/>
        <v>N/A</v>
      </c>
      <c r="D380" s="60" t="str">
        <f ca="1"/>
        <v>ECOLAB INC          NOTE CALL MAKE WHOLE4.80000% 03/24/2030</v>
      </c>
      <c r="E380" s="61" t="str">
        <f ca="1"/>
        <v>Corp</v>
      </c>
      <c r="F380" s="62">
        <f ca="1"/>
        <v>4.8</v>
      </c>
      <c r="G380" s="63">
        <f ca="1"/>
        <v>47566</v>
      </c>
      <c r="H380" s="61" t="str">
        <f ca="1"/>
        <v>A3</v>
      </c>
      <c r="I380" s="61" t="str">
        <f ca="1"/>
        <v>A-</v>
      </c>
      <c r="J380" s="64">
        <f ca="1"/>
        <v>101.1</v>
      </c>
      <c r="K380" s="17">
        <f ca="1"/>
        <v>4.5529999999999999</v>
      </c>
      <c r="L380" s="17" t="str">
        <f ca="1"/>
        <v>500(2)</v>
      </c>
      <c r="M380" s="83"/>
      <c r="N380" s="84" t="str">
        <f t="shared" si="82"/>
        <v/>
      </c>
      <c r="O380" s="20" t="str">
        <f t="shared" si="83"/>
        <v/>
      </c>
      <c r="P380" s="64" t="str">
        <f t="shared" si="84"/>
        <v/>
      </c>
      <c r="Q380" s="85" t="str">
        <f t="shared" ca="1" si="85"/>
        <v/>
      </c>
      <c r="R380" s="86" t="str">
        <f t="shared" si="86"/>
        <v/>
      </c>
      <c r="S380" s="86" t="str">
        <f t="shared" si="87"/>
        <v/>
      </c>
      <c r="T380" s="104" t="str">
        <f t="shared" si="88"/>
        <v/>
      </c>
      <c r="U380" s="19" t="str">
        <f>IF(AND(M380&lt;&gt;"",M380&lt;&gt;0), IF(E380 = "Muni", T380, IF(E380="Corp", T380*(1 -'Investor Input'!$C$4-'Investor Input'!$C$5), T380*(1 -'Investor Input'!$C$4))), T380)</f>
        <v/>
      </c>
      <c r="V380" s="84" t="str">
        <f t="shared" si="89"/>
        <v/>
      </c>
      <c r="W380" s="84" t="str">
        <f t="shared" si="75"/>
        <v/>
      </c>
      <c r="X380" s="21" t="str">
        <f t="shared" si="76"/>
        <v/>
      </c>
      <c r="Y380" s="60" t="str">
        <f t="shared" si="77"/>
        <v/>
      </c>
      <c r="Z380" s="60" t="str">
        <f t="shared" si="78"/>
        <v/>
      </c>
      <c r="AA380" s="64" t="str">
        <f t="shared" si="79"/>
        <v/>
      </c>
      <c r="AB380" s="64" t="str">
        <f>IF(AND(AA380&lt;&gt;"",AA380&lt;&gt;0), IF(E380="Muni", AA380, IF(E380 = "Corp", (1-'Investor Input'!$C$4-'Investor Input'!$C$5)*AA380, (1-'Investor Input'!$C$4)*AA380)), AA380)</f>
        <v/>
      </c>
      <c r="AC380" s="94" t="str">
        <f t="shared" si="80"/>
        <v/>
      </c>
      <c r="AD380" s="60" t="str">
        <f>IF(AND(M380&lt;&gt;"", M380&lt;&gt;0), N380/$N$505*MATCH(AC380,'Misc Lists'!$K$2:$K$25,0), "")</f>
        <v/>
      </c>
      <c r="AE380" s="90" t="str">
        <f t="shared" si="81"/>
        <v/>
      </c>
      <c r="AF380" s="99" t="str">
        <f>IF(AND(M380&lt;&gt;"", M380&lt;&gt;0), N380/$N$505*MATCH(AE380,'Misc Lists'!$L$2:$L$25,0), "")</f>
        <v/>
      </c>
    </row>
    <row r="381" spans="2:32" hidden="1" outlineLevel="1" x14ac:dyDescent="0.5">
      <c r="B381" s="60" t="str">
        <f ca="1"/>
        <v>74251VAM4</v>
      </c>
      <c r="C381" s="61" t="str">
        <f ca="1"/>
        <v>N/A</v>
      </c>
      <c r="D381" s="60" t="str">
        <f ca="1"/>
        <v>PRINCIPAL FINANCIAL GROUP INC NOTE      3.10000% 11/15/2026 CALL MAKE WHOLE</v>
      </c>
      <c r="E381" s="61" t="str">
        <f ca="1"/>
        <v>Corp</v>
      </c>
      <c r="F381" s="62">
        <f ca="1"/>
        <v>3.1</v>
      </c>
      <c r="G381" s="63">
        <f ca="1"/>
        <v>46341</v>
      </c>
      <c r="H381" s="61" t="str">
        <f ca="1"/>
        <v>BAA1</v>
      </c>
      <c r="I381" s="61" t="str">
        <f ca="1"/>
        <v>A-</v>
      </c>
      <c r="J381" s="64">
        <f ca="1"/>
        <v>97.68</v>
      </c>
      <c r="K381" s="17">
        <f ca="1"/>
        <v>4.5519999999999996</v>
      </c>
      <c r="L381" s="17" t="str">
        <f ca="1"/>
        <v>500(2)</v>
      </c>
      <c r="M381" s="83"/>
      <c r="N381" s="84" t="str">
        <f t="shared" si="82"/>
        <v/>
      </c>
      <c r="O381" s="20" t="str">
        <f t="shared" si="83"/>
        <v/>
      </c>
      <c r="P381" s="64" t="str">
        <f t="shared" si="84"/>
        <v/>
      </c>
      <c r="Q381" s="85" t="str">
        <f t="shared" ca="1" si="85"/>
        <v/>
      </c>
      <c r="R381" s="86" t="str">
        <f t="shared" si="86"/>
        <v/>
      </c>
      <c r="S381" s="86" t="str">
        <f t="shared" si="87"/>
        <v/>
      </c>
      <c r="T381" s="104" t="str">
        <f t="shared" si="88"/>
        <v/>
      </c>
      <c r="U381" s="19" t="str">
        <f>IF(AND(M381&lt;&gt;"",M381&lt;&gt;0), IF(E381 = "Muni", T381, IF(E381="Corp", T381*(1 -'Investor Input'!$C$4-'Investor Input'!$C$5), T381*(1 -'Investor Input'!$C$4))), T381)</f>
        <v/>
      </c>
      <c r="V381" s="84" t="str">
        <f t="shared" si="89"/>
        <v/>
      </c>
      <c r="W381" s="84" t="str">
        <f t="shared" si="75"/>
        <v/>
      </c>
      <c r="X381" s="21" t="str">
        <f t="shared" si="76"/>
        <v/>
      </c>
      <c r="Y381" s="60" t="str">
        <f t="shared" si="77"/>
        <v/>
      </c>
      <c r="Z381" s="60" t="str">
        <f t="shared" si="78"/>
        <v/>
      </c>
      <c r="AA381" s="64" t="str">
        <f t="shared" si="79"/>
        <v/>
      </c>
      <c r="AB381" s="64" t="str">
        <f>IF(AND(AA381&lt;&gt;"",AA381&lt;&gt;0), IF(E381="Muni", AA381, IF(E381 = "Corp", (1-'Investor Input'!$C$4-'Investor Input'!$C$5)*AA381, (1-'Investor Input'!$C$4)*AA381)), AA381)</f>
        <v/>
      </c>
      <c r="AC381" s="94" t="str">
        <f t="shared" si="80"/>
        <v/>
      </c>
      <c r="AD381" s="60" t="str">
        <f>IF(AND(M381&lt;&gt;"", M381&lt;&gt;0), N381/$N$505*MATCH(AC381,'Misc Lists'!$K$2:$K$25,0), "")</f>
        <v/>
      </c>
      <c r="AE381" s="90" t="str">
        <f t="shared" si="81"/>
        <v/>
      </c>
      <c r="AF381" s="99" t="str">
        <f>IF(AND(M381&lt;&gt;"", M381&lt;&gt;0), N381/$N$505*MATCH(AE381,'Misc Lists'!$L$2:$L$25,0), "")</f>
        <v/>
      </c>
    </row>
    <row r="382" spans="2:32" hidden="1" outlineLevel="1" x14ac:dyDescent="0.5">
      <c r="B382" s="60" t="str">
        <f ca="1"/>
        <v>20030NED9</v>
      </c>
      <c r="C382" s="61" t="str">
        <f ca="1"/>
        <v>N/A</v>
      </c>
      <c r="D382" s="60" t="str">
        <f ca="1"/>
        <v>COMCAST CORP NEW    NOTE CALL MAKE WHOLE4.55000% 01/15/2029</v>
      </c>
      <c r="E382" s="61" t="str">
        <f ca="1"/>
        <v>Corp</v>
      </c>
      <c r="F382" s="62">
        <f ca="1"/>
        <v>4.55</v>
      </c>
      <c r="G382" s="63">
        <f ca="1"/>
        <v>47133</v>
      </c>
      <c r="H382" s="61" t="str">
        <f ca="1"/>
        <v>A3</v>
      </c>
      <c r="I382" s="61" t="str">
        <f ca="1"/>
        <v>A-</v>
      </c>
      <c r="J382" s="64">
        <f ca="1"/>
        <v>99.986999999999995</v>
      </c>
      <c r="K382" s="17">
        <f ca="1"/>
        <v>4.5519999999999996</v>
      </c>
      <c r="L382" s="17" t="str">
        <f ca="1"/>
        <v>500(2)</v>
      </c>
      <c r="M382" s="83"/>
      <c r="N382" s="84" t="str">
        <f t="shared" si="82"/>
        <v/>
      </c>
      <c r="O382" s="20" t="str">
        <f t="shared" si="83"/>
        <v/>
      </c>
      <c r="P382" s="64" t="str">
        <f t="shared" si="84"/>
        <v/>
      </c>
      <c r="Q382" s="85" t="str">
        <f t="shared" ca="1" si="85"/>
        <v/>
      </c>
      <c r="R382" s="86" t="str">
        <f t="shared" si="86"/>
        <v/>
      </c>
      <c r="S382" s="86" t="str">
        <f t="shared" si="87"/>
        <v/>
      </c>
      <c r="T382" s="104" t="str">
        <f t="shared" si="88"/>
        <v/>
      </c>
      <c r="U382" s="19" t="str">
        <f>IF(AND(M382&lt;&gt;"",M382&lt;&gt;0), IF(E382 = "Muni", T382, IF(E382="Corp", T382*(1 -'Investor Input'!$C$4-'Investor Input'!$C$5), T382*(1 -'Investor Input'!$C$4))), T382)</f>
        <v/>
      </c>
      <c r="V382" s="84" t="str">
        <f t="shared" si="89"/>
        <v/>
      </c>
      <c r="W382" s="84" t="str">
        <f t="shared" si="75"/>
        <v/>
      </c>
      <c r="X382" s="21" t="str">
        <f t="shared" si="76"/>
        <v/>
      </c>
      <c r="Y382" s="60" t="str">
        <f t="shared" si="77"/>
        <v/>
      </c>
      <c r="Z382" s="60" t="str">
        <f t="shared" si="78"/>
        <v/>
      </c>
      <c r="AA382" s="64" t="str">
        <f t="shared" si="79"/>
        <v/>
      </c>
      <c r="AB382" s="64" t="str">
        <f>IF(AND(AA382&lt;&gt;"",AA382&lt;&gt;0), IF(E382="Muni", AA382, IF(E382 = "Corp", (1-'Investor Input'!$C$4-'Investor Input'!$C$5)*AA382, (1-'Investor Input'!$C$4)*AA382)), AA382)</f>
        <v/>
      </c>
      <c r="AC382" s="94" t="str">
        <f t="shared" si="80"/>
        <v/>
      </c>
      <c r="AD382" s="60" t="str">
        <f>IF(AND(M382&lt;&gt;"", M382&lt;&gt;0), N382/$N$505*MATCH(AC382,'Misc Lists'!$K$2:$K$25,0), "")</f>
        <v/>
      </c>
      <c r="AE382" s="90" t="str">
        <f t="shared" si="81"/>
        <v/>
      </c>
      <c r="AF382" s="99" t="str">
        <f>IF(AND(M382&lt;&gt;"", M382&lt;&gt;0), N382/$N$505*MATCH(AE382,'Misc Lists'!$L$2:$L$25,0), "")</f>
        <v/>
      </c>
    </row>
    <row r="383" spans="2:32" hidden="1" outlineLevel="1" x14ac:dyDescent="0.5">
      <c r="B383" s="60" t="str">
        <f ca="1"/>
        <v>482480AG5</v>
      </c>
      <c r="C383" s="61" t="str">
        <f ca="1"/>
        <v>N/A</v>
      </c>
      <c r="D383" s="60" t="str">
        <f ca="1"/>
        <v>KLA CORP            NOTE CALL MAKE WHOLE4.10000% 03/15/2029</v>
      </c>
      <c r="E383" s="61" t="str">
        <f ca="1"/>
        <v>Corp</v>
      </c>
      <c r="F383" s="62">
        <f ca="1"/>
        <v>4.0999999999999996</v>
      </c>
      <c r="G383" s="63">
        <f ca="1"/>
        <v>47192</v>
      </c>
      <c r="H383" s="61" t="str">
        <f ca="1"/>
        <v>A2</v>
      </c>
      <c r="I383" s="61" t="str">
        <f ca="1"/>
        <v>A-</v>
      </c>
      <c r="J383" s="64">
        <f ca="1"/>
        <v>98.358999999999995</v>
      </c>
      <c r="K383" s="17">
        <f ca="1"/>
        <v>4.5519999999999996</v>
      </c>
      <c r="L383" s="17" t="str">
        <f ca="1"/>
        <v>250(10)</v>
      </c>
      <c r="M383" s="83"/>
      <c r="N383" s="84" t="str">
        <f t="shared" si="82"/>
        <v/>
      </c>
      <c r="O383" s="20" t="str">
        <f t="shared" si="83"/>
        <v/>
      </c>
      <c r="P383" s="64" t="str">
        <f t="shared" si="84"/>
        <v/>
      </c>
      <c r="Q383" s="85" t="str">
        <f t="shared" ca="1" si="85"/>
        <v/>
      </c>
      <c r="R383" s="86" t="str">
        <f t="shared" si="86"/>
        <v/>
      </c>
      <c r="S383" s="86" t="str">
        <f t="shared" si="87"/>
        <v/>
      </c>
      <c r="T383" s="104" t="str">
        <f t="shared" si="88"/>
        <v/>
      </c>
      <c r="U383" s="19" t="str">
        <f>IF(AND(M383&lt;&gt;"",M383&lt;&gt;0), IF(E383 = "Muni", T383, IF(E383="Corp", T383*(1 -'Investor Input'!$C$4-'Investor Input'!$C$5), T383*(1 -'Investor Input'!$C$4))), T383)</f>
        <v/>
      </c>
      <c r="V383" s="84" t="str">
        <f t="shared" si="89"/>
        <v/>
      </c>
      <c r="W383" s="84" t="str">
        <f t="shared" si="75"/>
        <v/>
      </c>
      <c r="X383" s="21" t="str">
        <f t="shared" si="76"/>
        <v/>
      </c>
      <c r="Y383" s="60" t="str">
        <f t="shared" si="77"/>
        <v/>
      </c>
      <c r="Z383" s="60" t="str">
        <f t="shared" si="78"/>
        <v/>
      </c>
      <c r="AA383" s="64" t="str">
        <f t="shared" si="79"/>
        <v/>
      </c>
      <c r="AB383" s="64" t="str">
        <f>IF(AND(AA383&lt;&gt;"",AA383&lt;&gt;0), IF(E383="Muni", AA383, IF(E383 = "Corp", (1-'Investor Input'!$C$4-'Investor Input'!$C$5)*AA383, (1-'Investor Input'!$C$4)*AA383)), AA383)</f>
        <v/>
      </c>
      <c r="AC383" s="94" t="str">
        <f t="shared" si="80"/>
        <v/>
      </c>
      <c r="AD383" s="60" t="str">
        <f>IF(AND(M383&lt;&gt;"", M383&lt;&gt;0), N383/$N$505*MATCH(AC383,'Misc Lists'!$K$2:$K$25,0), "")</f>
        <v/>
      </c>
      <c r="AE383" s="90" t="str">
        <f t="shared" si="81"/>
        <v/>
      </c>
      <c r="AF383" s="99" t="str">
        <f>IF(AND(M383&lt;&gt;"", M383&lt;&gt;0), N383/$N$505*MATCH(AE383,'Misc Lists'!$L$2:$L$25,0), "")</f>
        <v/>
      </c>
    </row>
    <row r="384" spans="2:32" hidden="1" outlineLevel="1" x14ac:dyDescent="0.5">
      <c r="B384" s="60" t="str">
        <f ca="1"/>
        <v>126117AT7</v>
      </c>
      <c r="C384" s="61" t="str">
        <f ca="1"/>
        <v>N/A</v>
      </c>
      <c r="D384" s="60" t="str">
        <f ca="1"/>
        <v>CNA FINL CORP       NOTE CALL MAKE WHOLE4.50000% 03/01/2026</v>
      </c>
      <c r="E384" s="61" t="str">
        <f ca="1"/>
        <v>Corp</v>
      </c>
      <c r="F384" s="62">
        <f ca="1"/>
        <v>4.5</v>
      </c>
      <c r="G384" s="63">
        <f ca="1"/>
        <v>46082</v>
      </c>
      <c r="H384" s="61" t="str">
        <f ca="1"/>
        <v>BAA2</v>
      </c>
      <c r="I384" s="61" t="str">
        <f ca="1"/>
        <v>A-</v>
      </c>
      <c r="J384" s="64">
        <f ca="1"/>
        <v>99.951999999999998</v>
      </c>
      <c r="K384" s="17">
        <f ca="1"/>
        <v>4.55</v>
      </c>
      <c r="L384" s="17" t="str">
        <f ca="1"/>
        <v>625(2)</v>
      </c>
      <c r="M384" s="83"/>
      <c r="N384" s="84" t="str">
        <f t="shared" si="82"/>
        <v/>
      </c>
      <c r="O384" s="20" t="str">
        <f t="shared" si="83"/>
        <v/>
      </c>
      <c r="P384" s="64" t="str">
        <f t="shared" si="84"/>
        <v/>
      </c>
      <c r="Q384" s="85" t="str">
        <f t="shared" ca="1" si="85"/>
        <v/>
      </c>
      <c r="R384" s="86" t="str">
        <f t="shared" si="86"/>
        <v/>
      </c>
      <c r="S384" s="86" t="str">
        <f t="shared" si="87"/>
        <v/>
      </c>
      <c r="T384" s="104" t="str">
        <f t="shared" si="88"/>
        <v/>
      </c>
      <c r="U384" s="19" t="str">
        <f>IF(AND(M384&lt;&gt;"",M384&lt;&gt;0), IF(E384 = "Muni", T384, IF(E384="Corp", T384*(1 -'Investor Input'!$C$4-'Investor Input'!$C$5), T384*(1 -'Investor Input'!$C$4))), T384)</f>
        <v/>
      </c>
      <c r="V384" s="84" t="str">
        <f t="shared" si="89"/>
        <v/>
      </c>
      <c r="W384" s="84" t="str">
        <f t="shared" si="75"/>
        <v/>
      </c>
      <c r="X384" s="21" t="str">
        <f t="shared" si="76"/>
        <v/>
      </c>
      <c r="Y384" s="60" t="str">
        <f t="shared" si="77"/>
        <v/>
      </c>
      <c r="Z384" s="60" t="str">
        <f t="shared" si="78"/>
        <v/>
      </c>
      <c r="AA384" s="64" t="str">
        <f t="shared" si="79"/>
        <v/>
      </c>
      <c r="AB384" s="64" t="str">
        <f>IF(AND(AA384&lt;&gt;"",AA384&lt;&gt;0), IF(E384="Muni", AA384, IF(E384 = "Corp", (1-'Investor Input'!$C$4-'Investor Input'!$C$5)*AA384, (1-'Investor Input'!$C$4)*AA384)), AA384)</f>
        <v/>
      </c>
      <c r="AC384" s="94" t="str">
        <f t="shared" si="80"/>
        <v/>
      </c>
      <c r="AD384" s="60" t="str">
        <f>IF(AND(M384&lt;&gt;"", M384&lt;&gt;0), N384/$N$505*MATCH(AC384,'Misc Lists'!$K$2:$K$25,0), "")</f>
        <v/>
      </c>
      <c r="AE384" s="90" t="str">
        <f t="shared" si="81"/>
        <v/>
      </c>
      <c r="AF384" s="99" t="str">
        <f>IF(AND(M384&lt;&gt;"", M384&lt;&gt;0), N384/$N$505*MATCH(AE384,'Misc Lists'!$L$2:$L$25,0), "")</f>
        <v/>
      </c>
    </row>
    <row r="385" spans="2:32" hidden="1" outlineLevel="1" x14ac:dyDescent="0.5">
      <c r="B385" s="60" t="str">
        <f ca="1"/>
        <v>78015K7H1</v>
      </c>
      <c r="C385" s="61" t="str">
        <f ca="1"/>
        <v>N/A</v>
      </c>
      <c r="D385" s="60" t="str">
        <f ca="1"/>
        <v>ROYAL BK CDA        SER H NOTE          1.15000% 06/10/2025</v>
      </c>
      <c r="E385" s="61" t="str">
        <f ca="1"/>
        <v>Corp</v>
      </c>
      <c r="F385" s="62">
        <f ca="1"/>
        <v>1.1499999999999999</v>
      </c>
      <c r="G385" s="63">
        <f ca="1"/>
        <v>45818</v>
      </c>
      <c r="H385" s="61" t="str">
        <f ca="1"/>
        <v>A1</v>
      </c>
      <c r="I385" s="61" t="str">
        <f ca="1"/>
        <v>A</v>
      </c>
      <c r="J385" s="64">
        <f ca="1"/>
        <v>99.174999999999997</v>
      </c>
      <c r="K385" s="17">
        <f ca="1"/>
        <v>4.5490000000000004</v>
      </c>
      <c r="L385" s="17" t="str">
        <f ca="1"/>
        <v>713(2)</v>
      </c>
      <c r="M385" s="83"/>
      <c r="N385" s="84" t="str">
        <f t="shared" si="82"/>
        <v/>
      </c>
      <c r="O385" s="20" t="str">
        <f t="shared" si="83"/>
        <v/>
      </c>
      <c r="P385" s="64" t="str">
        <f t="shared" si="84"/>
        <v/>
      </c>
      <c r="Q385" s="85" t="str">
        <f t="shared" ca="1" si="85"/>
        <v/>
      </c>
      <c r="R385" s="86" t="str">
        <f t="shared" si="86"/>
        <v/>
      </c>
      <c r="S385" s="86" t="str">
        <f t="shared" si="87"/>
        <v/>
      </c>
      <c r="T385" s="104" t="str">
        <f t="shared" si="88"/>
        <v/>
      </c>
      <c r="U385" s="19" t="str">
        <f>IF(AND(M385&lt;&gt;"",M385&lt;&gt;0), IF(E385 = "Muni", T385, IF(E385="Corp", T385*(1 -'Investor Input'!$C$4-'Investor Input'!$C$5), T385*(1 -'Investor Input'!$C$4))), T385)</f>
        <v/>
      </c>
      <c r="V385" s="84" t="str">
        <f t="shared" si="89"/>
        <v/>
      </c>
      <c r="W385" s="84" t="str">
        <f t="shared" si="75"/>
        <v/>
      </c>
      <c r="X385" s="21" t="str">
        <f t="shared" si="76"/>
        <v/>
      </c>
      <c r="Y385" s="60" t="str">
        <f t="shared" si="77"/>
        <v/>
      </c>
      <c r="Z385" s="60" t="str">
        <f t="shared" si="78"/>
        <v/>
      </c>
      <c r="AA385" s="64" t="str">
        <f t="shared" si="79"/>
        <v/>
      </c>
      <c r="AB385" s="64" t="str">
        <f>IF(AND(AA385&lt;&gt;"",AA385&lt;&gt;0), IF(E385="Muni", AA385, IF(E385 = "Corp", (1-'Investor Input'!$C$4-'Investor Input'!$C$5)*AA385, (1-'Investor Input'!$C$4)*AA385)), AA385)</f>
        <v/>
      </c>
      <c r="AC385" s="94" t="str">
        <f t="shared" si="80"/>
        <v/>
      </c>
      <c r="AD385" s="60" t="str">
        <f>IF(AND(M385&lt;&gt;"", M385&lt;&gt;0), N385/$N$505*MATCH(AC385,'Misc Lists'!$K$2:$K$25,0), "")</f>
        <v/>
      </c>
      <c r="AE385" s="90" t="str">
        <f t="shared" si="81"/>
        <v/>
      </c>
      <c r="AF385" s="99" t="str">
        <f>IF(AND(M385&lt;&gt;"", M385&lt;&gt;0), N385/$N$505*MATCH(AE385,'Misc Lists'!$L$2:$L$25,0), "")</f>
        <v/>
      </c>
    </row>
    <row r="386" spans="2:32" hidden="1" outlineLevel="1" x14ac:dyDescent="0.5">
      <c r="B386" s="60" t="str">
        <f ca="1"/>
        <v>68233JBH6</v>
      </c>
      <c r="C386" s="61" t="str">
        <f ca="1"/>
        <v>N/A</v>
      </c>
      <c r="D386" s="60" t="str">
        <f ca="1"/>
        <v>ONCOR ELEC DELIVERY CO LLC SER B NOTE   3.70000% 11/15/2028 CALL MAKE WHOLE</v>
      </c>
      <c r="E386" s="61" t="str">
        <f ca="1"/>
        <v>Corp</v>
      </c>
      <c r="F386" s="62">
        <f ca="1"/>
        <v>3.7</v>
      </c>
      <c r="G386" s="63">
        <f ca="1"/>
        <v>47072</v>
      </c>
      <c r="H386" s="61" t="str">
        <f ca="1"/>
        <v>A2</v>
      </c>
      <c r="I386" s="61" t="str">
        <f ca="1"/>
        <v>A+</v>
      </c>
      <c r="J386" s="64">
        <f ca="1"/>
        <v>97.153000000000006</v>
      </c>
      <c r="K386" s="17">
        <f ca="1"/>
        <v>4.5490000000000004</v>
      </c>
      <c r="L386" s="17" t="str">
        <f ca="1"/>
        <v>500(2)</v>
      </c>
      <c r="M386" s="83"/>
      <c r="N386" s="84" t="str">
        <f t="shared" si="82"/>
        <v/>
      </c>
      <c r="O386" s="20" t="str">
        <f t="shared" si="83"/>
        <v/>
      </c>
      <c r="P386" s="64" t="str">
        <f t="shared" si="84"/>
        <v/>
      </c>
      <c r="Q386" s="85" t="str">
        <f t="shared" ca="1" si="85"/>
        <v/>
      </c>
      <c r="R386" s="86" t="str">
        <f t="shared" si="86"/>
        <v/>
      </c>
      <c r="S386" s="86" t="str">
        <f t="shared" si="87"/>
        <v/>
      </c>
      <c r="T386" s="104" t="str">
        <f t="shared" si="88"/>
        <v/>
      </c>
      <c r="U386" s="19" t="str">
        <f>IF(AND(M386&lt;&gt;"",M386&lt;&gt;0), IF(E386 = "Muni", T386, IF(E386="Corp", T386*(1 -'Investor Input'!$C$4-'Investor Input'!$C$5), T386*(1 -'Investor Input'!$C$4))), T386)</f>
        <v/>
      </c>
      <c r="V386" s="84" t="str">
        <f t="shared" si="89"/>
        <v/>
      </c>
      <c r="W386" s="84" t="str">
        <f t="shared" si="75"/>
        <v/>
      </c>
      <c r="X386" s="21" t="str">
        <f t="shared" si="76"/>
        <v/>
      </c>
      <c r="Y386" s="60" t="str">
        <f t="shared" si="77"/>
        <v/>
      </c>
      <c r="Z386" s="60" t="str">
        <f t="shared" si="78"/>
        <v/>
      </c>
      <c r="AA386" s="64" t="str">
        <f t="shared" si="79"/>
        <v/>
      </c>
      <c r="AB386" s="64" t="str">
        <f>IF(AND(AA386&lt;&gt;"",AA386&lt;&gt;0), IF(E386="Muni", AA386, IF(E386 = "Corp", (1-'Investor Input'!$C$4-'Investor Input'!$C$5)*AA386, (1-'Investor Input'!$C$4)*AA386)), AA386)</f>
        <v/>
      </c>
      <c r="AC386" s="94" t="str">
        <f t="shared" si="80"/>
        <v/>
      </c>
      <c r="AD386" s="60" t="str">
        <f>IF(AND(M386&lt;&gt;"", M386&lt;&gt;0), N386/$N$505*MATCH(AC386,'Misc Lists'!$K$2:$K$25,0), "")</f>
        <v/>
      </c>
      <c r="AE386" s="90" t="str">
        <f t="shared" si="81"/>
        <v/>
      </c>
      <c r="AF386" s="99" t="str">
        <f>IF(AND(M386&lt;&gt;"", M386&lt;&gt;0), N386/$N$505*MATCH(AE386,'Misc Lists'!$L$2:$L$25,0), "")</f>
        <v/>
      </c>
    </row>
    <row r="387" spans="2:32" hidden="1" outlineLevel="1" x14ac:dyDescent="0.5">
      <c r="B387" s="60" t="str">
        <f ca="1"/>
        <v>48128G3C2</v>
      </c>
      <c r="C387" s="61" t="str">
        <f ca="1"/>
        <v>N/A</v>
      </c>
      <c r="D387" s="60" t="str">
        <f ca="1"/>
        <v>JPMORGAN CHASE &amp;CO  SER E MTN           1.50000% 09/24/2027</v>
      </c>
      <c r="E387" s="61" t="str">
        <f ca="1"/>
        <v>Corp</v>
      </c>
      <c r="F387" s="62">
        <f ca="1"/>
        <v>1.5</v>
      </c>
      <c r="G387" s="63">
        <f ca="1"/>
        <v>46654</v>
      </c>
      <c r="H387" s="61" t="str">
        <f ca="1"/>
        <v>A1</v>
      </c>
      <c r="I387" s="61" t="str">
        <f ca="1"/>
        <v>A</v>
      </c>
      <c r="J387" s="64">
        <f ca="1"/>
        <v>92.783000000000001</v>
      </c>
      <c r="K387" s="17">
        <f ca="1"/>
        <v>4.548</v>
      </c>
      <c r="L387" s="17" t="str">
        <f ca="1"/>
        <v>215(1)</v>
      </c>
      <c r="M387" s="83"/>
      <c r="N387" s="84" t="str">
        <f t="shared" si="82"/>
        <v/>
      </c>
      <c r="O387" s="20" t="str">
        <f t="shared" si="83"/>
        <v/>
      </c>
      <c r="P387" s="64" t="str">
        <f t="shared" si="84"/>
        <v/>
      </c>
      <c r="Q387" s="85" t="str">
        <f t="shared" ca="1" si="85"/>
        <v/>
      </c>
      <c r="R387" s="86" t="str">
        <f t="shared" si="86"/>
        <v/>
      </c>
      <c r="S387" s="86" t="str">
        <f t="shared" si="87"/>
        <v/>
      </c>
      <c r="T387" s="104" t="str">
        <f t="shared" si="88"/>
        <v/>
      </c>
      <c r="U387" s="19" t="str">
        <f>IF(AND(M387&lt;&gt;"",M387&lt;&gt;0), IF(E387 = "Muni", T387, IF(E387="Corp", T387*(1 -'Investor Input'!$C$4-'Investor Input'!$C$5), T387*(1 -'Investor Input'!$C$4))), T387)</f>
        <v/>
      </c>
      <c r="V387" s="84" t="str">
        <f t="shared" si="89"/>
        <v/>
      </c>
      <c r="W387" s="84" t="str">
        <f t="shared" si="75"/>
        <v/>
      </c>
      <c r="X387" s="21" t="str">
        <f t="shared" si="76"/>
        <v/>
      </c>
      <c r="Y387" s="60" t="str">
        <f t="shared" si="77"/>
        <v/>
      </c>
      <c r="Z387" s="60" t="str">
        <f t="shared" si="78"/>
        <v/>
      </c>
      <c r="AA387" s="64" t="str">
        <f t="shared" si="79"/>
        <v/>
      </c>
      <c r="AB387" s="64" t="str">
        <f>IF(AND(AA387&lt;&gt;"",AA387&lt;&gt;0), IF(E387="Muni", AA387, IF(E387 = "Corp", (1-'Investor Input'!$C$4-'Investor Input'!$C$5)*AA387, (1-'Investor Input'!$C$4)*AA387)), AA387)</f>
        <v/>
      </c>
      <c r="AC387" s="94" t="str">
        <f t="shared" si="80"/>
        <v/>
      </c>
      <c r="AD387" s="60" t="str">
        <f>IF(AND(M387&lt;&gt;"", M387&lt;&gt;0), N387/$N$505*MATCH(AC387,'Misc Lists'!$K$2:$K$25,0), "")</f>
        <v/>
      </c>
      <c r="AE387" s="90" t="str">
        <f t="shared" si="81"/>
        <v/>
      </c>
      <c r="AF387" s="99" t="str">
        <f>IF(AND(M387&lt;&gt;"", M387&lt;&gt;0), N387/$N$505*MATCH(AE387,'Misc Lists'!$L$2:$L$25,0), "")</f>
        <v/>
      </c>
    </row>
    <row r="388" spans="2:32" hidden="1" outlineLevel="1" x14ac:dyDescent="0.5">
      <c r="B388" s="60" t="str">
        <f ca="1"/>
        <v>64110LAT3</v>
      </c>
      <c r="C388" s="61" t="str">
        <f ca="1"/>
        <v>N/A</v>
      </c>
      <c r="D388" s="60" t="str">
        <f ca="1"/>
        <v>NETFLIX INC.        SER B NOTE          5.87500% 11/15/2028 CALL MAKE WHOLE</v>
      </c>
      <c r="E388" s="61" t="str">
        <f ca="1"/>
        <v>Corp</v>
      </c>
      <c r="F388" s="62">
        <f ca="1"/>
        <v>5.875</v>
      </c>
      <c r="G388" s="63">
        <f ca="1"/>
        <v>47072</v>
      </c>
      <c r="H388" s="61" t="str">
        <f ca="1"/>
        <v>BAA1</v>
      </c>
      <c r="I388" s="61" t="str">
        <f ca="1"/>
        <v>A</v>
      </c>
      <c r="J388" s="64">
        <f ca="1"/>
        <v>104.437</v>
      </c>
      <c r="K388" s="17">
        <f ca="1"/>
        <v>4.548</v>
      </c>
      <c r="L388" s="17" t="str">
        <f ca="1"/>
        <v>500(2)</v>
      </c>
      <c r="M388" s="83"/>
      <c r="N388" s="84" t="str">
        <f t="shared" si="82"/>
        <v/>
      </c>
      <c r="O388" s="20" t="str">
        <f t="shared" si="83"/>
        <v/>
      </c>
      <c r="P388" s="64" t="str">
        <f t="shared" si="84"/>
        <v/>
      </c>
      <c r="Q388" s="85" t="str">
        <f t="shared" ca="1" si="85"/>
        <v/>
      </c>
      <c r="R388" s="86" t="str">
        <f t="shared" si="86"/>
        <v/>
      </c>
      <c r="S388" s="86" t="str">
        <f t="shared" si="87"/>
        <v/>
      </c>
      <c r="T388" s="104" t="str">
        <f t="shared" si="88"/>
        <v/>
      </c>
      <c r="U388" s="19" t="str">
        <f>IF(AND(M388&lt;&gt;"",M388&lt;&gt;0), IF(E388 = "Muni", T388, IF(E388="Corp", T388*(1 -'Investor Input'!$C$4-'Investor Input'!$C$5), T388*(1 -'Investor Input'!$C$4))), T388)</f>
        <v/>
      </c>
      <c r="V388" s="84" t="str">
        <f t="shared" si="89"/>
        <v/>
      </c>
      <c r="W388" s="84" t="str">
        <f t="shared" ref="W388:W451" si="90">IF(AND(M388&lt;&gt;"",M388&lt;&gt;0),V388-N388,"")</f>
        <v/>
      </c>
      <c r="X388" s="21" t="str">
        <f t="shared" ref="X388:X451" si="91">IF(AND(M388&lt;&gt;"",M388&lt;&gt;0),W388/N388,"")</f>
        <v/>
      </c>
      <c r="Y388" s="60" t="str">
        <f t="shared" ref="Y388:Y452" si="92">IF(AND(M388&lt;&gt;"", M388&lt;&gt;0), MONTH(G388), "")</f>
        <v/>
      </c>
      <c r="Z388" s="60" t="str">
        <f t="shared" ref="Z388:Z452" si="93">IF(AND(M388&lt;&gt;"", M388&lt;&gt;0), MONTH(EDATE(G388, 6)), "")</f>
        <v/>
      </c>
      <c r="AA388" s="64" t="str">
        <f t="shared" ref="AA388:AA452" si="94">IF(AND(M388&lt;&gt;"", M388&lt;&gt;0), F388*1000*M388/(100*2), "")</f>
        <v/>
      </c>
      <c r="AB388" s="64" t="str">
        <f>IF(AND(AA388&lt;&gt;"",AA388&lt;&gt;0), IF(E388="Muni", AA388, IF(E388 = "Corp", (1-'Investor Input'!$C$4-'Investor Input'!$C$5)*AA388, (1-'Investor Input'!$C$4)*AA388)), AA388)</f>
        <v/>
      </c>
      <c r="AC388" s="94" t="str">
        <f t="shared" ref="AC388:AC452" si="95">IF(AND(M388&lt;&gt;"", M388&lt;&gt;0), H388, "")</f>
        <v/>
      </c>
      <c r="AD388" s="60" t="str">
        <f>IF(AND(M388&lt;&gt;"", M388&lt;&gt;0), N388/$N$505*MATCH(AC388,'Misc Lists'!$K$2:$K$25,0), "")</f>
        <v/>
      </c>
      <c r="AE388" s="90" t="str">
        <f t="shared" ref="AE388:AE452" si="96">IF(AND(M388&lt;&gt;"", M388&lt;&gt;0), I388, "")</f>
        <v/>
      </c>
      <c r="AF388" s="99" t="str">
        <f>IF(AND(M388&lt;&gt;"", M388&lt;&gt;0), N388/$N$505*MATCH(AE388,'Misc Lists'!$L$2:$L$25,0), "")</f>
        <v/>
      </c>
    </row>
    <row r="389" spans="2:32" hidden="1" outlineLevel="1" x14ac:dyDescent="0.5">
      <c r="B389" s="60" t="str">
        <f ca="1"/>
        <v>05348EAW9</v>
      </c>
      <c r="C389" s="61" t="str">
        <f ca="1"/>
        <v>N/A</v>
      </c>
      <c r="D389" s="60" t="str">
        <f ca="1"/>
        <v>AVALONBAY CMNTYS INCMTN CALL MAKE WHOLE 3.50000% 11/15/2025</v>
      </c>
      <c r="E389" s="61" t="str">
        <f ca="1"/>
        <v>Corp</v>
      </c>
      <c r="F389" s="62">
        <f ca="1"/>
        <v>3.5</v>
      </c>
      <c r="G389" s="63">
        <f ca="1"/>
        <v>45976</v>
      </c>
      <c r="H389" s="61" t="str">
        <f ca="1"/>
        <v>A3</v>
      </c>
      <c r="I389" s="61" t="str">
        <f ca="1"/>
        <v>A-</v>
      </c>
      <c r="J389" s="64">
        <f ca="1"/>
        <v>99.307000000000002</v>
      </c>
      <c r="K389" s="17">
        <f ca="1"/>
        <v>4.5469999999999997</v>
      </c>
      <c r="L389" s="17" t="str">
        <f ca="1"/>
        <v>100(9)</v>
      </c>
      <c r="M389" s="83"/>
      <c r="N389" s="84" t="str">
        <f t="shared" ref="N389:N452" si="97">IF(AND(M389&lt;&gt;"", M389&lt;&gt;0), IF(L389 &lt;&gt; "N/A", IF(M389&gt;=VALUE(LEFT(L389, FIND("(", L389)-1)), J389*10*M389, 1000*M389), 1000*M389), "")</f>
        <v/>
      </c>
      <c r="O389" s="20" t="str">
        <f t="shared" ref="O389:O452" si="98">IF(AND(M389&lt;&gt;"",M389&lt;&gt;0),N389/$N$505, "")</f>
        <v/>
      </c>
      <c r="P389" s="64" t="str">
        <f t="shared" ref="P389:P452" si="99">IF(AND(M389&lt;&gt;"", M389&lt;&gt;0), F389*1000/100, "")</f>
        <v/>
      </c>
      <c r="Q389" s="85" t="str">
        <f t="shared" ref="Q389:Q452" ca="1" si="100">IF(AND(M389&lt;&gt;"", M389&lt;&gt;0), NOW(), "")</f>
        <v/>
      </c>
      <c r="R389" s="86" t="str">
        <f t="shared" ref="R389:R452" si="101">IF(AND(M389&lt;&gt;"", M389&lt;&gt;0), ROUND((G389 - Q389)/365, 0), "")</f>
        <v/>
      </c>
      <c r="S389" s="86" t="str">
        <f t="shared" ref="S389:S452" si="102">IF(AND(M389&lt;&gt;"",M389&lt;&gt;0),MDURATION(Q389,G389,F389/100,K389/100,2), "")</f>
        <v/>
      </c>
      <c r="T389" s="104" t="str">
        <f t="shared" ref="T389:T452" si="103">IF(AND(M389&lt;&gt;"",M389&lt;&gt;0),YIELD(Q389,G389,F389/100,N389/(M389*10),100,2),"")</f>
        <v/>
      </c>
      <c r="U389" s="19" t="str">
        <f>IF(AND(M389&lt;&gt;"",M389&lt;&gt;0), IF(E389 = "Muni", T389, IF(E389="Corp", T389*(1 -'Investor Input'!$C$4-'Investor Input'!$C$5), T389*(1 -'Investor Input'!$C$4))), T389)</f>
        <v/>
      </c>
      <c r="V389" s="84" t="str">
        <f t="shared" ref="V389:V452" si="104">IF(AND(M389&lt;&gt;"",M389&lt;&gt;0),(FV(K389/(2*100),(G389-Q389)*2/365, F389*1000/(2*100), -N389/M389))*M389, "")</f>
        <v/>
      </c>
      <c r="W389" s="84" t="str">
        <f t="shared" si="90"/>
        <v/>
      </c>
      <c r="X389" s="21" t="str">
        <f t="shared" si="91"/>
        <v/>
      </c>
      <c r="Y389" s="60" t="str">
        <f t="shared" si="92"/>
        <v/>
      </c>
      <c r="Z389" s="60" t="str">
        <f t="shared" si="93"/>
        <v/>
      </c>
      <c r="AA389" s="64" t="str">
        <f t="shared" si="94"/>
        <v/>
      </c>
      <c r="AB389" s="64" t="str">
        <f>IF(AND(AA389&lt;&gt;"",AA389&lt;&gt;0), IF(E389="Muni", AA389, IF(E389 = "Corp", (1-'Investor Input'!$C$4-'Investor Input'!$C$5)*AA389, (1-'Investor Input'!$C$4)*AA389)), AA389)</f>
        <v/>
      </c>
      <c r="AC389" s="94" t="str">
        <f t="shared" si="95"/>
        <v/>
      </c>
      <c r="AD389" s="60" t="str">
        <f>IF(AND(M389&lt;&gt;"", M389&lt;&gt;0), N389/$N$505*MATCH(AC389,'Misc Lists'!$K$2:$K$25,0), "")</f>
        <v/>
      </c>
      <c r="AE389" s="90" t="str">
        <f t="shared" si="96"/>
        <v/>
      </c>
      <c r="AF389" s="99" t="str">
        <f>IF(AND(M389&lt;&gt;"", M389&lt;&gt;0), N389/$N$505*MATCH(AE389,'Misc Lists'!$L$2:$L$25,0), "")</f>
        <v/>
      </c>
    </row>
    <row r="390" spans="2:32" hidden="1" outlineLevel="1" x14ac:dyDescent="0.5">
      <c r="B390" s="60" t="str">
        <f ca="1"/>
        <v>756109BJ2</v>
      </c>
      <c r="C390" s="61" t="str">
        <f ca="1"/>
        <v>N/A</v>
      </c>
      <c r="D390" s="60" t="str">
        <f ca="1"/>
        <v>REALTY INCOME CORP  NOTE CALL MAKE WHOLE2.20000% 06/15/2028</v>
      </c>
      <c r="E390" s="61" t="str">
        <f ca="1"/>
        <v>Corp</v>
      </c>
      <c r="F390" s="62">
        <f ca="1"/>
        <v>2.2000000000000002</v>
      </c>
      <c r="G390" s="63">
        <f ca="1"/>
        <v>46919</v>
      </c>
      <c r="H390" s="61" t="str">
        <f ca="1"/>
        <v>A3</v>
      </c>
      <c r="I390" s="61" t="str">
        <f ca="1"/>
        <v>A-</v>
      </c>
      <c r="J390" s="64">
        <f ca="1"/>
        <v>92.965999999999994</v>
      </c>
      <c r="K390" s="17">
        <f ca="1"/>
        <v>4.5460000000000003</v>
      </c>
      <c r="L390" s="17" t="str">
        <f ca="1"/>
        <v>1,000(2)</v>
      </c>
      <c r="M390" s="83"/>
      <c r="N390" s="84" t="str">
        <f t="shared" si="97"/>
        <v/>
      </c>
      <c r="O390" s="20" t="str">
        <f t="shared" si="98"/>
        <v/>
      </c>
      <c r="P390" s="64" t="str">
        <f t="shared" si="99"/>
        <v/>
      </c>
      <c r="Q390" s="85" t="str">
        <f t="shared" ca="1" si="100"/>
        <v/>
      </c>
      <c r="R390" s="86" t="str">
        <f t="shared" si="101"/>
        <v/>
      </c>
      <c r="S390" s="86" t="str">
        <f t="shared" si="102"/>
        <v/>
      </c>
      <c r="T390" s="104" t="str">
        <f t="shared" si="103"/>
        <v/>
      </c>
      <c r="U390" s="19" t="str">
        <f>IF(AND(M390&lt;&gt;"",M390&lt;&gt;0), IF(E390 = "Muni", T390, IF(E390="Corp", T390*(1 -'Investor Input'!$C$4-'Investor Input'!$C$5), T390*(1 -'Investor Input'!$C$4))), T390)</f>
        <v/>
      </c>
      <c r="V390" s="84" t="str">
        <f t="shared" si="104"/>
        <v/>
      </c>
      <c r="W390" s="84" t="str">
        <f t="shared" si="90"/>
        <v/>
      </c>
      <c r="X390" s="21" t="str">
        <f t="shared" si="91"/>
        <v/>
      </c>
      <c r="Y390" s="60" t="str">
        <f t="shared" si="92"/>
        <v/>
      </c>
      <c r="Z390" s="60" t="str">
        <f t="shared" si="93"/>
        <v/>
      </c>
      <c r="AA390" s="64" t="str">
        <f t="shared" si="94"/>
        <v/>
      </c>
      <c r="AB390" s="64" t="str">
        <f>IF(AND(AA390&lt;&gt;"",AA390&lt;&gt;0), IF(E390="Muni", AA390, IF(E390 = "Corp", (1-'Investor Input'!$C$4-'Investor Input'!$C$5)*AA390, (1-'Investor Input'!$C$4)*AA390)), AA390)</f>
        <v/>
      </c>
      <c r="AC390" s="94" t="str">
        <f t="shared" si="95"/>
        <v/>
      </c>
      <c r="AD390" s="60" t="str">
        <f>IF(AND(M390&lt;&gt;"", M390&lt;&gt;0), N390/$N$505*MATCH(AC390,'Misc Lists'!$K$2:$K$25,0), "")</f>
        <v/>
      </c>
      <c r="AE390" s="90" t="str">
        <f t="shared" si="96"/>
        <v/>
      </c>
      <c r="AF390" s="99" t="str">
        <f>IF(AND(M390&lt;&gt;"", M390&lt;&gt;0), N390/$N$505*MATCH(AE390,'Misc Lists'!$L$2:$L$25,0), "")</f>
        <v/>
      </c>
    </row>
    <row r="391" spans="2:32" hidden="1" outlineLevel="1" x14ac:dyDescent="0.5">
      <c r="B391" s="60" t="str">
        <f ca="1"/>
        <v>46513CXR2</v>
      </c>
      <c r="C391" s="61" t="str">
        <f ca="1"/>
        <v>N/A</v>
      </c>
      <c r="D391" s="60" t="str">
        <f ca="1"/>
        <v>ISRAEL(STATE OF)    NOTE                2.87500% 03/16/2026 ISIN #US46513CXR23  SEDOL #BDCN342</v>
      </c>
      <c r="E391" s="61" t="str">
        <f ca="1"/>
        <v>Corp</v>
      </c>
      <c r="F391" s="62">
        <f ca="1"/>
        <v>2.875</v>
      </c>
      <c r="G391" s="63">
        <f ca="1"/>
        <v>46097</v>
      </c>
      <c r="H391" s="61" t="str">
        <f ca="1"/>
        <v>BAA1</v>
      </c>
      <c r="I391" s="61" t="str">
        <f ca="1"/>
        <v>A</v>
      </c>
      <c r="J391" s="64">
        <f ca="1"/>
        <v>98.367000000000004</v>
      </c>
      <c r="K391" s="17">
        <f ca="1"/>
        <v>4.5449999999999999</v>
      </c>
      <c r="L391" s="17" t="str">
        <f ca="1"/>
        <v>200(200)</v>
      </c>
      <c r="M391" s="83"/>
      <c r="N391" s="84" t="str">
        <f t="shared" si="97"/>
        <v/>
      </c>
      <c r="O391" s="20" t="str">
        <f t="shared" si="98"/>
        <v/>
      </c>
      <c r="P391" s="64" t="str">
        <f t="shared" si="99"/>
        <v/>
      </c>
      <c r="Q391" s="85" t="str">
        <f t="shared" ca="1" si="100"/>
        <v/>
      </c>
      <c r="R391" s="86" t="str">
        <f t="shared" si="101"/>
        <v/>
      </c>
      <c r="S391" s="86" t="str">
        <f t="shared" si="102"/>
        <v/>
      </c>
      <c r="T391" s="104" t="str">
        <f t="shared" si="103"/>
        <v/>
      </c>
      <c r="U391" s="19" t="str">
        <f>IF(AND(M391&lt;&gt;"",M391&lt;&gt;0), IF(E391 = "Muni", T391, IF(E391="Corp", T391*(1 -'Investor Input'!$C$4-'Investor Input'!$C$5), T391*(1 -'Investor Input'!$C$4))), T391)</f>
        <v/>
      </c>
      <c r="V391" s="84" t="str">
        <f t="shared" si="104"/>
        <v/>
      </c>
      <c r="W391" s="84" t="str">
        <f t="shared" si="90"/>
        <v/>
      </c>
      <c r="X391" s="21" t="str">
        <f t="shared" si="91"/>
        <v/>
      </c>
      <c r="Y391" s="60" t="str">
        <f t="shared" si="92"/>
        <v/>
      </c>
      <c r="Z391" s="60" t="str">
        <f t="shared" si="93"/>
        <v/>
      </c>
      <c r="AA391" s="64" t="str">
        <f t="shared" si="94"/>
        <v/>
      </c>
      <c r="AB391" s="64" t="str">
        <f>IF(AND(AA391&lt;&gt;"",AA391&lt;&gt;0), IF(E391="Muni", AA391, IF(E391 = "Corp", (1-'Investor Input'!$C$4-'Investor Input'!$C$5)*AA391, (1-'Investor Input'!$C$4)*AA391)), AA391)</f>
        <v/>
      </c>
      <c r="AC391" s="94" t="str">
        <f t="shared" si="95"/>
        <v/>
      </c>
      <c r="AD391" s="60" t="str">
        <f>IF(AND(M391&lt;&gt;"", M391&lt;&gt;0), N391/$N$505*MATCH(AC391,'Misc Lists'!$K$2:$K$25,0), "")</f>
        <v/>
      </c>
      <c r="AE391" s="90" t="str">
        <f t="shared" si="96"/>
        <v/>
      </c>
      <c r="AF391" s="99" t="str">
        <f>IF(AND(M391&lt;&gt;"", M391&lt;&gt;0), N391/$N$505*MATCH(AE391,'Misc Lists'!$L$2:$L$25,0), "")</f>
        <v/>
      </c>
    </row>
    <row r="392" spans="2:32" hidden="1" outlineLevel="1" x14ac:dyDescent="0.5">
      <c r="B392" s="60" t="str">
        <f ca="1"/>
        <v>808513BC8</v>
      </c>
      <c r="C392" s="61" t="str">
        <f ca="1"/>
        <v>N/A</v>
      </c>
      <c r="D392" s="60" t="str">
        <f ca="1"/>
        <v>SCHWAB CHARLES CORP NOTE CALL MAKE WHOLE4.62500% 03/22/2030</v>
      </c>
      <c r="E392" s="61" t="str">
        <f ca="1"/>
        <v>Corp</v>
      </c>
      <c r="F392" s="62">
        <f ca="1"/>
        <v>4.625</v>
      </c>
      <c r="G392" s="63">
        <f ca="1"/>
        <v>47564</v>
      </c>
      <c r="H392" s="61" t="str">
        <f ca="1"/>
        <v>A2</v>
      </c>
      <c r="I392" s="61" t="str">
        <f ca="1"/>
        <v>A-</v>
      </c>
      <c r="J392" s="64">
        <f ca="1"/>
        <v>100.354</v>
      </c>
      <c r="K392" s="17">
        <f ca="1"/>
        <v>4.5449999999999999</v>
      </c>
      <c r="L392" s="17" t="str">
        <f ca="1"/>
        <v>500(2)</v>
      </c>
      <c r="M392" s="83"/>
      <c r="N392" s="84" t="str">
        <f t="shared" si="97"/>
        <v/>
      </c>
      <c r="O392" s="20" t="str">
        <f t="shared" si="98"/>
        <v/>
      </c>
      <c r="P392" s="64" t="str">
        <f t="shared" si="99"/>
        <v/>
      </c>
      <c r="Q392" s="85" t="str">
        <f t="shared" ca="1" si="100"/>
        <v/>
      </c>
      <c r="R392" s="86" t="str">
        <f t="shared" si="101"/>
        <v/>
      </c>
      <c r="S392" s="86" t="str">
        <f t="shared" si="102"/>
        <v/>
      </c>
      <c r="T392" s="104" t="str">
        <f t="shared" si="103"/>
        <v/>
      </c>
      <c r="U392" s="19" t="str">
        <f>IF(AND(M392&lt;&gt;"",M392&lt;&gt;0), IF(E392 = "Muni", T392, IF(E392="Corp", T392*(1 -'Investor Input'!$C$4-'Investor Input'!$C$5), T392*(1 -'Investor Input'!$C$4))), T392)</f>
        <v/>
      </c>
      <c r="V392" s="84" t="str">
        <f t="shared" si="104"/>
        <v/>
      </c>
      <c r="W392" s="84" t="str">
        <f t="shared" si="90"/>
        <v/>
      </c>
      <c r="X392" s="21" t="str">
        <f t="shared" si="91"/>
        <v/>
      </c>
      <c r="Y392" s="60" t="str">
        <f t="shared" si="92"/>
        <v/>
      </c>
      <c r="Z392" s="60" t="str">
        <f t="shared" si="93"/>
        <v/>
      </c>
      <c r="AA392" s="64" t="str">
        <f t="shared" si="94"/>
        <v/>
      </c>
      <c r="AB392" s="64" t="str">
        <f>IF(AND(AA392&lt;&gt;"",AA392&lt;&gt;0), IF(E392="Muni", AA392, IF(E392 = "Corp", (1-'Investor Input'!$C$4-'Investor Input'!$C$5)*AA392, (1-'Investor Input'!$C$4)*AA392)), AA392)</f>
        <v/>
      </c>
      <c r="AC392" s="94" t="str">
        <f t="shared" si="95"/>
        <v/>
      </c>
      <c r="AD392" s="60" t="str">
        <f>IF(AND(M392&lt;&gt;"", M392&lt;&gt;0), N392/$N$505*MATCH(AC392,'Misc Lists'!$K$2:$K$25,0), "")</f>
        <v/>
      </c>
      <c r="AE392" s="90" t="str">
        <f t="shared" si="96"/>
        <v/>
      </c>
      <c r="AF392" s="99" t="str">
        <f>IF(AND(M392&lt;&gt;"", M392&lt;&gt;0), N392/$N$505*MATCH(AE392,'Misc Lists'!$L$2:$L$25,0), "")</f>
        <v/>
      </c>
    </row>
    <row r="393" spans="2:32" hidden="1" outlineLevel="1" x14ac:dyDescent="0.5">
      <c r="B393" s="60" t="str">
        <f ca="1"/>
        <v>084659AT8</v>
      </c>
      <c r="C393" s="61" t="str">
        <f ca="1"/>
        <v>N/A</v>
      </c>
      <c r="D393" s="60" t="str">
        <f ca="1"/>
        <v>BERKSHIRE HATHAWAY  ENERGY CO SER B NOTE4.05000% 04/15/2025 CALL MAKE WHOLE</v>
      </c>
      <c r="E393" s="61" t="str">
        <f ca="1"/>
        <v>Corp</v>
      </c>
      <c r="F393" s="62">
        <f ca="1"/>
        <v>4.05</v>
      </c>
      <c r="G393" s="63">
        <f ca="1"/>
        <v>45762</v>
      </c>
      <c r="H393" s="61" t="str">
        <f ca="1"/>
        <v>A3</v>
      </c>
      <c r="I393" s="61" t="str">
        <f ca="1"/>
        <v>A-</v>
      </c>
      <c r="J393" s="64">
        <f ca="1"/>
        <v>99.947999999999993</v>
      </c>
      <c r="K393" s="17">
        <f ca="1"/>
        <v>4.5439999999999996</v>
      </c>
      <c r="L393" s="17" t="str">
        <f ca="1"/>
        <v>25(2)</v>
      </c>
      <c r="M393" s="83"/>
      <c r="N393" s="84" t="str">
        <f t="shared" si="97"/>
        <v/>
      </c>
      <c r="O393" s="20" t="str">
        <f t="shared" si="98"/>
        <v/>
      </c>
      <c r="P393" s="64" t="str">
        <f t="shared" si="99"/>
        <v/>
      </c>
      <c r="Q393" s="85" t="str">
        <f t="shared" ca="1" si="100"/>
        <v/>
      </c>
      <c r="R393" s="86" t="str">
        <f t="shared" si="101"/>
        <v/>
      </c>
      <c r="S393" s="86" t="str">
        <f t="shared" si="102"/>
        <v/>
      </c>
      <c r="T393" s="104" t="str">
        <f t="shared" si="103"/>
        <v/>
      </c>
      <c r="U393" s="19" t="str">
        <f>IF(AND(M393&lt;&gt;"",M393&lt;&gt;0), IF(E393 = "Muni", T393, IF(E393="Corp", T393*(1 -'Investor Input'!$C$4-'Investor Input'!$C$5), T393*(1 -'Investor Input'!$C$4))), T393)</f>
        <v/>
      </c>
      <c r="V393" s="84" t="str">
        <f t="shared" si="104"/>
        <v/>
      </c>
      <c r="W393" s="84" t="str">
        <f t="shared" si="90"/>
        <v/>
      </c>
      <c r="X393" s="21" t="str">
        <f t="shared" si="91"/>
        <v/>
      </c>
      <c r="Y393" s="60" t="str">
        <f t="shared" si="92"/>
        <v/>
      </c>
      <c r="Z393" s="60" t="str">
        <f t="shared" si="93"/>
        <v/>
      </c>
      <c r="AA393" s="64" t="str">
        <f t="shared" si="94"/>
        <v/>
      </c>
      <c r="AB393" s="64" t="str">
        <f>IF(AND(AA393&lt;&gt;"",AA393&lt;&gt;0), IF(E393="Muni", AA393, IF(E393 = "Corp", (1-'Investor Input'!$C$4-'Investor Input'!$C$5)*AA393, (1-'Investor Input'!$C$4)*AA393)), AA393)</f>
        <v/>
      </c>
      <c r="AC393" s="94" t="str">
        <f t="shared" si="95"/>
        <v/>
      </c>
      <c r="AD393" s="60" t="str">
        <f>IF(AND(M393&lt;&gt;"", M393&lt;&gt;0), N393/$N$505*MATCH(AC393,'Misc Lists'!$K$2:$K$25,0), "")</f>
        <v/>
      </c>
      <c r="AE393" s="90" t="str">
        <f t="shared" si="96"/>
        <v/>
      </c>
      <c r="AF393" s="99" t="str">
        <f>IF(AND(M393&lt;&gt;"", M393&lt;&gt;0), N393/$N$505*MATCH(AE393,'Misc Lists'!$L$2:$L$25,0), "")</f>
        <v/>
      </c>
    </row>
    <row r="394" spans="2:32" hidden="1" outlineLevel="1" x14ac:dyDescent="0.5">
      <c r="B394" s="60" t="str">
        <f ca="1"/>
        <v>883556BZ4</v>
      </c>
      <c r="C394" s="61" t="str">
        <f ca="1"/>
        <v>N/A</v>
      </c>
      <c r="D394" s="60" t="str">
        <f ca="1"/>
        <v>THERMO FISHER       SCIENTIFIC INC NOTE 2.60000% 10/01/2029 CALL MAKE WHOLE</v>
      </c>
      <c r="E394" s="61" t="str">
        <f ca="1"/>
        <v>Corp</v>
      </c>
      <c r="F394" s="62">
        <f ca="1"/>
        <v>2.6</v>
      </c>
      <c r="G394" s="63">
        <f ca="1"/>
        <v>47392</v>
      </c>
      <c r="H394" s="61" t="str">
        <f ca="1"/>
        <v>A3</v>
      </c>
      <c r="I394" s="61" t="str">
        <f ca="1"/>
        <v>A-</v>
      </c>
      <c r="J394" s="64">
        <f ca="1"/>
        <v>92.082999999999998</v>
      </c>
      <c r="K394" s="17">
        <f ca="1"/>
        <v>4.5439999999999996</v>
      </c>
      <c r="L394" s="17" t="str">
        <f ca="1"/>
        <v>500(2)</v>
      </c>
      <c r="M394" s="83"/>
      <c r="N394" s="84" t="str">
        <f t="shared" si="97"/>
        <v/>
      </c>
      <c r="O394" s="20" t="str">
        <f t="shared" si="98"/>
        <v/>
      </c>
      <c r="P394" s="64" t="str">
        <f t="shared" si="99"/>
        <v/>
      </c>
      <c r="Q394" s="85" t="str">
        <f t="shared" ca="1" si="100"/>
        <v/>
      </c>
      <c r="R394" s="86" t="str">
        <f t="shared" si="101"/>
        <v/>
      </c>
      <c r="S394" s="86" t="str">
        <f t="shared" si="102"/>
        <v/>
      </c>
      <c r="T394" s="104" t="str">
        <f t="shared" si="103"/>
        <v/>
      </c>
      <c r="U394" s="19" t="str">
        <f>IF(AND(M394&lt;&gt;"",M394&lt;&gt;0), IF(E394 = "Muni", T394, IF(E394="Corp", T394*(1 -'Investor Input'!$C$4-'Investor Input'!$C$5), T394*(1 -'Investor Input'!$C$4))), T394)</f>
        <v/>
      </c>
      <c r="V394" s="84" t="str">
        <f t="shared" si="104"/>
        <v/>
      </c>
      <c r="W394" s="84" t="str">
        <f t="shared" si="90"/>
        <v/>
      </c>
      <c r="X394" s="21" t="str">
        <f t="shared" si="91"/>
        <v/>
      </c>
      <c r="Y394" s="60" t="str">
        <f t="shared" si="92"/>
        <v/>
      </c>
      <c r="Z394" s="60" t="str">
        <f t="shared" si="93"/>
        <v/>
      </c>
      <c r="AA394" s="64" t="str">
        <f t="shared" si="94"/>
        <v/>
      </c>
      <c r="AB394" s="64" t="str">
        <f>IF(AND(AA394&lt;&gt;"",AA394&lt;&gt;0), IF(E394="Muni", AA394, IF(E394 = "Corp", (1-'Investor Input'!$C$4-'Investor Input'!$C$5)*AA394, (1-'Investor Input'!$C$4)*AA394)), AA394)</f>
        <v/>
      </c>
      <c r="AC394" s="94" t="str">
        <f t="shared" si="95"/>
        <v/>
      </c>
      <c r="AD394" s="60" t="str">
        <f>IF(AND(M394&lt;&gt;"", M394&lt;&gt;0), N394/$N$505*MATCH(AC394,'Misc Lists'!$K$2:$K$25,0), "")</f>
        <v/>
      </c>
      <c r="AE394" s="90" t="str">
        <f t="shared" si="96"/>
        <v/>
      </c>
      <c r="AF394" s="99" t="str">
        <f>IF(AND(M394&lt;&gt;"", M394&lt;&gt;0), N394/$N$505*MATCH(AE394,'Misc Lists'!$L$2:$L$25,0), "")</f>
        <v/>
      </c>
    </row>
    <row r="395" spans="2:32" hidden="1" outlineLevel="1" x14ac:dyDescent="0.5">
      <c r="B395" s="60" t="str">
        <f ca="1"/>
        <v>437076BY7</v>
      </c>
      <c r="C395" s="61" t="str">
        <f ca="1"/>
        <v>N/A</v>
      </c>
      <c r="D395" s="60" t="str">
        <f ca="1"/>
        <v>HOME DEPOT INC      NOTE CALL MAKE WHOLE2.95000% 06/15/2029</v>
      </c>
      <c r="E395" s="61" t="str">
        <f ca="1"/>
        <v>Corp</v>
      </c>
      <c r="F395" s="62">
        <f ca="1"/>
        <v>2.95</v>
      </c>
      <c r="G395" s="63">
        <f ca="1"/>
        <v>47284</v>
      </c>
      <c r="H395" s="61" t="str">
        <f ca="1"/>
        <v>A2</v>
      </c>
      <c r="I395" s="61" t="str">
        <f ca="1"/>
        <v>A</v>
      </c>
      <c r="J395" s="64">
        <f ca="1"/>
        <v>93.891999999999996</v>
      </c>
      <c r="K395" s="17">
        <f ca="1"/>
        <v>4.5430000000000001</v>
      </c>
      <c r="L395" s="17" t="str">
        <f ca="1"/>
        <v>500(2)</v>
      </c>
      <c r="M395" s="83"/>
      <c r="N395" s="84" t="str">
        <f t="shared" si="97"/>
        <v/>
      </c>
      <c r="O395" s="20" t="str">
        <f t="shared" si="98"/>
        <v/>
      </c>
      <c r="P395" s="64" t="str">
        <f t="shared" si="99"/>
        <v/>
      </c>
      <c r="Q395" s="85" t="str">
        <f t="shared" ca="1" si="100"/>
        <v/>
      </c>
      <c r="R395" s="86" t="str">
        <f t="shared" si="101"/>
        <v/>
      </c>
      <c r="S395" s="86" t="str">
        <f t="shared" si="102"/>
        <v/>
      </c>
      <c r="T395" s="104" t="str">
        <f t="shared" si="103"/>
        <v/>
      </c>
      <c r="U395" s="19" t="str">
        <f>IF(AND(M395&lt;&gt;"",M395&lt;&gt;0), IF(E395 = "Muni", T395, IF(E395="Corp", T395*(1 -'Investor Input'!$C$4-'Investor Input'!$C$5), T395*(1 -'Investor Input'!$C$4))), T395)</f>
        <v/>
      </c>
      <c r="V395" s="84" t="str">
        <f t="shared" si="104"/>
        <v/>
      </c>
      <c r="W395" s="84" t="str">
        <f t="shared" si="90"/>
        <v/>
      </c>
      <c r="X395" s="21" t="str">
        <f t="shared" si="91"/>
        <v/>
      </c>
      <c r="Y395" s="60" t="str">
        <f t="shared" si="92"/>
        <v/>
      </c>
      <c r="Z395" s="60" t="str">
        <f t="shared" si="93"/>
        <v/>
      </c>
      <c r="AA395" s="64" t="str">
        <f t="shared" si="94"/>
        <v/>
      </c>
      <c r="AB395" s="64" t="str">
        <f>IF(AND(AA395&lt;&gt;"",AA395&lt;&gt;0), IF(E395="Muni", AA395, IF(E395 = "Corp", (1-'Investor Input'!$C$4-'Investor Input'!$C$5)*AA395, (1-'Investor Input'!$C$4)*AA395)), AA395)</f>
        <v/>
      </c>
      <c r="AC395" s="94" t="str">
        <f t="shared" si="95"/>
        <v/>
      </c>
      <c r="AD395" s="60" t="str">
        <f>IF(AND(M395&lt;&gt;"", M395&lt;&gt;0), N395/$N$505*MATCH(AC395,'Misc Lists'!$K$2:$K$25,0), "")</f>
        <v/>
      </c>
      <c r="AE395" s="90" t="str">
        <f t="shared" si="96"/>
        <v/>
      </c>
      <c r="AF395" s="99" t="str">
        <f>IF(AND(M395&lt;&gt;"", M395&lt;&gt;0), N395/$N$505*MATCH(AE395,'Misc Lists'!$L$2:$L$25,0), "")</f>
        <v/>
      </c>
    </row>
    <row r="396" spans="2:32" hidden="1" outlineLevel="1" x14ac:dyDescent="0.5">
      <c r="B396" s="60" t="str">
        <f ca="1"/>
        <v>06368D3S1</v>
      </c>
      <c r="C396" s="61" t="str">
        <f ca="1"/>
        <v>N/A</v>
      </c>
      <c r="D396" s="60" t="str">
        <f ca="1"/>
        <v>BANK MONTREAL MEDIUMSER H MTN           3.70000% 06/07/2025 CALL MAKE WHOLE</v>
      </c>
      <c r="E396" s="61" t="str">
        <f ca="1"/>
        <v>Corp</v>
      </c>
      <c r="F396" s="62">
        <f ca="1"/>
        <v>3.7</v>
      </c>
      <c r="G396" s="63">
        <f ca="1"/>
        <v>45815</v>
      </c>
      <c r="H396" s="61" t="str">
        <f ca="1"/>
        <v>A2</v>
      </c>
      <c r="I396" s="61" t="str">
        <f ca="1"/>
        <v>A-</v>
      </c>
      <c r="J396" s="64">
        <f ca="1"/>
        <v>99.793000000000006</v>
      </c>
      <c r="K396" s="17">
        <f ca="1"/>
        <v>4.5419999999999998</v>
      </c>
      <c r="L396" s="17" t="str">
        <f ca="1"/>
        <v>490(2)</v>
      </c>
      <c r="M396" s="83"/>
      <c r="N396" s="84" t="str">
        <f t="shared" si="97"/>
        <v/>
      </c>
      <c r="O396" s="20" t="str">
        <f t="shared" si="98"/>
        <v/>
      </c>
      <c r="P396" s="64" t="str">
        <f t="shared" si="99"/>
        <v/>
      </c>
      <c r="Q396" s="85" t="str">
        <f t="shared" ca="1" si="100"/>
        <v/>
      </c>
      <c r="R396" s="86" t="str">
        <f t="shared" si="101"/>
        <v/>
      </c>
      <c r="S396" s="86" t="str">
        <f t="shared" si="102"/>
        <v/>
      </c>
      <c r="T396" s="104" t="str">
        <f t="shared" si="103"/>
        <v/>
      </c>
      <c r="U396" s="19" t="str">
        <f>IF(AND(M396&lt;&gt;"",M396&lt;&gt;0), IF(E396 = "Muni", T396, IF(E396="Corp", T396*(1 -'Investor Input'!$C$4-'Investor Input'!$C$5), T396*(1 -'Investor Input'!$C$4))), T396)</f>
        <v/>
      </c>
      <c r="V396" s="84" t="str">
        <f t="shared" si="104"/>
        <v/>
      </c>
      <c r="W396" s="84" t="str">
        <f t="shared" si="90"/>
        <v/>
      </c>
      <c r="X396" s="21" t="str">
        <f t="shared" si="91"/>
        <v/>
      </c>
      <c r="Y396" s="60" t="str">
        <f t="shared" si="92"/>
        <v/>
      </c>
      <c r="Z396" s="60" t="str">
        <f t="shared" si="93"/>
        <v/>
      </c>
      <c r="AA396" s="64" t="str">
        <f t="shared" si="94"/>
        <v/>
      </c>
      <c r="AB396" s="64" t="str">
        <f>IF(AND(AA396&lt;&gt;"",AA396&lt;&gt;0), IF(E396="Muni", AA396, IF(E396 = "Corp", (1-'Investor Input'!$C$4-'Investor Input'!$C$5)*AA396, (1-'Investor Input'!$C$4)*AA396)), AA396)</f>
        <v/>
      </c>
      <c r="AC396" s="94" t="str">
        <f t="shared" si="95"/>
        <v/>
      </c>
      <c r="AD396" s="60" t="str">
        <f>IF(AND(M396&lt;&gt;"", M396&lt;&gt;0), N396/$N$505*MATCH(AC396,'Misc Lists'!$K$2:$K$25,0), "")</f>
        <v/>
      </c>
      <c r="AE396" s="90" t="str">
        <f t="shared" si="96"/>
        <v/>
      </c>
      <c r="AF396" s="99" t="str">
        <f>IF(AND(M396&lt;&gt;"", M396&lt;&gt;0), N396/$N$505*MATCH(AE396,'Misc Lists'!$L$2:$L$25,0), "")</f>
        <v/>
      </c>
    </row>
    <row r="397" spans="2:32" hidden="1" outlineLevel="1" x14ac:dyDescent="0.5">
      <c r="B397" s="60" t="str">
        <f ca="1"/>
        <v>678858BT7</v>
      </c>
      <c r="C397" s="61" t="str">
        <f ca="1"/>
        <v>N/A</v>
      </c>
      <c r="D397" s="60" t="str">
        <f ca="1"/>
        <v>OKLAHOMA GAS &amp;ELEC  CO NOTE             3.80000% 08/15/2028 CALL MAKE WHOLE</v>
      </c>
      <c r="E397" s="61" t="str">
        <f ca="1"/>
        <v>Corp</v>
      </c>
      <c r="F397" s="62">
        <f ca="1"/>
        <v>3.8</v>
      </c>
      <c r="G397" s="63">
        <f ca="1"/>
        <v>46980</v>
      </c>
      <c r="H397" s="61" t="str">
        <f ca="1"/>
        <v>A3</v>
      </c>
      <c r="I397" s="61" t="str">
        <f ca="1"/>
        <v>A-</v>
      </c>
      <c r="J397" s="64">
        <f ca="1"/>
        <v>97.668000000000006</v>
      </c>
      <c r="K397" s="17">
        <f ca="1"/>
        <v>4.5419999999999998</v>
      </c>
      <c r="L397" s="17" t="str">
        <f ca="1"/>
        <v>500(2)</v>
      </c>
      <c r="M397" s="83"/>
      <c r="N397" s="84" t="str">
        <f t="shared" si="97"/>
        <v/>
      </c>
      <c r="O397" s="20" t="str">
        <f t="shared" si="98"/>
        <v/>
      </c>
      <c r="P397" s="64" t="str">
        <f t="shared" si="99"/>
        <v/>
      </c>
      <c r="Q397" s="85" t="str">
        <f t="shared" ca="1" si="100"/>
        <v/>
      </c>
      <c r="R397" s="86" t="str">
        <f t="shared" si="101"/>
        <v/>
      </c>
      <c r="S397" s="86" t="str">
        <f t="shared" si="102"/>
        <v/>
      </c>
      <c r="T397" s="104" t="str">
        <f t="shared" si="103"/>
        <v/>
      </c>
      <c r="U397" s="19" t="str">
        <f>IF(AND(M397&lt;&gt;"",M397&lt;&gt;0), IF(E397 = "Muni", T397, IF(E397="Corp", T397*(1 -'Investor Input'!$C$4-'Investor Input'!$C$5), T397*(1 -'Investor Input'!$C$4))), T397)</f>
        <v/>
      </c>
      <c r="V397" s="84" t="str">
        <f t="shared" si="104"/>
        <v/>
      </c>
      <c r="W397" s="84" t="str">
        <f t="shared" si="90"/>
        <v/>
      </c>
      <c r="X397" s="21" t="str">
        <f t="shared" si="91"/>
        <v/>
      </c>
      <c r="Y397" s="60" t="str">
        <f t="shared" si="92"/>
        <v/>
      </c>
      <c r="Z397" s="60" t="str">
        <f t="shared" si="93"/>
        <v/>
      </c>
      <c r="AA397" s="64" t="str">
        <f t="shared" si="94"/>
        <v/>
      </c>
      <c r="AB397" s="64" t="str">
        <f>IF(AND(AA397&lt;&gt;"",AA397&lt;&gt;0), IF(E397="Muni", AA397, IF(E397 = "Corp", (1-'Investor Input'!$C$4-'Investor Input'!$C$5)*AA397, (1-'Investor Input'!$C$4)*AA397)), AA397)</f>
        <v/>
      </c>
      <c r="AC397" s="94" t="str">
        <f t="shared" si="95"/>
        <v/>
      </c>
      <c r="AD397" s="60" t="str">
        <f>IF(AND(M397&lt;&gt;"", M397&lt;&gt;0), N397/$N$505*MATCH(AC397,'Misc Lists'!$K$2:$K$25,0), "")</f>
        <v/>
      </c>
      <c r="AE397" s="90" t="str">
        <f t="shared" si="96"/>
        <v/>
      </c>
      <c r="AF397" s="99" t="str">
        <f>IF(AND(M397&lt;&gt;"", M397&lt;&gt;0), N397/$N$505*MATCH(AE397,'Misc Lists'!$L$2:$L$25,0), "")</f>
        <v/>
      </c>
    </row>
    <row r="398" spans="2:32" hidden="1" outlineLevel="1" x14ac:dyDescent="0.5">
      <c r="B398" s="60" t="str">
        <f ca="1"/>
        <v>438516CL8</v>
      </c>
      <c r="C398" s="61" t="str">
        <f ca="1"/>
        <v>N/A</v>
      </c>
      <c r="D398" s="60" t="str">
        <f ca="1"/>
        <v>HONEYWELL INTL INC  NOTE CALL MAKE WHOLE4.25000% 01/15/2029</v>
      </c>
      <c r="E398" s="61" t="str">
        <f ca="1"/>
        <v>Corp</v>
      </c>
      <c r="F398" s="62">
        <f ca="1"/>
        <v>4.25</v>
      </c>
      <c r="G398" s="63">
        <f ca="1"/>
        <v>47133</v>
      </c>
      <c r="H398" s="61" t="str">
        <f ca="1"/>
        <v>A2</v>
      </c>
      <c r="I398" s="61" t="str">
        <f ca="1"/>
        <v>A</v>
      </c>
      <c r="J398" s="64">
        <f ca="1"/>
        <v>98.975999999999999</v>
      </c>
      <c r="K398" s="17">
        <f ca="1"/>
        <v>4.5419999999999998</v>
      </c>
      <c r="L398" s="17" t="str">
        <f ca="1"/>
        <v>500(2)</v>
      </c>
      <c r="M398" s="83"/>
      <c r="N398" s="84" t="str">
        <f t="shared" si="97"/>
        <v/>
      </c>
      <c r="O398" s="20" t="str">
        <f t="shared" si="98"/>
        <v/>
      </c>
      <c r="P398" s="64" t="str">
        <f t="shared" si="99"/>
        <v/>
      </c>
      <c r="Q398" s="85" t="str">
        <f t="shared" ca="1" si="100"/>
        <v/>
      </c>
      <c r="R398" s="86" t="str">
        <f t="shared" si="101"/>
        <v/>
      </c>
      <c r="S398" s="86" t="str">
        <f t="shared" si="102"/>
        <v/>
      </c>
      <c r="T398" s="104" t="str">
        <f t="shared" si="103"/>
        <v/>
      </c>
      <c r="U398" s="19" t="str">
        <f>IF(AND(M398&lt;&gt;"",M398&lt;&gt;0), IF(E398 = "Muni", T398, IF(E398="Corp", T398*(1 -'Investor Input'!$C$4-'Investor Input'!$C$5), T398*(1 -'Investor Input'!$C$4))), T398)</f>
        <v/>
      </c>
      <c r="V398" s="84" t="str">
        <f t="shared" si="104"/>
        <v/>
      </c>
      <c r="W398" s="84" t="str">
        <f t="shared" si="90"/>
        <v/>
      </c>
      <c r="X398" s="21" t="str">
        <f t="shared" si="91"/>
        <v/>
      </c>
      <c r="Y398" s="60" t="str">
        <f t="shared" si="92"/>
        <v/>
      </c>
      <c r="Z398" s="60" t="str">
        <f t="shared" si="93"/>
        <v/>
      </c>
      <c r="AA398" s="64" t="str">
        <f t="shared" si="94"/>
        <v/>
      </c>
      <c r="AB398" s="64" t="str">
        <f>IF(AND(AA398&lt;&gt;"",AA398&lt;&gt;0), IF(E398="Muni", AA398, IF(E398 = "Corp", (1-'Investor Input'!$C$4-'Investor Input'!$C$5)*AA398, (1-'Investor Input'!$C$4)*AA398)), AA398)</f>
        <v/>
      </c>
      <c r="AC398" s="94" t="str">
        <f t="shared" si="95"/>
        <v/>
      </c>
      <c r="AD398" s="60" t="str">
        <f>IF(AND(M398&lt;&gt;"", M398&lt;&gt;0), N398/$N$505*MATCH(AC398,'Misc Lists'!$K$2:$K$25,0), "")</f>
        <v/>
      </c>
      <c r="AE398" s="90" t="str">
        <f t="shared" si="96"/>
        <v/>
      </c>
      <c r="AF398" s="99" t="str">
        <f>IF(AND(M398&lt;&gt;"", M398&lt;&gt;0), N398/$N$505*MATCH(AE398,'Misc Lists'!$L$2:$L$25,0), "")</f>
        <v/>
      </c>
    </row>
    <row r="399" spans="2:32" hidden="1" outlineLevel="1" x14ac:dyDescent="0.5">
      <c r="B399" s="60" t="str">
        <f ca="1"/>
        <v>254687FN1</v>
      </c>
      <c r="C399" s="61" t="str">
        <f ca="1"/>
        <v>N/A</v>
      </c>
      <c r="D399" s="60" t="str">
        <f ca="1"/>
        <v>DISNEY WALT CO      NOTE CALL MAKE WHOLE3.35000% 03/24/2025</v>
      </c>
      <c r="E399" s="61" t="str">
        <f ca="1"/>
        <v>Corp</v>
      </c>
      <c r="F399" s="62">
        <f ca="1"/>
        <v>3.35</v>
      </c>
      <c r="G399" s="63">
        <f ca="1"/>
        <v>45740</v>
      </c>
      <c r="H399" s="61" t="str">
        <f ca="1"/>
        <v>A2</v>
      </c>
      <c r="I399" s="61" t="str">
        <f ca="1"/>
        <v>A</v>
      </c>
      <c r="J399" s="64">
        <f ca="1"/>
        <v>99.957999999999998</v>
      </c>
      <c r="K399" s="17">
        <f ca="1"/>
        <v>4.5410000000000004</v>
      </c>
      <c r="L399" s="17" t="str">
        <f ca="1"/>
        <v>14(2)</v>
      </c>
      <c r="M399" s="83"/>
      <c r="N399" s="84" t="str">
        <f t="shared" si="97"/>
        <v/>
      </c>
      <c r="O399" s="20" t="str">
        <f t="shared" si="98"/>
        <v/>
      </c>
      <c r="P399" s="64" t="str">
        <f t="shared" si="99"/>
        <v/>
      </c>
      <c r="Q399" s="85" t="str">
        <f t="shared" ca="1" si="100"/>
        <v/>
      </c>
      <c r="R399" s="86" t="str">
        <f t="shared" si="101"/>
        <v/>
      </c>
      <c r="S399" s="86" t="str">
        <f t="shared" si="102"/>
        <v/>
      </c>
      <c r="T399" s="104" t="str">
        <f t="shared" si="103"/>
        <v/>
      </c>
      <c r="U399" s="19" t="str">
        <f>IF(AND(M399&lt;&gt;"",M399&lt;&gt;0), IF(E399 = "Muni", T399, IF(E399="Corp", T399*(1 -'Investor Input'!$C$4-'Investor Input'!$C$5), T399*(1 -'Investor Input'!$C$4))), T399)</f>
        <v/>
      </c>
      <c r="V399" s="84" t="str">
        <f t="shared" si="104"/>
        <v/>
      </c>
      <c r="W399" s="84" t="str">
        <f t="shared" si="90"/>
        <v/>
      </c>
      <c r="X399" s="21" t="str">
        <f t="shared" si="91"/>
        <v/>
      </c>
      <c r="Y399" s="60" t="str">
        <f t="shared" si="92"/>
        <v/>
      </c>
      <c r="Z399" s="60" t="str">
        <f t="shared" si="93"/>
        <v/>
      </c>
      <c r="AA399" s="64" t="str">
        <f t="shared" si="94"/>
        <v/>
      </c>
      <c r="AB399" s="64" t="str">
        <f>IF(AND(AA399&lt;&gt;"",AA399&lt;&gt;0), IF(E399="Muni", AA399, IF(E399 = "Corp", (1-'Investor Input'!$C$4-'Investor Input'!$C$5)*AA399, (1-'Investor Input'!$C$4)*AA399)), AA399)</f>
        <v/>
      </c>
      <c r="AC399" s="94" t="str">
        <f t="shared" si="95"/>
        <v/>
      </c>
      <c r="AD399" s="60" t="str">
        <f>IF(AND(M399&lt;&gt;"", M399&lt;&gt;0), N399/$N$505*MATCH(AC399,'Misc Lists'!$K$2:$K$25,0), "")</f>
        <v/>
      </c>
      <c r="AE399" s="90" t="str">
        <f t="shared" si="96"/>
        <v/>
      </c>
      <c r="AF399" s="99" t="str">
        <f>IF(AND(M399&lt;&gt;"", M399&lt;&gt;0), N399/$N$505*MATCH(AE399,'Misc Lists'!$L$2:$L$25,0), "")</f>
        <v/>
      </c>
    </row>
    <row r="400" spans="2:32" hidden="1" outlineLevel="1" x14ac:dyDescent="0.5">
      <c r="B400" s="60" t="str">
        <f ca="1"/>
        <v>756109BZ6</v>
      </c>
      <c r="C400" s="61" t="str">
        <f ca="1"/>
        <v>N/A</v>
      </c>
      <c r="D400" s="60" t="str">
        <f ca="1"/>
        <v>REALTY INCOME CORP  NOTE CALL MAKE WHOLE3.20000% 01/15/2027</v>
      </c>
      <c r="E400" s="61" t="str">
        <f ca="1"/>
        <v>Corp</v>
      </c>
      <c r="F400" s="62">
        <f ca="1"/>
        <v>3.2</v>
      </c>
      <c r="G400" s="63">
        <f ca="1"/>
        <v>46402</v>
      </c>
      <c r="H400" s="61" t="str">
        <f ca="1"/>
        <v>A3</v>
      </c>
      <c r="I400" s="61" t="str">
        <f ca="1"/>
        <v>A-</v>
      </c>
      <c r="J400" s="64">
        <f ca="1"/>
        <v>97.652000000000001</v>
      </c>
      <c r="K400" s="17">
        <f ca="1"/>
        <v>4.5410000000000004</v>
      </c>
      <c r="L400" s="17" t="str">
        <f ca="1"/>
        <v>500(2)</v>
      </c>
      <c r="M400" s="83"/>
      <c r="N400" s="84" t="str">
        <f t="shared" si="97"/>
        <v/>
      </c>
      <c r="O400" s="20" t="str">
        <f t="shared" si="98"/>
        <v/>
      </c>
      <c r="P400" s="64" t="str">
        <f t="shared" si="99"/>
        <v/>
      </c>
      <c r="Q400" s="85" t="str">
        <f t="shared" ca="1" si="100"/>
        <v/>
      </c>
      <c r="R400" s="86" t="str">
        <f t="shared" si="101"/>
        <v/>
      </c>
      <c r="S400" s="86" t="str">
        <f t="shared" si="102"/>
        <v/>
      </c>
      <c r="T400" s="104" t="str">
        <f t="shared" si="103"/>
        <v/>
      </c>
      <c r="U400" s="19" t="str">
        <f>IF(AND(M400&lt;&gt;"",M400&lt;&gt;0), IF(E400 = "Muni", T400, IF(E400="Corp", T400*(1 -'Investor Input'!$C$4-'Investor Input'!$C$5), T400*(1 -'Investor Input'!$C$4))), T400)</f>
        <v/>
      </c>
      <c r="V400" s="84" t="str">
        <f t="shared" si="104"/>
        <v/>
      </c>
      <c r="W400" s="84" t="str">
        <f t="shared" si="90"/>
        <v/>
      </c>
      <c r="X400" s="21" t="str">
        <f t="shared" si="91"/>
        <v/>
      </c>
      <c r="Y400" s="60" t="str">
        <f t="shared" si="92"/>
        <v/>
      </c>
      <c r="Z400" s="60" t="str">
        <f t="shared" si="93"/>
        <v/>
      </c>
      <c r="AA400" s="64" t="str">
        <f t="shared" si="94"/>
        <v/>
      </c>
      <c r="AB400" s="64" t="str">
        <f>IF(AND(AA400&lt;&gt;"",AA400&lt;&gt;0), IF(E400="Muni", AA400, IF(E400 = "Corp", (1-'Investor Input'!$C$4-'Investor Input'!$C$5)*AA400, (1-'Investor Input'!$C$4)*AA400)), AA400)</f>
        <v/>
      </c>
      <c r="AC400" s="94" t="str">
        <f t="shared" si="95"/>
        <v/>
      </c>
      <c r="AD400" s="60" t="str">
        <f>IF(AND(M400&lt;&gt;"", M400&lt;&gt;0), N400/$N$505*MATCH(AC400,'Misc Lists'!$K$2:$K$25,0), "")</f>
        <v/>
      </c>
      <c r="AE400" s="90" t="str">
        <f t="shared" si="96"/>
        <v/>
      </c>
      <c r="AF400" s="99" t="str">
        <f>IF(AND(M400&lt;&gt;"", M400&lt;&gt;0), N400/$N$505*MATCH(AE400,'Misc Lists'!$L$2:$L$25,0), "")</f>
        <v/>
      </c>
    </row>
    <row r="401" spans="2:32" hidden="1" outlineLevel="1" x14ac:dyDescent="0.5">
      <c r="B401" s="60" t="str">
        <f ca="1"/>
        <v>22160KAP0</v>
      </c>
      <c r="C401" s="61" t="str">
        <f ca="1"/>
        <v>N/A</v>
      </c>
      <c r="D401" s="60" t="str">
        <f ca="1"/>
        <v>COSTCO WHOLESALE    CORPORATION NOTE    1.60000% 04/20/2030 CALL MAKE</v>
      </c>
      <c r="E401" s="61" t="str">
        <f ca="1"/>
        <v>Corp</v>
      </c>
      <c r="F401" s="62">
        <f ca="1"/>
        <v>1.6</v>
      </c>
      <c r="G401" s="63">
        <f ca="1"/>
        <v>47593</v>
      </c>
      <c r="H401" s="61" t="str">
        <f ca="1"/>
        <v>AA3</v>
      </c>
      <c r="I401" s="61" t="str">
        <f ca="1"/>
        <v>AA</v>
      </c>
      <c r="J401" s="64">
        <f ca="1"/>
        <v>86.727999999999994</v>
      </c>
      <c r="K401" s="17">
        <f ca="1"/>
        <v>4.5410000000000004</v>
      </c>
      <c r="L401" s="17" t="str">
        <f ca="1"/>
        <v>500(2)</v>
      </c>
      <c r="M401" s="83"/>
      <c r="N401" s="84" t="str">
        <f t="shared" si="97"/>
        <v/>
      </c>
      <c r="O401" s="20" t="str">
        <f t="shared" si="98"/>
        <v/>
      </c>
      <c r="P401" s="64" t="str">
        <f t="shared" si="99"/>
        <v/>
      </c>
      <c r="Q401" s="85" t="str">
        <f t="shared" ca="1" si="100"/>
        <v/>
      </c>
      <c r="R401" s="86" t="str">
        <f t="shared" si="101"/>
        <v/>
      </c>
      <c r="S401" s="86" t="str">
        <f t="shared" si="102"/>
        <v/>
      </c>
      <c r="T401" s="104" t="str">
        <f t="shared" si="103"/>
        <v/>
      </c>
      <c r="U401" s="19" t="str">
        <f>IF(AND(M401&lt;&gt;"",M401&lt;&gt;0), IF(E401 = "Muni", T401, IF(E401="Corp", T401*(1 -'Investor Input'!$C$4-'Investor Input'!$C$5), T401*(1 -'Investor Input'!$C$4))), T401)</f>
        <v/>
      </c>
      <c r="V401" s="84" t="str">
        <f t="shared" si="104"/>
        <v/>
      </c>
      <c r="W401" s="84" t="str">
        <f t="shared" si="90"/>
        <v/>
      </c>
      <c r="X401" s="21" t="str">
        <f t="shared" si="91"/>
        <v/>
      </c>
      <c r="Y401" s="60" t="str">
        <f t="shared" si="92"/>
        <v/>
      </c>
      <c r="Z401" s="60" t="str">
        <f t="shared" si="93"/>
        <v/>
      </c>
      <c r="AA401" s="64" t="str">
        <f t="shared" si="94"/>
        <v/>
      </c>
      <c r="AB401" s="64" t="str">
        <f>IF(AND(AA401&lt;&gt;"",AA401&lt;&gt;0), IF(E401="Muni", AA401, IF(E401 = "Corp", (1-'Investor Input'!$C$4-'Investor Input'!$C$5)*AA401, (1-'Investor Input'!$C$4)*AA401)), AA401)</f>
        <v/>
      </c>
      <c r="AC401" s="94" t="str">
        <f t="shared" si="95"/>
        <v/>
      </c>
      <c r="AD401" s="60" t="str">
        <f>IF(AND(M401&lt;&gt;"", M401&lt;&gt;0), N401/$N$505*MATCH(AC401,'Misc Lists'!$K$2:$K$25,0), "")</f>
        <v/>
      </c>
      <c r="AE401" s="90" t="str">
        <f t="shared" si="96"/>
        <v/>
      </c>
      <c r="AF401" s="99" t="str">
        <f>IF(AND(M401&lt;&gt;"", M401&lt;&gt;0), N401/$N$505*MATCH(AE401,'Misc Lists'!$L$2:$L$25,0), "")</f>
        <v/>
      </c>
    </row>
    <row r="402" spans="2:32" hidden="1" outlineLevel="1" x14ac:dyDescent="0.5">
      <c r="B402" s="60" t="str">
        <f ca="1"/>
        <v>86562MBG4</v>
      </c>
      <c r="C402" s="61" t="str">
        <f ca="1"/>
        <v>N/A</v>
      </c>
      <c r="D402" s="60" t="str">
        <f ca="1"/>
        <v>SUMITOMO MITSUI     FINANCIAL GROUP INC 4.30600% 10/16/2028 MTN</v>
      </c>
      <c r="E402" s="61" t="str">
        <f ca="1"/>
        <v>Corp</v>
      </c>
      <c r="F402" s="62">
        <f ca="1"/>
        <v>4.306</v>
      </c>
      <c r="G402" s="63">
        <f ca="1"/>
        <v>47042</v>
      </c>
      <c r="H402" s="61" t="str">
        <f ca="1"/>
        <v>A1</v>
      </c>
      <c r="I402" s="61" t="str">
        <f ca="1"/>
        <v>A-</v>
      </c>
      <c r="J402" s="64">
        <f ca="1"/>
        <v>99.230999999999995</v>
      </c>
      <c r="K402" s="17">
        <f ca="1"/>
        <v>4.5389999999999997</v>
      </c>
      <c r="L402" s="17" t="str">
        <f ca="1"/>
        <v>1,000(10)</v>
      </c>
      <c r="M402" s="83"/>
      <c r="N402" s="84" t="str">
        <f t="shared" si="97"/>
        <v/>
      </c>
      <c r="O402" s="20" t="str">
        <f t="shared" si="98"/>
        <v/>
      </c>
      <c r="P402" s="64" t="str">
        <f t="shared" si="99"/>
        <v/>
      </c>
      <c r="Q402" s="85" t="str">
        <f t="shared" ca="1" si="100"/>
        <v/>
      </c>
      <c r="R402" s="86" t="str">
        <f t="shared" si="101"/>
        <v/>
      </c>
      <c r="S402" s="86" t="str">
        <f t="shared" si="102"/>
        <v/>
      </c>
      <c r="T402" s="104" t="str">
        <f t="shared" si="103"/>
        <v/>
      </c>
      <c r="U402" s="19" t="str">
        <f>IF(AND(M402&lt;&gt;"",M402&lt;&gt;0), IF(E402 = "Muni", T402, IF(E402="Corp", T402*(1 -'Investor Input'!$C$4-'Investor Input'!$C$5), T402*(1 -'Investor Input'!$C$4))), T402)</f>
        <v/>
      </c>
      <c r="V402" s="84" t="str">
        <f t="shared" si="104"/>
        <v/>
      </c>
      <c r="W402" s="84" t="str">
        <f t="shared" si="90"/>
        <v/>
      </c>
      <c r="X402" s="21" t="str">
        <f t="shared" si="91"/>
        <v/>
      </c>
      <c r="Y402" s="60" t="str">
        <f t="shared" si="92"/>
        <v/>
      </c>
      <c r="Z402" s="60" t="str">
        <f t="shared" si="93"/>
        <v/>
      </c>
      <c r="AA402" s="64" t="str">
        <f t="shared" si="94"/>
        <v/>
      </c>
      <c r="AB402" s="64" t="str">
        <f>IF(AND(AA402&lt;&gt;"",AA402&lt;&gt;0), IF(E402="Muni", AA402, IF(E402 = "Corp", (1-'Investor Input'!$C$4-'Investor Input'!$C$5)*AA402, (1-'Investor Input'!$C$4)*AA402)), AA402)</f>
        <v/>
      </c>
      <c r="AC402" s="94" t="str">
        <f t="shared" si="95"/>
        <v/>
      </c>
      <c r="AD402" s="60" t="str">
        <f>IF(AND(M402&lt;&gt;"", M402&lt;&gt;0), N402/$N$505*MATCH(AC402,'Misc Lists'!$K$2:$K$25,0), "")</f>
        <v/>
      </c>
      <c r="AE402" s="90" t="str">
        <f t="shared" si="96"/>
        <v/>
      </c>
      <c r="AF402" s="99" t="str">
        <f>IF(AND(M402&lt;&gt;"", M402&lt;&gt;0), N402/$N$505*MATCH(AE402,'Misc Lists'!$L$2:$L$25,0), "")</f>
        <v/>
      </c>
    </row>
    <row r="403" spans="2:32" hidden="1" outlineLevel="1" x14ac:dyDescent="0.5">
      <c r="B403" s="60" t="str">
        <f ca="1"/>
        <v>13607LNF6</v>
      </c>
      <c r="C403" s="61" t="str">
        <f ca="1"/>
        <v>N/A</v>
      </c>
      <c r="D403" s="60" t="str">
        <f ca="1"/>
        <v>CANADIAN IMPERIAL BKCOMM NOTE           5.14400% 04/28/2025</v>
      </c>
      <c r="E403" s="61" t="str">
        <f ca="1"/>
        <v>Corp</v>
      </c>
      <c r="F403" s="62">
        <f ca="1"/>
        <v>5.1440000000000001</v>
      </c>
      <c r="G403" s="63">
        <f ca="1"/>
        <v>45775</v>
      </c>
      <c r="H403" s="61" t="str">
        <f ca="1"/>
        <v>A2</v>
      </c>
      <c r="I403" s="61" t="str">
        <f ca="1"/>
        <v>A-</v>
      </c>
      <c r="J403" s="64">
        <f ca="1"/>
        <v>100.066</v>
      </c>
      <c r="K403" s="17">
        <f ca="1"/>
        <v>4.5380000000000003</v>
      </c>
      <c r="L403" s="17" t="str">
        <f ca="1"/>
        <v>1,803(2)</v>
      </c>
      <c r="M403" s="83"/>
      <c r="N403" s="84" t="str">
        <f t="shared" si="97"/>
        <v/>
      </c>
      <c r="O403" s="20" t="str">
        <f t="shared" si="98"/>
        <v/>
      </c>
      <c r="P403" s="64" t="str">
        <f t="shared" si="99"/>
        <v/>
      </c>
      <c r="Q403" s="85" t="str">
        <f t="shared" ca="1" si="100"/>
        <v/>
      </c>
      <c r="R403" s="86" t="str">
        <f t="shared" si="101"/>
        <v/>
      </c>
      <c r="S403" s="86" t="str">
        <f t="shared" si="102"/>
        <v/>
      </c>
      <c r="T403" s="104" t="str">
        <f t="shared" si="103"/>
        <v/>
      </c>
      <c r="U403" s="19" t="str">
        <f>IF(AND(M403&lt;&gt;"",M403&lt;&gt;0), IF(E403 = "Muni", T403, IF(E403="Corp", T403*(1 -'Investor Input'!$C$4-'Investor Input'!$C$5), T403*(1 -'Investor Input'!$C$4))), T403)</f>
        <v/>
      </c>
      <c r="V403" s="84" t="str">
        <f t="shared" si="104"/>
        <v/>
      </c>
      <c r="W403" s="84" t="str">
        <f t="shared" si="90"/>
        <v/>
      </c>
      <c r="X403" s="21" t="str">
        <f t="shared" si="91"/>
        <v/>
      </c>
      <c r="Y403" s="60" t="str">
        <f t="shared" si="92"/>
        <v/>
      </c>
      <c r="Z403" s="60" t="str">
        <f t="shared" si="93"/>
        <v/>
      </c>
      <c r="AA403" s="64" t="str">
        <f t="shared" si="94"/>
        <v/>
      </c>
      <c r="AB403" s="64" t="str">
        <f>IF(AND(AA403&lt;&gt;"",AA403&lt;&gt;0), IF(E403="Muni", AA403, IF(E403 = "Corp", (1-'Investor Input'!$C$4-'Investor Input'!$C$5)*AA403, (1-'Investor Input'!$C$4)*AA403)), AA403)</f>
        <v/>
      </c>
      <c r="AC403" s="94" t="str">
        <f t="shared" si="95"/>
        <v/>
      </c>
      <c r="AD403" s="60" t="str">
        <f>IF(AND(M403&lt;&gt;"", M403&lt;&gt;0), N403/$N$505*MATCH(AC403,'Misc Lists'!$K$2:$K$25,0), "")</f>
        <v/>
      </c>
      <c r="AE403" s="90" t="str">
        <f t="shared" si="96"/>
        <v/>
      </c>
      <c r="AF403" s="99" t="str">
        <f>IF(AND(M403&lt;&gt;"", M403&lt;&gt;0), N403/$N$505*MATCH(AE403,'Misc Lists'!$L$2:$L$25,0), "")</f>
        <v/>
      </c>
    </row>
    <row r="404" spans="2:32" hidden="1" outlineLevel="1" x14ac:dyDescent="0.5">
      <c r="B404" s="60" t="str">
        <f ca="1"/>
        <v>13605WN23</v>
      </c>
      <c r="C404" s="61" t="str">
        <f ca="1"/>
        <v>N/A</v>
      </c>
      <c r="D404" s="60" t="str">
        <f ca="1"/>
        <v>CANADIAN IMPERIAL BKCOMM MTN            0.90000% 11/25/2025</v>
      </c>
      <c r="E404" s="61" t="str">
        <f ca="1"/>
        <v>Corp</v>
      </c>
      <c r="F404" s="62">
        <f ca="1"/>
        <v>0.9</v>
      </c>
      <c r="G404" s="63">
        <f ca="1"/>
        <v>45986</v>
      </c>
      <c r="H404" s="61" t="str">
        <f ca="1"/>
        <v>A2</v>
      </c>
      <c r="I404" s="61" t="str">
        <f ca="1"/>
        <v>A-</v>
      </c>
      <c r="J404" s="64">
        <f ca="1"/>
        <v>97.51</v>
      </c>
      <c r="K404" s="17">
        <f ca="1"/>
        <v>4.5380000000000003</v>
      </c>
      <c r="L404" s="17" t="str">
        <f ca="1"/>
        <v>4(1)</v>
      </c>
      <c r="M404" s="83"/>
      <c r="N404" s="84" t="str">
        <f t="shared" si="97"/>
        <v/>
      </c>
      <c r="O404" s="20" t="str">
        <f t="shared" si="98"/>
        <v/>
      </c>
      <c r="P404" s="64" t="str">
        <f t="shared" si="99"/>
        <v/>
      </c>
      <c r="Q404" s="85" t="str">
        <f t="shared" ca="1" si="100"/>
        <v/>
      </c>
      <c r="R404" s="86" t="str">
        <f t="shared" si="101"/>
        <v/>
      </c>
      <c r="S404" s="86" t="str">
        <f t="shared" si="102"/>
        <v/>
      </c>
      <c r="T404" s="104" t="str">
        <f t="shared" si="103"/>
        <v/>
      </c>
      <c r="U404" s="19" t="str">
        <f>IF(AND(M404&lt;&gt;"",M404&lt;&gt;0), IF(E404 = "Muni", T404, IF(E404="Corp", T404*(1 -'Investor Input'!$C$4-'Investor Input'!$C$5), T404*(1 -'Investor Input'!$C$4))), T404)</f>
        <v/>
      </c>
      <c r="V404" s="84" t="str">
        <f t="shared" si="104"/>
        <v/>
      </c>
      <c r="W404" s="84" t="str">
        <f t="shared" si="90"/>
        <v/>
      </c>
      <c r="X404" s="21" t="str">
        <f t="shared" si="91"/>
        <v/>
      </c>
      <c r="Y404" s="60" t="str">
        <f t="shared" si="92"/>
        <v/>
      </c>
      <c r="Z404" s="60" t="str">
        <f t="shared" si="93"/>
        <v/>
      </c>
      <c r="AA404" s="64" t="str">
        <f t="shared" si="94"/>
        <v/>
      </c>
      <c r="AB404" s="64" t="str">
        <f>IF(AND(AA404&lt;&gt;"",AA404&lt;&gt;0), IF(E404="Muni", AA404, IF(E404 = "Corp", (1-'Investor Input'!$C$4-'Investor Input'!$C$5)*AA404, (1-'Investor Input'!$C$4)*AA404)), AA404)</f>
        <v/>
      </c>
      <c r="AC404" s="94" t="str">
        <f t="shared" si="95"/>
        <v/>
      </c>
      <c r="AD404" s="60" t="str">
        <f>IF(AND(M404&lt;&gt;"", M404&lt;&gt;0), N404/$N$505*MATCH(AC404,'Misc Lists'!$K$2:$K$25,0), "")</f>
        <v/>
      </c>
      <c r="AE404" s="90" t="str">
        <f t="shared" si="96"/>
        <v/>
      </c>
      <c r="AF404" s="99" t="str">
        <f>IF(AND(M404&lt;&gt;"", M404&lt;&gt;0), N404/$N$505*MATCH(AE404,'Misc Lists'!$L$2:$L$25,0), "")</f>
        <v/>
      </c>
    </row>
    <row r="405" spans="2:32" hidden="1" outlineLevel="1" x14ac:dyDescent="0.5">
      <c r="B405" s="60" t="str">
        <f ca="1"/>
        <v>06418JAA9</v>
      </c>
      <c r="C405" s="61" t="str">
        <f ca="1"/>
        <v>N/A</v>
      </c>
      <c r="D405" s="60" t="str">
        <f ca="1"/>
        <v>BANK NOVA SCOTIA B CSER I MTN           5.35000% 12/07/2026 CALL MAKE WHOLE     ISIN #US06418JAA97</v>
      </c>
      <c r="E405" s="61" t="str">
        <f ca="1"/>
        <v>Corp</v>
      </c>
      <c r="F405" s="62">
        <f ca="1"/>
        <v>5.35</v>
      </c>
      <c r="G405" s="63">
        <f ca="1"/>
        <v>46363</v>
      </c>
      <c r="H405" s="61" t="str">
        <f ca="1"/>
        <v>A2</v>
      </c>
      <c r="I405" s="61" t="str">
        <f ca="1"/>
        <v>A-</v>
      </c>
      <c r="J405" s="64">
        <f ca="1"/>
        <v>101.334</v>
      </c>
      <c r="K405" s="17">
        <f ca="1"/>
        <v>4.5380000000000003</v>
      </c>
      <c r="L405" s="17" t="str">
        <f ca="1"/>
        <v>200(2)</v>
      </c>
      <c r="M405" s="83"/>
      <c r="N405" s="84" t="str">
        <f t="shared" si="97"/>
        <v/>
      </c>
      <c r="O405" s="20" t="str">
        <f t="shared" si="98"/>
        <v/>
      </c>
      <c r="P405" s="64" t="str">
        <f t="shared" si="99"/>
        <v/>
      </c>
      <c r="Q405" s="85" t="str">
        <f t="shared" ca="1" si="100"/>
        <v/>
      </c>
      <c r="R405" s="86" t="str">
        <f t="shared" si="101"/>
        <v/>
      </c>
      <c r="S405" s="86" t="str">
        <f t="shared" si="102"/>
        <v/>
      </c>
      <c r="T405" s="104" t="str">
        <f t="shared" si="103"/>
        <v/>
      </c>
      <c r="U405" s="19" t="str">
        <f>IF(AND(M405&lt;&gt;"",M405&lt;&gt;0), IF(E405 = "Muni", T405, IF(E405="Corp", T405*(1 -'Investor Input'!$C$4-'Investor Input'!$C$5), T405*(1 -'Investor Input'!$C$4))), T405)</f>
        <v/>
      </c>
      <c r="V405" s="84" t="str">
        <f t="shared" si="104"/>
        <v/>
      </c>
      <c r="W405" s="84" t="str">
        <f t="shared" si="90"/>
        <v/>
      </c>
      <c r="X405" s="21" t="str">
        <f t="shared" si="91"/>
        <v/>
      </c>
      <c r="Y405" s="60" t="str">
        <f t="shared" si="92"/>
        <v/>
      </c>
      <c r="Z405" s="60" t="str">
        <f t="shared" si="93"/>
        <v/>
      </c>
      <c r="AA405" s="64" t="str">
        <f t="shared" si="94"/>
        <v/>
      </c>
      <c r="AB405" s="64" t="str">
        <f>IF(AND(AA405&lt;&gt;"",AA405&lt;&gt;0), IF(E405="Muni", AA405, IF(E405 = "Corp", (1-'Investor Input'!$C$4-'Investor Input'!$C$5)*AA405, (1-'Investor Input'!$C$4)*AA405)), AA405)</f>
        <v/>
      </c>
      <c r="AC405" s="94" t="str">
        <f t="shared" si="95"/>
        <v/>
      </c>
      <c r="AD405" s="60" t="str">
        <f>IF(AND(M405&lt;&gt;"", M405&lt;&gt;0), N405/$N$505*MATCH(AC405,'Misc Lists'!$K$2:$K$25,0), "")</f>
        <v/>
      </c>
      <c r="AE405" s="90" t="str">
        <f t="shared" si="96"/>
        <v/>
      </c>
      <c r="AF405" s="99" t="str">
        <f>IF(AND(M405&lt;&gt;"", M405&lt;&gt;0), N405/$N$505*MATCH(AE405,'Misc Lists'!$L$2:$L$25,0), "")</f>
        <v/>
      </c>
    </row>
    <row r="406" spans="2:32" hidden="1" outlineLevel="1" x14ac:dyDescent="0.5">
      <c r="B406" s="60" t="str">
        <f ca="1"/>
        <v>670346AP0</v>
      </c>
      <c r="C406" s="61" t="str">
        <f ca="1"/>
        <v>N/A</v>
      </c>
      <c r="D406" s="60" t="str">
        <f ca="1"/>
        <v>NUCOR CORP          NOTE CALL MAKE WHOLE3.95000% 05/01/2028</v>
      </c>
      <c r="E406" s="61" t="str">
        <f ca="1"/>
        <v>Corp</v>
      </c>
      <c r="F406" s="62">
        <f ca="1"/>
        <v>3.95</v>
      </c>
      <c r="G406" s="63">
        <f ca="1"/>
        <v>46874</v>
      </c>
      <c r="H406" s="61" t="str">
        <f ca="1"/>
        <v>BAA1</v>
      </c>
      <c r="I406" s="61" t="str">
        <f ca="1"/>
        <v>A-</v>
      </c>
      <c r="J406" s="64">
        <f ca="1"/>
        <v>98.293999999999997</v>
      </c>
      <c r="K406" s="17">
        <f ca="1"/>
        <v>4.5380000000000003</v>
      </c>
      <c r="L406" s="17" t="str">
        <f ca="1"/>
        <v>500(2)</v>
      </c>
      <c r="M406" s="83"/>
      <c r="N406" s="84" t="str">
        <f t="shared" si="97"/>
        <v/>
      </c>
      <c r="O406" s="20" t="str">
        <f t="shared" si="98"/>
        <v/>
      </c>
      <c r="P406" s="64" t="str">
        <f t="shared" si="99"/>
        <v/>
      </c>
      <c r="Q406" s="85" t="str">
        <f t="shared" ca="1" si="100"/>
        <v/>
      </c>
      <c r="R406" s="86" t="str">
        <f t="shared" si="101"/>
        <v/>
      </c>
      <c r="S406" s="86" t="str">
        <f t="shared" si="102"/>
        <v/>
      </c>
      <c r="T406" s="104" t="str">
        <f t="shared" si="103"/>
        <v/>
      </c>
      <c r="U406" s="19" t="str">
        <f>IF(AND(M406&lt;&gt;"",M406&lt;&gt;0), IF(E406 = "Muni", T406, IF(E406="Corp", T406*(1 -'Investor Input'!$C$4-'Investor Input'!$C$5), T406*(1 -'Investor Input'!$C$4))), T406)</f>
        <v/>
      </c>
      <c r="V406" s="84" t="str">
        <f t="shared" si="104"/>
        <v/>
      </c>
      <c r="W406" s="84" t="str">
        <f t="shared" si="90"/>
        <v/>
      </c>
      <c r="X406" s="21" t="str">
        <f t="shared" si="91"/>
        <v/>
      </c>
      <c r="Y406" s="60" t="str">
        <f t="shared" si="92"/>
        <v/>
      </c>
      <c r="Z406" s="60" t="str">
        <f t="shared" si="93"/>
        <v/>
      </c>
      <c r="AA406" s="64" t="str">
        <f t="shared" si="94"/>
        <v/>
      </c>
      <c r="AB406" s="64" t="str">
        <f>IF(AND(AA406&lt;&gt;"",AA406&lt;&gt;0), IF(E406="Muni", AA406, IF(E406 = "Corp", (1-'Investor Input'!$C$4-'Investor Input'!$C$5)*AA406, (1-'Investor Input'!$C$4)*AA406)), AA406)</f>
        <v/>
      </c>
      <c r="AC406" s="94" t="str">
        <f t="shared" si="95"/>
        <v/>
      </c>
      <c r="AD406" s="60" t="str">
        <f>IF(AND(M406&lt;&gt;"", M406&lt;&gt;0), N406/$N$505*MATCH(AC406,'Misc Lists'!$K$2:$K$25,0), "")</f>
        <v/>
      </c>
      <c r="AE406" s="90" t="str">
        <f t="shared" si="96"/>
        <v/>
      </c>
      <c r="AF406" s="99" t="str">
        <f>IF(AND(M406&lt;&gt;"", M406&lt;&gt;0), N406/$N$505*MATCH(AE406,'Misc Lists'!$L$2:$L$25,0), "")</f>
        <v/>
      </c>
    </row>
    <row r="407" spans="2:32" hidden="1" outlineLevel="1" x14ac:dyDescent="0.5">
      <c r="B407" s="60" t="str">
        <f ca="1"/>
        <v>713448EZ7</v>
      </c>
      <c r="C407" s="61" t="str">
        <f ca="1"/>
        <v>N/A</v>
      </c>
      <c r="D407" s="60" t="str">
        <f ca="1"/>
        <v>PEPSICO INC         NOTE CALL MAKE WHOLE1.62500% 05/01/2030</v>
      </c>
      <c r="E407" s="61" t="str">
        <f ca="1"/>
        <v>Corp</v>
      </c>
      <c r="F407" s="62">
        <f ca="1"/>
        <v>1.625</v>
      </c>
      <c r="G407" s="63">
        <f ca="1"/>
        <v>47604</v>
      </c>
      <c r="H407" s="61" t="str">
        <f ca="1"/>
        <v>A1</v>
      </c>
      <c r="I407" s="61" t="str">
        <f ca="1"/>
        <v>A+</v>
      </c>
      <c r="J407" s="64">
        <f ca="1"/>
        <v>86.784999999999997</v>
      </c>
      <c r="K407" s="17">
        <f ca="1"/>
        <v>4.5380000000000003</v>
      </c>
      <c r="L407" s="17" t="str">
        <f ca="1"/>
        <v>250(5)</v>
      </c>
      <c r="M407" s="83"/>
      <c r="N407" s="84" t="str">
        <f t="shared" si="97"/>
        <v/>
      </c>
      <c r="O407" s="20" t="str">
        <f t="shared" si="98"/>
        <v/>
      </c>
      <c r="P407" s="64" t="str">
        <f t="shared" si="99"/>
        <v/>
      </c>
      <c r="Q407" s="85" t="str">
        <f t="shared" ca="1" si="100"/>
        <v/>
      </c>
      <c r="R407" s="86" t="str">
        <f t="shared" si="101"/>
        <v/>
      </c>
      <c r="S407" s="86" t="str">
        <f t="shared" si="102"/>
        <v/>
      </c>
      <c r="T407" s="104" t="str">
        <f t="shared" si="103"/>
        <v/>
      </c>
      <c r="U407" s="19" t="str">
        <f>IF(AND(M407&lt;&gt;"",M407&lt;&gt;0), IF(E407 = "Muni", T407, IF(E407="Corp", T407*(1 -'Investor Input'!$C$4-'Investor Input'!$C$5), T407*(1 -'Investor Input'!$C$4))), T407)</f>
        <v/>
      </c>
      <c r="V407" s="84" t="str">
        <f t="shared" si="104"/>
        <v/>
      </c>
      <c r="W407" s="84" t="str">
        <f t="shared" si="90"/>
        <v/>
      </c>
      <c r="X407" s="21" t="str">
        <f t="shared" si="91"/>
        <v/>
      </c>
      <c r="Y407" s="60" t="str">
        <f t="shared" si="92"/>
        <v/>
      </c>
      <c r="Z407" s="60" t="str">
        <f t="shared" si="93"/>
        <v/>
      </c>
      <c r="AA407" s="64" t="str">
        <f t="shared" si="94"/>
        <v/>
      </c>
      <c r="AB407" s="64" t="str">
        <f>IF(AND(AA407&lt;&gt;"",AA407&lt;&gt;0), IF(E407="Muni", AA407, IF(E407 = "Corp", (1-'Investor Input'!$C$4-'Investor Input'!$C$5)*AA407, (1-'Investor Input'!$C$4)*AA407)), AA407)</f>
        <v/>
      </c>
      <c r="AC407" s="94" t="str">
        <f t="shared" si="95"/>
        <v/>
      </c>
      <c r="AD407" s="60" t="str">
        <f>IF(AND(M407&lt;&gt;"", M407&lt;&gt;0), N407/$N$505*MATCH(AC407,'Misc Lists'!$K$2:$K$25,0), "")</f>
        <v/>
      </c>
      <c r="AE407" s="90" t="str">
        <f t="shared" si="96"/>
        <v/>
      </c>
      <c r="AF407" s="99" t="str">
        <f>IF(AND(M407&lt;&gt;"", M407&lt;&gt;0), N407/$N$505*MATCH(AE407,'Misc Lists'!$L$2:$L$25,0), "")</f>
        <v/>
      </c>
    </row>
    <row r="408" spans="2:32" hidden="1" outlineLevel="1" x14ac:dyDescent="0.5">
      <c r="B408" s="60" t="str">
        <f ca="1"/>
        <v>46124HAB2</v>
      </c>
      <c r="C408" s="61" t="str">
        <f ca="1"/>
        <v>N/A</v>
      </c>
      <c r="D408" s="60" t="str">
        <f ca="1"/>
        <v>INTUIT              NOTE CALL MAKE WHOLE0.95000% 07/15/2025</v>
      </c>
      <c r="E408" s="61" t="str">
        <f ca="1"/>
        <v>Corp</v>
      </c>
      <c r="F408" s="62">
        <f ca="1"/>
        <v>0.95</v>
      </c>
      <c r="G408" s="63">
        <f ca="1"/>
        <v>45853</v>
      </c>
      <c r="H408" s="61" t="str">
        <f ca="1"/>
        <v>A3</v>
      </c>
      <c r="I408" s="61" t="str">
        <f ca="1"/>
        <v>A-</v>
      </c>
      <c r="J408" s="64">
        <f ca="1"/>
        <v>98.790999999999997</v>
      </c>
      <c r="K408" s="17">
        <f ca="1"/>
        <v>4.5369999999999999</v>
      </c>
      <c r="L408" s="17" t="str">
        <f ca="1"/>
        <v>110(2)</v>
      </c>
      <c r="M408" s="83"/>
      <c r="N408" s="84" t="str">
        <f t="shared" si="97"/>
        <v/>
      </c>
      <c r="O408" s="20" t="str">
        <f t="shared" si="98"/>
        <v/>
      </c>
      <c r="P408" s="64" t="str">
        <f t="shared" si="99"/>
        <v/>
      </c>
      <c r="Q408" s="85" t="str">
        <f t="shared" ca="1" si="100"/>
        <v/>
      </c>
      <c r="R408" s="86" t="str">
        <f t="shared" si="101"/>
        <v/>
      </c>
      <c r="S408" s="86" t="str">
        <f t="shared" si="102"/>
        <v/>
      </c>
      <c r="T408" s="104" t="str">
        <f t="shared" si="103"/>
        <v/>
      </c>
      <c r="U408" s="19" t="str">
        <f>IF(AND(M408&lt;&gt;"",M408&lt;&gt;0), IF(E408 = "Muni", T408, IF(E408="Corp", T408*(1 -'Investor Input'!$C$4-'Investor Input'!$C$5), T408*(1 -'Investor Input'!$C$4))), T408)</f>
        <v/>
      </c>
      <c r="V408" s="84" t="str">
        <f t="shared" si="104"/>
        <v/>
      </c>
      <c r="W408" s="84" t="str">
        <f t="shared" si="90"/>
        <v/>
      </c>
      <c r="X408" s="21" t="str">
        <f t="shared" si="91"/>
        <v/>
      </c>
      <c r="Y408" s="60" t="str">
        <f t="shared" si="92"/>
        <v/>
      </c>
      <c r="Z408" s="60" t="str">
        <f t="shared" si="93"/>
        <v/>
      </c>
      <c r="AA408" s="64" t="str">
        <f t="shared" si="94"/>
        <v/>
      </c>
      <c r="AB408" s="64" t="str">
        <f>IF(AND(AA408&lt;&gt;"",AA408&lt;&gt;0), IF(E408="Muni", AA408, IF(E408 = "Corp", (1-'Investor Input'!$C$4-'Investor Input'!$C$5)*AA408, (1-'Investor Input'!$C$4)*AA408)), AA408)</f>
        <v/>
      </c>
      <c r="AC408" s="94" t="str">
        <f t="shared" si="95"/>
        <v/>
      </c>
      <c r="AD408" s="60" t="str">
        <f>IF(AND(M408&lt;&gt;"", M408&lt;&gt;0), N408/$N$505*MATCH(AC408,'Misc Lists'!$K$2:$K$25,0), "")</f>
        <v/>
      </c>
      <c r="AE408" s="90" t="str">
        <f t="shared" si="96"/>
        <v/>
      </c>
      <c r="AF408" s="99" t="str">
        <f>IF(AND(M408&lt;&gt;"", M408&lt;&gt;0), N408/$N$505*MATCH(AE408,'Misc Lists'!$L$2:$L$25,0), "")</f>
        <v/>
      </c>
    </row>
    <row r="409" spans="2:32" hidden="1" outlineLevel="1" x14ac:dyDescent="0.5">
      <c r="B409" s="60" t="str">
        <f ca="1"/>
        <v>55279HAV2</v>
      </c>
      <c r="C409" s="61" t="str">
        <f ca="1"/>
        <v>N/A</v>
      </c>
      <c r="D409" s="60" t="str">
        <f ca="1"/>
        <v>MANUFACTURERS &amp;TRADERS TR CO NOTE 4.65000% 01/27/2026 CALL MAKE WHOLE</v>
      </c>
      <c r="E409" s="61" t="str">
        <f ca="1"/>
        <v>Corp</v>
      </c>
      <c r="F409" s="62">
        <f ca="1"/>
        <v>4.6500000000000004</v>
      </c>
      <c r="G409" s="63">
        <f ca="1"/>
        <v>46049</v>
      </c>
      <c r="H409" s="61" t="str">
        <f ca="1"/>
        <v>A3</v>
      </c>
      <c r="I409" s="61" t="str">
        <f ca="1"/>
        <v>A-</v>
      </c>
      <c r="J409" s="64">
        <f ca="1"/>
        <v>100.09099999999999</v>
      </c>
      <c r="K409" s="17">
        <f ca="1"/>
        <v>4.5369999999999999</v>
      </c>
      <c r="L409" s="17" t="str">
        <f ca="1"/>
        <v>675(250)</v>
      </c>
      <c r="M409" s="83"/>
      <c r="N409" s="84" t="str">
        <f t="shared" si="97"/>
        <v/>
      </c>
      <c r="O409" s="20" t="str">
        <f t="shared" si="98"/>
        <v/>
      </c>
      <c r="P409" s="64" t="str">
        <f t="shared" si="99"/>
        <v/>
      </c>
      <c r="Q409" s="85" t="str">
        <f t="shared" ca="1" si="100"/>
        <v/>
      </c>
      <c r="R409" s="86" t="str">
        <f t="shared" si="101"/>
        <v/>
      </c>
      <c r="S409" s="86" t="str">
        <f t="shared" si="102"/>
        <v/>
      </c>
      <c r="T409" s="104" t="str">
        <f t="shared" si="103"/>
        <v/>
      </c>
      <c r="U409" s="19" t="str">
        <f>IF(AND(M409&lt;&gt;"",M409&lt;&gt;0), IF(E409 = "Muni", T409, IF(E409="Corp", T409*(1 -'Investor Input'!$C$4-'Investor Input'!$C$5), T409*(1 -'Investor Input'!$C$4))), T409)</f>
        <v/>
      </c>
      <c r="V409" s="84" t="str">
        <f t="shared" si="104"/>
        <v/>
      </c>
      <c r="W409" s="84" t="str">
        <f t="shared" si="90"/>
        <v/>
      </c>
      <c r="X409" s="21" t="str">
        <f t="shared" si="91"/>
        <v/>
      </c>
      <c r="Y409" s="60" t="str">
        <f t="shared" si="92"/>
        <v/>
      </c>
      <c r="Z409" s="60" t="str">
        <f t="shared" si="93"/>
        <v/>
      </c>
      <c r="AA409" s="64" t="str">
        <f t="shared" si="94"/>
        <v/>
      </c>
      <c r="AB409" s="64" t="str">
        <f>IF(AND(AA409&lt;&gt;"",AA409&lt;&gt;0), IF(E409="Muni", AA409, IF(E409 = "Corp", (1-'Investor Input'!$C$4-'Investor Input'!$C$5)*AA409, (1-'Investor Input'!$C$4)*AA409)), AA409)</f>
        <v/>
      </c>
      <c r="AC409" s="94" t="str">
        <f t="shared" si="95"/>
        <v/>
      </c>
      <c r="AD409" s="60" t="str">
        <f>IF(AND(M409&lt;&gt;"", M409&lt;&gt;0), N409/$N$505*MATCH(AC409,'Misc Lists'!$K$2:$K$25,0), "")</f>
        <v/>
      </c>
      <c r="AE409" s="90" t="str">
        <f t="shared" si="96"/>
        <v/>
      </c>
      <c r="AF409" s="99" t="str">
        <f>IF(AND(M409&lt;&gt;"", M409&lt;&gt;0), N409/$N$505*MATCH(AE409,'Misc Lists'!$L$2:$L$25,0), "")</f>
        <v/>
      </c>
    </row>
    <row r="410" spans="2:32" hidden="1" outlineLevel="1" x14ac:dyDescent="0.5">
      <c r="B410" s="60" t="str">
        <f ca="1"/>
        <v>61760LBZ7</v>
      </c>
      <c r="C410" s="61" t="str">
        <f ca="1"/>
        <v>N/A</v>
      </c>
      <c r="D410" s="60" t="str">
        <f ca="1"/>
        <v>MORGAN STANLEY      MTN                 4.00000% 01/17/2028</v>
      </c>
      <c r="E410" s="61" t="str">
        <f ca="1"/>
        <v>Corp</v>
      </c>
      <c r="F410" s="62">
        <f ca="1"/>
        <v>4</v>
      </c>
      <c r="G410" s="63">
        <f ca="1"/>
        <v>46769</v>
      </c>
      <c r="H410" s="61" t="str">
        <f ca="1"/>
        <v>A1</v>
      </c>
      <c r="I410" s="61" t="str">
        <f ca="1"/>
        <v>A-</v>
      </c>
      <c r="J410" s="64">
        <f ca="1"/>
        <v>98.578000000000003</v>
      </c>
      <c r="K410" s="17">
        <f ca="1"/>
        <v>4.5359999999999996</v>
      </c>
      <c r="L410" s="17" t="str">
        <f ca="1"/>
        <v>4(4)</v>
      </c>
      <c r="M410" s="83"/>
      <c r="N410" s="84" t="str">
        <f t="shared" si="97"/>
        <v/>
      </c>
      <c r="O410" s="20" t="str">
        <f t="shared" si="98"/>
        <v/>
      </c>
      <c r="P410" s="64" t="str">
        <f t="shared" si="99"/>
        <v/>
      </c>
      <c r="Q410" s="85" t="str">
        <f t="shared" ca="1" si="100"/>
        <v/>
      </c>
      <c r="R410" s="86" t="str">
        <f t="shared" si="101"/>
        <v/>
      </c>
      <c r="S410" s="86" t="str">
        <f t="shared" si="102"/>
        <v/>
      </c>
      <c r="T410" s="104" t="str">
        <f t="shared" si="103"/>
        <v/>
      </c>
      <c r="U410" s="19" t="str">
        <f>IF(AND(M410&lt;&gt;"",M410&lt;&gt;0), IF(E410 = "Muni", T410, IF(E410="Corp", T410*(1 -'Investor Input'!$C$4-'Investor Input'!$C$5), T410*(1 -'Investor Input'!$C$4))), T410)</f>
        <v/>
      </c>
      <c r="V410" s="84" t="str">
        <f t="shared" si="104"/>
        <v/>
      </c>
      <c r="W410" s="84" t="str">
        <f t="shared" si="90"/>
        <v/>
      </c>
      <c r="X410" s="21" t="str">
        <f t="shared" si="91"/>
        <v/>
      </c>
      <c r="Y410" s="60" t="str">
        <f t="shared" si="92"/>
        <v/>
      </c>
      <c r="Z410" s="60" t="str">
        <f t="shared" si="93"/>
        <v/>
      </c>
      <c r="AA410" s="64" t="str">
        <f t="shared" si="94"/>
        <v/>
      </c>
      <c r="AB410" s="64" t="str">
        <f>IF(AND(AA410&lt;&gt;"",AA410&lt;&gt;0), IF(E410="Muni", AA410, IF(E410 = "Corp", (1-'Investor Input'!$C$4-'Investor Input'!$C$5)*AA410, (1-'Investor Input'!$C$4)*AA410)), AA410)</f>
        <v/>
      </c>
      <c r="AC410" s="94" t="str">
        <f t="shared" si="95"/>
        <v/>
      </c>
      <c r="AD410" s="60" t="str">
        <f>IF(AND(M410&lt;&gt;"", M410&lt;&gt;0), N410/$N$505*MATCH(AC410,'Misc Lists'!$K$2:$K$25,0), "")</f>
        <v/>
      </c>
      <c r="AE410" s="90" t="str">
        <f t="shared" si="96"/>
        <v/>
      </c>
      <c r="AF410" s="99" t="str">
        <f>IF(AND(M410&lt;&gt;"", M410&lt;&gt;0), N410/$N$505*MATCH(AE410,'Misc Lists'!$L$2:$L$25,0), "")</f>
        <v/>
      </c>
    </row>
    <row r="411" spans="2:32" hidden="1" outlineLevel="1" x14ac:dyDescent="0.5">
      <c r="B411" s="60" t="str">
        <f ca="1"/>
        <v>89115A2S0</v>
      </c>
      <c r="C411" s="61" t="str">
        <f ca="1"/>
        <v>N/A</v>
      </c>
      <c r="D411" s="60" t="str">
        <f ca="1"/>
        <v>TORONTO DOMINION BK ONT SER C MTN       5.53200% 07/17/2026 CALL MAKE WHOLE</v>
      </c>
      <c r="E411" s="61" t="str">
        <f ca="1"/>
        <v>Corp</v>
      </c>
      <c r="F411" s="62">
        <f ca="1"/>
        <v>5.532</v>
      </c>
      <c r="G411" s="63">
        <f ca="1"/>
        <v>46220</v>
      </c>
      <c r="H411" s="61" t="str">
        <f ca="1"/>
        <v>A2</v>
      </c>
      <c r="I411" s="61" t="str">
        <f ca="1"/>
        <v>A-</v>
      </c>
      <c r="J411" s="64">
        <f ca="1"/>
        <v>101.282</v>
      </c>
      <c r="K411" s="17">
        <f ca="1"/>
        <v>4.5350000000000001</v>
      </c>
      <c r="L411" s="17" t="str">
        <f ca="1"/>
        <v>200(2)</v>
      </c>
      <c r="M411" s="83"/>
      <c r="N411" s="84" t="str">
        <f t="shared" si="97"/>
        <v/>
      </c>
      <c r="O411" s="20" t="str">
        <f t="shared" si="98"/>
        <v/>
      </c>
      <c r="P411" s="64" t="str">
        <f t="shared" si="99"/>
        <v/>
      </c>
      <c r="Q411" s="85" t="str">
        <f t="shared" ca="1" si="100"/>
        <v/>
      </c>
      <c r="R411" s="86" t="str">
        <f t="shared" si="101"/>
        <v/>
      </c>
      <c r="S411" s="86" t="str">
        <f t="shared" si="102"/>
        <v/>
      </c>
      <c r="T411" s="104" t="str">
        <f t="shared" si="103"/>
        <v/>
      </c>
      <c r="U411" s="19" t="str">
        <f>IF(AND(M411&lt;&gt;"",M411&lt;&gt;0), IF(E411 = "Muni", T411, IF(E411="Corp", T411*(1 -'Investor Input'!$C$4-'Investor Input'!$C$5), T411*(1 -'Investor Input'!$C$4))), T411)</f>
        <v/>
      </c>
      <c r="V411" s="84" t="str">
        <f t="shared" si="104"/>
        <v/>
      </c>
      <c r="W411" s="84" t="str">
        <f t="shared" si="90"/>
        <v/>
      </c>
      <c r="X411" s="21" t="str">
        <f t="shared" si="91"/>
        <v/>
      </c>
      <c r="Y411" s="60" t="str">
        <f t="shared" si="92"/>
        <v/>
      </c>
      <c r="Z411" s="60" t="str">
        <f t="shared" si="93"/>
        <v/>
      </c>
      <c r="AA411" s="64" t="str">
        <f t="shared" si="94"/>
        <v/>
      </c>
      <c r="AB411" s="64" t="str">
        <f>IF(AND(AA411&lt;&gt;"",AA411&lt;&gt;0), IF(E411="Muni", AA411, IF(E411 = "Corp", (1-'Investor Input'!$C$4-'Investor Input'!$C$5)*AA411, (1-'Investor Input'!$C$4)*AA411)), AA411)</f>
        <v/>
      </c>
      <c r="AC411" s="94" t="str">
        <f t="shared" si="95"/>
        <v/>
      </c>
      <c r="AD411" s="60" t="str">
        <f>IF(AND(M411&lt;&gt;"", M411&lt;&gt;0), N411/$N$505*MATCH(AC411,'Misc Lists'!$K$2:$K$25,0), "")</f>
        <v/>
      </c>
      <c r="AE411" s="90" t="str">
        <f t="shared" si="96"/>
        <v/>
      </c>
      <c r="AF411" s="99" t="str">
        <f>IF(AND(M411&lt;&gt;"", M411&lt;&gt;0), N411/$N$505*MATCH(AE411,'Misc Lists'!$L$2:$L$25,0), "")</f>
        <v/>
      </c>
    </row>
    <row r="412" spans="2:32" hidden="1" outlineLevel="1" x14ac:dyDescent="0.5">
      <c r="B412" s="60" t="str">
        <f ca="1"/>
        <v>539830CC1</v>
      </c>
      <c r="C412" s="61" t="str">
        <f ca="1"/>
        <v>N/A</v>
      </c>
      <c r="D412" s="60" t="str">
        <f ca="1"/>
        <v>LOCKHEED MARTIN CORPNOTE CALL MAKE WHOLE4.50000% 02/15/2029</v>
      </c>
      <c r="E412" s="61" t="str">
        <f ca="1"/>
        <v>Corp</v>
      </c>
      <c r="F412" s="62">
        <f ca="1"/>
        <v>4.5</v>
      </c>
      <c r="G412" s="63">
        <f ca="1"/>
        <v>47164</v>
      </c>
      <c r="H412" s="61" t="str">
        <f ca="1"/>
        <v>A2</v>
      </c>
      <c r="I412" s="61" t="str">
        <f ca="1"/>
        <v>A-</v>
      </c>
      <c r="J412" s="64">
        <f ca="1"/>
        <v>99.873999999999995</v>
      </c>
      <c r="K412" s="17">
        <f ca="1"/>
        <v>4.5350000000000001</v>
      </c>
      <c r="L412" s="17" t="str">
        <f ca="1"/>
        <v>500(10)</v>
      </c>
      <c r="M412" s="83"/>
      <c r="N412" s="84" t="str">
        <f t="shared" si="97"/>
        <v/>
      </c>
      <c r="O412" s="20" t="str">
        <f t="shared" si="98"/>
        <v/>
      </c>
      <c r="P412" s="64" t="str">
        <f t="shared" si="99"/>
        <v/>
      </c>
      <c r="Q412" s="85" t="str">
        <f t="shared" ca="1" si="100"/>
        <v/>
      </c>
      <c r="R412" s="86" t="str">
        <f t="shared" si="101"/>
        <v/>
      </c>
      <c r="S412" s="86" t="str">
        <f t="shared" si="102"/>
        <v/>
      </c>
      <c r="T412" s="104" t="str">
        <f t="shared" si="103"/>
        <v/>
      </c>
      <c r="U412" s="19" t="str">
        <f>IF(AND(M412&lt;&gt;"",M412&lt;&gt;0), IF(E412 = "Muni", T412, IF(E412="Corp", T412*(1 -'Investor Input'!$C$4-'Investor Input'!$C$5), T412*(1 -'Investor Input'!$C$4))), T412)</f>
        <v/>
      </c>
      <c r="V412" s="84" t="str">
        <f t="shared" si="104"/>
        <v/>
      </c>
      <c r="W412" s="84" t="str">
        <f t="shared" si="90"/>
        <v/>
      </c>
      <c r="X412" s="21" t="str">
        <f t="shared" si="91"/>
        <v/>
      </c>
      <c r="Y412" s="60" t="str">
        <f t="shared" si="92"/>
        <v/>
      </c>
      <c r="Z412" s="60" t="str">
        <f t="shared" si="93"/>
        <v/>
      </c>
      <c r="AA412" s="64" t="str">
        <f t="shared" si="94"/>
        <v/>
      </c>
      <c r="AB412" s="64" t="str">
        <f>IF(AND(AA412&lt;&gt;"",AA412&lt;&gt;0), IF(E412="Muni", AA412, IF(E412 = "Corp", (1-'Investor Input'!$C$4-'Investor Input'!$C$5)*AA412, (1-'Investor Input'!$C$4)*AA412)), AA412)</f>
        <v/>
      </c>
      <c r="AC412" s="94" t="str">
        <f t="shared" si="95"/>
        <v/>
      </c>
      <c r="AD412" s="60" t="str">
        <f>IF(AND(M412&lt;&gt;"", M412&lt;&gt;0), N412/$N$505*MATCH(AC412,'Misc Lists'!$K$2:$K$25,0), "")</f>
        <v/>
      </c>
      <c r="AE412" s="90" t="str">
        <f t="shared" si="96"/>
        <v/>
      </c>
      <c r="AF412" s="99" t="str">
        <f>IF(AND(M412&lt;&gt;"", M412&lt;&gt;0), N412/$N$505*MATCH(AE412,'Misc Lists'!$L$2:$L$25,0), "")</f>
        <v/>
      </c>
    </row>
    <row r="413" spans="2:32" hidden="1" outlineLevel="1" x14ac:dyDescent="0.5">
      <c r="B413" s="60" t="str">
        <f ca="1"/>
        <v>26884ABK8</v>
      </c>
      <c r="C413" s="61" t="str">
        <f ca="1"/>
        <v>N/A</v>
      </c>
      <c r="D413" s="60" t="str">
        <f ca="1"/>
        <v>ERP OPER LTD        PARTNERSHIP NOTE    4.15000% 12/01/2028 CALL MAKE WHOLE</v>
      </c>
      <c r="E413" s="61" t="str">
        <f ca="1"/>
        <v>Corp</v>
      </c>
      <c r="F413" s="62">
        <f ca="1"/>
        <v>4.1500000000000004</v>
      </c>
      <c r="G413" s="63">
        <f ca="1"/>
        <v>47088</v>
      </c>
      <c r="H413" s="61" t="str">
        <f ca="1"/>
        <v>A3</v>
      </c>
      <c r="I413" s="61" t="str">
        <f ca="1"/>
        <v>A-</v>
      </c>
      <c r="J413" s="64">
        <f ca="1"/>
        <v>98.694999999999993</v>
      </c>
      <c r="K413" s="17">
        <f ca="1"/>
        <v>4.5339999999999998</v>
      </c>
      <c r="L413" s="17" t="str">
        <f ca="1"/>
        <v>475(1)</v>
      </c>
      <c r="M413" s="83"/>
      <c r="N413" s="84" t="str">
        <f t="shared" si="97"/>
        <v/>
      </c>
      <c r="O413" s="20" t="str">
        <f t="shared" si="98"/>
        <v/>
      </c>
      <c r="P413" s="64" t="str">
        <f t="shared" si="99"/>
        <v/>
      </c>
      <c r="Q413" s="85" t="str">
        <f t="shared" ca="1" si="100"/>
        <v/>
      </c>
      <c r="R413" s="86" t="str">
        <f t="shared" si="101"/>
        <v/>
      </c>
      <c r="S413" s="86" t="str">
        <f t="shared" si="102"/>
        <v/>
      </c>
      <c r="T413" s="104" t="str">
        <f t="shared" si="103"/>
        <v/>
      </c>
      <c r="U413" s="19" t="str">
        <f>IF(AND(M413&lt;&gt;"",M413&lt;&gt;0), IF(E413 = "Muni", T413, IF(E413="Corp", T413*(1 -'Investor Input'!$C$4-'Investor Input'!$C$5), T413*(1 -'Investor Input'!$C$4))), T413)</f>
        <v/>
      </c>
      <c r="V413" s="84" t="str">
        <f t="shared" si="104"/>
        <v/>
      </c>
      <c r="W413" s="84" t="str">
        <f t="shared" si="90"/>
        <v/>
      </c>
      <c r="X413" s="21" t="str">
        <f t="shared" si="91"/>
        <v/>
      </c>
      <c r="Y413" s="60" t="str">
        <f t="shared" si="92"/>
        <v/>
      </c>
      <c r="Z413" s="60" t="str">
        <f t="shared" si="93"/>
        <v/>
      </c>
      <c r="AA413" s="64" t="str">
        <f t="shared" si="94"/>
        <v/>
      </c>
      <c r="AB413" s="64" t="str">
        <f>IF(AND(AA413&lt;&gt;"",AA413&lt;&gt;0), IF(E413="Muni", AA413, IF(E413 = "Corp", (1-'Investor Input'!$C$4-'Investor Input'!$C$5)*AA413, (1-'Investor Input'!$C$4)*AA413)), AA413)</f>
        <v/>
      </c>
      <c r="AC413" s="94" t="str">
        <f t="shared" si="95"/>
        <v/>
      </c>
      <c r="AD413" s="60" t="str">
        <f>IF(AND(M413&lt;&gt;"", M413&lt;&gt;0), N413/$N$505*MATCH(AC413,'Misc Lists'!$K$2:$K$25,0), "")</f>
        <v/>
      </c>
      <c r="AE413" s="90" t="str">
        <f t="shared" si="96"/>
        <v/>
      </c>
      <c r="AF413" s="99" t="str">
        <f>IF(AND(M413&lt;&gt;"", M413&lt;&gt;0), N413/$N$505*MATCH(AE413,'Misc Lists'!$L$2:$L$25,0), "")</f>
        <v/>
      </c>
    </row>
    <row r="414" spans="2:32" hidden="1" outlineLevel="1" x14ac:dyDescent="0.5">
      <c r="B414" s="60" t="str">
        <f ca="1"/>
        <v>035240AQ3</v>
      </c>
      <c r="C414" s="61" t="str">
        <f ca="1"/>
        <v>N/A</v>
      </c>
      <c r="D414" s="60" t="str">
        <f ca="1"/>
        <v>ANHEUSER-BUSCH INBEVWLDW INC NOTE       4.75000% 01/23/2029 CALL MAKE WHOLE</v>
      </c>
      <c r="E414" s="61" t="str">
        <f ca="1"/>
        <v>Corp</v>
      </c>
      <c r="F414" s="62">
        <f ca="1"/>
        <v>4.75</v>
      </c>
      <c r="G414" s="63">
        <f ca="1"/>
        <v>47141</v>
      </c>
      <c r="H414" s="61" t="str">
        <f ca="1"/>
        <v>A3</v>
      </c>
      <c r="I414" s="61" t="str">
        <f ca="1"/>
        <v>A-</v>
      </c>
      <c r="J414" s="64">
        <f ca="1"/>
        <v>100.754</v>
      </c>
      <c r="K414" s="17">
        <f ca="1"/>
        <v>4.5339999999999998</v>
      </c>
      <c r="L414" s="17" t="str">
        <f ca="1"/>
        <v>500(1)</v>
      </c>
      <c r="M414" s="83"/>
      <c r="N414" s="84" t="str">
        <f t="shared" si="97"/>
        <v/>
      </c>
      <c r="O414" s="20" t="str">
        <f t="shared" si="98"/>
        <v/>
      </c>
      <c r="P414" s="64" t="str">
        <f t="shared" si="99"/>
        <v/>
      </c>
      <c r="Q414" s="85" t="str">
        <f t="shared" ca="1" si="100"/>
        <v/>
      </c>
      <c r="R414" s="86" t="str">
        <f t="shared" si="101"/>
        <v/>
      </c>
      <c r="S414" s="86" t="str">
        <f t="shared" si="102"/>
        <v/>
      </c>
      <c r="T414" s="104" t="str">
        <f t="shared" si="103"/>
        <v/>
      </c>
      <c r="U414" s="19" t="str">
        <f>IF(AND(M414&lt;&gt;"",M414&lt;&gt;0), IF(E414 = "Muni", T414, IF(E414="Corp", T414*(1 -'Investor Input'!$C$4-'Investor Input'!$C$5), T414*(1 -'Investor Input'!$C$4))), T414)</f>
        <v/>
      </c>
      <c r="V414" s="84" t="str">
        <f t="shared" si="104"/>
        <v/>
      </c>
      <c r="W414" s="84" t="str">
        <f t="shared" si="90"/>
        <v/>
      </c>
      <c r="X414" s="21" t="str">
        <f t="shared" si="91"/>
        <v/>
      </c>
      <c r="Y414" s="60" t="str">
        <f t="shared" si="92"/>
        <v/>
      </c>
      <c r="Z414" s="60" t="str">
        <f t="shared" si="93"/>
        <v/>
      </c>
      <c r="AA414" s="64" t="str">
        <f t="shared" si="94"/>
        <v/>
      </c>
      <c r="AB414" s="64" t="str">
        <f>IF(AND(AA414&lt;&gt;"",AA414&lt;&gt;0), IF(E414="Muni", AA414, IF(E414 = "Corp", (1-'Investor Input'!$C$4-'Investor Input'!$C$5)*AA414, (1-'Investor Input'!$C$4)*AA414)), AA414)</f>
        <v/>
      </c>
      <c r="AC414" s="94" t="str">
        <f t="shared" si="95"/>
        <v/>
      </c>
      <c r="AD414" s="60" t="str">
        <f>IF(AND(M414&lt;&gt;"", M414&lt;&gt;0), N414/$N$505*MATCH(AC414,'Misc Lists'!$K$2:$K$25,0), "")</f>
        <v/>
      </c>
      <c r="AE414" s="90" t="str">
        <f t="shared" si="96"/>
        <v/>
      </c>
      <c r="AF414" s="99" t="str">
        <f>IF(AND(M414&lt;&gt;"", M414&lt;&gt;0), N414/$N$505*MATCH(AE414,'Misc Lists'!$L$2:$L$25,0), "")</f>
        <v/>
      </c>
    </row>
    <row r="415" spans="2:32" hidden="1" outlineLevel="1" x14ac:dyDescent="0.5">
      <c r="B415" s="60" t="str">
        <f ca="1"/>
        <v>036752AR4</v>
      </c>
      <c r="C415" s="61" t="str">
        <f ca="1"/>
        <v>N/A</v>
      </c>
      <c r="D415" s="60" t="str">
        <f ca="1"/>
        <v>ELEVANCE HEALTH INC NOTE CALL MAKE WHOLE1.50000% 03/15/2026</v>
      </c>
      <c r="E415" s="61" t="str">
        <f ca="1"/>
        <v>Corp</v>
      </c>
      <c r="F415" s="62">
        <f ca="1"/>
        <v>1.5</v>
      </c>
      <c r="G415" s="63">
        <f ca="1"/>
        <v>46096</v>
      </c>
      <c r="H415" s="61" t="str">
        <f ca="1"/>
        <v>BAA2</v>
      </c>
      <c r="I415" s="61" t="str">
        <f ca="1"/>
        <v>A</v>
      </c>
      <c r="J415" s="64">
        <f ca="1"/>
        <v>97.043999999999997</v>
      </c>
      <c r="K415" s="17">
        <f ca="1"/>
        <v>4.532</v>
      </c>
      <c r="L415" s="17" t="str">
        <f ca="1"/>
        <v>700(10)</v>
      </c>
      <c r="M415" s="83"/>
      <c r="N415" s="84" t="str">
        <f t="shared" si="97"/>
        <v/>
      </c>
      <c r="O415" s="20" t="str">
        <f t="shared" si="98"/>
        <v/>
      </c>
      <c r="P415" s="64" t="str">
        <f t="shared" si="99"/>
        <v/>
      </c>
      <c r="Q415" s="85" t="str">
        <f t="shared" ca="1" si="100"/>
        <v/>
      </c>
      <c r="R415" s="86" t="str">
        <f t="shared" si="101"/>
        <v/>
      </c>
      <c r="S415" s="86" t="str">
        <f t="shared" si="102"/>
        <v/>
      </c>
      <c r="T415" s="104" t="str">
        <f t="shared" si="103"/>
        <v/>
      </c>
      <c r="U415" s="19" t="str">
        <f>IF(AND(M415&lt;&gt;"",M415&lt;&gt;0), IF(E415 = "Muni", T415, IF(E415="Corp", T415*(1 -'Investor Input'!$C$4-'Investor Input'!$C$5), T415*(1 -'Investor Input'!$C$4))), T415)</f>
        <v/>
      </c>
      <c r="V415" s="84" t="str">
        <f t="shared" si="104"/>
        <v/>
      </c>
      <c r="W415" s="84" t="str">
        <f t="shared" si="90"/>
        <v/>
      </c>
      <c r="X415" s="21" t="str">
        <f t="shared" si="91"/>
        <v/>
      </c>
      <c r="Y415" s="60" t="str">
        <f t="shared" si="92"/>
        <v/>
      </c>
      <c r="Z415" s="60" t="str">
        <f t="shared" si="93"/>
        <v/>
      </c>
      <c r="AA415" s="64" t="str">
        <f t="shared" si="94"/>
        <v/>
      </c>
      <c r="AB415" s="64" t="str">
        <f>IF(AND(AA415&lt;&gt;"",AA415&lt;&gt;0), IF(E415="Muni", AA415, IF(E415 = "Corp", (1-'Investor Input'!$C$4-'Investor Input'!$C$5)*AA415, (1-'Investor Input'!$C$4)*AA415)), AA415)</f>
        <v/>
      </c>
      <c r="AC415" s="94" t="str">
        <f t="shared" si="95"/>
        <v/>
      </c>
      <c r="AD415" s="60" t="str">
        <f>IF(AND(M415&lt;&gt;"", M415&lt;&gt;0), N415/$N$505*MATCH(AC415,'Misc Lists'!$K$2:$K$25,0), "")</f>
        <v/>
      </c>
      <c r="AE415" s="90" t="str">
        <f t="shared" si="96"/>
        <v/>
      </c>
      <c r="AF415" s="99" t="str">
        <f>IF(AND(M415&lt;&gt;"", M415&lt;&gt;0), N415/$N$505*MATCH(AE415,'Misc Lists'!$L$2:$L$25,0), "")</f>
        <v/>
      </c>
    </row>
    <row r="416" spans="2:32" hidden="1" outlineLevel="1" x14ac:dyDescent="0.5">
      <c r="B416" s="60" t="str">
        <f ca="1"/>
        <v>02665WDW8</v>
      </c>
      <c r="C416" s="61" t="str">
        <f ca="1"/>
        <v>N/A</v>
      </c>
      <c r="D416" s="60" t="str">
        <f ca="1"/>
        <v>AMERICAN HONDA FIN  CORP  SER A MTN     2.00000% 03/24/2028 CALL MAKE WHOLE</v>
      </c>
      <c r="E416" s="61" t="str">
        <f ca="1"/>
        <v>Corp</v>
      </c>
      <c r="F416" s="62">
        <f ca="1"/>
        <v>2</v>
      </c>
      <c r="G416" s="63">
        <f ca="1"/>
        <v>46836</v>
      </c>
      <c r="H416" s="61" t="str">
        <f ca="1"/>
        <v>A3</v>
      </c>
      <c r="I416" s="61" t="str">
        <f ca="1"/>
        <v>A-</v>
      </c>
      <c r="J416" s="64">
        <f ca="1"/>
        <v>92.897000000000006</v>
      </c>
      <c r="K416" s="17">
        <f ca="1"/>
        <v>4.532</v>
      </c>
      <c r="L416" s="17" t="str">
        <f ca="1"/>
        <v>100(5)</v>
      </c>
      <c r="M416" s="83"/>
      <c r="N416" s="84" t="str">
        <f t="shared" si="97"/>
        <v/>
      </c>
      <c r="O416" s="20" t="str">
        <f t="shared" si="98"/>
        <v/>
      </c>
      <c r="P416" s="64" t="str">
        <f t="shared" si="99"/>
        <v/>
      </c>
      <c r="Q416" s="85" t="str">
        <f t="shared" ca="1" si="100"/>
        <v/>
      </c>
      <c r="R416" s="86" t="str">
        <f t="shared" si="101"/>
        <v/>
      </c>
      <c r="S416" s="86" t="str">
        <f t="shared" si="102"/>
        <v/>
      </c>
      <c r="T416" s="104" t="str">
        <f t="shared" si="103"/>
        <v/>
      </c>
      <c r="U416" s="19" t="str">
        <f>IF(AND(M416&lt;&gt;"",M416&lt;&gt;0), IF(E416 = "Muni", T416, IF(E416="Corp", T416*(1 -'Investor Input'!$C$4-'Investor Input'!$C$5), T416*(1 -'Investor Input'!$C$4))), T416)</f>
        <v/>
      </c>
      <c r="V416" s="84" t="str">
        <f t="shared" si="104"/>
        <v/>
      </c>
      <c r="W416" s="84" t="str">
        <f t="shared" si="90"/>
        <v/>
      </c>
      <c r="X416" s="21" t="str">
        <f t="shared" si="91"/>
        <v/>
      </c>
      <c r="Y416" s="60" t="str">
        <f t="shared" si="92"/>
        <v/>
      </c>
      <c r="Z416" s="60" t="str">
        <f t="shared" si="93"/>
        <v/>
      </c>
      <c r="AA416" s="64" t="str">
        <f t="shared" si="94"/>
        <v/>
      </c>
      <c r="AB416" s="64" t="str">
        <f>IF(AND(AA416&lt;&gt;"",AA416&lt;&gt;0), IF(E416="Muni", AA416, IF(E416 = "Corp", (1-'Investor Input'!$C$4-'Investor Input'!$C$5)*AA416, (1-'Investor Input'!$C$4)*AA416)), AA416)</f>
        <v/>
      </c>
      <c r="AC416" s="94" t="str">
        <f t="shared" si="95"/>
        <v/>
      </c>
      <c r="AD416" s="60" t="str">
        <f>IF(AND(M416&lt;&gt;"", M416&lt;&gt;0), N416/$N$505*MATCH(AC416,'Misc Lists'!$K$2:$K$25,0), "")</f>
        <v/>
      </c>
      <c r="AE416" s="90" t="str">
        <f t="shared" si="96"/>
        <v/>
      </c>
      <c r="AF416" s="99" t="str">
        <f>IF(AND(M416&lt;&gt;"", M416&lt;&gt;0), N416/$N$505*MATCH(AE416,'Misc Lists'!$L$2:$L$25,0), "")</f>
        <v/>
      </c>
    </row>
    <row r="417" spans="2:32" hidden="1" outlineLevel="1" x14ac:dyDescent="0.5">
      <c r="B417" s="60" t="str">
        <f ca="1"/>
        <v>04636NAL7</v>
      </c>
      <c r="C417" s="61" t="str">
        <f ca="1"/>
        <v>N/A</v>
      </c>
      <c r="D417" s="60" t="str">
        <f ca="1"/>
        <v>ASTRAZENECA FINANCE LLC NOTE            4.85000% 02/26/2029 CALL MAKE WHOLE</v>
      </c>
      <c r="E417" s="61" t="str">
        <f ca="1"/>
        <v>Corp</v>
      </c>
      <c r="F417" s="62">
        <f ca="1"/>
        <v>4.8499999999999996</v>
      </c>
      <c r="G417" s="63">
        <f ca="1"/>
        <v>47175</v>
      </c>
      <c r="H417" s="61" t="str">
        <f ca="1"/>
        <v>A1</v>
      </c>
      <c r="I417" s="61" t="str">
        <f ca="1"/>
        <v>A+</v>
      </c>
      <c r="J417" s="64">
        <f ca="1"/>
        <v>101.137</v>
      </c>
      <c r="K417" s="17">
        <f ca="1"/>
        <v>4.532</v>
      </c>
      <c r="L417" s="17" t="str">
        <f ca="1"/>
        <v>3,000(2)</v>
      </c>
      <c r="M417" s="83"/>
      <c r="N417" s="84" t="str">
        <f t="shared" si="97"/>
        <v/>
      </c>
      <c r="O417" s="20" t="str">
        <f t="shared" si="98"/>
        <v/>
      </c>
      <c r="P417" s="64" t="str">
        <f t="shared" si="99"/>
        <v/>
      </c>
      <c r="Q417" s="85" t="str">
        <f t="shared" ca="1" si="100"/>
        <v/>
      </c>
      <c r="R417" s="86" t="str">
        <f t="shared" si="101"/>
        <v/>
      </c>
      <c r="S417" s="86" t="str">
        <f t="shared" si="102"/>
        <v/>
      </c>
      <c r="T417" s="104" t="str">
        <f t="shared" si="103"/>
        <v/>
      </c>
      <c r="U417" s="19" t="str">
        <f>IF(AND(M417&lt;&gt;"",M417&lt;&gt;0), IF(E417 = "Muni", T417, IF(E417="Corp", T417*(1 -'Investor Input'!$C$4-'Investor Input'!$C$5), T417*(1 -'Investor Input'!$C$4))), T417)</f>
        <v/>
      </c>
      <c r="V417" s="84" t="str">
        <f t="shared" si="104"/>
        <v/>
      </c>
      <c r="W417" s="84" t="str">
        <f t="shared" si="90"/>
        <v/>
      </c>
      <c r="X417" s="21" t="str">
        <f t="shared" si="91"/>
        <v/>
      </c>
      <c r="Y417" s="60" t="str">
        <f t="shared" si="92"/>
        <v/>
      </c>
      <c r="Z417" s="60" t="str">
        <f t="shared" si="93"/>
        <v/>
      </c>
      <c r="AA417" s="64" t="str">
        <f t="shared" si="94"/>
        <v/>
      </c>
      <c r="AB417" s="64" t="str">
        <f>IF(AND(AA417&lt;&gt;"",AA417&lt;&gt;0), IF(E417="Muni", AA417, IF(E417 = "Corp", (1-'Investor Input'!$C$4-'Investor Input'!$C$5)*AA417, (1-'Investor Input'!$C$4)*AA417)), AA417)</f>
        <v/>
      </c>
      <c r="AC417" s="94" t="str">
        <f t="shared" si="95"/>
        <v/>
      </c>
      <c r="AD417" s="60" t="str">
        <f>IF(AND(M417&lt;&gt;"", M417&lt;&gt;0), N417/$N$505*MATCH(AC417,'Misc Lists'!$K$2:$K$25,0), "")</f>
        <v/>
      </c>
      <c r="AE417" s="90" t="str">
        <f t="shared" si="96"/>
        <v/>
      </c>
      <c r="AF417" s="99" t="str">
        <f>IF(AND(M417&lt;&gt;"", M417&lt;&gt;0), N417/$N$505*MATCH(AE417,'Misc Lists'!$L$2:$L$25,0), "")</f>
        <v/>
      </c>
    </row>
    <row r="418" spans="2:32" hidden="1" outlineLevel="1" x14ac:dyDescent="0.5">
      <c r="B418" s="60" t="str">
        <f ca="1"/>
        <v>89236TKD6</v>
      </c>
      <c r="C418" s="61" t="str">
        <f ca="1"/>
        <v>N/A</v>
      </c>
      <c r="D418" s="60" t="str">
        <f ca="1"/>
        <v>TOYOTA MTR CR CORP  SER B MTN           4.45000% 06/29/2029 CALL MAKE WHOLE</v>
      </c>
      <c r="E418" s="61" t="str">
        <f ca="1"/>
        <v>Corp</v>
      </c>
      <c r="F418" s="62">
        <f ca="1"/>
        <v>4.45</v>
      </c>
      <c r="G418" s="63">
        <f ca="1"/>
        <v>47298</v>
      </c>
      <c r="H418" s="61" t="str">
        <f ca="1"/>
        <v>A1</v>
      </c>
      <c r="I418" s="61" t="str">
        <f ca="1"/>
        <v>A+</v>
      </c>
      <c r="J418" s="64">
        <f ca="1"/>
        <v>99.679000000000002</v>
      </c>
      <c r="K418" s="17">
        <f ca="1"/>
        <v>4.5309999999999997</v>
      </c>
      <c r="L418" s="17" t="str">
        <f ca="1"/>
        <v>40(2)</v>
      </c>
      <c r="M418" s="83"/>
      <c r="N418" s="84" t="str">
        <f t="shared" si="97"/>
        <v/>
      </c>
      <c r="O418" s="20" t="str">
        <f t="shared" si="98"/>
        <v/>
      </c>
      <c r="P418" s="64" t="str">
        <f t="shared" si="99"/>
        <v/>
      </c>
      <c r="Q418" s="85" t="str">
        <f t="shared" ca="1" si="100"/>
        <v/>
      </c>
      <c r="R418" s="86" t="str">
        <f t="shared" si="101"/>
        <v/>
      </c>
      <c r="S418" s="86" t="str">
        <f t="shared" si="102"/>
        <v/>
      </c>
      <c r="T418" s="104" t="str">
        <f t="shared" si="103"/>
        <v/>
      </c>
      <c r="U418" s="19" t="str">
        <f>IF(AND(M418&lt;&gt;"",M418&lt;&gt;0), IF(E418 = "Muni", T418, IF(E418="Corp", T418*(1 -'Investor Input'!$C$4-'Investor Input'!$C$5), T418*(1 -'Investor Input'!$C$4))), T418)</f>
        <v/>
      </c>
      <c r="V418" s="84" t="str">
        <f t="shared" si="104"/>
        <v/>
      </c>
      <c r="W418" s="84" t="str">
        <f t="shared" si="90"/>
        <v/>
      </c>
      <c r="X418" s="21" t="str">
        <f t="shared" si="91"/>
        <v/>
      </c>
      <c r="Y418" s="60" t="str">
        <f t="shared" si="92"/>
        <v/>
      </c>
      <c r="Z418" s="60" t="str">
        <f t="shared" si="93"/>
        <v/>
      </c>
      <c r="AA418" s="64" t="str">
        <f t="shared" si="94"/>
        <v/>
      </c>
      <c r="AB418" s="64" t="str">
        <f>IF(AND(AA418&lt;&gt;"",AA418&lt;&gt;0), IF(E418="Muni", AA418, IF(E418 = "Corp", (1-'Investor Input'!$C$4-'Investor Input'!$C$5)*AA418, (1-'Investor Input'!$C$4)*AA418)), AA418)</f>
        <v/>
      </c>
      <c r="AC418" s="94" t="str">
        <f t="shared" si="95"/>
        <v/>
      </c>
      <c r="AD418" s="60" t="str">
        <f>IF(AND(M418&lt;&gt;"", M418&lt;&gt;0), N418/$N$505*MATCH(AC418,'Misc Lists'!$K$2:$K$25,0), "")</f>
        <v/>
      </c>
      <c r="AE418" s="90" t="str">
        <f t="shared" si="96"/>
        <v/>
      </c>
      <c r="AF418" s="99" t="str">
        <f>IF(AND(M418&lt;&gt;"", M418&lt;&gt;0), N418/$N$505*MATCH(AE418,'Misc Lists'!$L$2:$L$25,0), "")</f>
        <v/>
      </c>
    </row>
    <row r="419" spans="2:32" hidden="1" outlineLevel="1" x14ac:dyDescent="0.5">
      <c r="B419" s="60" t="str">
        <f ca="1"/>
        <v>606822BC7</v>
      </c>
      <c r="C419" s="61" t="str">
        <f ca="1"/>
        <v>N/A</v>
      </c>
      <c r="D419" s="60" t="str">
        <f ca="1"/>
        <v>MITSUBISHI UFJ      FINANCIAL GROUP INC 4.05000% 09/11/2028 NOTE                ISIN #US606822BC70</v>
      </c>
      <c r="E419" s="61" t="str">
        <f ca="1"/>
        <v>Corp</v>
      </c>
      <c r="F419" s="62">
        <f ca="1"/>
        <v>4.05</v>
      </c>
      <c r="G419" s="63">
        <f ca="1"/>
        <v>47007</v>
      </c>
      <c r="H419" s="61" t="str">
        <f ca="1"/>
        <v>A1</v>
      </c>
      <c r="I419" s="61" t="str">
        <f ca="1"/>
        <v>A-</v>
      </c>
      <c r="J419" s="64">
        <f ca="1"/>
        <v>98.462999999999994</v>
      </c>
      <c r="K419" s="17">
        <f ca="1"/>
        <v>4.53</v>
      </c>
      <c r="L419" s="17" t="str">
        <f ca="1"/>
        <v>200(2)</v>
      </c>
      <c r="M419" s="83"/>
      <c r="N419" s="84" t="str">
        <f t="shared" si="97"/>
        <v/>
      </c>
      <c r="O419" s="20" t="str">
        <f t="shared" si="98"/>
        <v/>
      </c>
      <c r="P419" s="64" t="str">
        <f t="shared" si="99"/>
        <v/>
      </c>
      <c r="Q419" s="85" t="str">
        <f t="shared" ca="1" si="100"/>
        <v/>
      </c>
      <c r="R419" s="86" t="str">
        <f t="shared" si="101"/>
        <v/>
      </c>
      <c r="S419" s="86" t="str">
        <f t="shared" si="102"/>
        <v/>
      </c>
      <c r="T419" s="104" t="str">
        <f t="shared" si="103"/>
        <v/>
      </c>
      <c r="U419" s="19" t="str">
        <f>IF(AND(M419&lt;&gt;"",M419&lt;&gt;0), IF(E419 = "Muni", T419, IF(E419="Corp", T419*(1 -'Investor Input'!$C$4-'Investor Input'!$C$5), T419*(1 -'Investor Input'!$C$4))), T419)</f>
        <v/>
      </c>
      <c r="V419" s="84" t="str">
        <f t="shared" si="104"/>
        <v/>
      </c>
      <c r="W419" s="84" t="str">
        <f t="shared" si="90"/>
        <v/>
      </c>
      <c r="X419" s="21" t="str">
        <f t="shared" si="91"/>
        <v/>
      </c>
      <c r="Y419" s="60" t="str">
        <f t="shared" si="92"/>
        <v/>
      </c>
      <c r="Z419" s="60" t="str">
        <f t="shared" si="93"/>
        <v/>
      </c>
      <c r="AA419" s="64" t="str">
        <f t="shared" si="94"/>
        <v/>
      </c>
      <c r="AB419" s="64" t="str">
        <f>IF(AND(AA419&lt;&gt;"",AA419&lt;&gt;0), IF(E419="Muni", AA419, IF(E419 = "Corp", (1-'Investor Input'!$C$4-'Investor Input'!$C$5)*AA419, (1-'Investor Input'!$C$4)*AA419)), AA419)</f>
        <v/>
      </c>
      <c r="AC419" s="94" t="str">
        <f t="shared" si="95"/>
        <v/>
      </c>
      <c r="AD419" s="60" t="str">
        <f>IF(AND(M419&lt;&gt;"", M419&lt;&gt;0), N419/$N$505*MATCH(AC419,'Misc Lists'!$K$2:$K$25,0), "")</f>
        <v/>
      </c>
      <c r="AE419" s="90" t="str">
        <f t="shared" si="96"/>
        <v/>
      </c>
      <c r="AF419" s="99" t="str">
        <f>IF(AND(M419&lt;&gt;"", M419&lt;&gt;0), N419/$N$505*MATCH(AE419,'Misc Lists'!$L$2:$L$25,0), "")</f>
        <v/>
      </c>
    </row>
    <row r="420" spans="2:32" hidden="1" outlineLevel="1" x14ac:dyDescent="0.5">
      <c r="B420" s="60" t="str">
        <f ca="1"/>
        <v>91324PEZ1</v>
      </c>
      <c r="C420" s="61" t="str">
        <f ca="1"/>
        <v>N/A</v>
      </c>
      <c r="D420" s="60" t="str">
        <f ca="1"/>
        <v>UNITEDHEALTH GROUP  INC NOTE            4.70000% 04/15/2029 CALL MAKE WHOLE</v>
      </c>
      <c r="E420" s="61" t="str">
        <f ca="1"/>
        <v>Corp</v>
      </c>
      <c r="F420" s="62">
        <f ca="1"/>
        <v>4.7</v>
      </c>
      <c r="G420" s="63">
        <f ca="1"/>
        <v>47223</v>
      </c>
      <c r="H420" s="61" t="str">
        <f ca="1"/>
        <v>A2</v>
      </c>
      <c r="I420" s="61" t="str">
        <f ca="1"/>
        <v>A+</v>
      </c>
      <c r="J420" s="64">
        <f ca="1"/>
        <v>100.623</v>
      </c>
      <c r="K420" s="17">
        <f ca="1"/>
        <v>4.53</v>
      </c>
      <c r="L420" s="17" t="str">
        <f ca="1"/>
        <v>500(2)</v>
      </c>
      <c r="M420" s="83"/>
      <c r="N420" s="84" t="str">
        <f t="shared" si="97"/>
        <v/>
      </c>
      <c r="O420" s="20" t="str">
        <f t="shared" si="98"/>
        <v/>
      </c>
      <c r="P420" s="64" t="str">
        <f t="shared" si="99"/>
        <v/>
      </c>
      <c r="Q420" s="85" t="str">
        <f t="shared" ca="1" si="100"/>
        <v/>
      </c>
      <c r="R420" s="86" t="str">
        <f t="shared" si="101"/>
        <v/>
      </c>
      <c r="S420" s="86" t="str">
        <f t="shared" si="102"/>
        <v/>
      </c>
      <c r="T420" s="104" t="str">
        <f t="shared" si="103"/>
        <v/>
      </c>
      <c r="U420" s="19" t="str">
        <f>IF(AND(M420&lt;&gt;"",M420&lt;&gt;0), IF(E420 = "Muni", T420, IF(E420="Corp", T420*(1 -'Investor Input'!$C$4-'Investor Input'!$C$5), T420*(1 -'Investor Input'!$C$4))), T420)</f>
        <v/>
      </c>
      <c r="V420" s="84" t="str">
        <f t="shared" si="104"/>
        <v/>
      </c>
      <c r="W420" s="84" t="str">
        <f t="shared" si="90"/>
        <v/>
      </c>
      <c r="X420" s="21" t="str">
        <f t="shared" si="91"/>
        <v/>
      </c>
      <c r="Y420" s="60" t="str">
        <f t="shared" si="92"/>
        <v/>
      </c>
      <c r="Z420" s="60" t="str">
        <f t="shared" si="93"/>
        <v/>
      </c>
      <c r="AA420" s="64" t="str">
        <f t="shared" si="94"/>
        <v/>
      </c>
      <c r="AB420" s="64" t="str">
        <f>IF(AND(AA420&lt;&gt;"",AA420&lt;&gt;0), IF(E420="Muni", AA420, IF(E420 = "Corp", (1-'Investor Input'!$C$4-'Investor Input'!$C$5)*AA420, (1-'Investor Input'!$C$4)*AA420)), AA420)</f>
        <v/>
      </c>
      <c r="AC420" s="94" t="str">
        <f t="shared" si="95"/>
        <v/>
      </c>
      <c r="AD420" s="60" t="str">
        <f>IF(AND(M420&lt;&gt;"", M420&lt;&gt;0), N420/$N$505*MATCH(AC420,'Misc Lists'!$K$2:$K$25,0), "")</f>
        <v/>
      </c>
      <c r="AE420" s="90" t="str">
        <f t="shared" si="96"/>
        <v/>
      </c>
      <c r="AF420" s="99" t="str">
        <f>IF(AND(M420&lt;&gt;"", M420&lt;&gt;0), N420/$N$505*MATCH(AE420,'Misc Lists'!$L$2:$L$25,0), "")</f>
        <v/>
      </c>
    </row>
    <row r="421" spans="2:32" hidden="1" outlineLevel="1" x14ac:dyDescent="0.5">
      <c r="B421" s="60" t="str">
        <f ca="1"/>
        <v>976656CQ9</v>
      </c>
      <c r="C421" s="61" t="str">
        <f ca="1"/>
        <v>N/A</v>
      </c>
      <c r="D421" s="60" t="str">
        <f ca="1"/>
        <v>WISCONSIN ELEC PWR  CO BOND             5.00000% 05/15/2029 CALL MAKE WHOLE</v>
      </c>
      <c r="E421" s="61" t="str">
        <f ca="1"/>
        <v>Corp</v>
      </c>
      <c r="F421" s="62">
        <f ca="1"/>
        <v>5</v>
      </c>
      <c r="G421" s="63">
        <f ca="1"/>
        <v>47253</v>
      </c>
      <c r="H421" s="61" t="str">
        <f ca="1"/>
        <v>A2</v>
      </c>
      <c r="I421" s="61" t="str">
        <f ca="1"/>
        <v>A-</v>
      </c>
      <c r="J421" s="64">
        <f ca="1"/>
        <v>101.764</v>
      </c>
      <c r="K421" s="17">
        <f ca="1"/>
        <v>4.53</v>
      </c>
      <c r="L421" s="17" t="str">
        <f ca="1"/>
        <v>1,000(1)</v>
      </c>
      <c r="M421" s="83"/>
      <c r="N421" s="84" t="str">
        <f t="shared" si="97"/>
        <v/>
      </c>
      <c r="O421" s="20" t="str">
        <f t="shared" si="98"/>
        <v/>
      </c>
      <c r="P421" s="64" t="str">
        <f t="shared" si="99"/>
        <v/>
      </c>
      <c r="Q421" s="85" t="str">
        <f t="shared" ca="1" si="100"/>
        <v/>
      </c>
      <c r="R421" s="86" t="str">
        <f t="shared" si="101"/>
        <v/>
      </c>
      <c r="S421" s="86" t="str">
        <f t="shared" si="102"/>
        <v/>
      </c>
      <c r="T421" s="104" t="str">
        <f t="shared" si="103"/>
        <v/>
      </c>
      <c r="U421" s="19" t="str">
        <f>IF(AND(M421&lt;&gt;"",M421&lt;&gt;0), IF(E421 = "Muni", T421, IF(E421="Corp", T421*(1 -'Investor Input'!$C$4-'Investor Input'!$C$5), T421*(1 -'Investor Input'!$C$4))), T421)</f>
        <v/>
      </c>
      <c r="V421" s="84" t="str">
        <f t="shared" si="104"/>
        <v/>
      </c>
      <c r="W421" s="84" t="str">
        <f t="shared" si="90"/>
        <v/>
      </c>
      <c r="X421" s="21" t="str">
        <f t="shared" si="91"/>
        <v/>
      </c>
      <c r="Y421" s="60" t="str">
        <f t="shared" si="92"/>
        <v/>
      </c>
      <c r="Z421" s="60" t="str">
        <f t="shared" si="93"/>
        <v/>
      </c>
      <c r="AA421" s="64" t="str">
        <f t="shared" si="94"/>
        <v/>
      </c>
      <c r="AB421" s="64" t="str">
        <f>IF(AND(AA421&lt;&gt;"",AA421&lt;&gt;0), IF(E421="Muni", AA421, IF(E421 = "Corp", (1-'Investor Input'!$C$4-'Investor Input'!$C$5)*AA421, (1-'Investor Input'!$C$4)*AA421)), AA421)</f>
        <v/>
      </c>
      <c r="AC421" s="94" t="str">
        <f t="shared" si="95"/>
        <v/>
      </c>
      <c r="AD421" s="60" t="str">
        <f>IF(AND(M421&lt;&gt;"", M421&lt;&gt;0), N421/$N$505*MATCH(AC421,'Misc Lists'!$K$2:$K$25,0), "")</f>
        <v/>
      </c>
      <c r="AE421" s="90" t="str">
        <f t="shared" si="96"/>
        <v/>
      </c>
      <c r="AF421" s="99" t="str">
        <f>IF(AND(M421&lt;&gt;"", M421&lt;&gt;0), N421/$N$505*MATCH(AE421,'Misc Lists'!$L$2:$L$25,0), "")</f>
        <v/>
      </c>
    </row>
    <row r="422" spans="2:32" hidden="1" outlineLevel="1" x14ac:dyDescent="0.5">
      <c r="B422" s="60" t="str">
        <f ca="1"/>
        <v>91159HHS2</v>
      </c>
      <c r="C422" s="61" t="str">
        <f ca="1"/>
        <v>N/A</v>
      </c>
      <c r="D422" s="60" t="str">
        <f ca="1"/>
        <v>US BANCORP          SER X MTN           3.90000% 04/26/2028</v>
      </c>
      <c r="E422" s="61" t="str">
        <f ca="1"/>
        <v>Corp</v>
      </c>
      <c r="F422" s="62">
        <f ca="1"/>
        <v>3.9</v>
      </c>
      <c r="G422" s="63">
        <f ca="1"/>
        <v>46869</v>
      </c>
      <c r="H422" s="61" t="str">
        <f ca="1"/>
        <v>A3</v>
      </c>
      <c r="I422" s="61" t="str">
        <f ca="1"/>
        <v>A</v>
      </c>
      <c r="J422" s="64">
        <f ca="1"/>
        <v>98.183000000000007</v>
      </c>
      <c r="K422" s="17">
        <f ca="1"/>
        <v>4.5289999999999999</v>
      </c>
      <c r="L422" s="17" t="str">
        <f ca="1"/>
        <v>500(1)</v>
      </c>
      <c r="M422" s="83"/>
      <c r="N422" s="84" t="str">
        <f t="shared" si="97"/>
        <v/>
      </c>
      <c r="O422" s="20" t="str">
        <f t="shared" si="98"/>
        <v/>
      </c>
      <c r="P422" s="64" t="str">
        <f t="shared" si="99"/>
        <v/>
      </c>
      <c r="Q422" s="85" t="str">
        <f t="shared" ca="1" si="100"/>
        <v/>
      </c>
      <c r="R422" s="86" t="str">
        <f t="shared" si="101"/>
        <v/>
      </c>
      <c r="S422" s="86" t="str">
        <f t="shared" si="102"/>
        <v/>
      </c>
      <c r="T422" s="104" t="str">
        <f t="shared" si="103"/>
        <v/>
      </c>
      <c r="U422" s="19" t="str">
        <f>IF(AND(M422&lt;&gt;"",M422&lt;&gt;0), IF(E422 = "Muni", T422, IF(E422="Corp", T422*(1 -'Investor Input'!$C$4-'Investor Input'!$C$5), T422*(1 -'Investor Input'!$C$4))), T422)</f>
        <v/>
      </c>
      <c r="V422" s="84" t="str">
        <f t="shared" si="104"/>
        <v/>
      </c>
      <c r="W422" s="84" t="str">
        <f t="shared" si="90"/>
        <v/>
      </c>
      <c r="X422" s="21" t="str">
        <f t="shared" si="91"/>
        <v/>
      </c>
      <c r="Y422" s="60" t="str">
        <f t="shared" si="92"/>
        <v/>
      </c>
      <c r="Z422" s="60" t="str">
        <f t="shared" si="93"/>
        <v/>
      </c>
      <c r="AA422" s="64" t="str">
        <f t="shared" si="94"/>
        <v/>
      </c>
      <c r="AB422" s="64" t="str">
        <f>IF(AND(AA422&lt;&gt;"",AA422&lt;&gt;0), IF(E422="Muni", AA422, IF(E422 = "Corp", (1-'Investor Input'!$C$4-'Investor Input'!$C$5)*AA422, (1-'Investor Input'!$C$4)*AA422)), AA422)</f>
        <v/>
      </c>
      <c r="AC422" s="94" t="str">
        <f t="shared" si="95"/>
        <v/>
      </c>
      <c r="AD422" s="60" t="str">
        <f>IF(AND(M422&lt;&gt;"", M422&lt;&gt;0), N422/$N$505*MATCH(AC422,'Misc Lists'!$K$2:$K$25,0), "")</f>
        <v/>
      </c>
      <c r="AE422" s="90" t="str">
        <f t="shared" si="96"/>
        <v/>
      </c>
      <c r="AF422" s="99" t="str">
        <f>IF(AND(M422&lt;&gt;"", M422&lt;&gt;0), N422/$N$505*MATCH(AE422,'Misc Lists'!$L$2:$L$25,0), "")</f>
        <v/>
      </c>
    </row>
    <row r="423" spans="2:32" hidden="1" outlineLevel="1" x14ac:dyDescent="0.5">
      <c r="B423" s="60" t="str">
        <f ca="1"/>
        <v>20030NCH2</v>
      </c>
      <c r="C423" s="61" t="str">
        <f ca="1"/>
        <v>N/A</v>
      </c>
      <c r="D423" s="60" t="str">
        <f ca="1"/>
        <v>COMCAST CORP NEW    NOTE CALL MAKE WHOLE3.55000% 05/01/2028</v>
      </c>
      <c r="E423" s="61" t="str">
        <f ca="1"/>
        <v>Corp</v>
      </c>
      <c r="F423" s="62">
        <f ca="1"/>
        <v>3.55</v>
      </c>
      <c r="G423" s="63">
        <f ca="1"/>
        <v>46874</v>
      </c>
      <c r="H423" s="61" t="str">
        <f ca="1"/>
        <v>A3</v>
      </c>
      <c r="I423" s="61" t="str">
        <f ca="1"/>
        <v>A-</v>
      </c>
      <c r="J423" s="64">
        <f ca="1"/>
        <v>97.165000000000006</v>
      </c>
      <c r="K423" s="17">
        <f ca="1"/>
        <v>4.5289999999999999</v>
      </c>
      <c r="L423" s="17" t="str">
        <f ca="1"/>
        <v>500(2)</v>
      </c>
      <c r="M423" s="83"/>
      <c r="N423" s="84" t="str">
        <f t="shared" si="97"/>
        <v/>
      </c>
      <c r="O423" s="20" t="str">
        <f t="shared" si="98"/>
        <v/>
      </c>
      <c r="P423" s="64" t="str">
        <f t="shared" si="99"/>
        <v/>
      </c>
      <c r="Q423" s="85" t="str">
        <f t="shared" ca="1" si="100"/>
        <v/>
      </c>
      <c r="R423" s="86" t="str">
        <f t="shared" si="101"/>
        <v/>
      </c>
      <c r="S423" s="86" t="str">
        <f t="shared" si="102"/>
        <v/>
      </c>
      <c r="T423" s="104" t="str">
        <f t="shared" si="103"/>
        <v/>
      </c>
      <c r="U423" s="19" t="str">
        <f>IF(AND(M423&lt;&gt;"",M423&lt;&gt;0), IF(E423 = "Muni", T423, IF(E423="Corp", T423*(1 -'Investor Input'!$C$4-'Investor Input'!$C$5), T423*(1 -'Investor Input'!$C$4))), T423)</f>
        <v/>
      </c>
      <c r="V423" s="84" t="str">
        <f t="shared" si="104"/>
        <v/>
      </c>
      <c r="W423" s="84" t="str">
        <f t="shared" si="90"/>
        <v/>
      </c>
      <c r="X423" s="21" t="str">
        <f t="shared" si="91"/>
        <v/>
      </c>
      <c r="Y423" s="60" t="str">
        <f t="shared" si="92"/>
        <v/>
      </c>
      <c r="Z423" s="60" t="str">
        <f t="shared" si="93"/>
        <v/>
      </c>
      <c r="AA423" s="64" t="str">
        <f t="shared" si="94"/>
        <v/>
      </c>
      <c r="AB423" s="64" t="str">
        <f>IF(AND(AA423&lt;&gt;"",AA423&lt;&gt;0), IF(E423="Muni", AA423, IF(E423 = "Corp", (1-'Investor Input'!$C$4-'Investor Input'!$C$5)*AA423, (1-'Investor Input'!$C$4)*AA423)), AA423)</f>
        <v/>
      </c>
      <c r="AC423" s="94" t="str">
        <f t="shared" si="95"/>
        <v/>
      </c>
      <c r="AD423" s="60" t="str">
        <f>IF(AND(M423&lt;&gt;"", M423&lt;&gt;0), N423/$N$505*MATCH(AC423,'Misc Lists'!$K$2:$K$25,0), "")</f>
        <v/>
      </c>
      <c r="AE423" s="90" t="str">
        <f t="shared" si="96"/>
        <v/>
      </c>
      <c r="AF423" s="99" t="str">
        <f>IF(AND(M423&lt;&gt;"", M423&lt;&gt;0), N423/$N$505*MATCH(AE423,'Misc Lists'!$L$2:$L$25,0), "")</f>
        <v/>
      </c>
    </row>
    <row r="424" spans="2:32" hidden="1" outlineLevel="1" x14ac:dyDescent="0.5">
      <c r="B424" s="60" t="str">
        <f ca="1"/>
        <v>532457CV8</v>
      </c>
      <c r="C424" s="61" t="str">
        <f ca="1"/>
        <v>N/A</v>
      </c>
      <c r="D424" s="60" t="str">
        <f ca="1"/>
        <v>ELI LILLY &amp;CO       NOTE CALL MAKE WHOLE4.75000% 02/12/2030</v>
      </c>
      <c r="E424" s="61" t="str">
        <f ca="1"/>
        <v>Corp</v>
      </c>
      <c r="F424" s="62">
        <f ca="1"/>
        <v>4.75</v>
      </c>
      <c r="G424" s="63">
        <f ca="1"/>
        <v>47526</v>
      </c>
      <c r="H424" s="61" t="str">
        <f ca="1"/>
        <v>AA3</v>
      </c>
      <c r="I424" s="61" t="str">
        <f ca="1"/>
        <v>A+</v>
      </c>
      <c r="J424" s="64">
        <f ca="1"/>
        <v>100.962</v>
      </c>
      <c r="K424" s="17">
        <f ca="1"/>
        <v>4.5289999999999999</v>
      </c>
      <c r="L424" s="17" t="str">
        <f ca="1"/>
        <v>500(2)</v>
      </c>
      <c r="M424" s="83"/>
      <c r="N424" s="84" t="str">
        <f t="shared" si="97"/>
        <v/>
      </c>
      <c r="O424" s="20" t="str">
        <f t="shared" si="98"/>
        <v/>
      </c>
      <c r="P424" s="64" t="str">
        <f t="shared" si="99"/>
        <v/>
      </c>
      <c r="Q424" s="85" t="str">
        <f t="shared" ca="1" si="100"/>
        <v/>
      </c>
      <c r="R424" s="86" t="str">
        <f t="shared" si="101"/>
        <v/>
      </c>
      <c r="S424" s="86" t="str">
        <f t="shared" si="102"/>
        <v/>
      </c>
      <c r="T424" s="104" t="str">
        <f t="shared" si="103"/>
        <v/>
      </c>
      <c r="U424" s="19" t="str">
        <f>IF(AND(M424&lt;&gt;"",M424&lt;&gt;0), IF(E424 = "Muni", T424, IF(E424="Corp", T424*(1 -'Investor Input'!$C$4-'Investor Input'!$C$5), T424*(1 -'Investor Input'!$C$4))), T424)</f>
        <v/>
      </c>
      <c r="V424" s="84" t="str">
        <f t="shared" si="104"/>
        <v/>
      </c>
      <c r="W424" s="84" t="str">
        <f t="shared" si="90"/>
        <v/>
      </c>
      <c r="X424" s="21" t="str">
        <f t="shared" si="91"/>
        <v/>
      </c>
      <c r="Y424" s="60" t="str">
        <f t="shared" si="92"/>
        <v/>
      </c>
      <c r="Z424" s="60" t="str">
        <f t="shared" si="93"/>
        <v/>
      </c>
      <c r="AA424" s="64" t="str">
        <f t="shared" si="94"/>
        <v/>
      </c>
      <c r="AB424" s="64" t="str">
        <f>IF(AND(AA424&lt;&gt;"",AA424&lt;&gt;0), IF(E424="Muni", AA424, IF(E424 = "Corp", (1-'Investor Input'!$C$4-'Investor Input'!$C$5)*AA424, (1-'Investor Input'!$C$4)*AA424)), AA424)</f>
        <v/>
      </c>
      <c r="AC424" s="94" t="str">
        <f t="shared" si="95"/>
        <v/>
      </c>
      <c r="AD424" s="60" t="str">
        <f>IF(AND(M424&lt;&gt;"", M424&lt;&gt;0), N424/$N$505*MATCH(AC424,'Misc Lists'!$K$2:$K$25,0), "")</f>
        <v/>
      </c>
      <c r="AE424" s="90" t="str">
        <f t="shared" si="96"/>
        <v/>
      </c>
      <c r="AF424" s="99" t="str">
        <f>IF(AND(M424&lt;&gt;"", M424&lt;&gt;0), N424/$N$505*MATCH(AE424,'Misc Lists'!$L$2:$L$25,0), "")</f>
        <v/>
      </c>
    </row>
    <row r="425" spans="2:32" hidden="1" outlineLevel="1" x14ac:dyDescent="0.5">
      <c r="B425" s="60" t="str">
        <f ca="1"/>
        <v>882508BJ2</v>
      </c>
      <c r="C425" s="61" t="str">
        <f ca="1"/>
        <v>N/A</v>
      </c>
      <c r="D425" s="60" t="str">
        <f ca="1"/>
        <v>TEXAS INSTRS INC    NOTE CALL MAKE WHOLE1.75000% 05/04/2030</v>
      </c>
      <c r="E425" s="61" t="str">
        <f ca="1"/>
        <v>Corp</v>
      </c>
      <c r="F425" s="62">
        <f ca="1"/>
        <v>1.75</v>
      </c>
      <c r="G425" s="63">
        <f ca="1"/>
        <v>47607</v>
      </c>
      <c r="H425" s="61" t="str">
        <f ca="1"/>
        <v>AA3</v>
      </c>
      <c r="I425" s="61" t="str">
        <f ca="1"/>
        <v>A+</v>
      </c>
      <c r="J425" s="64">
        <f ca="1"/>
        <v>87.370999999999995</v>
      </c>
      <c r="K425" s="17">
        <f ca="1"/>
        <v>4.5289999999999999</v>
      </c>
      <c r="L425" s="17" t="str">
        <f ca="1"/>
        <v>500(2)</v>
      </c>
      <c r="M425" s="83"/>
      <c r="N425" s="84" t="str">
        <f t="shared" si="97"/>
        <v/>
      </c>
      <c r="O425" s="20" t="str">
        <f t="shared" si="98"/>
        <v/>
      </c>
      <c r="P425" s="64" t="str">
        <f t="shared" si="99"/>
        <v/>
      </c>
      <c r="Q425" s="85" t="str">
        <f t="shared" ca="1" si="100"/>
        <v/>
      </c>
      <c r="R425" s="86" t="str">
        <f t="shared" si="101"/>
        <v/>
      </c>
      <c r="S425" s="86" t="str">
        <f t="shared" si="102"/>
        <v/>
      </c>
      <c r="T425" s="104" t="str">
        <f t="shared" si="103"/>
        <v/>
      </c>
      <c r="U425" s="19" t="str">
        <f>IF(AND(M425&lt;&gt;"",M425&lt;&gt;0), IF(E425 = "Muni", T425, IF(E425="Corp", T425*(1 -'Investor Input'!$C$4-'Investor Input'!$C$5), T425*(1 -'Investor Input'!$C$4))), T425)</f>
        <v/>
      </c>
      <c r="V425" s="84" t="str">
        <f t="shared" si="104"/>
        <v/>
      </c>
      <c r="W425" s="84" t="str">
        <f t="shared" si="90"/>
        <v/>
      </c>
      <c r="X425" s="21" t="str">
        <f t="shared" si="91"/>
        <v/>
      </c>
      <c r="Y425" s="60" t="str">
        <f t="shared" si="92"/>
        <v/>
      </c>
      <c r="Z425" s="60" t="str">
        <f t="shared" si="93"/>
        <v/>
      </c>
      <c r="AA425" s="64" t="str">
        <f t="shared" si="94"/>
        <v/>
      </c>
      <c r="AB425" s="64" t="str">
        <f>IF(AND(AA425&lt;&gt;"",AA425&lt;&gt;0), IF(E425="Muni", AA425, IF(E425 = "Corp", (1-'Investor Input'!$C$4-'Investor Input'!$C$5)*AA425, (1-'Investor Input'!$C$4)*AA425)), AA425)</f>
        <v/>
      </c>
      <c r="AC425" s="94" t="str">
        <f t="shared" si="95"/>
        <v/>
      </c>
      <c r="AD425" s="60" t="str">
        <f>IF(AND(M425&lt;&gt;"", M425&lt;&gt;0), N425/$N$505*MATCH(AC425,'Misc Lists'!$K$2:$K$25,0), "")</f>
        <v/>
      </c>
      <c r="AE425" s="90" t="str">
        <f t="shared" si="96"/>
        <v/>
      </c>
      <c r="AF425" s="99" t="str">
        <f>IF(AND(M425&lt;&gt;"", M425&lt;&gt;0), N425/$N$505*MATCH(AE425,'Misc Lists'!$L$2:$L$25,0), "")</f>
        <v/>
      </c>
    </row>
    <row r="426" spans="2:32" hidden="1" outlineLevel="1" x14ac:dyDescent="0.5">
      <c r="B426" s="60" t="str">
        <f ca="1"/>
        <v>756109AS3</v>
      </c>
      <c r="C426" s="61" t="str">
        <f ca="1"/>
        <v>N/A</v>
      </c>
      <c r="D426" s="60" t="str">
        <f ca="1"/>
        <v>REALTY INCOME CORP  NOTE CALL MAKE WHOLE3.00000% 01/15/2027</v>
      </c>
      <c r="E426" s="61" t="str">
        <f ca="1"/>
        <v>Corp</v>
      </c>
      <c r="F426" s="62">
        <f ca="1"/>
        <v>3</v>
      </c>
      <c r="G426" s="63">
        <f ca="1"/>
        <v>46402</v>
      </c>
      <c r="H426" s="61" t="str">
        <f ca="1"/>
        <v>A3</v>
      </c>
      <c r="I426" s="61" t="str">
        <f ca="1"/>
        <v>A-</v>
      </c>
      <c r="J426" s="64">
        <f ca="1"/>
        <v>97.325999999999993</v>
      </c>
      <c r="K426" s="17">
        <f ca="1"/>
        <v>4.5279999999999996</v>
      </c>
      <c r="L426" s="17" t="str">
        <f ca="1"/>
        <v>200(2)</v>
      </c>
      <c r="M426" s="83"/>
      <c r="N426" s="84" t="str">
        <f t="shared" si="97"/>
        <v/>
      </c>
      <c r="O426" s="20" t="str">
        <f t="shared" si="98"/>
        <v/>
      </c>
      <c r="P426" s="64" t="str">
        <f t="shared" si="99"/>
        <v/>
      </c>
      <c r="Q426" s="85" t="str">
        <f t="shared" ca="1" si="100"/>
        <v/>
      </c>
      <c r="R426" s="86" t="str">
        <f t="shared" si="101"/>
        <v/>
      </c>
      <c r="S426" s="86" t="str">
        <f t="shared" si="102"/>
        <v/>
      </c>
      <c r="T426" s="104" t="str">
        <f t="shared" si="103"/>
        <v/>
      </c>
      <c r="U426" s="19" t="str">
        <f>IF(AND(M426&lt;&gt;"",M426&lt;&gt;0), IF(E426 = "Muni", T426, IF(E426="Corp", T426*(1 -'Investor Input'!$C$4-'Investor Input'!$C$5), T426*(1 -'Investor Input'!$C$4))), T426)</f>
        <v/>
      </c>
      <c r="V426" s="84" t="str">
        <f t="shared" si="104"/>
        <v/>
      </c>
      <c r="W426" s="84" t="str">
        <f t="shared" si="90"/>
        <v/>
      </c>
      <c r="X426" s="21" t="str">
        <f t="shared" si="91"/>
        <v/>
      </c>
      <c r="Y426" s="60" t="str">
        <f t="shared" si="92"/>
        <v/>
      </c>
      <c r="Z426" s="60" t="str">
        <f t="shared" si="93"/>
        <v/>
      </c>
      <c r="AA426" s="64" t="str">
        <f t="shared" si="94"/>
        <v/>
      </c>
      <c r="AB426" s="64" t="str">
        <f>IF(AND(AA426&lt;&gt;"",AA426&lt;&gt;0), IF(E426="Muni", AA426, IF(E426 = "Corp", (1-'Investor Input'!$C$4-'Investor Input'!$C$5)*AA426, (1-'Investor Input'!$C$4)*AA426)), AA426)</f>
        <v/>
      </c>
      <c r="AC426" s="94" t="str">
        <f t="shared" si="95"/>
        <v/>
      </c>
      <c r="AD426" s="60" t="str">
        <f>IF(AND(M426&lt;&gt;"", M426&lt;&gt;0), N426/$N$505*MATCH(AC426,'Misc Lists'!$K$2:$K$25,0), "")</f>
        <v/>
      </c>
      <c r="AE426" s="90" t="str">
        <f t="shared" si="96"/>
        <v/>
      </c>
      <c r="AF426" s="99" t="str">
        <f>IF(AND(M426&lt;&gt;"", M426&lt;&gt;0), N426/$N$505*MATCH(AE426,'Misc Lists'!$L$2:$L$25,0), "")</f>
        <v/>
      </c>
    </row>
    <row r="427" spans="2:32" hidden="1" outlineLevel="1" x14ac:dyDescent="0.5">
      <c r="B427" s="60" t="str">
        <f ca="1"/>
        <v>64110LAX4</v>
      </c>
      <c r="C427" s="61" t="str">
        <f ca="1"/>
        <v>N/A</v>
      </c>
      <c r="D427" s="60" t="str">
        <f ca="1"/>
        <v>NETFLIX INC.        SER B NOTE          6.37500% 05/15/2029 CALL MAKE WHOLE</v>
      </c>
      <c r="E427" s="61" t="str">
        <f ca="1"/>
        <v>Corp</v>
      </c>
      <c r="F427" s="62">
        <f ca="1"/>
        <v>6.375</v>
      </c>
      <c r="G427" s="63">
        <f ca="1"/>
        <v>47253</v>
      </c>
      <c r="H427" s="61" t="str">
        <f ca="1"/>
        <v>BAA1</v>
      </c>
      <c r="I427" s="61" t="str">
        <f ca="1"/>
        <v>A</v>
      </c>
      <c r="J427" s="64">
        <f ca="1"/>
        <v>106.95</v>
      </c>
      <c r="K427" s="17">
        <f ca="1"/>
        <v>4.5270000000000001</v>
      </c>
      <c r="L427" s="17" t="str">
        <f ca="1"/>
        <v>250(10)</v>
      </c>
      <c r="M427" s="83"/>
      <c r="N427" s="84" t="str">
        <f t="shared" si="97"/>
        <v/>
      </c>
      <c r="O427" s="20" t="str">
        <f t="shared" si="98"/>
        <v/>
      </c>
      <c r="P427" s="64" t="str">
        <f t="shared" si="99"/>
        <v/>
      </c>
      <c r="Q427" s="85" t="str">
        <f t="shared" ca="1" si="100"/>
        <v/>
      </c>
      <c r="R427" s="86" t="str">
        <f t="shared" si="101"/>
        <v/>
      </c>
      <c r="S427" s="86" t="str">
        <f t="shared" si="102"/>
        <v/>
      </c>
      <c r="T427" s="104" t="str">
        <f t="shared" si="103"/>
        <v/>
      </c>
      <c r="U427" s="19" t="str">
        <f>IF(AND(M427&lt;&gt;"",M427&lt;&gt;0), IF(E427 = "Muni", T427, IF(E427="Corp", T427*(1 -'Investor Input'!$C$4-'Investor Input'!$C$5), T427*(1 -'Investor Input'!$C$4))), T427)</f>
        <v/>
      </c>
      <c r="V427" s="84" t="str">
        <f t="shared" si="104"/>
        <v/>
      </c>
      <c r="W427" s="84" t="str">
        <f t="shared" si="90"/>
        <v/>
      </c>
      <c r="X427" s="21" t="str">
        <f t="shared" si="91"/>
        <v/>
      </c>
      <c r="Y427" s="60" t="str">
        <f t="shared" si="92"/>
        <v/>
      </c>
      <c r="Z427" s="60" t="str">
        <f t="shared" si="93"/>
        <v/>
      </c>
      <c r="AA427" s="64" t="str">
        <f t="shared" si="94"/>
        <v/>
      </c>
      <c r="AB427" s="64" t="str">
        <f>IF(AND(AA427&lt;&gt;"",AA427&lt;&gt;0), IF(E427="Muni", AA427, IF(E427 = "Corp", (1-'Investor Input'!$C$4-'Investor Input'!$C$5)*AA427, (1-'Investor Input'!$C$4)*AA427)), AA427)</f>
        <v/>
      </c>
      <c r="AC427" s="94" t="str">
        <f t="shared" si="95"/>
        <v/>
      </c>
      <c r="AD427" s="60" t="str">
        <f>IF(AND(M427&lt;&gt;"", M427&lt;&gt;0), N427/$N$505*MATCH(AC427,'Misc Lists'!$K$2:$K$25,0), "")</f>
        <v/>
      </c>
      <c r="AE427" s="90" t="str">
        <f t="shared" si="96"/>
        <v/>
      </c>
      <c r="AF427" s="99" t="str">
        <f>IF(AND(M427&lt;&gt;"", M427&lt;&gt;0), N427/$N$505*MATCH(AE427,'Misc Lists'!$L$2:$L$25,0), "")</f>
        <v/>
      </c>
    </row>
    <row r="428" spans="2:32" hidden="1" outlineLevel="1" x14ac:dyDescent="0.5">
      <c r="B428" s="60" t="str">
        <f ca="1"/>
        <v>86562MAF7</v>
      </c>
      <c r="C428" s="61" t="str">
        <f ca="1"/>
        <v>N/A</v>
      </c>
      <c r="D428" s="60" t="str">
        <f ca="1"/>
        <v>SUMITOMO MITSUI FIN GRP INC NOTE        2.63200% 07/14/2026</v>
      </c>
      <c r="E428" s="61" t="str">
        <f ca="1"/>
        <v>Corp</v>
      </c>
      <c r="F428" s="62">
        <f ca="1"/>
        <v>2.6320000000000001</v>
      </c>
      <c r="G428" s="63">
        <f ca="1"/>
        <v>46217</v>
      </c>
      <c r="H428" s="61" t="str">
        <f ca="1"/>
        <v>A1</v>
      </c>
      <c r="I428" s="61" t="str">
        <f ca="1"/>
        <v>A-</v>
      </c>
      <c r="J428" s="64">
        <f ca="1"/>
        <v>97.563000000000002</v>
      </c>
      <c r="K428" s="17">
        <f ca="1"/>
        <v>4.5259999999999998</v>
      </c>
      <c r="L428" s="17" t="str">
        <f ca="1"/>
        <v>25(10)</v>
      </c>
      <c r="M428" s="83"/>
      <c r="N428" s="84" t="str">
        <f t="shared" si="97"/>
        <v/>
      </c>
      <c r="O428" s="20" t="str">
        <f t="shared" si="98"/>
        <v/>
      </c>
      <c r="P428" s="64" t="str">
        <f t="shared" si="99"/>
        <v/>
      </c>
      <c r="Q428" s="85" t="str">
        <f t="shared" ca="1" si="100"/>
        <v/>
      </c>
      <c r="R428" s="86" t="str">
        <f t="shared" si="101"/>
        <v/>
      </c>
      <c r="S428" s="86" t="str">
        <f t="shared" si="102"/>
        <v/>
      </c>
      <c r="T428" s="104" t="str">
        <f t="shared" si="103"/>
        <v/>
      </c>
      <c r="U428" s="19" t="str">
        <f>IF(AND(M428&lt;&gt;"",M428&lt;&gt;0), IF(E428 = "Muni", T428, IF(E428="Corp", T428*(1 -'Investor Input'!$C$4-'Investor Input'!$C$5), T428*(1 -'Investor Input'!$C$4))), T428)</f>
        <v/>
      </c>
      <c r="V428" s="84" t="str">
        <f t="shared" si="104"/>
        <v/>
      </c>
      <c r="W428" s="84" t="str">
        <f t="shared" si="90"/>
        <v/>
      </c>
      <c r="X428" s="21" t="str">
        <f t="shared" si="91"/>
        <v/>
      </c>
      <c r="Y428" s="60" t="str">
        <f t="shared" si="92"/>
        <v/>
      </c>
      <c r="Z428" s="60" t="str">
        <f t="shared" si="93"/>
        <v/>
      </c>
      <c r="AA428" s="64" t="str">
        <f t="shared" si="94"/>
        <v/>
      </c>
      <c r="AB428" s="64" t="str">
        <f>IF(AND(AA428&lt;&gt;"",AA428&lt;&gt;0), IF(E428="Muni", AA428, IF(E428 = "Corp", (1-'Investor Input'!$C$4-'Investor Input'!$C$5)*AA428, (1-'Investor Input'!$C$4)*AA428)), AA428)</f>
        <v/>
      </c>
      <c r="AC428" s="94" t="str">
        <f t="shared" si="95"/>
        <v/>
      </c>
      <c r="AD428" s="60" t="str">
        <f>IF(AND(M428&lt;&gt;"", M428&lt;&gt;0), N428/$N$505*MATCH(AC428,'Misc Lists'!$K$2:$K$25,0), "")</f>
        <v/>
      </c>
      <c r="AE428" s="90" t="str">
        <f t="shared" si="96"/>
        <v/>
      </c>
      <c r="AF428" s="99" t="str">
        <f>IF(AND(M428&lt;&gt;"", M428&lt;&gt;0), N428/$N$505*MATCH(AE428,'Misc Lists'!$L$2:$L$25,0), "")</f>
        <v/>
      </c>
    </row>
    <row r="429" spans="2:32" hidden="1" outlineLevel="1" x14ac:dyDescent="0.5">
      <c r="B429" s="60" t="str">
        <f ca="1"/>
        <v>74340XCG4</v>
      </c>
      <c r="C429" s="61" t="str">
        <f ca="1"/>
        <v>N/A</v>
      </c>
      <c r="D429" s="60" t="str">
        <f ca="1"/>
        <v>PROLOGIS L P        NOTE CALL MAKE WHOLE4.87500% 06/15/2028</v>
      </c>
      <c r="E429" s="61" t="str">
        <f ca="1"/>
        <v>Corp</v>
      </c>
      <c r="F429" s="62">
        <f ca="1"/>
        <v>4.875</v>
      </c>
      <c r="G429" s="63">
        <f ca="1"/>
        <v>46919</v>
      </c>
      <c r="H429" s="61" t="str">
        <f ca="1"/>
        <v>A2</v>
      </c>
      <c r="I429" s="61" t="str">
        <f ca="1"/>
        <v>A</v>
      </c>
      <c r="J429" s="64">
        <f ca="1"/>
        <v>101.04</v>
      </c>
      <c r="K429" s="17">
        <f ca="1"/>
        <v>4.5259999999999998</v>
      </c>
      <c r="L429" s="17" t="str">
        <f ca="1"/>
        <v>500(2)</v>
      </c>
      <c r="M429" s="83"/>
      <c r="N429" s="84" t="str">
        <f t="shared" si="97"/>
        <v/>
      </c>
      <c r="O429" s="20" t="str">
        <f t="shared" si="98"/>
        <v/>
      </c>
      <c r="P429" s="64" t="str">
        <f t="shared" si="99"/>
        <v/>
      </c>
      <c r="Q429" s="85" t="str">
        <f t="shared" ca="1" si="100"/>
        <v/>
      </c>
      <c r="R429" s="86" t="str">
        <f t="shared" si="101"/>
        <v/>
      </c>
      <c r="S429" s="86" t="str">
        <f t="shared" si="102"/>
        <v/>
      </c>
      <c r="T429" s="104" t="str">
        <f t="shared" si="103"/>
        <v/>
      </c>
      <c r="U429" s="19" t="str">
        <f>IF(AND(M429&lt;&gt;"",M429&lt;&gt;0), IF(E429 = "Muni", T429, IF(E429="Corp", T429*(1 -'Investor Input'!$C$4-'Investor Input'!$C$5), T429*(1 -'Investor Input'!$C$4))), T429)</f>
        <v/>
      </c>
      <c r="V429" s="84" t="str">
        <f t="shared" si="104"/>
        <v/>
      </c>
      <c r="W429" s="84" t="str">
        <f t="shared" si="90"/>
        <v/>
      </c>
      <c r="X429" s="21" t="str">
        <f t="shared" si="91"/>
        <v/>
      </c>
      <c r="Y429" s="60" t="str">
        <f t="shared" si="92"/>
        <v/>
      </c>
      <c r="Z429" s="60" t="str">
        <f t="shared" si="93"/>
        <v/>
      </c>
      <c r="AA429" s="64" t="str">
        <f t="shared" si="94"/>
        <v/>
      </c>
      <c r="AB429" s="64" t="str">
        <f>IF(AND(AA429&lt;&gt;"",AA429&lt;&gt;0), IF(E429="Muni", AA429, IF(E429 = "Corp", (1-'Investor Input'!$C$4-'Investor Input'!$C$5)*AA429, (1-'Investor Input'!$C$4)*AA429)), AA429)</f>
        <v/>
      </c>
      <c r="AC429" s="94" t="str">
        <f t="shared" si="95"/>
        <v/>
      </c>
      <c r="AD429" s="60" t="str">
        <f>IF(AND(M429&lt;&gt;"", M429&lt;&gt;0), N429/$N$505*MATCH(AC429,'Misc Lists'!$K$2:$K$25,0), "")</f>
        <v/>
      </c>
      <c r="AE429" s="90" t="str">
        <f t="shared" si="96"/>
        <v/>
      </c>
      <c r="AF429" s="99" t="str">
        <f>IF(AND(M429&lt;&gt;"", M429&lt;&gt;0), N429/$N$505*MATCH(AE429,'Misc Lists'!$L$2:$L$25,0), "")</f>
        <v/>
      </c>
    </row>
    <row r="430" spans="2:32" hidden="1" outlineLevel="1" x14ac:dyDescent="0.5">
      <c r="B430" s="60" t="str">
        <f ca="1"/>
        <v>14913UAJ9</v>
      </c>
      <c r="C430" s="61" t="str">
        <f ca="1"/>
        <v>N/A</v>
      </c>
      <c r="D430" s="60" t="str">
        <f ca="1"/>
        <v>CATERPILLAR FINL    SVCS MTNS BE SER K  4.85000% 02/27/2029 CALL MAKE WHOLE</v>
      </c>
      <c r="E430" s="61" t="str">
        <f ca="1"/>
        <v>Corp</v>
      </c>
      <c r="F430" s="62">
        <f ca="1"/>
        <v>4.8499999999999996</v>
      </c>
      <c r="G430" s="63">
        <f ca="1"/>
        <v>47176</v>
      </c>
      <c r="H430" s="61" t="str">
        <f ca="1"/>
        <v>A2</v>
      </c>
      <c r="I430" s="61" t="str">
        <f ca="1"/>
        <v>A</v>
      </c>
      <c r="J430" s="64">
        <f ca="1"/>
        <v>101.16</v>
      </c>
      <c r="K430" s="17">
        <f ca="1"/>
        <v>4.5259999999999998</v>
      </c>
      <c r="L430" s="17" t="str">
        <f ca="1"/>
        <v xml:space="preserve"> 500(50)</v>
      </c>
      <c r="M430" s="83"/>
      <c r="N430" s="84" t="str">
        <f t="shared" si="97"/>
        <v/>
      </c>
      <c r="O430" s="20" t="str">
        <f t="shared" si="98"/>
        <v/>
      </c>
      <c r="P430" s="64" t="str">
        <f t="shared" si="99"/>
        <v/>
      </c>
      <c r="Q430" s="85" t="str">
        <f t="shared" ca="1" si="100"/>
        <v/>
      </c>
      <c r="R430" s="86" t="str">
        <f t="shared" si="101"/>
        <v/>
      </c>
      <c r="S430" s="86" t="str">
        <f t="shared" si="102"/>
        <v/>
      </c>
      <c r="T430" s="104" t="str">
        <f t="shared" si="103"/>
        <v/>
      </c>
      <c r="U430" s="19" t="str">
        <f>IF(AND(M430&lt;&gt;"",M430&lt;&gt;0), IF(E430 = "Muni", T430, IF(E430="Corp", T430*(1 -'Investor Input'!$C$4-'Investor Input'!$C$5), T430*(1 -'Investor Input'!$C$4))), T430)</f>
        <v/>
      </c>
      <c r="V430" s="84" t="str">
        <f t="shared" si="104"/>
        <v/>
      </c>
      <c r="W430" s="84" t="str">
        <f t="shared" si="90"/>
        <v/>
      </c>
      <c r="X430" s="21" t="str">
        <f t="shared" si="91"/>
        <v/>
      </c>
      <c r="Y430" s="60" t="str">
        <f t="shared" si="92"/>
        <v/>
      </c>
      <c r="Z430" s="60" t="str">
        <f t="shared" si="93"/>
        <v/>
      </c>
      <c r="AA430" s="64" t="str">
        <f t="shared" si="94"/>
        <v/>
      </c>
      <c r="AB430" s="64" t="str">
        <f>IF(AND(AA430&lt;&gt;"",AA430&lt;&gt;0), IF(E430="Muni", AA430, IF(E430 = "Corp", (1-'Investor Input'!$C$4-'Investor Input'!$C$5)*AA430, (1-'Investor Input'!$C$4)*AA430)), AA430)</f>
        <v/>
      </c>
      <c r="AC430" s="94" t="str">
        <f t="shared" si="95"/>
        <v/>
      </c>
      <c r="AD430" s="60" t="str">
        <f>IF(AND(M430&lt;&gt;"", M430&lt;&gt;0), N430/$N$505*MATCH(AC430,'Misc Lists'!$K$2:$K$25,0), "")</f>
        <v/>
      </c>
      <c r="AE430" s="90" t="str">
        <f t="shared" si="96"/>
        <v/>
      </c>
      <c r="AF430" s="99" t="str">
        <f>IF(AND(M430&lt;&gt;"", M430&lt;&gt;0), N430/$N$505*MATCH(AE430,'Misc Lists'!$L$2:$L$25,0), "")</f>
        <v/>
      </c>
    </row>
    <row r="431" spans="2:32" hidden="1" outlineLevel="1" x14ac:dyDescent="0.5">
      <c r="B431" s="60" t="str">
        <f ca="1"/>
        <v>110122CP1</v>
      </c>
      <c r="C431" s="61" t="str">
        <f ca="1"/>
        <v>N/A</v>
      </c>
      <c r="D431" s="60" t="str">
        <f ca="1"/>
        <v>BRISTOL-MYERS SQUIBBCO NOTE             3.40000% 07/26/2029 CALL MAKE WHOLE</v>
      </c>
      <c r="E431" s="61" t="str">
        <f ca="1"/>
        <v>Corp</v>
      </c>
      <c r="F431" s="62">
        <f ca="1"/>
        <v>3.4</v>
      </c>
      <c r="G431" s="63">
        <f ca="1"/>
        <v>47325</v>
      </c>
      <c r="H431" s="61" t="str">
        <f ca="1"/>
        <v>A2</v>
      </c>
      <c r="I431" s="61" t="str">
        <f ca="1"/>
        <v>A</v>
      </c>
      <c r="J431" s="64">
        <f ca="1"/>
        <v>95.575000000000003</v>
      </c>
      <c r="K431" s="17">
        <f ca="1"/>
        <v>4.5259999999999998</v>
      </c>
      <c r="L431" s="17" t="str">
        <f ca="1"/>
        <v>250(2)</v>
      </c>
      <c r="M431" s="83"/>
      <c r="N431" s="84" t="str">
        <f t="shared" si="97"/>
        <v/>
      </c>
      <c r="O431" s="20" t="str">
        <f t="shared" si="98"/>
        <v/>
      </c>
      <c r="P431" s="64" t="str">
        <f t="shared" si="99"/>
        <v/>
      </c>
      <c r="Q431" s="85" t="str">
        <f t="shared" ca="1" si="100"/>
        <v/>
      </c>
      <c r="R431" s="86" t="str">
        <f t="shared" si="101"/>
        <v/>
      </c>
      <c r="S431" s="86" t="str">
        <f t="shared" si="102"/>
        <v/>
      </c>
      <c r="T431" s="104" t="str">
        <f t="shared" si="103"/>
        <v/>
      </c>
      <c r="U431" s="19" t="str">
        <f>IF(AND(M431&lt;&gt;"",M431&lt;&gt;0), IF(E431 = "Muni", T431, IF(E431="Corp", T431*(1 -'Investor Input'!$C$4-'Investor Input'!$C$5), T431*(1 -'Investor Input'!$C$4))), T431)</f>
        <v/>
      </c>
      <c r="V431" s="84" t="str">
        <f t="shared" si="104"/>
        <v/>
      </c>
      <c r="W431" s="84" t="str">
        <f t="shared" si="90"/>
        <v/>
      </c>
      <c r="X431" s="21" t="str">
        <f t="shared" si="91"/>
        <v/>
      </c>
      <c r="Y431" s="60" t="str">
        <f t="shared" si="92"/>
        <v/>
      </c>
      <c r="Z431" s="60" t="str">
        <f t="shared" si="93"/>
        <v/>
      </c>
      <c r="AA431" s="64" t="str">
        <f t="shared" si="94"/>
        <v/>
      </c>
      <c r="AB431" s="64" t="str">
        <f>IF(AND(AA431&lt;&gt;"",AA431&lt;&gt;0), IF(E431="Muni", AA431, IF(E431 = "Corp", (1-'Investor Input'!$C$4-'Investor Input'!$C$5)*AA431, (1-'Investor Input'!$C$4)*AA431)), AA431)</f>
        <v/>
      </c>
      <c r="AC431" s="94" t="str">
        <f t="shared" si="95"/>
        <v/>
      </c>
      <c r="AD431" s="60" t="str">
        <f>IF(AND(M431&lt;&gt;"", M431&lt;&gt;0), N431/$N$505*MATCH(AC431,'Misc Lists'!$K$2:$K$25,0), "")</f>
        <v/>
      </c>
      <c r="AE431" s="90" t="str">
        <f t="shared" si="96"/>
        <v/>
      </c>
      <c r="AF431" s="99" t="str">
        <f>IF(AND(M431&lt;&gt;"", M431&lt;&gt;0), N431/$N$505*MATCH(AE431,'Misc Lists'!$L$2:$L$25,0), "")</f>
        <v/>
      </c>
    </row>
    <row r="432" spans="2:32" hidden="1" outlineLevel="1" x14ac:dyDescent="0.5">
      <c r="B432" s="60" t="str">
        <f ca="1"/>
        <v>025816CY3</v>
      </c>
      <c r="C432" s="61" t="str">
        <f ca="1"/>
        <v>N/A</v>
      </c>
      <c r="D432" s="60" t="str">
        <f ca="1"/>
        <v>AMERICAN EXPRESS CO NOTE                3.95000% 08/01/2025</v>
      </c>
      <c r="E432" s="61" t="str">
        <f ca="1"/>
        <v>Corp</v>
      </c>
      <c r="F432" s="62">
        <f ca="1"/>
        <v>3.95</v>
      </c>
      <c r="G432" s="63">
        <f ca="1"/>
        <v>45870</v>
      </c>
      <c r="H432" s="61" t="str">
        <f ca="1"/>
        <v>A2</v>
      </c>
      <c r="I432" s="61" t="str">
        <f ca="1"/>
        <v>A-</v>
      </c>
      <c r="J432" s="64">
        <f ca="1"/>
        <v>99.774000000000001</v>
      </c>
      <c r="K432" s="17">
        <f ca="1"/>
        <v>4.5250000000000004</v>
      </c>
      <c r="L432" s="17" t="str">
        <f ca="1"/>
        <v>250(10)</v>
      </c>
      <c r="M432" s="83"/>
      <c r="N432" s="84" t="str">
        <f t="shared" si="97"/>
        <v/>
      </c>
      <c r="O432" s="20" t="str">
        <f t="shared" si="98"/>
        <v/>
      </c>
      <c r="P432" s="64" t="str">
        <f t="shared" si="99"/>
        <v/>
      </c>
      <c r="Q432" s="85" t="str">
        <f t="shared" ca="1" si="100"/>
        <v/>
      </c>
      <c r="R432" s="86" t="str">
        <f t="shared" si="101"/>
        <v/>
      </c>
      <c r="S432" s="86" t="str">
        <f t="shared" si="102"/>
        <v/>
      </c>
      <c r="T432" s="104" t="str">
        <f t="shared" si="103"/>
        <v/>
      </c>
      <c r="U432" s="19" t="str">
        <f>IF(AND(M432&lt;&gt;"",M432&lt;&gt;0), IF(E432 = "Muni", T432, IF(E432="Corp", T432*(1 -'Investor Input'!$C$4-'Investor Input'!$C$5), T432*(1 -'Investor Input'!$C$4))), T432)</f>
        <v/>
      </c>
      <c r="V432" s="84" t="str">
        <f t="shared" si="104"/>
        <v/>
      </c>
      <c r="W432" s="84" t="str">
        <f t="shared" si="90"/>
        <v/>
      </c>
      <c r="X432" s="21" t="str">
        <f t="shared" si="91"/>
        <v/>
      </c>
      <c r="Y432" s="60" t="str">
        <f t="shared" si="92"/>
        <v/>
      </c>
      <c r="Z432" s="60" t="str">
        <f t="shared" si="93"/>
        <v/>
      </c>
      <c r="AA432" s="64" t="str">
        <f t="shared" si="94"/>
        <v/>
      </c>
      <c r="AB432" s="64" t="str">
        <f>IF(AND(AA432&lt;&gt;"",AA432&lt;&gt;0), IF(E432="Muni", AA432, IF(E432 = "Corp", (1-'Investor Input'!$C$4-'Investor Input'!$C$5)*AA432, (1-'Investor Input'!$C$4)*AA432)), AA432)</f>
        <v/>
      </c>
      <c r="AC432" s="94" t="str">
        <f t="shared" si="95"/>
        <v/>
      </c>
      <c r="AD432" s="60" t="str">
        <f>IF(AND(M432&lt;&gt;"", M432&lt;&gt;0), N432/$N$505*MATCH(AC432,'Misc Lists'!$K$2:$K$25,0), "")</f>
        <v/>
      </c>
      <c r="AE432" s="90" t="str">
        <f t="shared" si="96"/>
        <v/>
      </c>
      <c r="AF432" s="99" t="str">
        <f>IF(AND(M432&lt;&gt;"", M432&lt;&gt;0), N432/$N$505*MATCH(AE432,'Misc Lists'!$L$2:$L$25,0), "")</f>
        <v/>
      </c>
    </row>
    <row r="433" spans="2:32" hidden="1" outlineLevel="1" x14ac:dyDescent="0.5">
      <c r="B433" s="60" t="str">
        <f ca="1"/>
        <v>41013MPZ7</v>
      </c>
      <c r="C433" s="61" t="str">
        <f ca="1"/>
        <v>N/A</v>
      </c>
      <c r="D433" s="60" t="str">
        <f ca="1"/>
        <v>JOHN HANCOCK LIFE   INSURANCE CO MTN    5.05000% 06/15/2028</v>
      </c>
      <c r="E433" s="61" t="str">
        <f ca="1"/>
        <v>Corp</v>
      </c>
      <c r="F433" s="62">
        <f ca="1"/>
        <v>5.05</v>
      </c>
      <c r="G433" s="63">
        <f ca="1"/>
        <v>46919</v>
      </c>
      <c r="H433" s="61" t="str">
        <f ca="1"/>
        <v>A2</v>
      </c>
      <c r="I433" s="61" t="str">
        <f ca="1"/>
        <v>AA-</v>
      </c>
      <c r="J433" s="64">
        <f ca="1"/>
        <v>101.589</v>
      </c>
      <c r="K433" s="17">
        <f ca="1"/>
        <v>4.5250000000000004</v>
      </c>
      <c r="L433" s="17" t="str">
        <f ca="1"/>
        <v>8(8)</v>
      </c>
      <c r="M433" s="83"/>
      <c r="N433" s="84" t="str">
        <f t="shared" si="97"/>
        <v/>
      </c>
      <c r="O433" s="20" t="str">
        <f t="shared" si="98"/>
        <v/>
      </c>
      <c r="P433" s="64" t="str">
        <f t="shared" si="99"/>
        <v/>
      </c>
      <c r="Q433" s="85" t="str">
        <f t="shared" ca="1" si="100"/>
        <v/>
      </c>
      <c r="R433" s="86" t="str">
        <f t="shared" si="101"/>
        <v/>
      </c>
      <c r="S433" s="86" t="str">
        <f t="shared" si="102"/>
        <v/>
      </c>
      <c r="T433" s="104" t="str">
        <f t="shared" si="103"/>
        <v/>
      </c>
      <c r="U433" s="19" t="str">
        <f>IF(AND(M433&lt;&gt;"",M433&lt;&gt;0), IF(E433 = "Muni", T433, IF(E433="Corp", T433*(1 -'Investor Input'!$C$4-'Investor Input'!$C$5), T433*(1 -'Investor Input'!$C$4))), T433)</f>
        <v/>
      </c>
      <c r="V433" s="84" t="str">
        <f t="shared" si="104"/>
        <v/>
      </c>
      <c r="W433" s="84" t="str">
        <f t="shared" si="90"/>
        <v/>
      </c>
      <c r="X433" s="21" t="str">
        <f t="shared" si="91"/>
        <v/>
      </c>
      <c r="Y433" s="60" t="str">
        <f t="shared" si="92"/>
        <v/>
      </c>
      <c r="Z433" s="60" t="str">
        <f t="shared" si="93"/>
        <v/>
      </c>
      <c r="AA433" s="64" t="str">
        <f t="shared" si="94"/>
        <v/>
      </c>
      <c r="AB433" s="64" t="str">
        <f>IF(AND(AA433&lt;&gt;"",AA433&lt;&gt;0), IF(E433="Muni", AA433, IF(E433 = "Corp", (1-'Investor Input'!$C$4-'Investor Input'!$C$5)*AA433, (1-'Investor Input'!$C$4)*AA433)), AA433)</f>
        <v/>
      </c>
      <c r="AC433" s="94" t="str">
        <f t="shared" si="95"/>
        <v/>
      </c>
      <c r="AD433" s="60" t="str">
        <f>IF(AND(M433&lt;&gt;"", M433&lt;&gt;0), N433/$N$505*MATCH(AC433,'Misc Lists'!$K$2:$K$25,0), "")</f>
        <v/>
      </c>
      <c r="AE433" s="90" t="str">
        <f t="shared" si="96"/>
        <v/>
      </c>
      <c r="AF433" s="99" t="str">
        <f>IF(AND(M433&lt;&gt;"", M433&lt;&gt;0), N433/$N$505*MATCH(AE433,'Misc Lists'!$L$2:$L$25,0), "")</f>
        <v/>
      </c>
    </row>
    <row r="434" spans="2:32" hidden="1" outlineLevel="1" x14ac:dyDescent="0.5">
      <c r="B434" s="60" t="str">
        <f ca="1"/>
        <v>718172DC0</v>
      </c>
      <c r="C434" s="61" t="str">
        <f ca="1"/>
        <v>N/A</v>
      </c>
      <c r="D434" s="60" t="str">
        <f ca="1"/>
        <v>PHILIP MORRIS INTL  INC NOTE            5.25000% 09/07/2028 CALL MAKE WHOLE</v>
      </c>
      <c r="E434" s="61" t="str">
        <f ca="1"/>
        <v>Corp</v>
      </c>
      <c r="F434" s="62">
        <f ca="1"/>
        <v>5.25</v>
      </c>
      <c r="G434" s="63">
        <f ca="1"/>
        <v>47003</v>
      </c>
      <c r="H434" s="61" t="str">
        <f ca="1"/>
        <v>A2</v>
      </c>
      <c r="I434" s="61" t="str">
        <f ca="1"/>
        <v>A-</v>
      </c>
      <c r="J434" s="64">
        <f ca="1"/>
        <v>102.31399999999999</v>
      </c>
      <c r="K434" s="17">
        <f ca="1"/>
        <v>4.5250000000000004</v>
      </c>
      <c r="L434" s="17" t="str">
        <f ca="1"/>
        <v>500(2)</v>
      </c>
      <c r="M434" s="83"/>
      <c r="N434" s="84" t="str">
        <f t="shared" si="97"/>
        <v/>
      </c>
      <c r="O434" s="20" t="str">
        <f t="shared" si="98"/>
        <v/>
      </c>
      <c r="P434" s="64" t="str">
        <f t="shared" si="99"/>
        <v/>
      </c>
      <c r="Q434" s="85" t="str">
        <f t="shared" ca="1" si="100"/>
        <v/>
      </c>
      <c r="R434" s="86" t="str">
        <f t="shared" si="101"/>
        <v/>
      </c>
      <c r="S434" s="86" t="str">
        <f t="shared" si="102"/>
        <v/>
      </c>
      <c r="T434" s="104" t="str">
        <f t="shared" si="103"/>
        <v/>
      </c>
      <c r="U434" s="19" t="str">
        <f>IF(AND(M434&lt;&gt;"",M434&lt;&gt;0), IF(E434 = "Muni", T434, IF(E434="Corp", T434*(1 -'Investor Input'!$C$4-'Investor Input'!$C$5), T434*(1 -'Investor Input'!$C$4))), T434)</f>
        <v/>
      </c>
      <c r="V434" s="84" t="str">
        <f t="shared" si="104"/>
        <v/>
      </c>
      <c r="W434" s="84" t="str">
        <f t="shared" si="90"/>
        <v/>
      </c>
      <c r="X434" s="21" t="str">
        <f t="shared" si="91"/>
        <v/>
      </c>
      <c r="Y434" s="60" t="str">
        <f t="shared" si="92"/>
        <v/>
      </c>
      <c r="Z434" s="60" t="str">
        <f t="shared" si="93"/>
        <v/>
      </c>
      <c r="AA434" s="64" t="str">
        <f t="shared" si="94"/>
        <v/>
      </c>
      <c r="AB434" s="64" t="str">
        <f>IF(AND(AA434&lt;&gt;"",AA434&lt;&gt;0), IF(E434="Muni", AA434, IF(E434 = "Corp", (1-'Investor Input'!$C$4-'Investor Input'!$C$5)*AA434, (1-'Investor Input'!$C$4)*AA434)), AA434)</f>
        <v/>
      </c>
      <c r="AC434" s="94" t="str">
        <f t="shared" si="95"/>
        <v/>
      </c>
      <c r="AD434" s="60" t="str">
        <f>IF(AND(M434&lt;&gt;"", M434&lt;&gt;0), N434/$N$505*MATCH(AC434,'Misc Lists'!$K$2:$K$25,0), "")</f>
        <v/>
      </c>
      <c r="AE434" s="90" t="str">
        <f t="shared" si="96"/>
        <v/>
      </c>
      <c r="AF434" s="99" t="str">
        <f>IF(AND(M434&lt;&gt;"", M434&lt;&gt;0), N434/$N$505*MATCH(AE434,'Misc Lists'!$L$2:$L$25,0), "")</f>
        <v/>
      </c>
    </row>
    <row r="435" spans="2:32" hidden="1" outlineLevel="1" x14ac:dyDescent="0.5">
      <c r="B435" s="60" t="str">
        <f ca="1"/>
        <v>341081GT8</v>
      </c>
      <c r="C435" s="61" t="str">
        <f ca="1"/>
        <v>N/A</v>
      </c>
      <c r="D435" s="60" t="str">
        <f ca="1"/>
        <v>FLORIDA PWR &amp;LT CO  BOND CALL MAKE WHOLE5.15000% 06/15/2029</v>
      </c>
      <c r="E435" s="61" t="str">
        <f ca="1"/>
        <v>Corp</v>
      </c>
      <c r="F435" s="62">
        <f ca="1"/>
        <v>5.15</v>
      </c>
      <c r="G435" s="63">
        <f ca="1"/>
        <v>47284</v>
      </c>
      <c r="H435" s="61" t="str">
        <f ca="1"/>
        <v>AA2</v>
      </c>
      <c r="I435" s="61" t="str">
        <f ca="1"/>
        <v>A+</v>
      </c>
      <c r="J435" s="64">
        <f ca="1"/>
        <v>102.392</v>
      </c>
      <c r="K435" s="17">
        <f ca="1"/>
        <v>4.524</v>
      </c>
      <c r="L435" s="17" t="str">
        <f ca="1"/>
        <v>500(2)</v>
      </c>
      <c r="M435" s="83"/>
      <c r="N435" s="84" t="str">
        <f t="shared" si="97"/>
        <v/>
      </c>
      <c r="O435" s="20" t="str">
        <f t="shared" si="98"/>
        <v/>
      </c>
      <c r="P435" s="64" t="str">
        <f t="shared" si="99"/>
        <v/>
      </c>
      <c r="Q435" s="85" t="str">
        <f t="shared" ca="1" si="100"/>
        <v/>
      </c>
      <c r="R435" s="86" t="str">
        <f t="shared" si="101"/>
        <v/>
      </c>
      <c r="S435" s="86" t="str">
        <f t="shared" si="102"/>
        <v/>
      </c>
      <c r="T435" s="104" t="str">
        <f t="shared" si="103"/>
        <v/>
      </c>
      <c r="U435" s="19" t="str">
        <f>IF(AND(M435&lt;&gt;"",M435&lt;&gt;0), IF(E435 = "Muni", T435, IF(E435="Corp", T435*(1 -'Investor Input'!$C$4-'Investor Input'!$C$5), T435*(1 -'Investor Input'!$C$4))), T435)</f>
        <v/>
      </c>
      <c r="V435" s="84" t="str">
        <f t="shared" si="104"/>
        <v/>
      </c>
      <c r="W435" s="84" t="str">
        <f t="shared" si="90"/>
        <v/>
      </c>
      <c r="X435" s="21" t="str">
        <f t="shared" si="91"/>
        <v/>
      </c>
      <c r="Y435" s="60" t="str">
        <f t="shared" si="92"/>
        <v/>
      </c>
      <c r="Z435" s="60" t="str">
        <f t="shared" si="93"/>
        <v/>
      </c>
      <c r="AA435" s="64" t="str">
        <f t="shared" si="94"/>
        <v/>
      </c>
      <c r="AB435" s="64" t="str">
        <f>IF(AND(AA435&lt;&gt;"",AA435&lt;&gt;0), IF(E435="Muni", AA435, IF(E435 = "Corp", (1-'Investor Input'!$C$4-'Investor Input'!$C$5)*AA435, (1-'Investor Input'!$C$4)*AA435)), AA435)</f>
        <v/>
      </c>
      <c r="AC435" s="94" t="str">
        <f t="shared" si="95"/>
        <v/>
      </c>
      <c r="AD435" s="60" t="str">
        <f>IF(AND(M435&lt;&gt;"", M435&lt;&gt;0), N435/$N$505*MATCH(AC435,'Misc Lists'!$K$2:$K$25,0), "")</f>
        <v/>
      </c>
      <c r="AE435" s="90" t="str">
        <f t="shared" si="96"/>
        <v/>
      </c>
      <c r="AF435" s="99" t="str">
        <f>IF(AND(M435&lt;&gt;"", M435&lt;&gt;0), N435/$N$505*MATCH(AE435,'Misc Lists'!$L$2:$L$25,0), "")</f>
        <v/>
      </c>
    </row>
    <row r="436" spans="2:32" hidden="1" outlineLevel="1" x14ac:dyDescent="0.5">
      <c r="B436" s="60" t="str">
        <f ca="1"/>
        <v>171239AL0</v>
      </c>
      <c r="C436" s="61" t="str">
        <f ca="1"/>
        <v>N/A</v>
      </c>
      <c r="D436" s="60" t="str">
        <f ca="1"/>
        <v>CHUBB INA HLDGS INC NOTE CALL MAKE WHOLE4.65000% 08/15/2029</v>
      </c>
      <c r="E436" s="61" t="str">
        <f ca="1"/>
        <v>Corp</v>
      </c>
      <c r="F436" s="62">
        <f ca="1"/>
        <v>4.6500000000000004</v>
      </c>
      <c r="G436" s="63">
        <f ca="1"/>
        <v>47345</v>
      </c>
      <c r="H436" s="61" t="str">
        <f ca="1"/>
        <v>A2</v>
      </c>
      <c r="I436" s="61" t="str">
        <f ca="1"/>
        <v>A</v>
      </c>
      <c r="J436" s="64">
        <f ca="1"/>
        <v>100.498</v>
      </c>
      <c r="K436" s="17">
        <f ca="1"/>
        <v>4.524</v>
      </c>
      <c r="L436" s="17" t="str">
        <f ca="1"/>
        <v>1,000(2)</v>
      </c>
      <c r="M436" s="83"/>
      <c r="N436" s="84" t="str">
        <f t="shared" si="97"/>
        <v/>
      </c>
      <c r="O436" s="20" t="str">
        <f t="shared" si="98"/>
        <v/>
      </c>
      <c r="P436" s="64" t="str">
        <f t="shared" si="99"/>
        <v/>
      </c>
      <c r="Q436" s="85" t="str">
        <f t="shared" ca="1" si="100"/>
        <v/>
      </c>
      <c r="R436" s="86" t="str">
        <f t="shared" si="101"/>
        <v/>
      </c>
      <c r="S436" s="86" t="str">
        <f t="shared" si="102"/>
        <v/>
      </c>
      <c r="T436" s="104" t="str">
        <f t="shared" si="103"/>
        <v/>
      </c>
      <c r="U436" s="19" t="str">
        <f>IF(AND(M436&lt;&gt;"",M436&lt;&gt;0), IF(E436 = "Muni", T436, IF(E436="Corp", T436*(1 -'Investor Input'!$C$4-'Investor Input'!$C$5), T436*(1 -'Investor Input'!$C$4))), T436)</f>
        <v/>
      </c>
      <c r="V436" s="84" t="str">
        <f t="shared" si="104"/>
        <v/>
      </c>
      <c r="W436" s="84" t="str">
        <f t="shared" si="90"/>
        <v/>
      </c>
      <c r="X436" s="21" t="str">
        <f t="shared" si="91"/>
        <v/>
      </c>
      <c r="Y436" s="60" t="str">
        <f t="shared" si="92"/>
        <v/>
      </c>
      <c r="Z436" s="60" t="str">
        <f t="shared" si="93"/>
        <v/>
      </c>
      <c r="AA436" s="64" t="str">
        <f t="shared" si="94"/>
        <v/>
      </c>
      <c r="AB436" s="64" t="str">
        <f>IF(AND(AA436&lt;&gt;"",AA436&lt;&gt;0), IF(E436="Muni", AA436, IF(E436 = "Corp", (1-'Investor Input'!$C$4-'Investor Input'!$C$5)*AA436, (1-'Investor Input'!$C$4)*AA436)), AA436)</f>
        <v/>
      </c>
      <c r="AC436" s="94" t="str">
        <f t="shared" si="95"/>
        <v/>
      </c>
      <c r="AD436" s="60" t="str">
        <f>IF(AND(M436&lt;&gt;"", M436&lt;&gt;0), N436/$N$505*MATCH(AC436,'Misc Lists'!$K$2:$K$25,0), "")</f>
        <v/>
      </c>
      <c r="AE436" s="90" t="str">
        <f t="shared" si="96"/>
        <v/>
      </c>
      <c r="AF436" s="99" t="str">
        <f>IF(AND(M436&lt;&gt;"", M436&lt;&gt;0), N436/$N$505*MATCH(AE436,'Misc Lists'!$L$2:$L$25,0), "")</f>
        <v/>
      </c>
    </row>
    <row r="437" spans="2:32" hidden="1" outlineLevel="1" x14ac:dyDescent="0.5">
      <c r="B437" s="60" t="str">
        <f ca="1"/>
        <v>00724PAD1</v>
      </c>
      <c r="C437" s="61" t="str">
        <f ca="1"/>
        <v>N/A</v>
      </c>
      <c r="D437" s="60" t="str">
        <f ca="1"/>
        <v>ADOBE INC           NOTE CALL MAKE WHOLE2.30000% 02/01/2030</v>
      </c>
      <c r="E437" s="61" t="str">
        <f ca="1"/>
        <v>Corp</v>
      </c>
      <c r="F437" s="62">
        <f ca="1"/>
        <v>2.2999999999999998</v>
      </c>
      <c r="G437" s="63">
        <f ca="1"/>
        <v>47515</v>
      </c>
      <c r="H437" s="61" t="str">
        <f ca="1"/>
        <v>A1</v>
      </c>
      <c r="I437" s="61" t="str">
        <f ca="1"/>
        <v>A+</v>
      </c>
      <c r="J437" s="64">
        <f ca="1"/>
        <v>90.343999999999994</v>
      </c>
      <c r="K437" s="17">
        <f ca="1"/>
        <v>4.524</v>
      </c>
      <c r="L437" s="17" t="str">
        <f ca="1"/>
        <v>500(2)</v>
      </c>
      <c r="M437" s="83"/>
      <c r="N437" s="84" t="str">
        <f t="shared" si="97"/>
        <v/>
      </c>
      <c r="O437" s="20" t="str">
        <f t="shared" si="98"/>
        <v/>
      </c>
      <c r="P437" s="64" t="str">
        <f t="shared" si="99"/>
        <v/>
      </c>
      <c r="Q437" s="85" t="str">
        <f t="shared" ca="1" si="100"/>
        <v/>
      </c>
      <c r="R437" s="86" t="str">
        <f t="shared" si="101"/>
        <v/>
      </c>
      <c r="S437" s="86" t="str">
        <f t="shared" si="102"/>
        <v/>
      </c>
      <c r="T437" s="104" t="str">
        <f t="shared" si="103"/>
        <v/>
      </c>
      <c r="U437" s="19" t="str">
        <f>IF(AND(M437&lt;&gt;"",M437&lt;&gt;0), IF(E437 = "Muni", T437, IF(E437="Corp", T437*(1 -'Investor Input'!$C$4-'Investor Input'!$C$5), T437*(1 -'Investor Input'!$C$4))), T437)</f>
        <v/>
      </c>
      <c r="V437" s="84" t="str">
        <f t="shared" si="104"/>
        <v/>
      </c>
      <c r="W437" s="84" t="str">
        <f t="shared" si="90"/>
        <v/>
      </c>
      <c r="X437" s="21" t="str">
        <f t="shared" si="91"/>
        <v/>
      </c>
      <c r="Y437" s="60" t="str">
        <f t="shared" si="92"/>
        <v/>
      </c>
      <c r="Z437" s="60" t="str">
        <f t="shared" si="93"/>
        <v/>
      </c>
      <c r="AA437" s="64" t="str">
        <f t="shared" si="94"/>
        <v/>
      </c>
      <c r="AB437" s="64" t="str">
        <f>IF(AND(AA437&lt;&gt;"",AA437&lt;&gt;0), IF(E437="Muni", AA437, IF(E437 = "Corp", (1-'Investor Input'!$C$4-'Investor Input'!$C$5)*AA437, (1-'Investor Input'!$C$4)*AA437)), AA437)</f>
        <v/>
      </c>
      <c r="AC437" s="94" t="str">
        <f t="shared" si="95"/>
        <v/>
      </c>
      <c r="AD437" s="60" t="str">
        <f>IF(AND(M437&lt;&gt;"", M437&lt;&gt;0), N437/$N$505*MATCH(AC437,'Misc Lists'!$K$2:$K$25,0), "")</f>
        <v/>
      </c>
      <c r="AE437" s="90" t="str">
        <f t="shared" si="96"/>
        <v/>
      </c>
      <c r="AF437" s="99" t="str">
        <f>IF(AND(M437&lt;&gt;"", M437&lt;&gt;0), N437/$N$505*MATCH(AE437,'Misc Lists'!$L$2:$L$25,0), "")</f>
        <v/>
      </c>
    </row>
    <row r="438" spans="2:32" hidden="1" outlineLevel="1" x14ac:dyDescent="0.5">
      <c r="B438" s="60" t="str">
        <f ca="1"/>
        <v>04636NAG8</v>
      </c>
      <c r="C438" s="61" t="str">
        <f ca="1"/>
        <v>N/A</v>
      </c>
      <c r="D438" s="60" t="str">
        <f ca="1"/>
        <v>ASTRAZENECA FINANCE LLC NOTE            4.90000% 03/03/2030 CALL MAKE WHOLE</v>
      </c>
      <c r="E438" s="61" t="str">
        <f ca="1"/>
        <v>Corp</v>
      </c>
      <c r="F438" s="62">
        <f ca="1"/>
        <v>4.9000000000000004</v>
      </c>
      <c r="G438" s="63">
        <f ca="1"/>
        <v>47545</v>
      </c>
      <c r="H438" s="61" t="str">
        <f ca="1"/>
        <v>A1</v>
      </c>
      <c r="I438" s="61" t="str">
        <f ca="1"/>
        <v>A+</v>
      </c>
      <c r="J438" s="64">
        <f ca="1"/>
        <v>101.657</v>
      </c>
      <c r="K438" s="17">
        <f ca="1"/>
        <v>4.524</v>
      </c>
      <c r="L438" s="17" t="str">
        <f ca="1"/>
        <v>500(2)</v>
      </c>
      <c r="M438" s="83"/>
      <c r="N438" s="84" t="str">
        <f t="shared" si="97"/>
        <v/>
      </c>
      <c r="O438" s="20" t="str">
        <f t="shared" si="98"/>
        <v/>
      </c>
      <c r="P438" s="64" t="str">
        <f t="shared" si="99"/>
        <v/>
      </c>
      <c r="Q438" s="85" t="str">
        <f t="shared" ca="1" si="100"/>
        <v/>
      </c>
      <c r="R438" s="86" t="str">
        <f t="shared" si="101"/>
        <v/>
      </c>
      <c r="S438" s="86" t="str">
        <f t="shared" si="102"/>
        <v/>
      </c>
      <c r="T438" s="104" t="str">
        <f t="shared" si="103"/>
        <v/>
      </c>
      <c r="U438" s="19" t="str">
        <f>IF(AND(M438&lt;&gt;"",M438&lt;&gt;0), IF(E438 = "Muni", T438, IF(E438="Corp", T438*(1 -'Investor Input'!$C$4-'Investor Input'!$C$5), T438*(1 -'Investor Input'!$C$4))), T438)</f>
        <v/>
      </c>
      <c r="V438" s="84" t="str">
        <f t="shared" si="104"/>
        <v/>
      </c>
      <c r="W438" s="84" t="str">
        <f t="shared" si="90"/>
        <v/>
      </c>
      <c r="X438" s="21" t="str">
        <f t="shared" si="91"/>
        <v/>
      </c>
      <c r="Y438" s="60" t="str">
        <f t="shared" si="92"/>
        <v/>
      </c>
      <c r="Z438" s="60" t="str">
        <f t="shared" si="93"/>
        <v/>
      </c>
      <c r="AA438" s="64" t="str">
        <f t="shared" si="94"/>
        <v/>
      </c>
      <c r="AB438" s="64" t="str">
        <f>IF(AND(AA438&lt;&gt;"",AA438&lt;&gt;0), IF(E438="Muni", AA438, IF(E438 = "Corp", (1-'Investor Input'!$C$4-'Investor Input'!$C$5)*AA438, (1-'Investor Input'!$C$4)*AA438)), AA438)</f>
        <v/>
      </c>
      <c r="AC438" s="94" t="str">
        <f t="shared" si="95"/>
        <v/>
      </c>
      <c r="AD438" s="60" t="str">
        <f>IF(AND(M438&lt;&gt;"", M438&lt;&gt;0), N438/$N$505*MATCH(AC438,'Misc Lists'!$K$2:$K$25,0), "")</f>
        <v/>
      </c>
      <c r="AE438" s="90" t="str">
        <f t="shared" si="96"/>
        <v/>
      </c>
      <c r="AF438" s="99" t="str">
        <f>IF(AND(M438&lt;&gt;"", M438&lt;&gt;0), N438/$N$505*MATCH(AE438,'Misc Lists'!$L$2:$L$25,0), "")</f>
        <v/>
      </c>
    </row>
    <row r="439" spans="2:32" hidden="1" outlineLevel="1" x14ac:dyDescent="0.5">
      <c r="B439" s="60" t="str">
        <f ca="1"/>
        <v>30231GBH4</v>
      </c>
      <c r="C439" s="61" t="str">
        <f ca="1"/>
        <v>N/A</v>
      </c>
      <c r="D439" s="60" t="str">
        <f ca="1"/>
        <v>EXXON MOBIL CORP    NOTE                2.99200% 03/19/2025</v>
      </c>
      <c r="E439" s="61" t="str">
        <f ca="1"/>
        <v>Corp</v>
      </c>
      <c r="F439" s="62">
        <f ca="1"/>
        <v>2.992</v>
      </c>
      <c r="G439" s="63">
        <f ca="1"/>
        <v>45735</v>
      </c>
      <c r="H439" s="61" t="str">
        <f ca="1"/>
        <v>AA2</v>
      </c>
      <c r="I439" s="61" t="str">
        <f ca="1"/>
        <v>AA-</v>
      </c>
      <c r="J439" s="64">
        <f ca="1"/>
        <v>99.968999999999994</v>
      </c>
      <c r="K439" s="17">
        <f ca="1"/>
        <v>4.5229999999999997</v>
      </c>
      <c r="L439" s="17" t="str">
        <f ca="1"/>
        <v>750(2)</v>
      </c>
      <c r="M439" s="83"/>
      <c r="N439" s="84" t="str">
        <f t="shared" si="97"/>
        <v/>
      </c>
      <c r="O439" s="20" t="str">
        <f t="shared" si="98"/>
        <v/>
      </c>
      <c r="P439" s="64" t="str">
        <f t="shared" si="99"/>
        <v/>
      </c>
      <c r="Q439" s="85" t="str">
        <f t="shared" ca="1" si="100"/>
        <v/>
      </c>
      <c r="R439" s="86" t="str">
        <f t="shared" si="101"/>
        <v/>
      </c>
      <c r="S439" s="86" t="str">
        <f t="shared" si="102"/>
        <v/>
      </c>
      <c r="T439" s="104" t="str">
        <f t="shared" si="103"/>
        <v/>
      </c>
      <c r="U439" s="19" t="str">
        <f>IF(AND(M439&lt;&gt;"",M439&lt;&gt;0), IF(E439 = "Muni", T439, IF(E439="Corp", T439*(1 -'Investor Input'!$C$4-'Investor Input'!$C$5), T439*(1 -'Investor Input'!$C$4))), T439)</f>
        <v/>
      </c>
      <c r="V439" s="84" t="str">
        <f t="shared" si="104"/>
        <v/>
      </c>
      <c r="W439" s="84" t="str">
        <f t="shared" si="90"/>
        <v/>
      </c>
      <c r="X439" s="21" t="str">
        <f t="shared" si="91"/>
        <v/>
      </c>
      <c r="Y439" s="60" t="str">
        <f t="shared" si="92"/>
        <v/>
      </c>
      <c r="Z439" s="60" t="str">
        <f t="shared" si="93"/>
        <v/>
      </c>
      <c r="AA439" s="64" t="str">
        <f t="shared" si="94"/>
        <v/>
      </c>
      <c r="AB439" s="64" t="str">
        <f>IF(AND(AA439&lt;&gt;"",AA439&lt;&gt;0), IF(E439="Muni", AA439, IF(E439 = "Corp", (1-'Investor Input'!$C$4-'Investor Input'!$C$5)*AA439, (1-'Investor Input'!$C$4)*AA439)), AA439)</f>
        <v/>
      </c>
      <c r="AC439" s="94" t="str">
        <f t="shared" si="95"/>
        <v/>
      </c>
      <c r="AD439" s="60" t="str">
        <f>IF(AND(M439&lt;&gt;"", M439&lt;&gt;0), N439/$N$505*MATCH(AC439,'Misc Lists'!$K$2:$K$25,0), "")</f>
        <v/>
      </c>
      <c r="AE439" s="90" t="str">
        <f t="shared" si="96"/>
        <v/>
      </c>
      <c r="AF439" s="99" t="str">
        <f>IF(AND(M439&lt;&gt;"", M439&lt;&gt;0), N439/$N$505*MATCH(AE439,'Misc Lists'!$L$2:$L$25,0), "")</f>
        <v/>
      </c>
    </row>
    <row r="440" spans="2:32" hidden="1" outlineLevel="1" x14ac:dyDescent="0.5">
      <c r="B440" s="60" t="str">
        <f ca="1"/>
        <v>637432NQ4</v>
      </c>
      <c r="C440" s="61" t="str">
        <f ca="1"/>
        <v>N/A</v>
      </c>
      <c r="D440" s="60" t="str">
        <f ca="1"/>
        <v>NATIONAL RURAL UTILSCOOP FIN BOND       3.90000% 11/01/2028 CALL MAKE WHOLE</v>
      </c>
      <c r="E440" s="61" t="str">
        <f ca="1"/>
        <v>Corp</v>
      </c>
      <c r="F440" s="62">
        <f ca="1"/>
        <v>3.9</v>
      </c>
      <c r="G440" s="63">
        <f ca="1"/>
        <v>47058</v>
      </c>
      <c r="H440" s="61" t="str">
        <f ca="1"/>
        <v>A1</v>
      </c>
      <c r="I440" s="61" t="str">
        <f ca="1"/>
        <v>A-</v>
      </c>
      <c r="J440" s="64">
        <f ca="1"/>
        <v>97.927000000000007</v>
      </c>
      <c r="K440" s="17">
        <f ca="1"/>
        <v>4.5229999999999997</v>
      </c>
      <c r="L440" s="17" t="str">
        <f ca="1"/>
        <v>500(2)</v>
      </c>
      <c r="M440" s="83"/>
      <c r="N440" s="84" t="str">
        <f t="shared" si="97"/>
        <v/>
      </c>
      <c r="O440" s="20" t="str">
        <f t="shared" si="98"/>
        <v/>
      </c>
      <c r="P440" s="64" t="str">
        <f t="shared" si="99"/>
        <v/>
      </c>
      <c r="Q440" s="85" t="str">
        <f t="shared" ca="1" si="100"/>
        <v/>
      </c>
      <c r="R440" s="86" t="str">
        <f t="shared" si="101"/>
        <v/>
      </c>
      <c r="S440" s="86" t="str">
        <f t="shared" si="102"/>
        <v/>
      </c>
      <c r="T440" s="104" t="str">
        <f t="shared" si="103"/>
        <v/>
      </c>
      <c r="U440" s="19" t="str">
        <f>IF(AND(M440&lt;&gt;"",M440&lt;&gt;0), IF(E440 = "Muni", T440, IF(E440="Corp", T440*(1 -'Investor Input'!$C$4-'Investor Input'!$C$5), T440*(1 -'Investor Input'!$C$4))), T440)</f>
        <v/>
      </c>
      <c r="V440" s="84" t="str">
        <f t="shared" si="104"/>
        <v/>
      </c>
      <c r="W440" s="84" t="str">
        <f t="shared" si="90"/>
        <v/>
      </c>
      <c r="X440" s="21" t="str">
        <f t="shared" si="91"/>
        <v/>
      </c>
      <c r="Y440" s="60" t="str">
        <f t="shared" si="92"/>
        <v/>
      </c>
      <c r="Z440" s="60" t="str">
        <f t="shared" si="93"/>
        <v/>
      </c>
      <c r="AA440" s="64" t="str">
        <f t="shared" si="94"/>
        <v/>
      </c>
      <c r="AB440" s="64" t="str">
        <f>IF(AND(AA440&lt;&gt;"",AA440&lt;&gt;0), IF(E440="Muni", AA440, IF(E440 = "Corp", (1-'Investor Input'!$C$4-'Investor Input'!$C$5)*AA440, (1-'Investor Input'!$C$4)*AA440)), AA440)</f>
        <v/>
      </c>
      <c r="AC440" s="94" t="str">
        <f t="shared" si="95"/>
        <v/>
      </c>
      <c r="AD440" s="60" t="str">
        <f>IF(AND(M440&lt;&gt;"", M440&lt;&gt;0), N440/$N$505*MATCH(AC440,'Misc Lists'!$K$2:$K$25,0), "")</f>
        <v/>
      </c>
      <c r="AE440" s="90" t="str">
        <f t="shared" si="96"/>
        <v/>
      </c>
      <c r="AF440" s="99" t="str">
        <f>IF(AND(M440&lt;&gt;"", M440&lt;&gt;0), N440/$N$505*MATCH(AE440,'Misc Lists'!$L$2:$L$25,0), "")</f>
        <v/>
      </c>
    </row>
    <row r="441" spans="2:32" hidden="1" outlineLevel="1" x14ac:dyDescent="0.5">
      <c r="B441" s="60" t="str">
        <f ca="1"/>
        <v>30231GBK7</v>
      </c>
      <c r="C441" s="61" t="str">
        <f ca="1"/>
        <v>N/A</v>
      </c>
      <c r="D441" s="60" t="str">
        <f ca="1"/>
        <v>EXXON MOBIL CORP    NOTE CALL MAKE WHOLE3.48200% 03/19/2030</v>
      </c>
      <c r="E441" s="61" t="str">
        <f ca="1"/>
        <v>Corp</v>
      </c>
      <c r="F441" s="62">
        <f ca="1"/>
        <v>3.4820000000000002</v>
      </c>
      <c r="G441" s="63">
        <f ca="1"/>
        <v>47561</v>
      </c>
      <c r="H441" s="61" t="str">
        <f ca="1"/>
        <v>AA2</v>
      </c>
      <c r="I441" s="61" t="str">
        <f ca="1"/>
        <v>AA-</v>
      </c>
      <c r="J441" s="64">
        <f ca="1"/>
        <v>95.370999999999995</v>
      </c>
      <c r="K441" s="17">
        <f ca="1"/>
        <v>4.5229999999999997</v>
      </c>
      <c r="L441" s="17" t="str">
        <f ca="1"/>
        <v>1,500(2)</v>
      </c>
      <c r="M441" s="83"/>
      <c r="N441" s="84" t="str">
        <f t="shared" si="97"/>
        <v/>
      </c>
      <c r="O441" s="20" t="str">
        <f t="shared" si="98"/>
        <v/>
      </c>
      <c r="P441" s="64" t="str">
        <f t="shared" si="99"/>
        <v/>
      </c>
      <c r="Q441" s="85" t="str">
        <f t="shared" ca="1" si="100"/>
        <v/>
      </c>
      <c r="R441" s="86" t="str">
        <f t="shared" si="101"/>
        <v/>
      </c>
      <c r="S441" s="86" t="str">
        <f t="shared" si="102"/>
        <v/>
      </c>
      <c r="T441" s="104" t="str">
        <f t="shared" si="103"/>
        <v/>
      </c>
      <c r="U441" s="19" t="str">
        <f>IF(AND(M441&lt;&gt;"",M441&lt;&gt;0), IF(E441 = "Muni", T441, IF(E441="Corp", T441*(1 -'Investor Input'!$C$4-'Investor Input'!$C$5), T441*(1 -'Investor Input'!$C$4))), T441)</f>
        <v/>
      </c>
      <c r="V441" s="84" t="str">
        <f t="shared" si="104"/>
        <v/>
      </c>
      <c r="W441" s="84" t="str">
        <f t="shared" si="90"/>
        <v/>
      </c>
      <c r="X441" s="21" t="str">
        <f t="shared" si="91"/>
        <v/>
      </c>
      <c r="Y441" s="60" t="str">
        <f t="shared" si="92"/>
        <v/>
      </c>
      <c r="Z441" s="60" t="str">
        <f t="shared" si="93"/>
        <v/>
      </c>
      <c r="AA441" s="64" t="str">
        <f t="shared" si="94"/>
        <v/>
      </c>
      <c r="AB441" s="64" t="str">
        <f>IF(AND(AA441&lt;&gt;"",AA441&lt;&gt;0), IF(E441="Muni", AA441, IF(E441 = "Corp", (1-'Investor Input'!$C$4-'Investor Input'!$C$5)*AA441, (1-'Investor Input'!$C$4)*AA441)), AA441)</f>
        <v/>
      </c>
      <c r="AC441" s="94" t="str">
        <f t="shared" si="95"/>
        <v/>
      </c>
      <c r="AD441" s="60" t="str">
        <f>IF(AND(M441&lt;&gt;"", M441&lt;&gt;0), N441/$N$505*MATCH(AC441,'Misc Lists'!$K$2:$K$25,0), "")</f>
        <v/>
      </c>
      <c r="AE441" s="90" t="str">
        <f t="shared" si="96"/>
        <v/>
      </c>
      <c r="AF441" s="99" t="str">
        <f>IF(AND(M441&lt;&gt;"", M441&lt;&gt;0), N441/$N$505*MATCH(AE441,'Misc Lists'!$L$2:$L$25,0), "")</f>
        <v/>
      </c>
    </row>
    <row r="442" spans="2:32" hidden="1" outlineLevel="1" x14ac:dyDescent="0.5">
      <c r="B442" s="60" t="str">
        <f ca="1"/>
        <v>02665WFD8</v>
      </c>
      <c r="C442" s="61" t="str">
        <f ca="1"/>
        <v>N/A</v>
      </c>
      <c r="D442" s="60" t="str">
        <f ca="1"/>
        <v>AMERICAN HONDA FIN  CORP  SER A MTN     4.90000% 03/12/2027 CALL MAKE WHOLE</v>
      </c>
      <c r="E442" s="61" t="str">
        <f ca="1"/>
        <v>Corp</v>
      </c>
      <c r="F442" s="62">
        <f ca="1"/>
        <v>4.9000000000000004</v>
      </c>
      <c r="G442" s="63">
        <f ca="1"/>
        <v>46458</v>
      </c>
      <c r="H442" s="61" t="str">
        <f ca="1"/>
        <v>A3</v>
      </c>
      <c r="I442" s="61" t="str">
        <f ca="1"/>
        <v>A-</v>
      </c>
      <c r="J442" s="64">
        <f ca="1"/>
        <v>100.71599999999999</v>
      </c>
      <c r="K442" s="17">
        <f ca="1"/>
        <v>4.5220000000000002</v>
      </c>
      <c r="L442" s="17" t="str">
        <f ca="1"/>
        <v>200(2)</v>
      </c>
      <c r="M442" s="83"/>
      <c r="N442" s="84" t="str">
        <f t="shared" si="97"/>
        <v/>
      </c>
      <c r="O442" s="20" t="str">
        <f t="shared" si="98"/>
        <v/>
      </c>
      <c r="P442" s="64" t="str">
        <f t="shared" si="99"/>
        <v/>
      </c>
      <c r="Q442" s="85" t="str">
        <f t="shared" ca="1" si="100"/>
        <v/>
      </c>
      <c r="R442" s="86" t="str">
        <f t="shared" si="101"/>
        <v/>
      </c>
      <c r="S442" s="86" t="str">
        <f t="shared" si="102"/>
        <v/>
      </c>
      <c r="T442" s="104" t="str">
        <f t="shared" si="103"/>
        <v/>
      </c>
      <c r="U442" s="19" t="str">
        <f>IF(AND(M442&lt;&gt;"",M442&lt;&gt;0), IF(E442 = "Muni", T442, IF(E442="Corp", T442*(1 -'Investor Input'!$C$4-'Investor Input'!$C$5), T442*(1 -'Investor Input'!$C$4))), T442)</f>
        <v/>
      </c>
      <c r="V442" s="84" t="str">
        <f t="shared" si="104"/>
        <v/>
      </c>
      <c r="W442" s="84" t="str">
        <f t="shared" si="90"/>
        <v/>
      </c>
      <c r="X442" s="21" t="str">
        <f t="shared" si="91"/>
        <v/>
      </c>
      <c r="Y442" s="60" t="str">
        <f t="shared" si="92"/>
        <v/>
      </c>
      <c r="Z442" s="60" t="str">
        <f t="shared" si="93"/>
        <v/>
      </c>
      <c r="AA442" s="64" t="str">
        <f t="shared" si="94"/>
        <v/>
      </c>
      <c r="AB442" s="64" t="str">
        <f>IF(AND(AA442&lt;&gt;"",AA442&lt;&gt;0), IF(E442="Muni", AA442, IF(E442 = "Corp", (1-'Investor Input'!$C$4-'Investor Input'!$C$5)*AA442, (1-'Investor Input'!$C$4)*AA442)), AA442)</f>
        <v/>
      </c>
      <c r="AC442" s="94" t="str">
        <f t="shared" si="95"/>
        <v/>
      </c>
      <c r="AD442" s="60" t="str">
        <f>IF(AND(M442&lt;&gt;"", M442&lt;&gt;0), N442/$N$505*MATCH(AC442,'Misc Lists'!$K$2:$K$25,0), "")</f>
        <v/>
      </c>
      <c r="AE442" s="90" t="str">
        <f t="shared" si="96"/>
        <v/>
      </c>
      <c r="AF442" s="99" t="str">
        <f>IF(AND(M442&lt;&gt;"", M442&lt;&gt;0), N442/$N$505*MATCH(AE442,'Misc Lists'!$L$2:$L$25,0), "")</f>
        <v/>
      </c>
    </row>
    <row r="443" spans="2:32" hidden="1" outlineLevel="1" x14ac:dyDescent="0.5">
      <c r="B443" s="60" t="str">
        <f ca="1"/>
        <v>06048WR36</v>
      </c>
      <c r="C443" s="61" t="str">
        <f ca="1"/>
        <v>N/A</v>
      </c>
      <c r="D443" s="60" t="str">
        <f ca="1"/>
        <v>BANK AMERICA CORP   SER N MTN           2.00000% 06/22/2027</v>
      </c>
      <c r="E443" s="61" t="str">
        <f ca="1"/>
        <v>Corp</v>
      </c>
      <c r="F443" s="62">
        <f ca="1"/>
        <v>2</v>
      </c>
      <c r="G443" s="63">
        <f ca="1"/>
        <v>46560</v>
      </c>
      <c r="H443" s="61" t="str">
        <f ca="1"/>
        <v>A1</v>
      </c>
      <c r="I443" s="61" t="str">
        <f ca="1"/>
        <v>A-</v>
      </c>
      <c r="J443" s="64">
        <f ca="1"/>
        <v>94.6</v>
      </c>
      <c r="K443" s="17">
        <f ca="1"/>
        <v>4.5199999999999996</v>
      </c>
      <c r="L443" s="17" t="str">
        <f ca="1"/>
        <v>245(5)</v>
      </c>
      <c r="M443" s="83"/>
      <c r="N443" s="84" t="str">
        <f t="shared" si="97"/>
        <v/>
      </c>
      <c r="O443" s="20" t="str">
        <f t="shared" si="98"/>
        <v/>
      </c>
      <c r="P443" s="64" t="str">
        <f t="shared" si="99"/>
        <v/>
      </c>
      <c r="Q443" s="85" t="str">
        <f t="shared" ca="1" si="100"/>
        <v/>
      </c>
      <c r="R443" s="86" t="str">
        <f t="shared" si="101"/>
        <v/>
      </c>
      <c r="S443" s="86" t="str">
        <f t="shared" si="102"/>
        <v/>
      </c>
      <c r="T443" s="104" t="str">
        <f t="shared" si="103"/>
        <v/>
      </c>
      <c r="U443" s="19" t="str">
        <f>IF(AND(M443&lt;&gt;"",M443&lt;&gt;0), IF(E443 = "Muni", T443, IF(E443="Corp", T443*(1 -'Investor Input'!$C$4-'Investor Input'!$C$5), T443*(1 -'Investor Input'!$C$4))), T443)</f>
        <v/>
      </c>
      <c r="V443" s="84" t="str">
        <f t="shared" si="104"/>
        <v/>
      </c>
      <c r="W443" s="84" t="str">
        <f t="shared" si="90"/>
        <v/>
      </c>
      <c r="X443" s="21" t="str">
        <f t="shared" si="91"/>
        <v/>
      </c>
      <c r="Y443" s="60" t="str">
        <f t="shared" si="92"/>
        <v/>
      </c>
      <c r="Z443" s="60" t="str">
        <f t="shared" si="93"/>
        <v/>
      </c>
      <c r="AA443" s="64" t="str">
        <f t="shared" si="94"/>
        <v/>
      </c>
      <c r="AB443" s="64" t="str">
        <f>IF(AND(AA443&lt;&gt;"",AA443&lt;&gt;0), IF(E443="Muni", AA443, IF(E443 = "Corp", (1-'Investor Input'!$C$4-'Investor Input'!$C$5)*AA443, (1-'Investor Input'!$C$4)*AA443)), AA443)</f>
        <v/>
      </c>
      <c r="AC443" s="94" t="str">
        <f t="shared" si="95"/>
        <v/>
      </c>
      <c r="AD443" s="60" t="str">
        <f>IF(AND(M443&lt;&gt;"", M443&lt;&gt;0), N443/$N$505*MATCH(AC443,'Misc Lists'!$K$2:$K$25,0), "")</f>
        <v/>
      </c>
      <c r="AE443" s="90" t="str">
        <f t="shared" si="96"/>
        <v/>
      </c>
      <c r="AF443" s="99" t="str">
        <f>IF(AND(M443&lt;&gt;"", M443&lt;&gt;0), N443/$N$505*MATCH(AE443,'Misc Lists'!$L$2:$L$25,0), "")</f>
        <v/>
      </c>
    </row>
    <row r="444" spans="2:32" hidden="1" outlineLevel="1" x14ac:dyDescent="0.5">
      <c r="B444" s="60" t="str">
        <f ca="1"/>
        <v>89236TFT7</v>
      </c>
      <c r="C444" s="61" t="str">
        <f ca="1"/>
        <v>N/A</v>
      </c>
      <c r="D444" s="60" t="str">
        <f ca="1"/>
        <v>TOYOTA MTR CR CORP  MTN CALL MAKE WHOLE 3.65000% 01/08/2029</v>
      </c>
      <c r="E444" s="61" t="str">
        <f ca="1"/>
        <v>Corp</v>
      </c>
      <c r="F444" s="62">
        <f ca="1"/>
        <v>3.65</v>
      </c>
      <c r="G444" s="63">
        <f ca="1"/>
        <v>47126</v>
      </c>
      <c r="H444" s="61" t="str">
        <f ca="1"/>
        <v>A1</v>
      </c>
      <c r="I444" s="61" t="str">
        <f ca="1"/>
        <v>A+</v>
      </c>
      <c r="J444" s="64">
        <f ca="1"/>
        <v>96.971999999999994</v>
      </c>
      <c r="K444" s="17">
        <f ca="1"/>
        <v>4.5199999999999996</v>
      </c>
      <c r="L444" s="17" t="str">
        <f ca="1"/>
        <v>500(2)</v>
      </c>
      <c r="M444" s="83"/>
      <c r="N444" s="84" t="str">
        <f t="shared" si="97"/>
        <v/>
      </c>
      <c r="O444" s="20" t="str">
        <f t="shared" si="98"/>
        <v/>
      </c>
      <c r="P444" s="64" t="str">
        <f t="shared" si="99"/>
        <v/>
      </c>
      <c r="Q444" s="85" t="str">
        <f t="shared" ca="1" si="100"/>
        <v/>
      </c>
      <c r="R444" s="86" t="str">
        <f t="shared" si="101"/>
        <v/>
      </c>
      <c r="S444" s="86" t="str">
        <f t="shared" si="102"/>
        <v/>
      </c>
      <c r="T444" s="104" t="str">
        <f t="shared" si="103"/>
        <v/>
      </c>
      <c r="U444" s="19" t="str">
        <f>IF(AND(M444&lt;&gt;"",M444&lt;&gt;0), IF(E444 = "Muni", T444, IF(E444="Corp", T444*(1 -'Investor Input'!$C$4-'Investor Input'!$C$5), T444*(1 -'Investor Input'!$C$4))), T444)</f>
        <v/>
      </c>
      <c r="V444" s="84" t="str">
        <f t="shared" si="104"/>
        <v/>
      </c>
      <c r="W444" s="84" t="str">
        <f t="shared" si="90"/>
        <v/>
      </c>
      <c r="X444" s="21" t="str">
        <f t="shared" si="91"/>
        <v/>
      </c>
      <c r="Y444" s="60" t="str">
        <f t="shared" si="92"/>
        <v/>
      </c>
      <c r="Z444" s="60" t="str">
        <f t="shared" si="93"/>
        <v/>
      </c>
      <c r="AA444" s="64" t="str">
        <f t="shared" si="94"/>
        <v/>
      </c>
      <c r="AB444" s="64" t="str">
        <f>IF(AND(AA444&lt;&gt;"",AA444&lt;&gt;0), IF(E444="Muni", AA444, IF(E444 = "Corp", (1-'Investor Input'!$C$4-'Investor Input'!$C$5)*AA444, (1-'Investor Input'!$C$4)*AA444)), AA444)</f>
        <v/>
      </c>
      <c r="AC444" s="94" t="str">
        <f t="shared" si="95"/>
        <v/>
      </c>
      <c r="AD444" s="60" t="str">
        <f>IF(AND(M444&lt;&gt;"", M444&lt;&gt;0), N444/$N$505*MATCH(AC444,'Misc Lists'!$K$2:$K$25,0), "")</f>
        <v/>
      </c>
      <c r="AE444" s="90" t="str">
        <f t="shared" si="96"/>
        <v/>
      </c>
      <c r="AF444" s="99" t="str">
        <f>IF(AND(M444&lt;&gt;"", M444&lt;&gt;0), N444/$N$505*MATCH(AE444,'Misc Lists'!$L$2:$L$25,0), "")</f>
        <v/>
      </c>
    </row>
    <row r="445" spans="2:32" hidden="1" outlineLevel="1" x14ac:dyDescent="0.5">
      <c r="B445" s="60" t="str">
        <f ca="1"/>
        <v>89788MAC6</v>
      </c>
      <c r="C445" s="61" t="str">
        <f ca="1"/>
        <v>N/A</v>
      </c>
      <c r="D445" s="60" t="str">
        <f ca="1"/>
        <v>TRUIST FINL CORP    SER G MTN           1.12500% 08/03/2027</v>
      </c>
      <c r="E445" s="61" t="str">
        <f ca="1"/>
        <v>Corp</v>
      </c>
      <c r="F445" s="62">
        <f ca="1"/>
        <v>1.125</v>
      </c>
      <c r="G445" s="63">
        <f ca="1"/>
        <v>46602</v>
      </c>
      <c r="H445" s="61" t="str">
        <f ca="1"/>
        <v>BAA1</v>
      </c>
      <c r="I445" s="61" t="str">
        <f ca="1"/>
        <v>A-</v>
      </c>
      <c r="J445" s="64">
        <f ca="1"/>
        <v>92.387</v>
      </c>
      <c r="K445" s="17">
        <f ca="1"/>
        <v>4.5190000000000001</v>
      </c>
      <c r="L445" s="17" t="str">
        <f ca="1"/>
        <v>500(2)</v>
      </c>
      <c r="M445" s="83"/>
      <c r="N445" s="84" t="str">
        <f t="shared" si="97"/>
        <v/>
      </c>
      <c r="O445" s="20" t="str">
        <f t="shared" si="98"/>
        <v/>
      </c>
      <c r="P445" s="64" t="str">
        <f t="shared" si="99"/>
        <v/>
      </c>
      <c r="Q445" s="85" t="str">
        <f t="shared" ca="1" si="100"/>
        <v/>
      </c>
      <c r="R445" s="86" t="str">
        <f t="shared" si="101"/>
        <v/>
      </c>
      <c r="S445" s="86" t="str">
        <f t="shared" si="102"/>
        <v/>
      </c>
      <c r="T445" s="104" t="str">
        <f t="shared" si="103"/>
        <v/>
      </c>
      <c r="U445" s="19" t="str">
        <f>IF(AND(M445&lt;&gt;"",M445&lt;&gt;0), IF(E445 = "Muni", T445, IF(E445="Corp", T445*(1 -'Investor Input'!$C$4-'Investor Input'!$C$5), T445*(1 -'Investor Input'!$C$4))), T445)</f>
        <v/>
      </c>
      <c r="V445" s="84" t="str">
        <f t="shared" si="104"/>
        <v/>
      </c>
      <c r="W445" s="84" t="str">
        <f t="shared" si="90"/>
        <v/>
      </c>
      <c r="X445" s="21" t="str">
        <f t="shared" si="91"/>
        <v/>
      </c>
      <c r="Y445" s="60" t="str">
        <f t="shared" si="92"/>
        <v/>
      </c>
      <c r="Z445" s="60" t="str">
        <f t="shared" si="93"/>
        <v/>
      </c>
      <c r="AA445" s="64" t="str">
        <f t="shared" si="94"/>
        <v/>
      </c>
      <c r="AB445" s="64" t="str">
        <f>IF(AND(AA445&lt;&gt;"",AA445&lt;&gt;0), IF(E445="Muni", AA445, IF(E445 = "Corp", (1-'Investor Input'!$C$4-'Investor Input'!$C$5)*AA445, (1-'Investor Input'!$C$4)*AA445)), AA445)</f>
        <v/>
      </c>
      <c r="AC445" s="94" t="str">
        <f t="shared" si="95"/>
        <v/>
      </c>
      <c r="AD445" s="60" t="str">
        <f>IF(AND(M445&lt;&gt;"", M445&lt;&gt;0), N445/$N$505*MATCH(AC445,'Misc Lists'!$K$2:$K$25,0), "")</f>
        <v/>
      </c>
      <c r="AE445" s="90" t="str">
        <f t="shared" si="96"/>
        <v/>
      </c>
      <c r="AF445" s="99" t="str">
        <f>IF(AND(M445&lt;&gt;"", M445&lt;&gt;0), N445/$N$505*MATCH(AE445,'Misc Lists'!$L$2:$L$25,0), "")</f>
        <v/>
      </c>
    </row>
    <row r="446" spans="2:32" hidden="1" outlineLevel="1" x14ac:dyDescent="0.5">
      <c r="B446" s="60" t="str">
        <f ca="1"/>
        <v>756109BH6</v>
      </c>
      <c r="C446" s="61" t="str">
        <f ca="1"/>
        <v>N/A</v>
      </c>
      <c r="D446" s="60" t="str">
        <f ca="1"/>
        <v>REALTY INCOME CORP  NOTE CALL MAKE WHOLE3.40000% 01/15/2028</v>
      </c>
      <c r="E446" s="61" t="str">
        <f ca="1"/>
        <v>Corp</v>
      </c>
      <c r="F446" s="62">
        <f ca="1"/>
        <v>3.4</v>
      </c>
      <c r="G446" s="63">
        <f ca="1"/>
        <v>46767</v>
      </c>
      <c r="H446" s="61" t="str">
        <f ca="1"/>
        <v>A3</v>
      </c>
      <c r="I446" s="61" t="str">
        <f ca="1"/>
        <v>A-</v>
      </c>
      <c r="J446" s="64">
        <f ca="1"/>
        <v>97.043000000000006</v>
      </c>
      <c r="K446" s="17">
        <f ca="1"/>
        <v>4.5190000000000001</v>
      </c>
      <c r="L446" s="17" t="str">
        <f ca="1"/>
        <v>250(10)</v>
      </c>
      <c r="M446" s="83"/>
      <c r="N446" s="84" t="str">
        <f t="shared" si="97"/>
        <v/>
      </c>
      <c r="O446" s="20" t="str">
        <f t="shared" si="98"/>
        <v/>
      </c>
      <c r="P446" s="64" t="str">
        <f t="shared" si="99"/>
        <v/>
      </c>
      <c r="Q446" s="85" t="str">
        <f t="shared" ca="1" si="100"/>
        <v/>
      </c>
      <c r="R446" s="86" t="str">
        <f t="shared" si="101"/>
        <v/>
      </c>
      <c r="S446" s="86" t="str">
        <f t="shared" si="102"/>
        <v/>
      </c>
      <c r="T446" s="104" t="str">
        <f t="shared" si="103"/>
        <v/>
      </c>
      <c r="U446" s="19" t="str">
        <f>IF(AND(M446&lt;&gt;"",M446&lt;&gt;0), IF(E446 = "Muni", T446, IF(E446="Corp", T446*(1 -'Investor Input'!$C$4-'Investor Input'!$C$5), T446*(1 -'Investor Input'!$C$4))), T446)</f>
        <v/>
      </c>
      <c r="V446" s="84" t="str">
        <f t="shared" si="104"/>
        <v/>
      </c>
      <c r="W446" s="84" t="str">
        <f t="shared" si="90"/>
        <v/>
      </c>
      <c r="X446" s="21" t="str">
        <f t="shared" si="91"/>
        <v/>
      </c>
      <c r="Y446" s="60" t="str">
        <f t="shared" si="92"/>
        <v/>
      </c>
      <c r="Z446" s="60" t="str">
        <f t="shared" si="93"/>
        <v/>
      </c>
      <c r="AA446" s="64" t="str">
        <f t="shared" si="94"/>
        <v/>
      </c>
      <c r="AB446" s="64" t="str">
        <f>IF(AND(AA446&lt;&gt;"",AA446&lt;&gt;0), IF(E446="Muni", AA446, IF(E446 = "Corp", (1-'Investor Input'!$C$4-'Investor Input'!$C$5)*AA446, (1-'Investor Input'!$C$4)*AA446)), AA446)</f>
        <v/>
      </c>
      <c r="AC446" s="94" t="str">
        <f t="shared" si="95"/>
        <v/>
      </c>
      <c r="AD446" s="60" t="str">
        <f>IF(AND(M446&lt;&gt;"", M446&lt;&gt;0), N446/$N$505*MATCH(AC446,'Misc Lists'!$K$2:$K$25,0), "")</f>
        <v/>
      </c>
      <c r="AE446" s="90" t="str">
        <f t="shared" si="96"/>
        <v/>
      </c>
      <c r="AF446" s="99" t="str">
        <f>IF(AND(M446&lt;&gt;"", M446&lt;&gt;0), N446/$N$505*MATCH(AE446,'Misc Lists'!$L$2:$L$25,0), "")</f>
        <v/>
      </c>
    </row>
    <row r="447" spans="2:32" hidden="1" outlineLevel="1" x14ac:dyDescent="0.5">
      <c r="B447" s="60" t="str">
        <f ca="1"/>
        <v>60687YAR0</v>
      </c>
      <c r="C447" s="61" t="str">
        <f ca="1"/>
        <v>N/A</v>
      </c>
      <c r="D447" s="60" t="str">
        <f ca="1"/>
        <v>MIZUHO FINANCIAL    GROUP NOTE          4.01800% 03/05/2028</v>
      </c>
      <c r="E447" s="61" t="str">
        <f ca="1"/>
        <v>Corp</v>
      </c>
      <c r="F447" s="62">
        <f ca="1"/>
        <v>4.0179999999999998</v>
      </c>
      <c r="G447" s="63">
        <f ca="1"/>
        <v>46817</v>
      </c>
      <c r="H447" s="61" t="str">
        <f ca="1"/>
        <v>A1</v>
      </c>
      <c r="I447" s="61" t="str">
        <f ca="1"/>
        <v>A-</v>
      </c>
      <c r="J447" s="64">
        <f ca="1"/>
        <v>98.617000000000004</v>
      </c>
      <c r="K447" s="17">
        <f ca="1"/>
        <v>4.5190000000000001</v>
      </c>
      <c r="L447" s="17" t="str">
        <f ca="1"/>
        <v>500(200)</v>
      </c>
      <c r="M447" s="83"/>
      <c r="N447" s="84" t="str">
        <f t="shared" si="97"/>
        <v/>
      </c>
      <c r="O447" s="20" t="str">
        <f t="shared" si="98"/>
        <v/>
      </c>
      <c r="P447" s="64" t="str">
        <f t="shared" si="99"/>
        <v/>
      </c>
      <c r="Q447" s="85" t="str">
        <f t="shared" ca="1" si="100"/>
        <v/>
      </c>
      <c r="R447" s="86" t="str">
        <f t="shared" si="101"/>
        <v/>
      </c>
      <c r="S447" s="86" t="str">
        <f t="shared" si="102"/>
        <v/>
      </c>
      <c r="T447" s="104" t="str">
        <f t="shared" si="103"/>
        <v/>
      </c>
      <c r="U447" s="19" t="str">
        <f>IF(AND(M447&lt;&gt;"",M447&lt;&gt;0), IF(E447 = "Muni", T447, IF(E447="Corp", T447*(1 -'Investor Input'!$C$4-'Investor Input'!$C$5), T447*(1 -'Investor Input'!$C$4))), T447)</f>
        <v/>
      </c>
      <c r="V447" s="84" t="str">
        <f t="shared" si="104"/>
        <v/>
      </c>
      <c r="W447" s="84" t="str">
        <f t="shared" si="90"/>
        <v/>
      </c>
      <c r="X447" s="21" t="str">
        <f t="shared" si="91"/>
        <v/>
      </c>
      <c r="Y447" s="60" t="str">
        <f t="shared" si="92"/>
        <v/>
      </c>
      <c r="Z447" s="60" t="str">
        <f t="shared" si="93"/>
        <v/>
      </c>
      <c r="AA447" s="64" t="str">
        <f t="shared" si="94"/>
        <v/>
      </c>
      <c r="AB447" s="64" t="str">
        <f>IF(AND(AA447&lt;&gt;"",AA447&lt;&gt;0), IF(E447="Muni", AA447, IF(E447 = "Corp", (1-'Investor Input'!$C$4-'Investor Input'!$C$5)*AA447, (1-'Investor Input'!$C$4)*AA447)), AA447)</f>
        <v/>
      </c>
      <c r="AC447" s="94" t="str">
        <f t="shared" si="95"/>
        <v/>
      </c>
      <c r="AD447" s="60" t="str">
        <f>IF(AND(M447&lt;&gt;"", M447&lt;&gt;0), N447/$N$505*MATCH(AC447,'Misc Lists'!$K$2:$K$25,0), "")</f>
        <v/>
      </c>
      <c r="AE447" s="90" t="str">
        <f t="shared" si="96"/>
        <v/>
      </c>
      <c r="AF447" s="99" t="str">
        <f>IF(AND(M447&lt;&gt;"", M447&lt;&gt;0), N447/$N$505*MATCH(AE447,'Misc Lists'!$L$2:$L$25,0), "")</f>
        <v/>
      </c>
    </row>
    <row r="448" spans="2:32" hidden="1" outlineLevel="1" x14ac:dyDescent="0.5">
      <c r="B448" s="60" t="str">
        <f ca="1"/>
        <v>487836BW7</v>
      </c>
      <c r="C448" s="61" t="str">
        <f ca="1"/>
        <v>N/A</v>
      </c>
      <c r="D448" s="60" t="str">
        <f ca="1"/>
        <v>KELLANOVA           NOTE CALL MAKE WHOLE4.30000% 05/15/2028</v>
      </c>
      <c r="E448" s="61" t="str">
        <f ca="1"/>
        <v>Corp</v>
      </c>
      <c r="F448" s="62">
        <f ca="1"/>
        <v>4.3</v>
      </c>
      <c r="G448" s="63">
        <f ca="1"/>
        <v>46888</v>
      </c>
      <c r="H448" s="61" t="str">
        <f ca="1"/>
        <v>BAA2</v>
      </c>
      <c r="I448" s="61" t="str">
        <f ca="1"/>
        <v>A</v>
      </c>
      <c r="J448" s="64">
        <f ca="1"/>
        <v>99.353999999999999</v>
      </c>
      <c r="K448" s="17">
        <f ca="1"/>
        <v>4.5190000000000001</v>
      </c>
      <c r="L448" s="17" t="str">
        <f ca="1"/>
        <v>500(2)</v>
      </c>
      <c r="M448" s="83"/>
      <c r="N448" s="84" t="str">
        <f t="shared" si="97"/>
        <v/>
      </c>
      <c r="O448" s="20" t="str">
        <f t="shared" si="98"/>
        <v/>
      </c>
      <c r="P448" s="64" t="str">
        <f t="shared" si="99"/>
        <v/>
      </c>
      <c r="Q448" s="85" t="str">
        <f t="shared" ca="1" si="100"/>
        <v/>
      </c>
      <c r="R448" s="86" t="str">
        <f t="shared" si="101"/>
        <v/>
      </c>
      <c r="S448" s="86" t="str">
        <f t="shared" si="102"/>
        <v/>
      </c>
      <c r="T448" s="104" t="str">
        <f t="shared" si="103"/>
        <v/>
      </c>
      <c r="U448" s="19" t="str">
        <f>IF(AND(M448&lt;&gt;"",M448&lt;&gt;0), IF(E448 = "Muni", T448, IF(E448="Corp", T448*(1 -'Investor Input'!$C$4-'Investor Input'!$C$5), T448*(1 -'Investor Input'!$C$4))), T448)</f>
        <v/>
      </c>
      <c r="V448" s="84" t="str">
        <f t="shared" si="104"/>
        <v/>
      </c>
      <c r="W448" s="84" t="str">
        <f t="shared" si="90"/>
        <v/>
      </c>
      <c r="X448" s="21" t="str">
        <f t="shared" si="91"/>
        <v/>
      </c>
      <c r="Y448" s="60" t="str">
        <f t="shared" si="92"/>
        <v/>
      </c>
      <c r="Z448" s="60" t="str">
        <f t="shared" si="93"/>
        <v/>
      </c>
      <c r="AA448" s="64" t="str">
        <f t="shared" si="94"/>
        <v/>
      </c>
      <c r="AB448" s="64" t="str">
        <f>IF(AND(AA448&lt;&gt;"",AA448&lt;&gt;0), IF(E448="Muni", AA448, IF(E448 = "Corp", (1-'Investor Input'!$C$4-'Investor Input'!$C$5)*AA448, (1-'Investor Input'!$C$4)*AA448)), AA448)</f>
        <v/>
      </c>
      <c r="AC448" s="94" t="str">
        <f t="shared" si="95"/>
        <v/>
      </c>
      <c r="AD448" s="60" t="str">
        <f>IF(AND(M448&lt;&gt;"", M448&lt;&gt;0), N448/$N$505*MATCH(AC448,'Misc Lists'!$K$2:$K$25,0), "")</f>
        <v/>
      </c>
      <c r="AE448" s="90" t="str">
        <f t="shared" si="96"/>
        <v/>
      </c>
      <c r="AF448" s="99" t="str">
        <f>IF(AND(M448&lt;&gt;"", M448&lt;&gt;0), N448/$N$505*MATCH(AE448,'Misc Lists'!$L$2:$L$25,0), "")</f>
        <v/>
      </c>
    </row>
    <row r="449" spans="2:32" hidden="1" outlineLevel="1" x14ac:dyDescent="0.5">
      <c r="B449" s="60" t="str">
        <f ca="1"/>
        <v>207597ER2</v>
      </c>
      <c r="C449" s="61" t="str">
        <f ca="1"/>
        <v>N/A</v>
      </c>
      <c r="D449" s="60" t="str">
        <f ca="1"/>
        <v>CONNECTICUT LT &amp;PWR CO SER 2024A BOND   4.65000% 01/01/2029 CALL MAKE WHOLE</v>
      </c>
      <c r="E449" s="61" t="str">
        <f ca="1"/>
        <v>Corp</v>
      </c>
      <c r="F449" s="62">
        <f ca="1"/>
        <v>4.6500000000000004</v>
      </c>
      <c r="G449" s="63">
        <f ca="1"/>
        <v>47119</v>
      </c>
      <c r="H449" s="61" t="str">
        <f ca="1"/>
        <v>A1</v>
      </c>
      <c r="I449" s="61" t="str">
        <f ca="1"/>
        <v>A</v>
      </c>
      <c r="J449" s="64">
        <f ca="1"/>
        <v>100.447</v>
      </c>
      <c r="K449" s="17">
        <f ca="1"/>
        <v>4.5190000000000001</v>
      </c>
      <c r="L449" s="17" t="str">
        <f ca="1"/>
        <v>500(2)</v>
      </c>
      <c r="M449" s="83"/>
      <c r="N449" s="84" t="str">
        <f t="shared" si="97"/>
        <v/>
      </c>
      <c r="O449" s="20" t="str">
        <f t="shared" si="98"/>
        <v/>
      </c>
      <c r="P449" s="64" t="str">
        <f t="shared" si="99"/>
        <v/>
      </c>
      <c r="Q449" s="85" t="str">
        <f t="shared" ca="1" si="100"/>
        <v/>
      </c>
      <c r="R449" s="86" t="str">
        <f t="shared" si="101"/>
        <v/>
      </c>
      <c r="S449" s="86" t="str">
        <f t="shared" si="102"/>
        <v/>
      </c>
      <c r="T449" s="104" t="str">
        <f t="shared" si="103"/>
        <v/>
      </c>
      <c r="U449" s="19" t="str">
        <f>IF(AND(M449&lt;&gt;"",M449&lt;&gt;0), IF(E449 = "Muni", T449, IF(E449="Corp", T449*(1 -'Investor Input'!$C$4-'Investor Input'!$C$5), T449*(1 -'Investor Input'!$C$4))), T449)</f>
        <v/>
      </c>
      <c r="V449" s="84" t="str">
        <f t="shared" si="104"/>
        <v/>
      </c>
      <c r="W449" s="84" t="str">
        <f t="shared" si="90"/>
        <v/>
      </c>
      <c r="X449" s="21" t="str">
        <f t="shared" si="91"/>
        <v/>
      </c>
      <c r="Y449" s="60" t="str">
        <f t="shared" si="92"/>
        <v/>
      </c>
      <c r="Z449" s="60" t="str">
        <f t="shared" si="93"/>
        <v/>
      </c>
      <c r="AA449" s="64" t="str">
        <f t="shared" si="94"/>
        <v/>
      </c>
      <c r="AB449" s="64" t="str">
        <f>IF(AND(AA449&lt;&gt;"",AA449&lt;&gt;0), IF(E449="Muni", AA449, IF(E449 = "Corp", (1-'Investor Input'!$C$4-'Investor Input'!$C$5)*AA449, (1-'Investor Input'!$C$4)*AA449)), AA449)</f>
        <v/>
      </c>
      <c r="AC449" s="94" t="str">
        <f t="shared" si="95"/>
        <v/>
      </c>
      <c r="AD449" s="60" t="str">
        <f>IF(AND(M449&lt;&gt;"", M449&lt;&gt;0), N449/$N$505*MATCH(AC449,'Misc Lists'!$K$2:$K$25,0), "")</f>
        <v/>
      </c>
      <c r="AE449" s="90" t="str">
        <f t="shared" si="96"/>
        <v/>
      </c>
      <c r="AF449" s="99" t="str">
        <f>IF(AND(M449&lt;&gt;"", M449&lt;&gt;0), N449/$N$505*MATCH(AE449,'Misc Lists'!$L$2:$L$25,0), "")</f>
        <v/>
      </c>
    </row>
    <row r="450" spans="2:32" hidden="1" outlineLevel="1" x14ac:dyDescent="0.5">
      <c r="B450" s="60" t="str">
        <f ca="1"/>
        <v>756109AU8</v>
      </c>
      <c r="C450" s="61" t="str">
        <f ca="1"/>
        <v>N/A</v>
      </c>
      <c r="D450" s="60" t="str">
        <f ca="1"/>
        <v>REALTY INCOME CORP  NOTE CALL MAKE WHOLE3.65000% 01/15/2028</v>
      </c>
      <c r="E450" s="61" t="str">
        <f ca="1"/>
        <v>Corp</v>
      </c>
      <c r="F450" s="62">
        <f ca="1"/>
        <v>3.65</v>
      </c>
      <c r="G450" s="63">
        <f ca="1"/>
        <v>46767</v>
      </c>
      <c r="H450" s="61" t="str">
        <f ca="1"/>
        <v>A3</v>
      </c>
      <c r="I450" s="61" t="str">
        <f ca="1"/>
        <v>A-</v>
      </c>
      <c r="J450" s="64">
        <f ca="1"/>
        <v>97.706000000000003</v>
      </c>
      <c r="K450" s="17">
        <f ca="1"/>
        <v>4.5179999999999998</v>
      </c>
      <c r="L450" s="17" t="str">
        <f ca="1"/>
        <v>200(2)</v>
      </c>
      <c r="M450" s="83"/>
      <c r="N450" s="84" t="str">
        <f t="shared" si="97"/>
        <v/>
      </c>
      <c r="O450" s="20" t="str">
        <f t="shared" si="98"/>
        <v/>
      </c>
      <c r="P450" s="64" t="str">
        <f t="shared" si="99"/>
        <v/>
      </c>
      <c r="Q450" s="85" t="str">
        <f t="shared" ca="1" si="100"/>
        <v/>
      </c>
      <c r="R450" s="86" t="str">
        <f t="shared" si="101"/>
        <v/>
      </c>
      <c r="S450" s="86" t="str">
        <f t="shared" si="102"/>
        <v/>
      </c>
      <c r="T450" s="104" t="str">
        <f t="shared" si="103"/>
        <v/>
      </c>
      <c r="U450" s="19" t="str">
        <f>IF(AND(M450&lt;&gt;"",M450&lt;&gt;0), IF(E450 = "Muni", T450, IF(E450="Corp", T450*(1 -'Investor Input'!$C$4-'Investor Input'!$C$5), T450*(1 -'Investor Input'!$C$4))), T450)</f>
        <v/>
      </c>
      <c r="V450" s="84" t="str">
        <f t="shared" si="104"/>
        <v/>
      </c>
      <c r="W450" s="84" t="str">
        <f t="shared" si="90"/>
        <v/>
      </c>
      <c r="X450" s="21" t="str">
        <f t="shared" si="91"/>
        <v/>
      </c>
      <c r="Y450" s="60" t="str">
        <f t="shared" si="92"/>
        <v/>
      </c>
      <c r="Z450" s="60" t="str">
        <f t="shared" si="93"/>
        <v/>
      </c>
      <c r="AA450" s="64" t="str">
        <f t="shared" si="94"/>
        <v/>
      </c>
      <c r="AB450" s="64" t="str">
        <f>IF(AND(AA450&lt;&gt;"",AA450&lt;&gt;0), IF(E450="Muni", AA450, IF(E450 = "Corp", (1-'Investor Input'!$C$4-'Investor Input'!$C$5)*AA450, (1-'Investor Input'!$C$4)*AA450)), AA450)</f>
        <v/>
      </c>
      <c r="AC450" s="94" t="str">
        <f t="shared" si="95"/>
        <v/>
      </c>
      <c r="AD450" s="60" t="str">
        <f>IF(AND(M450&lt;&gt;"", M450&lt;&gt;0), N450/$N$505*MATCH(AC450,'Misc Lists'!$K$2:$K$25,0), "")</f>
        <v/>
      </c>
      <c r="AE450" s="90" t="str">
        <f t="shared" si="96"/>
        <v/>
      </c>
      <c r="AF450" s="99" t="str">
        <f>IF(AND(M450&lt;&gt;"", M450&lt;&gt;0), N450/$N$505*MATCH(AE450,'Misc Lists'!$L$2:$L$25,0), "")</f>
        <v/>
      </c>
    </row>
    <row r="451" spans="2:32" hidden="1" outlineLevel="1" x14ac:dyDescent="0.5">
      <c r="B451" s="60" t="str">
        <f ca="1"/>
        <v>74340XBX8</v>
      </c>
      <c r="C451" s="61" t="str">
        <f ca="1"/>
        <v>N/A</v>
      </c>
      <c r="D451" s="60" t="str">
        <f ca="1"/>
        <v>PROLOGIS L P        NOTE CALL MAKE WHOLE4.00000% 09/15/2028</v>
      </c>
      <c r="E451" s="61" t="str">
        <f ca="1"/>
        <v>Corp</v>
      </c>
      <c r="F451" s="62">
        <f ca="1"/>
        <v>4</v>
      </c>
      <c r="G451" s="63">
        <f ca="1"/>
        <v>47011</v>
      </c>
      <c r="H451" s="61" t="str">
        <f ca="1"/>
        <v>A2</v>
      </c>
      <c r="I451" s="61" t="str">
        <f ca="1"/>
        <v>A</v>
      </c>
      <c r="J451" s="64">
        <f ca="1"/>
        <v>98.335999999999999</v>
      </c>
      <c r="K451" s="17">
        <f ca="1"/>
        <v>4.5179999999999998</v>
      </c>
      <c r="L451" s="17" t="str">
        <f ca="1"/>
        <v>500(1)</v>
      </c>
      <c r="M451" s="83"/>
      <c r="N451" s="84" t="str">
        <f t="shared" si="97"/>
        <v/>
      </c>
      <c r="O451" s="20" t="str">
        <f t="shared" si="98"/>
        <v/>
      </c>
      <c r="P451" s="64" t="str">
        <f t="shared" si="99"/>
        <v/>
      </c>
      <c r="Q451" s="85" t="str">
        <f t="shared" ca="1" si="100"/>
        <v/>
      </c>
      <c r="R451" s="86" t="str">
        <f t="shared" si="101"/>
        <v/>
      </c>
      <c r="S451" s="86" t="str">
        <f t="shared" si="102"/>
        <v/>
      </c>
      <c r="T451" s="104" t="str">
        <f t="shared" si="103"/>
        <v/>
      </c>
      <c r="U451" s="19" t="str">
        <f>IF(AND(M451&lt;&gt;"",M451&lt;&gt;0), IF(E451 = "Muni", T451, IF(E451="Corp", T451*(1 -'Investor Input'!$C$4-'Investor Input'!$C$5), T451*(1 -'Investor Input'!$C$4))), T451)</f>
        <v/>
      </c>
      <c r="V451" s="84" t="str">
        <f t="shared" si="104"/>
        <v/>
      </c>
      <c r="W451" s="84" t="str">
        <f t="shared" si="90"/>
        <v/>
      </c>
      <c r="X451" s="21" t="str">
        <f t="shared" si="91"/>
        <v/>
      </c>
      <c r="Y451" s="60" t="str">
        <f t="shared" si="92"/>
        <v/>
      </c>
      <c r="Z451" s="60" t="str">
        <f t="shared" si="93"/>
        <v/>
      </c>
      <c r="AA451" s="64" t="str">
        <f t="shared" si="94"/>
        <v/>
      </c>
      <c r="AB451" s="64" t="str">
        <f>IF(AND(AA451&lt;&gt;"",AA451&lt;&gt;0), IF(E451="Muni", AA451, IF(E451 = "Corp", (1-'Investor Input'!$C$4-'Investor Input'!$C$5)*AA451, (1-'Investor Input'!$C$4)*AA451)), AA451)</f>
        <v/>
      </c>
      <c r="AC451" s="94" t="str">
        <f t="shared" si="95"/>
        <v/>
      </c>
      <c r="AD451" s="60" t="str">
        <f>IF(AND(M451&lt;&gt;"", M451&lt;&gt;0), N451/$N$505*MATCH(AC451,'Misc Lists'!$K$2:$K$25,0), "")</f>
        <v/>
      </c>
      <c r="AE451" s="90" t="str">
        <f t="shared" si="96"/>
        <v/>
      </c>
      <c r="AF451" s="99" t="str">
        <f>IF(AND(M451&lt;&gt;"", M451&lt;&gt;0), N451/$N$505*MATCH(AE451,'Misc Lists'!$L$2:$L$25,0), "")</f>
        <v/>
      </c>
    </row>
    <row r="452" spans="2:32" hidden="1" outlineLevel="1" x14ac:dyDescent="0.5">
      <c r="B452" s="60" t="str">
        <f ca="1"/>
        <v>459200JZ5</v>
      </c>
      <c r="C452" s="61" t="str">
        <f ca="1"/>
        <v>N/A</v>
      </c>
      <c r="D452" s="60" t="str">
        <f ca="1"/>
        <v>INTERNATIONAL       BUSINESS MACHS NOTE 3.30000% 05/15/2026 CALL MAKE WHOLE</v>
      </c>
      <c r="E452" s="61" t="str">
        <f ca="1"/>
        <v>Corp</v>
      </c>
      <c r="F452" s="62">
        <f ca="1"/>
        <v>3.3</v>
      </c>
      <c r="G452" s="63">
        <f ca="1"/>
        <v>46157</v>
      </c>
      <c r="H452" s="61" t="str">
        <f ca="1"/>
        <v>A3</v>
      </c>
      <c r="I452" s="61" t="str">
        <f ca="1"/>
        <v>A-</v>
      </c>
      <c r="J452" s="64">
        <f ca="1"/>
        <v>98.617999999999995</v>
      </c>
      <c r="K452" s="17">
        <f ca="1"/>
        <v>4.5170000000000003</v>
      </c>
      <c r="L452" s="17" t="str">
        <f ca="1"/>
        <v>200(100)</v>
      </c>
      <c r="M452" s="83"/>
      <c r="N452" s="84" t="str">
        <f t="shared" si="97"/>
        <v/>
      </c>
      <c r="O452" s="20" t="str">
        <f t="shared" si="98"/>
        <v/>
      </c>
      <c r="P452" s="64" t="str">
        <f t="shared" si="99"/>
        <v/>
      </c>
      <c r="Q452" s="85" t="str">
        <f t="shared" ca="1" si="100"/>
        <v/>
      </c>
      <c r="R452" s="86" t="str">
        <f t="shared" si="101"/>
        <v/>
      </c>
      <c r="S452" s="86" t="str">
        <f t="shared" si="102"/>
        <v/>
      </c>
      <c r="T452" s="104" t="str">
        <f t="shared" si="103"/>
        <v/>
      </c>
      <c r="U452" s="19" t="str">
        <f>IF(AND(M452&lt;&gt;"",M452&lt;&gt;0), IF(E452 = "Muni", T452, IF(E452="Corp", T452*(1 -'Investor Input'!$C$4-'Investor Input'!$C$5), T452*(1 -'Investor Input'!$C$4))), T452)</f>
        <v/>
      </c>
      <c r="V452" s="84" t="str">
        <f t="shared" si="104"/>
        <v/>
      </c>
      <c r="W452" s="84" t="str">
        <f t="shared" ref="W452:W503" si="105">IF(AND(M452&lt;&gt;"",M452&lt;&gt;0),V452-N452,"")</f>
        <v/>
      </c>
      <c r="X452" s="21" t="str">
        <f t="shared" ref="X452:X503" si="106">IF(AND(M452&lt;&gt;"",M452&lt;&gt;0),W452/N452,"")</f>
        <v/>
      </c>
      <c r="Y452" s="60" t="str">
        <f t="shared" si="92"/>
        <v/>
      </c>
      <c r="Z452" s="60" t="str">
        <f t="shared" si="93"/>
        <v/>
      </c>
      <c r="AA452" s="64" t="str">
        <f t="shared" si="94"/>
        <v/>
      </c>
      <c r="AB452" s="64" t="str">
        <f>IF(AND(AA452&lt;&gt;"",AA452&lt;&gt;0), IF(E452="Muni", AA452, IF(E452 = "Corp", (1-'Investor Input'!$C$4-'Investor Input'!$C$5)*AA452, (1-'Investor Input'!$C$4)*AA452)), AA452)</f>
        <v/>
      </c>
      <c r="AC452" s="94" t="str">
        <f t="shared" si="95"/>
        <v/>
      </c>
      <c r="AD452" s="60" t="str">
        <f>IF(AND(M452&lt;&gt;"", M452&lt;&gt;0), N452/$N$505*MATCH(AC452,'Misc Lists'!$K$2:$K$25,0), "")</f>
        <v/>
      </c>
      <c r="AE452" s="90" t="str">
        <f t="shared" si="96"/>
        <v/>
      </c>
      <c r="AF452" s="99" t="str">
        <f>IF(AND(M452&lt;&gt;"", M452&lt;&gt;0), N452/$N$505*MATCH(AE452,'Misc Lists'!$L$2:$L$25,0), "")</f>
        <v/>
      </c>
    </row>
    <row r="453" spans="2:32" hidden="1" outlineLevel="1" x14ac:dyDescent="0.5">
      <c r="B453" s="60" t="str">
        <f ca="1"/>
        <v>06368FAC3</v>
      </c>
      <c r="C453" s="61" t="str">
        <f ca="1"/>
        <v>N/A</v>
      </c>
      <c r="D453" s="60" t="str">
        <f ca="1"/>
        <v>BANK MONTREAL MEDIUMSER F MTN           1.25000% 09/15/2026 CALL MAKE WHOLE</v>
      </c>
      <c r="E453" s="61" t="str">
        <f ca="1"/>
        <v>Corp</v>
      </c>
      <c r="F453" s="62">
        <f ca="1"/>
        <v>1.25</v>
      </c>
      <c r="G453" s="63">
        <f ca="1"/>
        <v>46280</v>
      </c>
      <c r="H453" s="61" t="str">
        <f ca="1"/>
        <v>A2</v>
      </c>
      <c r="I453" s="61" t="str">
        <f ca="1"/>
        <v>A-</v>
      </c>
      <c r="J453" s="64">
        <f ca="1"/>
        <v>95.287000000000006</v>
      </c>
      <c r="K453" s="17">
        <f ca="1"/>
        <v>4.5170000000000003</v>
      </c>
      <c r="L453" s="17" t="str">
        <f ca="1"/>
        <v>200(2)</v>
      </c>
      <c r="M453" s="83"/>
      <c r="N453" s="84" t="str">
        <f t="shared" ref="N453:N503" si="107">IF(AND(M453&lt;&gt;"", M453&lt;&gt;0), IF(L453 &lt;&gt; "N/A", IF(M453&gt;=VALUE(LEFT(L453, FIND("(", L453)-1)), J453*10*M453, 1000*M453), 1000*M453), "")</f>
        <v/>
      </c>
      <c r="O453" s="20" t="str">
        <f t="shared" ref="O453:O503" si="108">IF(AND(M453&lt;&gt;"",M453&lt;&gt;0),N453/$N$505, "")</f>
        <v/>
      </c>
      <c r="P453" s="64" t="str">
        <f t="shared" ref="P453:P503" si="109">IF(AND(M453&lt;&gt;"", M453&lt;&gt;0), F453*1000/100, "")</f>
        <v/>
      </c>
      <c r="Q453" s="85" t="str">
        <f t="shared" ref="Q453:Q503" ca="1" si="110">IF(AND(M453&lt;&gt;"", M453&lt;&gt;0), NOW(), "")</f>
        <v/>
      </c>
      <c r="R453" s="86" t="str">
        <f t="shared" ref="R453:R503" si="111">IF(AND(M453&lt;&gt;"", M453&lt;&gt;0), ROUND((G453 - Q453)/365, 0), "")</f>
        <v/>
      </c>
      <c r="S453" s="86" t="str">
        <f t="shared" ref="S453:S503" si="112">IF(AND(M453&lt;&gt;"",M453&lt;&gt;0),MDURATION(Q453,G453,F453/100,K453/100,2), "")</f>
        <v/>
      </c>
      <c r="T453" s="104" t="str">
        <f t="shared" ref="T453:T503" si="113">IF(AND(M453&lt;&gt;"",M453&lt;&gt;0),YIELD(Q453,G453,F453/100,N453/(M453*10),100,2),"")</f>
        <v/>
      </c>
      <c r="U453" s="19" t="str">
        <f>IF(AND(M453&lt;&gt;"",M453&lt;&gt;0), IF(E453 = "Muni", T453, IF(E453="Corp", T453*(1 -'Investor Input'!$C$4-'Investor Input'!$C$5), T453*(1 -'Investor Input'!$C$4))), T453)</f>
        <v/>
      </c>
      <c r="V453" s="84" t="str">
        <f t="shared" ref="V453:V503" si="114">IF(AND(M453&lt;&gt;"",M453&lt;&gt;0),(FV(K453/(2*100),(G453-Q453)*2/365, F453*1000/(2*100), -N453/M453))*M453, "")</f>
        <v/>
      </c>
      <c r="W453" s="84" t="str">
        <f t="shared" si="105"/>
        <v/>
      </c>
      <c r="X453" s="21" t="str">
        <f t="shared" si="106"/>
        <v/>
      </c>
      <c r="Y453" s="60" t="str">
        <f t="shared" ref="Y453:Y503" si="115">IF(AND(M453&lt;&gt;"", M453&lt;&gt;0), MONTH(G453), "")</f>
        <v/>
      </c>
      <c r="Z453" s="60" t="str">
        <f t="shared" ref="Z453:Z503" si="116">IF(AND(M453&lt;&gt;"", M453&lt;&gt;0), MONTH(EDATE(G453, 6)), "")</f>
        <v/>
      </c>
      <c r="AA453" s="64" t="str">
        <f t="shared" ref="AA453:AA503" si="117">IF(AND(M453&lt;&gt;"", M453&lt;&gt;0), F453*1000*M453/(100*2), "")</f>
        <v/>
      </c>
      <c r="AB453" s="64" t="str">
        <f>IF(AND(AA453&lt;&gt;"",AA453&lt;&gt;0), IF(E453="Muni", AA453, IF(E453 = "Corp", (1-'Investor Input'!$C$4-'Investor Input'!$C$5)*AA453, (1-'Investor Input'!$C$4)*AA453)), AA453)</f>
        <v/>
      </c>
      <c r="AC453" s="94" t="str">
        <f t="shared" ref="AC453:AC503" si="118">IF(AND(M453&lt;&gt;"", M453&lt;&gt;0), H453, "")</f>
        <v/>
      </c>
      <c r="AD453" s="60" t="str">
        <f>IF(AND(M453&lt;&gt;"", M453&lt;&gt;0), N453/$N$505*MATCH(AC453,'Misc Lists'!$K$2:$K$25,0), "")</f>
        <v/>
      </c>
      <c r="AE453" s="90" t="str">
        <f t="shared" ref="AE453:AE503" si="119">IF(AND(M453&lt;&gt;"", M453&lt;&gt;0), I453, "")</f>
        <v/>
      </c>
      <c r="AF453" s="99" t="str">
        <f>IF(AND(M453&lt;&gt;"", M453&lt;&gt;0), N453/$N$505*MATCH(AE453,'Misc Lists'!$L$2:$L$25,0), "")</f>
        <v/>
      </c>
    </row>
    <row r="454" spans="2:32" hidden="1" outlineLevel="1" x14ac:dyDescent="0.5">
      <c r="B454" s="60" t="str">
        <f ca="1"/>
        <v>59523UAN7</v>
      </c>
      <c r="C454" s="61" t="str">
        <f ca="1"/>
        <v>N/A</v>
      </c>
      <c r="D454" s="60" t="str">
        <f ca="1"/>
        <v>MID-AMERICA APTS LP NOTE CALL MAKE WHOLE3.60000% 06/01/2027</v>
      </c>
      <c r="E454" s="61" t="str">
        <f ca="1"/>
        <v>Corp</v>
      </c>
      <c r="F454" s="62">
        <f ca="1"/>
        <v>3.6</v>
      </c>
      <c r="G454" s="63">
        <f ca="1"/>
        <v>46539</v>
      </c>
      <c r="H454" s="61" t="str">
        <f ca="1"/>
        <v>A3</v>
      </c>
      <c r="I454" s="61" t="str">
        <f ca="1"/>
        <v>A-</v>
      </c>
      <c r="J454" s="64">
        <f ca="1"/>
        <v>98.08</v>
      </c>
      <c r="K454" s="17">
        <f ca="1"/>
        <v>4.5170000000000003</v>
      </c>
      <c r="L454" s="17" t="str">
        <f ca="1"/>
        <v>150(5)</v>
      </c>
      <c r="M454" s="83"/>
      <c r="N454" s="84" t="str">
        <f t="shared" si="107"/>
        <v/>
      </c>
      <c r="O454" s="20" t="str">
        <f t="shared" si="108"/>
        <v/>
      </c>
      <c r="P454" s="64" t="str">
        <f t="shared" si="109"/>
        <v/>
      </c>
      <c r="Q454" s="85" t="str">
        <f t="shared" ca="1" si="110"/>
        <v/>
      </c>
      <c r="R454" s="86" t="str">
        <f t="shared" si="111"/>
        <v/>
      </c>
      <c r="S454" s="86" t="str">
        <f t="shared" si="112"/>
        <v/>
      </c>
      <c r="T454" s="104" t="str">
        <f t="shared" si="113"/>
        <v/>
      </c>
      <c r="U454" s="19" t="str">
        <f>IF(AND(M454&lt;&gt;"",M454&lt;&gt;0), IF(E454 = "Muni", T454, IF(E454="Corp", T454*(1 -'Investor Input'!$C$4-'Investor Input'!$C$5), T454*(1 -'Investor Input'!$C$4))), T454)</f>
        <v/>
      </c>
      <c r="V454" s="84" t="str">
        <f t="shared" si="114"/>
        <v/>
      </c>
      <c r="W454" s="84" t="str">
        <f t="shared" si="105"/>
        <v/>
      </c>
      <c r="X454" s="21" t="str">
        <f t="shared" si="106"/>
        <v/>
      </c>
      <c r="Y454" s="60" t="str">
        <f t="shared" si="115"/>
        <v/>
      </c>
      <c r="Z454" s="60" t="str">
        <f t="shared" si="116"/>
        <v/>
      </c>
      <c r="AA454" s="64" t="str">
        <f t="shared" si="117"/>
        <v/>
      </c>
      <c r="AB454" s="64" t="str">
        <f>IF(AND(AA454&lt;&gt;"",AA454&lt;&gt;0), IF(E454="Muni", AA454, IF(E454 = "Corp", (1-'Investor Input'!$C$4-'Investor Input'!$C$5)*AA454, (1-'Investor Input'!$C$4)*AA454)), AA454)</f>
        <v/>
      </c>
      <c r="AC454" s="94" t="str">
        <f t="shared" si="118"/>
        <v/>
      </c>
      <c r="AD454" s="60" t="str">
        <f>IF(AND(M454&lt;&gt;"", M454&lt;&gt;0), N454/$N$505*MATCH(AC454,'Misc Lists'!$K$2:$K$25,0), "")</f>
        <v/>
      </c>
      <c r="AE454" s="90" t="str">
        <f t="shared" si="119"/>
        <v/>
      </c>
      <c r="AF454" s="99" t="str">
        <f>IF(AND(M454&lt;&gt;"", M454&lt;&gt;0), N454/$N$505*MATCH(AE454,'Misc Lists'!$L$2:$L$25,0), "")</f>
        <v/>
      </c>
    </row>
    <row r="455" spans="2:32" hidden="1" outlineLevel="1" x14ac:dyDescent="0.5">
      <c r="B455" s="60" t="str">
        <f ca="1"/>
        <v>29364NAT5</v>
      </c>
      <c r="C455" s="61" t="str">
        <f ca="1"/>
        <v>N/A</v>
      </c>
      <c r="D455" s="60" t="str">
        <f ca="1"/>
        <v>ENTERGY MISSISSIPPI LLC BOND            2.85000% 06/01/2028 CALL MAKE WHOLE</v>
      </c>
      <c r="E455" s="61" t="str">
        <f ca="1"/>
        <v>Corp</v>
      </c>
      <c r="F455" s="62">
        <f ca="1"/>
        <v>2.85</v>
      </c>
      <c r="G455" s="63">
        <f ca="1"/>
        <v>46905</v>
      </c>
      <c r="H455" s="61" t="str">
        <f ca="1"/>
        <v>A2</v>
      </c>
      <c r="I455" s="61" t="str">
        <f ca="1"/>
        <v>A</v>
      </c>
      <c r="J455" s="64">
        <f ca="1"/>
        <v>95.055999999999997</v>
      </c>
      <c r="K455" s="17">
        <f ca="1"/>
        <v>4.516</v>
      </c>
      <c r="L455" s="17" t="str">
        <f ca="1"/>
        <v>100(15)</v>
      </c>
      <c r="M455" s="83"/>
      <c r="N455" s="84" t="str">
        <f t="shared" si="107"/>
        <v/>
      </c>
      <c r="O455" s="20" t="str">
        <f t="shared" si="108"/>
        <v/>
      </c>
      <c r="P455" s="64" t="str">
        <f t="shared" si="109"/>
        <v/>
      </c>
      <c r="Q455" s="85" t="str">
        <f t="shared" ca="1" si="110"/>
        <v/>
      </c>
      <c r="R455" s="86" t="str">
        <f t="shared" si="111"/>
        <v/>
      </c>
      <c r="S455" s="86" t="str">
        <f t="shared" si="112"/>
        <v/>
      </c>
      <c r="T455" s="104" t="str">
        <f t="shared" si="113"/>
        <v/>
      </c>
      <c r="U455" s="19" t="str">
        <f>IF(AND(M455&lt;&gt;"",M455&lt;&gt;0), IF(E455 = "Muni", T455, IF(E455="Corp", T455*(1 -'Investor Input'!$C$4-'Investor Input'!$C$5), T455*(1 -'Investor Input'!$C$4))), T455)</f>
        <v/>
      </c>
      <c r="V455" s="84" t="str">
        <f t="shared" si="114"/>
        <v/>
      </c>
      <c r="W455" s="84" t="str">
        <f t="shared" si="105"/>
        <v/>
      </c>
      <c r="X455" s="21" t="str">
        <f t="shared" si="106"/>
        <v/>
      </c>
      <c r="Y455" s="60" t="str">
        <f t="shared" si="115"/>
        <v/>
      </c>
      <c r="Z455" s="60" t="str">
        <f t="shared" si="116"/>
        <v/>
      </c>
      <c r="AA455" s="64" t="str">
        <f t="shared" si="117"/>
        <v/>
      </c>
      <c r="AB455" s="64" t="str">
        <f>IF(AND(AA455&lt;&gt;"",AA455&lt;&gt;0), IF(E455="Muni", AA455, IF(E455 = "Corp", (1-'Investor Input'!$C$4-'Investor Input'!$C$5)*AA455, (1-'Investor Input'!$C$4)*AA455)), AA455)</f>
        <v/>
      </c>
      <c r="AC455" s="94" t="str">
        <f t="shared" si="118"/>
        <v/>
      </c>
      <c r="AD455" s="60" t="str">
        <f>IF(AND(M455&lt;&gt;"", M455&lt;&gt;0), N455/$N$505*MATCH(AC455,'Misc Lists'!$K$2:$K$25,0), "")</f>
        <v/>
      </c>
      <c r="AE455" s="90" t="str">
        <f t="shared" si="119"/>
        <v/>
      </c>
      <c r="AF455" s="99" t="str">
        <f>IF(AND(M455&lt;&gt;"", M455&lt;&gt;0), N455/$N$505*MATCH(AE455,'Misc Lists'!$L$2:$L$25,0), "")</f>
        <v/>
      </c>
    </row>
    <row r="456" spans="2:32" hidden="1" outlineLevel="1" x14ac:dyDescent="0.5">
      <c r="B456" s="60" t="str">
        <f ca="1"/>
        <v>02665WFT3</v>
      </c>
      <c r="C456" s="61" t="str">
        <f ca="1"/>
        <v>N/A</v>
      </c>
      <c r="D456" s="60" t="str">
        <f ca="1"/>
        <v>AMERICAN HONDA FIN  CORP  SER A MTN     4.45000% 10/22/2027 CALL MAKE WHOLE</v>
      </c>
      <c r="E456" s="61" t="str">
        <f ca="1"/>
        <v>Corp</v>
      </c>
      <c r="F456" s="62">
        <f ca="1"/>
        <v>4.45</v>
      </c>
      <c r="G456" s="63">
        <f ca="1"/>
        <v>46682</v>
      </c>
      <c r="H456" s="61" t="str">
        <f ca="1"/>
        <v>A3</v>
      </c>
      <c r="I456" s="61" t="str">
        <f ca="1"/>
        <v>A-</v>
      </c>
      <c r="J456" s="64">
        <f ca="1"/>
        <v>99.837999999999994</v>
      </c>
      <c r="K456" s="17">
        <f ca="1"/>
        <v>4.5149999999999997</v>
      </c>
      <c r="L456" s="17" t="str">
        <f ca="1"/>
        <v>200(2)</v>
      </c>
      <c r="M456" s="83"/>
      <c r="N456" s="84" t="str">
        <f t="shared" si="107"/>
        <v/>
      </c>
      <c r="O456" s="20" t="str">
        <f t="shared" si="108"/>
        <v/>
      </c>
      <c r="P456" s="64" t="str">
        <f t="shared" si="109"/>
        <v/>
      </c>
      <c r="Q456" s="85" t="str">
        <f t="shared" ca="1" si="110"/>
        <v/>
      </c>
      <c r="R456" s="86" t="str">
        <f t="shared" si="111"/>
        <v/>
      </c>
      <c r="S456" s="86" t="str">
        <f t="shared" si="112"/>
        <v/>
      </c>
      <c r="T456" s="104" t="str">
        <f t="shared" si="113"/>
        <v/>
      </c>
      <c r="U456" s="19" t="str">
        <f>IF(AND(M456&lt;&gt;"",M456&lt;&gt;0), IF(E456 = "Muni", T456, IF(E456="Corp", T456*(1 -'Investor Input'!$C$4-'Investor Input'!$C$5), T456*(1 -'Investor Input'!$C$4))), T456)</f>
        <v/>
      </c>
      <c r="V456" s="84" t="str">
        <f t="shared" si="114"/>
        <v/>
      </c>
      <c r="W456" s="84" t="str">
        <f t="shared" si="105"/>
        <v/>
      </c>
      <c r="X456" s="21" t="str">
        <f t="shared" si="106"/>
        <v/>
      </c>
      <c r="Y456" s="60" t="str">
        <f t="shared" si="115"/>
        <v/>
      </c>
      <c r="Z456" s="60" t="str">
        <f t="shared" si="116"/>
        <v/>
      </c>
      <c r="AA456" s="64" t="str">
        <f t="shared" si="117"/>
        <v/>
      </c>
      <c r="AB456" s="64" t="str">
        <f>IF(AND(AA456&lt;&gt;"",AA456&lt;&gt;0), IF(E456="Muni", AA456, IF(E456 = "Corp", (1-'Investor Input'!$C$4-'Investor Input'!$C$5)*AA456, (1-'Investor Input'!$C$4)*AA456)), AA456)</f>
        <v/>
      </c>
      <c r="AC456" s="94" t="str">
        <f t="shared" si="118"/>
        <v/>
      </c>
      <c r="AD456" s="60" t="str">
        <f>IF(AND(M456&lt;&gt;"", M456&lt;&gt;0), N456/$N$505*MATCH(AC456,'Misc Lists'!$K$2:$K$25,0), "")</f>
        <v/>
      </c>
      <c r="AE456" s="90" t="str">
        <f t="shared" si="119"/>
        <v/>
      </c>
      <c r="AF456" s="99" t="str">
        <f>IF(AND(M456&lt;&gt;"", M456&lt;&gt;0), N456/$N$505*MATCH(AE456,'Misc Lists'!$L$2:$L$25,0), "")</f>
        <v/>
      </c>
    </row>
    <row r="457" spans="2:32" hidden="1" outlineLevel="1" x14ac:dyDescent="0.5">
      <c r="B457" s="60" t="str">
        <f ca="1"/>
        <v>773903AH2</v>
      </c>
      <c r="C457" s="61" t="str">
        <f ca="1"/>
        <v>N/A</v>
      </c>
      <c r="D457" s="60" t="str">
        <f ca="1"/>
        <v>ROCKWELL AUTOMATION INC NOTE            3.50000% 03/01/2029 CALL MAKE WHOLE</v>
      </c>
      <c r="E457" s="61" t="str">
        <f ca="1"/>
        <v>Corp</v>
      </c>
      <c r="F457" s="62">
        <f ca="1"/>
        <v>3.5</v>
      </c>
      <c r="G457" s="63">
        <f ca="1"/>
        <v>47178</v>
      </c>
      <c r="H457" s="61" t="str">
        <f ca="1"/>
        <v>A3</v>
      </c>
      <c r="I457" s="61" t="str">
        <f ca="1"/>
        <v>A-</v>
      </c>
      <c r="J457" s="64">
        <f ca="1"/>
        <v>96.349000000000004</v>
      </c>
      <c r="K457" s="17">
        <f ca="1"/>
        <v>4.5149999999999997</v>
      </c>
      <c r="L457" s="17" t="str">
        <f ca="1"/>
        <v>105(10)</v>
      </c>
      <c r="M457" s="83"/>
      <c r="N457" s="84" t="str">
        <f t="shared" si="107"/>
        <v/>
      </c>
      <c r="O457" s="20" t="str">
        <f t="shared" si="108"/>
        <v/>
      </c>
      <c r="P457" s="64" t="str">
        <f t="shared" si="109"/>
        <v/>
      </c>
      <c r="Q457" s="85" t="str">
        <f t="shared" ca="1" si="110"/>
        <v/>
      </c>
      <c r="R457" s="86" t="str">
        <f t="shared" si="111"/>
        <v/>
      </c>
      <c r="S457" s="86" t="str">
        <f t="shared" si="112"/>
        <v/>
      </c>
      <c r="T457" s="104" t="str">
        <f t="shared" si="113"/>
        <v/>
      </c>
      <c r="U457" s="19" t="str">
        <f>IF(AND(M457&lt;&gt;"",M457&lt;&gt;0), IF(E457 = "Muni", T457, IF(E457="Corp", T457*(1 -'Investor Input'!$C$4-'Investor Input'!$C$5), T457*(1 -'Investor Input'!$C$4))), T457)</f>
        <v/>
      </c>
      <c r="V457" s="84" t="str">
        <f t="shared" si="114"/>
        <v/>
      </c>
      <c r="W457" s="84" t="str">
        <f t="shared" si="105"/>
        <v/>
      </c>
      <c r="X457" s="21" t="str">
        <f t="shared" si="106"/>
        <v/>
      </c>
      <c r="Y457" s="60" t="str">
        <f t="shared" si="115"/>
        <v/>
      </c>
      <c r="Z457" s="60" t="str">
        <f t="shared" si="116"/>
        <v/>
      </c>
      <c r="AA457" s="64" t="str">
        <f t="shared" si="117"/>
        <v/>
      </c>
      <c r="AB457" s="64" t="str">
        <f>IF(AND(AA457&lt;&gt;"",AA457&lt;&gt;0), IF(E457="Muni", AA457, IF(E457 = "Corp", (1-'Investor Input'!$C$4-'Investor Input'!$C$5)*AA457, (1-'Investor Input'!$C$4)*AA457)), AA457)</f>
        <v/>
      </c>
      <c r="AC457" s="94" t="str">
        <f t="shared" si="118"/>
        <v/>
      </c>
      <c r="AD457" s="60" t="str">
        <f>IF(AND(M457&lt;&gt;"", M457&lt;&gt;0), N457/$N$505*MATCH(AC457,'Misc Lists'!$K$2:$K$25,0), "")</f>
        <v/>
      </c>
      <c r="AE457" s="90" t="str">
        <f t="shared" si="119"/>
        <v/>
      </c>
      <c r="AF457" s="99" t="str">
        <f>IF(AND(M457&lt;&gt;"", M457&lt;&gt;0), N457/$N$505*MATCH(AE457,'Misc Lists'!$L$2:$L$25,0), "")</f>
        <v/>
      </c>
    </row>
    <row r="458" spans="2:32" hidden="1" outlineLevel="1" x14ac:dyDescent="0.5">
      <c r="B458" s="60" t="str">
        <f ca="1"/>
        <v>63743FA63</v>
      </c>
      <c r="C458" s="61" t="str">
        <f ca="1"/>
        <v>N/A</v>
      </c>
      <c r="D458" s="60" t="str">
        <f ca="1"/>
        <v>NATIONAL RURAL UTILSCOOP FIN MTN        3.00000% 08/15/2029</v>
      </c>
      <c r="E458" s="61" t="str">
        <f ca="1"/>
        <v>Corp</v>
      </c>
      <c r="F458" s="62">
        <f ca="1"/>
        <v>3</v>
      </c>
      <c r="G458" s="63">
        <f ca="1"/>
        <v>47345</v>
      </c>
      <c r="H458" s="61" t="str">
        <f ca="1"/>
        <v>A2</v>
      </c>
      <c r="I458" s="61" t="str">
        <f ca="1"/>
        <v>A-</v>
      </c>
      <c r="J458" s="64">
        <f ca="1"/>
        <v>93.932000000000002</v>
      </c>
      <c r="K458" s="17">
        <f ca="1"/>
        <v>4.5149999999999997</v>
      </c>
      <c r="L458" s="17" t="str">
        <f ca="1"/>
        <v>4(4)</v>
      </c>
      <c r="M458" s="83"/>
      <c r="N458" s="84" t="str">
        <f t="shared" si="107"/>
        <v/>
      </c>
      <c r="O458" s="20" t="str">
        <f t="shared" si="108"/>
        <v/>
      </c>
      <c r="P458" s="64" t="str">
        <f t="shared" si="109"/>
        <v/>
      </c>
      <c r="Q458" s="85" t="str">
        <f t="shared" ca="1" si="110"/>
        <v/>
      </c>
      <c r="R458" s="86" t="str">
        <f t="shared" si="111"/>
        <v/>
      </c>
      <c r="S458" s="86" t="str">
        <f t="shared" si="112"/>
        <v/>
      </c>
      <c r="T458" s="104" t="str">
        <f t="shared" si="113"/>
        <v/>
      </c>
      <c r="U458" s="19" t="str">
        <f>IF(AND(M458&lt;&gt;"",M458&lt;&gt;0), IF(E458 = "Muni", T458, IF(E458="Corp", T458*(1 -'Investor Input'!$C$4-'Investor Input'!$C$5), T458*(1 -'Investor Input'!$C$4))), T458)</f>
        <v/>
      </c>
      <c r="V458" s="84" t="str">
        <f t="shared" si="114"/>
        <v/>
      </c>
      <c r="W458" s="84" t="str">
        <f t="shared" si="105"/>
        <v/>
      </c>
      <c r="X458" s="21" t="str">
        <f t="shared" si="106"/>
        <v/>
      </c>
      <c r="Y458" s="60" t="str">
        <f t="shared" si="115"/>
        <v/>
      </c>
      <c r="Z458" s="60" t="str">
        <f t="shared" si="116"/>
        <v/>
      </c>
      <c r="AA458" s="64" t="str">
        <f t="shared" si="117"/>
        <v/>
      </c>
      <c r="AB458" s="64" t="str">
        <f>IF(AND(AA458&lt;&gt;"",AA458&lt;&gt;0), IF(E458="Muni", AA458, IF(E458 = "Corp", (1-'Investor Input'!$C$4-'Investor Input'!$C$5)*AA458, (1-'Investor Input'!$C$4)*AA458)), AA458)</f>
        <v/>
      </c>
      <c r="AC458" s="94" t="str">
        <f t="shared" si="118"/>
        <v/>
      </c>
      <c r="AD458" s="60" t="str">
        <f>IF(AND(M458&lt;&gt;"", M458&lt;&gt;0), N458/$N$505*MATCH(AC458,'Misc Lists'!$K$2:$K$25,0), "")</f>
        <v/>
      </c>
      <c r="AE458" s="90" t="str">
        <f t="shared" si="119"/>
        <v/>
      </c>
      <c r="AF458" s="99" t="str">
        <f>IF(AND(M458&lt;&gt;"", M458&lt;&gt;0), N458/$N$505*MATCH(AE458,'Misc Lists'!$L$2:$L$25,0), "")</f>
        <v/>
      </c>
    </row>
    <row r="459" spans="2:32" hidden="1" outlineLevel="1" x14ac:dyDescent="0.5">
      <c r="B459" s="60" t="str">
        <f ca="1"/>
        <v>049560AR6</v>
      </c>
      <c r="C459" s="61" t="str">
        <f ca="1"/>
        <v>N/A</v>
      </c>
      <c r="D459" s="60" t="str">
        <f ca="1"/>
        <v>ATMOS ENERGY CORP   NOTE CALL MAKE WHOLE2.62500% 09/15/2029</v>
      </c>
      <c r="E459" s="61" t="str">
        <f ca="1"/>
        <v>Corp</v>
      </c>
      <c r="F459" s="62">
        <f ca="1"/>
        <v>2.625</v>
      </c>
      <c r="G459" s="63">
        <f ca="1"/>
        <v>47376</v>
      </c>
      <c r="H459" s="61" t="str">
        <f ca="1"/>
        <v>A1</v>
      </c>
      <c r="I459" s="61" t="str">
        <f ca="1"/>
        <v>A-</v>
      </c>
      <c r="J459" s="64">
        <f ca="1"/>
        <v>92.367000000000004</v>
      </c>
      <c r="K459" s="17">
        <f ca="1"/>
        <v>4.5149999999999997</v>
      </c>
      <c r="L459" s="17" t="str">
        <f ca="1"/>
        <v>250(10)</v>
      </c>
      <c r="M459" s="83"/>
      <c r="N459" s="84" t="str">
        <f t="shared" si="107"/>
        <v/>
      </c>
      <c r="O459" s="20" t="str">
        <f t="shared" si="108"/>
        <v/>
      </c>
      <c r="P459" s="64" t="str">
        <f t="shared" si="109"/>
        <v/>
      </c>
      <c r="Q459" s="85" t="str">
        <f t="shared" ca="1" si="110"/>
        <v/>
      </c>
      <c r="R459" s="86" t="str">
        <f t="shared" si="111"/>
        <v/>
      </c>
      <c r="S459" s="86" t="str">
        <f t="shared" si="112"/>
        <v/>
      </c>
      <c r="T459" s="104" t="str">
        <f t="shared" si="113"/>
        <v/>
      </c>
      <c r="U459" s="19" t="str">
        <f>IF(AND(M459&lt;&gt;"",M459&lt;&gt;0), IF(E459 = "Muni", T459, IF(E459="Corp", T459*(1 -'Investor Input'!$C$4-'Investor Input'!$C$5), T459*(1 -'Investor Input'!$C$4))), T459)</f>
        <v/>
      </c>
      <c r="V459" s="84" t="str">
        <f t="shared" si="114"/>
        <v/>
      </c>
      <c r="W459" s="84" t="str">
        <f t="shared" si="105"/>
        <v/>
      </c>
      <c r="X459" s="21" t="str">
        <f t="shared" si="106"/>
        <v/>
      </c>
      <c r="Y459" s="60" t="str">
        <f t="shared" si="115"/>
        <v/>
      </c>
      <c r="Z459" s="60" t="str">
        <f t="shared" si="116"/>
        <v/>
      </c>
      <c r="AA459" s="64" t="str">
        <f t="shared" si="117"/>
        <v/>
      </c>
      <c r="AB459" s="64" t="str">
        <f>IF(AND(AA459&lt;&gt;"",AA459&lt;&gt;0), IF(E459="Muni", AA459, IF(E459 = "Corp", (1-'Investor Input'!$C$4-'Investor Input'!$C$5)*AA459, (1-'Investor Input'!$C$4)*AA459)), AA459)</f>
        <v/>
      </c>
      <c r="AC459" s="94" t="str">
        <f t="shared" si="118"/>
        <v/>
      </c>
      <c r="AD459" s="60" t="str">
        <f>IF(AND(M459&lt;&gt;"", M459&lt;&gt;0), N459/$N$505*MATCH(AC459,'Misc Lists'!$K$2:$K$25,0), "")</f>
        <v/>
      </c>
      <c r="AE459" s="90" t="str">
        <f t="shared" si="119"/>
        <v/>
      </c>
      <c r="AF459" s="99" t="str">
        <f>IF(AND(M459&lt;&gt;"", M459&lt;&gt;0), N459/$N$505*MATCH(AE459,'Misc Lists'!$L$2:$L$25,0), "")</f>
        <v/>
      </c>
    </row>
    <row r="460" spans="2:32" hidden="1" outlineLevel="1" x14ac:dyDescent="0.5">
      <c r="B460" s="60" t="str">
        <f ca="1"/>
        <v>713448GB8</v>
      </c>
      <c r="C460" s="61" t="str">
        <f ca="1"/>
        <v>N/A</v>
      </c>
      <c r="D460" s="60" t="str">
        <f ca="1"/>
        <v>PEPSICO INC         NOTE CALL MAKE WHOLE4.60000% 02/07/2030</v>
      </c>
      <c r="E460" s="61" t="str">
        <f ca="1"/>
        <v>Corp</v>
      </c>
      <c r="F460" s="62">
        <f ca="1"/>
        <v>4.5999999999999996</v>
      </c>
      <c r="G460" s="63">
        <f ca="1"/>
        <v>47521</v>
      </c>
      <c r="H460" s="61" t="str">
        <f ca="1"/>
        <v>A1</v>
      </c>
      <c r="I460" s="61" t="str">
        <f ca="1"/>
        <v>A+</v>
      </c>
      <c r="J460" s="64">
        <f ca="1"/>
        <v>100.364</v>
      </c>
      <c r="K460" s="17">
        <f ca="1"/>
        <v>4.5149999999999997</v>
      </c>
      <c r="L460" s="17" t="str">
        <f ca="1"/>
        <v>575(25)</v>
      </c>
      <c r="M460" s="83"/>
      <c r="N460" s="84" t="str">
        <f t="shared" si="107"/>
        <v/>
      </c>
      <c r="O460" s="20" t="str">
        <f t="shared" si="108"/>
        <v/>
      </c>
      <c r="P460" s="64" t="str">
        <f t="shared" si="109"/>
        <v/>
      </c>
      <c r="Q460" s="85" t="str">
        <f t="shared" ca="1" si="110"/>
        <v/>
      </c>
      <c r="R460" s="86" t="str">
        <f t="shared" si="111"/>
        <v/>
      </c>
      <c r="S460" s="86" t="str">
        <f t="shared" si="112"/>
        <v/>
      </c>
      <c r="T460" s="104" t="str">
        <f t="shared" si="113"/>
        <v/>
      </c>
      <c r="U460" s="19" t="str">
        <f>IF(AND(M460&lt;&gt;"",M460&lt;&gt;0), IF(E460 = "Muni", T460, IF(E460="Corp", T460*(1 -'Investor Input'!$C$4-'Investor Input'!$C$5), T460*(1 -'Investor Input'!$C$4))), T460)</f>
        <v/>
      </c>
      <c r="V460" s="84" t="str">
        <f t="shared" si="114"/>
        <v/>
      </c>
      <c r="W460" s="84" t="str">
        <f t="shared" si="105"/>
        <v/>
      </c>
      <c r="X460" s="21" t="str">
        <f t="shared" si="106"/>
        <v/>
      </c>
      <c r="Y460" s="60" t="str">
        <f t="shared" si="115"/>
        <v/>
      </c>
      <c r="Z460" s="60" t="str">
        <f t="shared" si="116"/>
        <v/>
      </c>
      <c r="AA460" s="64" t="str">
        <f t="shared" si="117"/>
        <v/>
      </c>
      <c r="AB460" s="64" t="str">
        <f>IF(AND(AA460&lt;&gt;"",AA460&lt;&gt;0), IF(E460="Muni", AA460, IF(E460 = "Corp", (1-'Investor Input'!$C$4-'Investor Input'!$C$5)*AA460, (1-'Investor Input'!$C$4)*AA460)), AA460)</f>
        <v/>
      </c>
      <c r="AC460" s="94" t="str">
        <f t="shared" si="118"/>
        <v/>
      </c>
      <c r="AD460" s="60" t="str">
        <f>IF(AND(M460&lt;&gt;"", M460&lt;&gt;0), N460/$N$505*MATCH(AC460,'Misc Lists'!$K$2:$K$25,0), "")</f>
        <v/>
      </c>
      <c r="AE460" s="90" t="str">
        <f t="shared" si="119"/>
        <v/>
      </c>
      <c r="AF460" s="99" t="str">
        <f>IF(AND(M460&lt;&gt;"", M460&lt;&gt;0), N460/$N$505*MATCH(AE460,'Misc Lists'!$L$2:$L$25,0), "")</f>
        <v/>
      </c>
    </row>
    <row r="461" spans="2:32" hidden="1" outlineLevel="1" x14ac:dyDescent="0.5">
      <c r="B461" s="60" t="str">
        <f ca="1"/>
        <v>254687FL5</v>
      </c>
      <c r="C461" s="61" t="str">
        <f ca="1"/>
        <v>N/A</v>
      </c>
      <c r="D461" s="60" t="str">
        <f ca="1"/>
        <v>DISNEY WALT CO      NOTE CALL MAKE WHOLE2.00000% 09/01/2029 ISIN #US254687FL52  SEDOL #BKKKD11</v>
      </c>
      <c r="E461" s="61" t="str">
        <f ca="1"/>
        <v>Corp</v>
      </c>
      <c r="F461" s="62">
        <f ca="1"/>
        <v>2</v>
      </c>
      <c r="G461" s="63">
        <f ca="1"/>
        <v>47362</v>
      </c>
      <c r="H461" s="61" t="str">
        <f ca="1"/>
        <v>A2</v>
      </c>
      <c r="I461" s="61" t="str">
        <f ca="1"/>
        <v>A</v>
      </c>
      <c r="J461" s="64">
        <f ca="1"/>
        <v>89.93</v>
      </c>
      <c r="K461" s="17">
        <f ca="1"/>
        <v>4.5129999999999999</v>
      </c>
      <c r="L461" s="17" t="str">
        <f ca="1"/>
        <v>250(10)</v>
      </c>
      <c r="M461" s="83"/>
      <c r="N461" s="84" t="str">
        <f t="shared" si="107"/>
        <v/>
      </c>
      <c r="O461" s="20" t="str">
        <f t="shared" si="108"/>
        <v/>
      </c>
      <c r="P461" s="64" t="str">
        <f t="shared" si="109"/>
        <v/>
      </c>
      <c r="Q461" s="85" t="str">
        <f t="shared" ca="1" si="110"/>
        <v/>
      </c>
      <c r="R461" s="86" t="str">
        <f t="shared" si="111"/>
        <v/>
      </c>
      <c r="S461" s="86" t="str">
        <f t="shared" si="112"/>
        <v/>
      </c>
      <c r="T461" s="104" t="str">
        <f t="shared" si="113"/>
        <v/>
      </c>
      <c r="U461" s="19" t="str">
        <f>IF(AND(M461&lt;&gt;"",M461&lt;&gt;0), IF(E461 = "Muni", T461, IF(E461="Corp", T461*(1 -'Investor Input'!$C$4-'Investor Input'!$C$5), T461*(1 -'Investor Input'!$C$4))), T461)</f>
        <v/>
      </c>
      <c r="V461" s="84" t="str">
        <f t="shared" si="114"/>
        <v/>
      </c>
      <c r="W461" s="84" t="str">
        <f t="shared" si="105"/>
        <v/>
      </c>
      <c r="X461" s="21" t="str">
        <f t="shared" si="106"/>
        <v/>
      </c>
      <c r="Y461" s="60" t="str">
        <f t="shared" si="115"/>
        <v/>
      </c>
      <c r="Z461" s="60" t="str">
        <f t="shared" si="116"/>
        <v/>
      </c>
      <c r="AA461" s="64" t="str">
        <f t="shared" si="117"/>
        <v/>
      </c>
      <c r="AB461" s="64" t="str">
        <f>IF(AND(AA461&lt;&gt;"",AA461&lt;&gt;0), IF(E461="Muni", AA461, IF(E461 = "Corp", (1-'Investor Input'!$C$4-'Investor Input'!$C$5)*AA461, (1-'Investor Input'!$C$4)*AA461)), AA461)</f>
        <v/>
      </c>
      <c r="AC461" s="94" t="str">
        <f t="shared" si="118"/>
        <v/>
      </c>
      <c r="AD461" s="60" t="str">
        <f>IF(AND(M461&lt;&gt;"", M461&lt;&gt;0), N461/$N$505*MATCH(AC461,'Misc Lists'!$K$2:$K$25,0), "")</f>
        <v/>
      </c>
      <c r="AE461" s="90" t="str">
        <f t="shared" si="119"/>
        <v/>
      </c>
      <c r="AF461" s="99" t="str">
        <f>IF(AND(M461&lt;&gt;"", M461&lt;&gt;0), N461/$N$505*MATCH(AE461,'Misc Lists'!$L$2:$L$25,0), "")</f>
        <v/>
      </c>
    </row>
    <row r="462" spans="2:32" hidden="1" outlineLevel="1" x14ac:dyDescent="0.5">
      <c r="B462" s="60" t="str">
        <f ca="1"/>
        <v>63743FVJ2</v>
      </c>
      <c r="C462" s="61" t="str">
        <f ca="1"/>
        <v>N/A</v>
      </c>
      <c r="D462" s="60" t="str">
        <f ca="1"/>
        <v>NATIONAL RURAL UTILSCOOP FIN MTN        3.50000% 01/15/2030</v>
      </c>
      <c r="E462" s="61" t="str">
        <f ca="1"/>
        <v>Corp</v>
      </c>
      <c r="F462" s="62">
        <f ca="1"/>
        <v>3.5</v>
      </c>
      <c r="G462" s="63">
        <f ca="1"/>
        <v>47498</v>
      </c>
      <c r="H462" s="61" t="str">
        <f ca="1"/>
        <v>A2</v>
      </c>
      <c r="I462" s="61" t="str">
        <f ca="1"/>
        <v>A-</v>
      </c>
      <c r="J462" s="64">
        <f ca="1"/>
        <v>95.602999999999994</v>
      </c>
      <c r="K462" s="17">
        <f ca="1"/>
        <v>4.5129999999999999</v>
      </c>
      <c r="L462" s="17" t="str">
        <f ca="1"/>
        <v>2(2)</v>
      </c>
      <c r="M462" s="83"/>
      <c r="N462" s="84" t="str">
        <f t="shared" si="107"/>
        <v/>
      </c>
      <c r="O462" s="20" t="str">
        <f t="shared" si="108"/>
        <v/>
      </c>
      <c r="P462" s="64" t="str">
        <f t="shared" si="109"/>
        <v/>
      </c>
      <c r="Q462" s="85" t="str">
        <f t="shared" ca="1" si="110"/>
        <v/>
      </c>
      <c r="R462" s="86" t="str">
        <f t="shared" si="111"/>
        <v/>
      </c>
      <c r="S462" s="86" t="str">
        <f t="shared" si="112"/>
        <v/>
      </c>
      <c r="T462" s="104" t="str">
        <f t="shared" si="113"/>
        <v/>
      </c>
      <c r="U462" s="19" t="str">
        <f>IF(AND(M462&lt;&gt;"",M462&lt;&gt;0), IF(E462 = "Muni", T462, IF(E462="Corp", T462*(1 -'Investor Input'!$C$4-'Investor Input'!$C$5), T462*(1 -'Investor Input'!$C$4))), T462)</f>
        <v/>
      </c>
      <c r="V462" s="84" t="str">
        <f t="shared" si="114"/>
        <v/>
      </c>
      <c r="W462" s="84" t="str">
        <f t="shared" si="105"/>
        <v/>
      </c>
      <c r="X462" s="21" t="str">
        <f t="shared" si="106"/>
        <v/>
      </c>
      <c r="Y462" s="60" t="str">
        <f t="shared" si="115"/>
        <v/>
      </c>
      <c r="Z462" s="60" t="str">
        <f t="shared" si="116"/>
        <v/>
      </c>
      <c r="AA462" s="64" t="str">
        <f t="shared" si="117"/>
        <v/>
      </c>
      <c r="AB462" s="64" t="str">
        <f>IF(AND(AA462&lt;&gt;"",AA462&lt;&gt;0), IF(E462="Muni", AA462, IF(E462 = "Corp", (1-'Investor Input'!$C$4-'Investor Input'!$C$5)*AA462, (1-'Investor Input'!$C$4)*AA462)), AA462)</f>
        <v/>
      </c>
      <c r="AC462" s="94" t="str">
        <f t="shared" si="118"/>
        <v/>
      </c>
      <c r="AD462" s="60" t="str">
        <f>IF(AND(M462&lt;&gt;"", M462&lt;&gt;0), N462/$N$505*MATCH(AC462,'Misc Lists'!$K$2:$K$25,0), "")</f>
        <v/>
      </c>
      <c r="AE462" s="90" t="str">
        <f t="shared" si="119"/>
        <v/>
      </c>
      <c r="AF462" s="99" t="str">
        <f>IF(AND(M462&lt;&gt;"", M462&lt;&gt;0), N462/$N$505*MATCH(AE462,'Misc Lists'!$L$2:$L$25,0), "")</f>
        <v/>
      </c>
    </row>
    <row r="463" spans="2:32" hidden="1" outlineLevel="1" x14ac:dyDescent="0.5">
      <c r="B463" s="60" t="str">
        <f ca="1"/>
        <v>74432QCG8</v>
      </c>
      <c r="C463" s="61" t="str">
        <f ca="1"/>
        <v>N/A</v>
      </c>
      <c r="D463" s="60" t="str">
        <f ca="1"/>
        <v>PRUDENTIAL FINL INC SER E MTN           2.10000% 03/10/2030 CALL MAKE WHOLE</v>
      </c>
      <c r="E463" s="61" t="str">
        <f ca="1"/>
        <v>Corp</v>
      </c>
      <c r="F463" s="62">
        <f ca="1"/>
        <v>2.1</v>
      </c>
      <c r="G463" s="63">
        <f ca="1"/>
        <v>47552</v>
      </c>
      <c r="H463" s="61" t="str">
        <f ca="1"/>
        <v>A3</v>
      </c>
      <c r="I463" s="61" t="str">
        <f ca="1"/>
        <v>A</v>
      </c>
      <c r="J463" s="64">
        <f ca="1"/>
        <v>89.319000000000003</v>
      </c>
      <c r="K463" s="17">
        <f ca="1"/>
        <v>4.5129999999999999</v>
      </c>
      <c r="L463" s="17" t="str">
        <f ca="1"/>
        <v>68(10)</v>
      </c>
      <c r="M463" s="83"/>
      <c r="N463" s="84" t="str">
        <f t="shared" si="107"/>
        <v/>
      </c>
      <c r="O463" s="20" t="str">
        <f t="shared" si="108"/>
        <v/>
      </c>
      <c r="P463" s="64" t="str">
        <f t="shared" si="109"/>
        <v/>
      </c>
      <c r="Q463" s="85" t="str">
        <f t="shared" ca="1" si="110"/>
        <v/>
      </c>
      <c r="R463" s="86" t="str">
        <f t="shared" si="111"/>
        <v/>
      </c>
      <c r="S463" s="86" t="str">
        <f t="shared" si="112"/>
        <v/>
      </c>
      <c r="T463" s="104" t="str">
        <f t="shared" si="113"/>
        <v/>
      </c>
      <c r="U463" s="19" t="str">
        <f>IF(AND(M463&lt;&gt;"",M463&lt;&gt;0), IF(E463 = "Muni", T463, IF(E463="Corp", T463*(1 -'Investor Input'!$C$4-'Investor Input'!$C$5), T463*(1 -'Investor Input'!$C$4))), T463)</f>
        <v/>
      </c>
      <c r="V463" s="84" t="str">
        <f t="shared" si="114"/>
        <v/>
      </c>
      <c r="W463" s="84" t="str">
        <f t="shared" si="105"/>
        <v/>
      </c>
      <c r="X463" s="21" t="str">
        <f t="shared" si="106"/>
        <v/>
      </c>
      <c r="Y463" s="60" t="str">
        <f t="shared" si="115"/>
        <v/>
      </c>
      <c r="Z463" s="60" t="str">
        <f t="shared" si="116"/>
        <v/>
      </c>
      <c r="AA463" s="64" t="str">
        <f t="shared" si="117"/>
        <v/>
      </c>
      <c r="AB463" s="64" t="str">
        <f>IF(AND(AA463&lt;&gt;"",AA463&lt;&gt;0), IF(E463="Muni", AA463, IF(E463 = "Corp", (1-'Investor Input'!$C$4-'Investor Input'!$C$5)*AA463, (1-'Investor Input'!$C$4)*AA463)), AA463)</f>
        <v/>
      </c>
      <c r="AC463" s="94" t="str">
        <f t="shared" si="118"/>
        <v/>
      </c>
      <c r="AD463" s="60" t="str">
        <f>IF(AND(M463&lt;&gt;"", M463&lt;&gt;0), N463/$N$505*MATCH(AC463,'Misc Lists'!$K$2:$K$25,0), "")</f>
        <v/>
      </c>
      <c r="AE463" s="90" t="str">
        <f t="shared" si="119"/>
        <v/>
      </c>
      <c r="AF463" s="99" t="str">
        <f>IF(AND(M463&lt;&gt;"", M463&lt;&gt;0), N463/$N$505*MATCH(AE463,'Misc Lists'!$L$2:$L$25,0), "")</f>
        <v/>
      </c>
    </row>
    <row r="464" spans="2:32" hidden="1" outlineLevel="1" x14ac:dyDescent="0.5">
      <c r="B464" s="60" t="str">
        <f ca="1"/>
        <v>808513CG8</v>
      </c>
      <c r="C464" s="61" t="str">
        <f ca="1"/>
        <v>N/A</v>
      </c>
      <c r="D464" s="60" t="str">
        <f ca="1"/>
        <v>SCHWAB CHARLES CORP NOTE CALL MAKE WHOLE5.87500% 08/24/2026</v>
      </c>
      <c r="E464" s="61" t="str">
        <f ca="1"/>
        <v>Corp</v>
      </c>
      <c r="F464" s="62">
        <f ca="1"/>
        <v>5.875</v>
      </c>
      <c r="G464" s="63">
        <f ca="1"/>
        <v>46258</v>
      </c>
      <c r="H464" s="61" t="str">
        <f ca="1"/>
        <v>A2</v>
      </c>
      <c r="I464" s="61" t="str">
        <f ca="1"/>
        <v>A-</v>
      </c>
      <c r="J464" s="64">
        <f ca="1"/>
        <v>101.889</v>
      </c>
      <c r="K464" s="17">
        <f ca="1"/>
        <v>4.5119999999999996</v>
      </c>
      <c r="L464" s="17" t="str">
        <f ca="1"/>
        <v>200(2)</v>
      </c>
      <c r="M464" s="83"/>
      <c r="N464" s="84" t="str">
        <f t="shared" si="107"/>
        <v/>
      </c>
      <c r="O464" s="20" t="str">
        <f t="shared" si="108"/>
        <v/>
      </c>
      <c r="P464" s="64" t="str">
        <f t="shared" si="109"/>
        <v/>
      </c>
      <c r="Q464" s="85" t="str">
        <f t="shared" ca="1" si="110"/>
        <v/>
      </c>
      <c r="R464" s="86" t="str">
        <f t="shared" si="111"/>
        <v/>
      </c>
      <c r="S464" s="86" t="str">
        <f t="shared" si="112"/>
        <v/>
      </c>
      <c r="T464" s="104" t="str">
        <f t="shared" si="113"/>
        <v/>
      </c>
      <c r="U464" s="19" t="str">
        <f>IF(AND(M464&lt;&gt;"",M464&lt;&gt;0), IF(E464 = "Muni", T464, IF(E464="Corp", T464*(1 -'Investor Input'!$C$4-'Investor Input'!$C$5), T464*(1 -'Investor Input'!$C$4))), T464)</f>
        <v/>
      </c>
      <c r="V464" s="84" t="str">
        <f t="shared" si="114"/>
        <v/>
      </c>
      <c r="W464" s="84" t="str">
        <f t="shared" si="105"/>
        <v/>
      </c>
      <c r="X464" s="21" t="str">
        <f t="shared" si="106"/>
        <v/>
      </c>
      <c r="Y464" s="60" t="str">
        <f t="shared" si="115"/>
        <v/>
      </c>
      <c r="Z464" s="60" t="str">
        <f t="shared" si="116"/>
        <v/>
      </c>
      <c r="AA464" s="64" t="str">
        <f t="shared" si="117"/>
        <v/>
      </c>
      <c r="AB464" s="64" t="str">
        <f>IF(AND(AA464&lt;&gt;"",AA464&lt;&gt;0), IF(E464="Muni", AA464, IF(E464 = "Corp", (1-'Investor Input'!$C$4-'Investor Input'!$C$5)*AA464, (1-'Investor Input'!$C$4)*AA464)), AA464)</f>
        <v/>
      </c>
      <c r="AC464" s="94" t="str">
        <f t="shared" si="118"/>
        <v/>
      </c>
      <c r="AD464" s="60" t="str">
        <f>IF(AND(M464&lt;&gt;"", M464&lt;&gt;0), N464/$N$505*MATCH(AC464,'Misc Lists'!$K$2:$K$25,0), "")</f>
        <v/>
      </c>
      <c r="AE464" s="90" t="str">
        <f t="shared" si="119"/>
        <v/>
      </c>
      <c r="AF464" s="99" t="str">
        <f>IF(AND(M464&lt;&gt;"", M464&lt;&gt;0), N464/$N$505*MATCH(AE464,'Misc Lists'!$L$2:$L$25,0), "")</f>
        <v/>
      </c>
    </row>
    <row r="465" spans="2:32" hidden="1" outlineLevel="1" x14ac:dyDescent="0.5">
      <c r="B465" s="60" t="str">
        <f ca="1"/>
        <v>29364DAV2</v>
      </c>
      <c r="C465" s="61" t="str">
        <f ca="1"/>
        <v>N/A</v>
      </c>
      <c r="D465" s="60" t="str">
        <f ca="1"/>
        <v>ENTERGY ARKANSAS LLCBOND CALL MAKE WHOLE4.00000% 06/01/2028</v>
      </c>
      <c r="E465" s="61" t="str">
        <f ca="1"/>
        <v>Corp</v>
      </c>
      <c r="F465" s="62">
        <f ca="1"/>
        <v>4</v>
      </c>
      <c r="G465" s="63">
        <f ca="1"/>
        <v>46905</v>
      </c>
      <c r="H465" s="61" t="str">
        <f ca="1"/>
        <v>A2</v>
      </c>
      <c r="I465" s="61" t="str">
        <f ca="1"/>
        <v>A</v>
      </c>
      <c r="J465" s="64">
        <f ca="1"/>
        <v>98.475999999999999</v>
      </c>
      <c r="K465" s="17">
        <f ca="1"/>
        <v>4.5119999999999996</v>
      </c>
      <c r="L465" s="17" t="str">
        <f ca="1"/>
        <v>550(1)</v>
      </c>
      <c r="M465" s="83"/>
      <c r="N465" s="84" t="str">
        <f t="shared" si="107"/>
        <v/>
      </c>
      <c r="O465" s="20" t="str">
        <f t="shared" si="108"/>
        <v/>
      </c>
      <c r="P465" s="64" t="str">
        <f t="shared" si="109"/>
        <v/>
      </c>
      <c r="Q465" s="85" t="str">
        <f t="shared" ca="1" si="110"/>
        <v/>
      </c>
      <c r="R465" s="86" t="str">
        <f t="shared" si="111"/>
        <v/>
      </c>
      <c r="S465" s="86" t="str">
        <f t="shared" si="112"/>
        <v/>
      </c>
      <c r="T465" s="104" t="str">
        <f t="shared" si="113"/>
        <v/>
      </c>
      <c r="U465" s="19" t="str">
        <f>IF(AND(M465&lt;&gt;"",M465&lt;&gt;0), IF(E465 = "Muni", T465, IF(E465="Corp", T465*(1 -'Investor Input'!$C$4-'Investor Input'!$C$5), T465*(1 -'Investor Input'!$C$4))), T465)</f>
        <v/>
      </c>
      <c r="V465" s="84" t="str">
        <f t="shared" si="114"/>
        <v/>
      </c>
      <c r="W465" s="84" t="str">
        <f t="shared" si="105"/>
        <v/>
      </c>
      <c r="X465" s="21" t="str">
        <f t="shared" si="106"/>
        <v/>
      </c>
      <c r="Y465" s="60" t="str">
        <f t="shared" si="115"/>
        <v/>
      </c>
      <c r="Z465" s="60" t="str">
        <f t="shared" si="116"/>
        <v/>
      </c>
      <c r="AA465" s="64" t="str">
        <f t="shared" si="117"/>
        <v/>
      </c>
      <c r="AB465" s="64" t="str">
        <f>IF(AND(AA465&lt;&gt;"",AA465&lt;&gt;0), IF(E465="Muni", AA465, IF(E465 = "Corp", (1-'Investor Input'!$C$4-'Investor Input'!$C$5)*AA465, (1-'Investor Input'!$C$4)*AA465)), AA465)</f>
        <v/>
      </c>
      <c r="AC465" s="94" t="str">
        <f t="shared" si="118"/>
        <v/>
      </c>
      <c r="AD465" s="60" t="str">
        <f>IF(AND(M465&lt;&gt;"", M465&lt;&gt;0), N465/$N$505*MATCH(AC465,'Misc Lists'!$K$2:$K$25,0), "")</f>
        <v/>
      </c>
      <c r="AE465" s="90" t="str">
        <f t="shared" si="119"/>
        <v/>
      </c>
      <c r="AF465" s="99" t="str">
        <f>IF(AND(M465&lt;&gt;"", M465&lt;&gt;0), N465/$N$505*MATCH(AE465,'Misc Lists'!$L$2:$L$25,0), "")</f>
        <v/>
      </c>
    </row>
    <row r="466" spans="2:32" hidden="1" outlineLevel="1" x14ac:dyDescent="0.5">
      <c r="B466" s="60" t="str">
        <f ca="1"/>
        <v>89114TZN5</v>
      </c>
      <c r="C466" s="61" t="str">
        <f ca="1"/>
        <v>N/A</v>
      </c>
      <c r="D466" s="60" t="str">
        <f ca="1"/>
        <v>TORONTO DOMINION BK ONT MTN             1.95000% 01/12/2027 CALL MAKE WHOLE     ISIN #US89114TZN52</v>
      </c>
      <c r="E466" s="61" t="str">
        <f ca="1"/>
        <v>Corp</v>
      </c>
      <c r="F466" s="62">
        <f ca="1"/>
        <v>1.95</v>
      </c>
      <c r="G466" s="63">
        <f ca="1"/>
        <v>46399</v>
      </c>
      <c r="H466" s="61" t="str">
        <f ca="1"/>
        <v>A2</v>
      </c>
      <c r="I466" s="61" t="str">
        <f ca="1"/>
        <v>A-</v>
      </c>
      <c r="J466" s="64">
        <f ca="1"/>
        <v>95.54</v>
      </c>
      <c r="K466" s="17">
        <f ca="1"/>
        <v>4.5110000000000001</v>
      </c>
      <c r="L466" s="17" t="str">
        <f ca="1"/>
        <v>200(2)</v>
      </c>
      <c r="M466" s="83"/>
      <c r="N466" s="84" t="str">
        <f t="shared" si="107"/>
        <v/>
      </c>
      <c r="O466" s="20" t="str">
        <f t="shared" si="108"/>
        <v/>
      </c>
      <c r="P466" s="64" t="str">
        <f t="shared" si="109"/>
        <v/>
      </c>
      <c r="Q466" s="85" t="str">
        <f t="shared" ca="1" si="110"/>
        <v/>
      </c>
      <c r="R466" s="86" t="str">
        <f t="shared" si="111"/>
        <v/>
      </c>
      <c r="S466" s="86" t="str">
        <f t="shared" si="112"/>
        <v/>
      </c>
      <c r="T466" s="104" t="str">
        <f t="shared" si="113"/>
        <v/>
      </c>
      <c r="U466" s="19" t="str">
        <f>IF(AND(M466&lt;&gt;"",M466&lt;&gt;0), IF(E466 = "Muni", T466, IF(E466="Corp", T466*(1 -'Investor Input'!$C$4-'Investor Input'!$C$5), T466*(1 -'Investor Input'!$C$4))), T466)</f>
        <v/>
      </c>
      <c r="V466" s="84" t="str">
        <f t="shared" si="114"/>
        <v/>
      </c>
      <c r="W466" s="84" t="str">
        <f t="shared" si="105"/>
        <v/>
      </c>
      <c r="X466" s="21" t="str">
        <f t="shared" si="106"/>
        <v/>
      </c>
      <c r="Y466" s="60" t="str">
        <f t="shared" si="115"/>
        <v/>
      </c>
      <c r="Z466" s="60" t="str">
        <f t="shared" si="116"/>
        <v/>
      </c>
      <c r="AA466" s="64" t="str">
        <f t="shared" si="117"/>
        <v/>
      </c>
      <c r="AB466" s="64" t="str">
        <f>IF(AND(AA466&lt;&gt;"",AA466&lt;&gt;0), IF(E466="Muni", AA466, IF(E466 = "Corp", (1-'Investor Input'!$C$4-'Investor Input'!$C$5)*AA466, (1-'Investor Input'!$C$4)*AA466)), AA466)</f>
        <v/>
      </c>
      <c r="AC466" s="94" t="str">
        <f t="shared" si="118"/>
        <v/>
      </c>
      <c r="AD466" s="60" t="str">
        <f>IF(AND(M466&lt;&gt;"", M466&lt;&gt;0), N466/$N$505*MATCH(AC466,'Misc Lists'!$K$2:$K$25,0), "")</f>
        <v/>
      </c>
      <c r="AE466" s="90" t="str">
        <f t="shared" si="119"/>
        <v/>
      </c>
      <c r="AF466" s="99" t="str">
        <f>IF(AND(M466&lt;&gt;"", M466&lt;&gt;0), N466/$N$505*MATCH(AE466,'Misc Lists'!$L$2:$L$25,0), "")</f>
        <v/>
      </c>
    </row>
    <row r="467" spans="2:32" hidden="1" outlineLevel="1" x14ac:dyDescent="0.5">
      <c r="B467" s="60" t="str">
        <f ca="1"/>
        <v>20030NCA7</v>
      </c>
      <c r="C467" s="61" t="str">
        <f ca="1"/>
        <v>N/A</v>
      </c>
      <c r="D467" s="60" t="str">
        <f ca="1"/>
        <v>COMCAST CORP NEW    NOTE CALL MAKE WHOLE3.15000% 02/15/2028</v>
      </c>
      <c r="E467" s="61" t="str">
        <f ca="1"/>
        <v>Corp</v>
      </c>
      <c r="F467" s="62">
        <f ca="1"/>
        <v>3.15</v>
      </c>
      <c r="G467" s="63">
        <f ca="1"/>
        <v>46798</v>
      </c>
      <c r="H467" s="61" t="str">
        <f ca="1"/>
        <v>A3</v>
      </c>
      <c r="I467" s="61" t="str">
        <f ca="1"/>
        <v>A-</v>
      </c>
      <c r="J467" s="64">
        <f ca="1"/>
        <v>96.305999999999997</v>
      </c>
      <c r="K467" s="17">
        <f ca="1"/>
        <v>4.5110000000000001</v>
      </c>
      <c r="L467" s="17" t="str">
        <f ca="1"/>
        <v>500(2)</v>
      </c>
      <c r="M467" s="83"/>
      <c r="N467" s="84" t="str">
        <f t="shared" si="107"/>
        <v/>
      </c>
      <c r="O467" s="20" t="str">
        <f t="shared" si="108"/>
        <v/>
      </c>
      <c r="P467" s="64" t="str">
        <f t="shared" si="109"/>
        <v/>
      </c>
      <c r="Q467" s="85" t="str">
        <f t="shared" ca="1" si="110"/>
        <v/>
      </c>
      <c r="R467" s="86" t="str">
        <f t="shared" si="111"/>
        <v/>
      </c>
      <c r="S467" s="86" t="str">
        <f t="shared" si="112"/>
        <v/>
      </c>
      <c r="T467" s="104" t="str">
        <f t="shared" si="113"/>
        <v/>
      </c>
      <c r="U467" s="19" t="str">
        <f>IF(AND(M467&lt;&gt;"",M467&lt;&gt;0), IF(E467 = "Muni", T467, IF(E467="Corp", T467*(1 -'Investor Input'!$C$4-'Investor Input'!$C$5), T467*(1 -'Investor Input'!$C$4))), T467)</f>
        <v/>
      </c>
      <c r="V467" s="84" t="str">
        <f t="shared" si="114"/>
        <v/>
      </c>
      <c r="W467" s="84" t="str">
        <f t="shared" si="105"/>
        <v/>
      </c>
      <c r="X467" s="21" t="str">
        <f t="shared" si="106"/>
        <v/>
      </c>
      <c r="Y467" s="60" t="str">
        <f t="shared" si="115"/>
        <v/>
      </c>
      <c r="Z467" s="60" t="str">
        <f t="shared" si="116"/>
        <v/>
      </c>
      <c r="AA467" s="64" t="str">
        <f t="shared" si="117"/>
        <v/>
      </c>
      <c r="AB467" s="64" t="str">
        <f>IF(AND(AA467&lt;&gt;"",AA467&lt;&gt;0), IF(E467="Muni", AA467, IF(E467 = "Corp", (1-'Investor Input'!$C$4-'Investor Input'!$C$5)*AA467, (1-'Investor Input'!$C$4)*AA467)), AA467)</f>
        <v/>
      </c>
      <c r="AC467" s="94" t="str">
        <f t="shared" si="118"/>
        <v/>
      </c>
      <c r="AD467" s="60" t="str">
        <f>IF(AND(M467&lt;&gt;"", M467&lt;&gt;0), N467/$N$505*MATCH(AC467,'Misc Lists'!$K$2:$K$25,0), "")</f>
        <v/>
      </c>
      <c r="AE467" s="90" t="str">
        <f t="shared" si="119"/>
        <v/>
      </c>
      <c r="AF467" s="99" t="str">
        <f>IF(AND(M467&lt;&gt;"", M467&lt;&gt;0), N467/$N$505*MATCH(AE467,'Misc Lists'!$L$2:$L$25,0), "")</f>
        <v/>
      </c>
    </row>
    <row r="468" spans="2:32" hidden="1" outlineLevel="1" x14ac:dyDescent="0.5">
      <c r="B468" s="60" t="str">
        <f ca="1"/>
        <v>961214EL3</v>
      </c>
      <c r="C468" s="61" t="str">
        <f ca="1"/>
        <v>N/A</v>
      </c>
      <c r="D468" s="60" t="str">
        <f ca="1"/>
        <v>WESTPAC BKG CORP    NOTE                2.65000% 01/16/2030</v>
      </c>
      <c r="E468" s="61" t="str">
        <f ca="1"/>
        <v>Corp</v>
      </c>
      <c r="F468" s="62">
        <f ca="1"/>
        <v>2.65</v>
      </c>
      <c r="G468" s="63">
        <f ca="1"/>
        <v>47499</v>
      </c>
      <c r="H468" s="61" t="str">
        <f ca="1"/>
        <v>AA2</v>
      </c>
      <c r="I468" s="61" t="str">
        <f ca="1"/>
        <v>AA-</v>
      </c>
      <c r="J468" s="64">
        <f ca="1"/>
        <v>91.98</v>
      </c>
      <c r="K468" s="17">
        <f ca="1"/>
        <v>4.5110000000000001</v>
      </c>
      <c r="L468" s="17" t="str">
        <f ca="1"/>
        <v>450(2)</v>
      </c>
      <c r="M468" s="83"/>
      <c r="N468" s="84" t="str">
        <f t="shared" si="107"/>
        <v/>
      </c>
      <c r="O468" s="20" t="str">
        <f t="shared" si="108"/>
        <v/>
      </c>
      <c r="P468" s="64" t="str">
        <f t="shared" si="109"/>
        <v/>
      </c>
      <c r="Q468" s="85" t="str">
        <f t="shared" ca="1" si="110"/>
        <v/>
      </c>
      <c r="R468" s="86" t="str">
        <f t="shared" si="111"/>
        <v/>
      </c>
      <c r="S468" s="86" t="str">
        <f t="shared" si="112"/>
        <v/>
      </c>
      <c r="T468" s="104" t="str">
        <f t="shared" si="113"/>
        <v/>
      </c>
      <c r="U468" s="19" t="str">
        <f>IF(AND(M468&lt;&gt;"",M468&lt;&gt;0), IF(E468 = "Muni", T468, IF(E468="Corp", T468*(1 -'Investor Input'!$C$4-'Investor Input'!$C$5), T468*(1 -'Investor Input'!$C$4))), T468)</f>
        <v/>
      </c>
      <c r="V468" s="84" t="str">
        <f t="shared" si="114"/>
        <v/>
      </c>
      <c r="W468" s="84" t="str">
        <f t="shared" si="105"/>
        <v/>
      </c>
      <c r="X468" s="21" t="str">
        <f t="shared" si="106"/>
        <v/>
      </c>
      <c r="Y468" s="60" t="str">
        <f t="shared" si="115"/>
        <v/>
      </c>
      <c r="Z468" s="60" t="str">
        <f t="shared" si="116"/>
        <v/>
      </c>
      <c r="AA468" s="64" t="str">
        <f t="shared" si="117"/>
        <v/>
      </c>
      <c r="AB468" s="64" t="str">
        <f>IF(AND(AA468&lt;&gt;"",AA468&lt;&gt;0), IF(E468="Muni", AA468, IF(E468 = "Corp", (1-'Investor Input'!$C$4-'Investor Input'!$C$5)*AA468, (1-'Investor Input'!$C$4)*AA468)), AA468)</f>
        <v/>
      </c>
      <c r="AC468" s="94" t="str">
        <f t="shared" si="118"/>
        <v/>
      </c>
      <c r="AD468" s="60" t="str">
        <f>IF(AND(M468&lt;&gt;"", M468&lt;&gt;0), N468/$N$505*MATCH(AC468,'Misc Lists'!$K$2:$K$25,0), "")</f>
        <v/>
      </c>
      <c r="AE468" s="90" t="str">
        <f t="shared" si="119"/>
        <v/>
      </c>
      <c r="AF468" s="99" t="str">
        <f>IF(AND(M468&lt;&gt;"", M468&lt;&gt;0), N468/$N$505*MATCH(AE468,'Misc Lists'!$L$2:$L$25,0), "")</f>
        <v/>
      </c>
    </row>
    <row r="469" spans="2:32" hidden="1" outlineLevel="1" x14ac:dyDescent="0.5">
      <c r="B469" s="60" t="str">
        <f ca="1"/>
        <v>0641594A1</v>
      </c>
      <c r="C469" s="61" t="str">
        <f ca="1"/>
        <v>N/A</v>
      </c>
      <c r="D469" s="60" t="str">
        <f ca="1"/>
        <v>BANK NOVA SCOTIA B CNOTE CALL MAKE WHOLE1.35000% 06/24/2026</v>
      </c>
      <c r="E469" s="61" t="str">
        <f ca="1"/>
        <v>Corp</v>
      </c>
      <c r="F469" s="62">
        <f ca="1"/>
        <v>1.35</v>
      </c>
      <c r="G469" s="63">
        <f ca="1"/>
        <v>46197</v>
      </c>
      <c r="H469" s="61" t="str">
        <f ca="1"/>
        <v>A2</v>
      </c>
      <c r="I469" s="61" t="str">
        <f ca="1"/>
        <v>A-</v>
      </c>
      <c r="J469" s="64">
        <f ca="1"/>
        <v>96.1</v>
      </c>
      <c r="K469" s="17">
        <f ca="1"/>
        <v>4.51</v>
      </c>
      <c r="L469" s="17" t="str">
        <f ca="1"/>
        <v>250(10)</v>
      </c>
      <c r="M469" s="83"/>
      <c r="N469" s="84" t="str">
        <f t="shared" si="107"/>
        <v/>
      </c>
      <c r="O469" s="20" t="str">
        <f t="shared" si="108"/>
        <v/>
      </c>
      <c r="P469" s="64" t="str">
        <f t="shared" si="109"/>
        <v/>
      </c>
      <c r="Q469" s="85" t="str">
        <f t="shared" ca="1" si="110"/>
        <v/>
      </c>
      <c r="R469" s="86" t="str">
        <f t="shared" si="111"/>
        <v/>
      </c>
      <c r="S469" s="86" t="str">
        <f t="shared" si="112"/>
        <v/>
      </c>
      <c r="T469" s="104" t="str">
        <f t="shared" si="113"/>
        <v/>
      </c>
      <c r="U469" s="19" t="str">
        <f>IF(AND(M469&lt;&gt;"",M469&lt;&gt;0), IF(E469 = "Muni", T469, IF(E469="Corp", T469*(1 -'Investor Input'!$C$4-'Investor Input'!$C$5), T469*(1 -'Investor Input'!$C$4))), T469)</f>
        <v/>
      </c>
      <c r="V469" s="84" t="str">
        <f t="shared" si="114"/>
        <v/>
      </c>
      <c r="W469" s="84" t="str">
        <f t="shared" si="105"/>
        <v/>
      </c>
      <c r="X469" s="21" t="str">
        <f t="shared" si="106"/>
        <v/>
      </c>
      <c r="Y469" s="60" t="str">
        <f t="shared" si="115"/>
        <v/>
      </c>
      <c r="Z469" s="60" t="str">
        <f t="shared" si="116"/>
        <v/>
      </c>
      <c r="AA469" s="64" t="str">
        <f t="shared" si="117"/>
        <v/>
      </c>
      <c r="AB469" s="64" t="str">
        <f>IF(AND(AA469&lt;&gt;"",AA469&lt;&gt;0), IF(E469="Muni", AA469, IF(E469 = "Corp", (1-'Investor Input'!$C$4-'Investor Input'!$C$5)*AA469, (1-'Investor Input'!$C$4)*AA469)), AA469)</f>
        <v/>
      </c>
      <c r="AC469" s="94" t="str">
        <f t="shared" si="118"/>
        <v/>
      </c>
      <c r="AD469" s="60" t="str">
        <f>IF(AND(M469&lt;&gt;"", M469&lt;&gt;0), N469/$N$505*MATCH(AC469,'Misc Lists'!$K$2:$K$25,0), "")</f>
        <v/>
      </c>
      <c r="AE469" s="90" t="str">
        <f t="shared" si="119"/>
        <v/>
      </c>
      <c r="AF469" s="99" t="str">
        <f>IF(AND(M469&lt;&gt;"", M469&lt;&gt;0), N469/$N$505*MATCH(AE469,'Misc Lists'!$L$2:$L$25,0), "")</f>
        <v/>
      </c>
    </row>
    <row r="470" spans="2:32" hidden="1" outlineLevel="1" x14ac:dyDescent="0.5">
      <c r="B470" s="60" t="str">
        <f ca="1"/>
        <v>94106LBQ1</v>
      </c>
      <c r="C470" s="61" t="str">
        <f ca="1"/>
        <v>N/A</v>
      </c>
      <c r="D470" s="60" t="str">
        <f ca="1"/>
        <v>WASTE MGMT INC DEL  NOTE CALL MAKE WHOLE2.00000% 06/01/2029</v>
      </c>
      <c r="E470" s="61" t="str">
        <f ca="1"/>
        <v>Corp</v>
      </c>
      <c r="F470" s="62">
        <f ca="1"/>
        <v>2</v>
      </c>
      <c r="G470" s="63">
        <f ca="1"/>
        <v>47270</v>
      </c>
      <c r="H470" s="61" t="str">
        <f ca="1"/>
        <v>A3</v>
      </c>
      <c r="I470" s="61" t="str">
        <f ca="1"/>
        <v>A-</v>
      </c>
      <c r="J470" s="64">
        <f ca="1"/>
        <v>90.45</v>
      </c>
      <c r="K470" s="17">
        <f ca="1"/>
        <v>4.51</v>
      </c>
      <c r="L470" s="17" t="str">
        <f ca="1"/>
        <v>500(2)</v>
      </c>
      <c r="M470" s="83"/>
      <c r="N470" s="84" t="str">
        <f t="shared" si="107"/>
        <v/>
      </c>
      <c r="O470" s="20" t="str">
        <f t="shared" si="108"/>
        <v/>
      </c>
      <c r="P470" s="64" t="str">
        <f t="shared" si="109"/>
        <v/>
      </c>
      <c r="Q470" s="85" t="str">
        <f t="shared" ca="1" si="110"/>
        <v/>
      </c>
      <c r="R470" s="86" t="str">
        <f t="shared" si="111"/>
        <v/>
      </c>
      <c r="S470" s="86" t="str">
        <f t="shared" si="112"/>
        <v/>
      </c>
      <c r="T470" s="104" t="str">
        <f t="shared" si="113"/>
        <v/>
      </c>
      <c r="U470" s="19" t="str">
        <f>IF(AND(M470&lt;&gt;"",M470&lt;&gt;0), IF(E470 = "Muni", T470, IF(E470="Corp", T470*(1 -'Investor Input'!$C$4-'Investor Input'!$C$5), T470*(1 -'Investor Input'!$C$4))), T470)</f>
        <v/>
      </c>
      <c r="V470" s="84" t="str">
        <f t="shared" si="114"/>
        <v/>
      </c>
      <c r="W470" s="84" t="str">
        <f t="shared" si="105"/>
        <v/>
      </c>
      <c r="X470" s="21" t="str">
        <f t="shared" si="106"/>
        <v/>
      </c>
      <c r="Y470" s="60" t="str">
        <f t="shared" si="115"/>
        <v/>
      </c>
      <c r="Z470" s="60" t="str">
        <f t="shared" si="116"/>
        <v/>
      </c>
      <c r="AA470" s="64" t="str">
        <f t="shared" si="117"/>
        <v/>
      </c>
      <c r="AB470" s="64" t="str">
        <f>IF(AND(AA470&lt;&gt;"",AA470&lt;&gt;0), IF(E470="Muni", AA470, IF(E470 = "Corp", (1-'Investor Input'!$C$4-'Investor Input'!$C$5)*AA470, (1-'Investor Input'!$C$4)*AA470)), AA470)</f>
        <v/>
      </c>
      <c r="AC470" s="94" t="str">
        <f t="shared" si="118"/>
        <v/>
      </c>
      <c r="AD470" s="60" t="str">
        <f>IF(AND(M470&lt;&gt;"", M470&lt;&gt;0), N470/$N$505*MATCH(AC470,'Misc Lists'!$K$2:$K$25,0), "")</f>
        <v/>
      </c>
      <c r="AE470" s="90" t="str">
        <f t="shared" si="119"/>
        <v/>
      </c>
      <c r="AF470" s="99" t="str">
        <f>IF(AND(M470&lt;&gt;"", M470&lt;&gt;0), N470/$N$505*MATCH(AE470,'Misc Lists'!$L$2:$L$25,0), "")</f>
        <v/>
      </c>
    </row>
    <row r="471" spans="2:32" hidden="1" outlineLevel="1" x14ac:dyDescent="0.5">
      <c r="B471" s="60" t="str">
        <f ca="1"/>
        <v>24422EXT1</v>
      </c>
      <c r="C471" s="61" t="str">
        <f ca="1"/>
        <v>N/A</v>
      </c>
      <c r="D471" s="60" t="str">
        <f ca="1"/>
        <v>JOHN DEERE CAPITAL  CORPORATION MTN     4.85000% 06/11/2029</v>
      </c>
      <c r="E471" s="61" t="str">
        <f ca="1"/>
        <v>Corp</v>
      </c>
      <c r="F471" s="62">
        <f ca="1"/>
        <v>4.8499999999999996</v>
      </c>
      <c r="G471" s="63">
        <f ca="1"/>
        <v>47280</v>
      </c>
      <c r="H471" s="61" t="str">
        <f ca="1"/>
        <v>A1</v>
      </c>
      <c r="I471" s="61" t="str">
        <f ca="1"/>
        <v>A</v>
      </c>
      <c r="J471" s="64">
        <f ca="1"/>
        <v>101.29900000000001</v>
      </c>
      <c r="K471" s="17">
        <f ca="1"/>
        <v>4.5090000000000003</v>
      </c>
      <c r="L471" s="17" t="str">
        <f ca="1"/>
        <v>500(1)</v>
      </c>
      <c r="M471" s="83"/>
      <c r="N471" s="84" t="str">
        <f t="shared" si="107"/>
        <v/>
      </c>
      <c r="O471" s="20" t="str">
        <f t="shared" si="108"/>
        <v/>
      </c>
      <c r="P471" s="64" t="str">
        <f t="shared" si="109"/>
        <v/>
      </c>
      <c r="Q471" s="85" t="str">
        <f t="shared" ca="1" si="110"/>
        <v/>
      </c>
      <c r="R471" s="86" t="str">
        <f t="shared" si="111"/>
        <v/>
      </c>
      <c r="S471" s="86" t="str">
        <f t="shared" si="112"/>
        <v/>
      </c>
      <c r="T471" s="104" t="str">
        <f t="shared" si="113"/>
        <v/>
      </c>
      <c r="U471" s="19" t="str">
        <f>IF(AND(M471&lt;&gt;"",M471&lt;&gt;0), IF(E471 = "Muni", T471, IF(E471="Corp", T471*(1 -'Investor Input'!$C$4-'Investor Input'!$C$5), T471*(1 -'Investor Input'!$C$4))), T471)</f>
        <v/>
      </c>
      <c r="V471" s="84" t="str">
        <f t="shared" si="114"/>
        <v/>
      </c>
      <c r="W471" s="84" t="str">
        <f t="shared" si="105"/>
        <v/>
      </c>
      <c r="X471" s="21" t="str">
        <f t="shared" si="106"/>
        <v/>
      </c>
      <c r="Y471" s="60" t="str">
        <f t="shared" si="115"/>
        <v/>
      </c>
      <c r="Z471" s="60" t="str">
        <f t="shared" si="116"/>
        <v/>
      </c>
      <c r="AA471" s="64" t="str">
        <f t="shared" si="117"/>
        <v/>
      </c>
      <c r="AB471" s="64" t="str">
        <f>IF(AND(AA471&lt;&gt;"",AA471&lt;&gt;0), IF(E471="Muni", AA471, IF(E471 = "Corp", (1-'Investor Input'!$C$4-'Investor Input'!$C$5)*AA471, (1-'Investor Input'!$C$4)*AA471)), AA471)</f>
        <v/>
      </c>
      <c r="AC471" s="94" t="str">
        <f t="shared" si="118"/>
        <v/>
      </c>
      <c r="AD471" s="60" t="str">
        <f>IF(AND(M471&lt;&gt;"", M471&lt;&gt;0), N471/$N$505*MATCH(AC471,'Misc Lists'!$K$2:$K$25,0), "")</f>
        <v/>
      </c>
      <c r="AE471" s="90" t="str">
        <f t="shared" si="119"/>
        <v/>
      </c>
      <c r="AF471" s="99" t="str">
        <f>IF(AND(M471&lt;&gt;"", M471&lt;&gt;0), N471/$N$505*MATCH(AE471,'Misc Lists'!$L$2:$L$25,0), "")</f>
        <v/>
      </c>
    </row>
    <row r="472" spans="2:32" hidden="1" outlineLevel="1" x14ac:dyDescent="0.5">
      <c r="B472" s="60" t="str">
        <f ca="1"/>
        <v>05348EAX7</v>
      </c>
      <c r="C472" s="61" t="str">
        <f ca="1"/>
        <v>N/A</v>
      </c>
      <c r="D472" s="60" t="str">
        <f ca="1"/>
        <v>AVALONBAY CMNTYS INCMTN CALL MAKE WHOLE 2.95000% 05/11/2026</v>
      </c>
      <c r="E472" s="61" t="str">
        <f ca="1"/>
        <v>Corp</v>
      </c>
      <c r="F472" s="62">
        <f ca="1"/>
        <v>2.95</v>
      </c>
      <c r="G472" s="63">
        <f ca="1"/>
        <v>46153</v>
      </c>
      <c r="H472" s="61" t="str">
        <f ca="1"/>
        <v>A3</v>
      </c>
      <c r="I472" s="61" t="str">
        <f ca="1"/>
        <v>A-</v>
      </c>
      <c r="J472" s="64">
        <f ca="1"/>
        <v>98.248999999999995</v>
      </c>
      <c r="K472" s="17">
        <f ca="1"/>
        <v>4.508</v>
      </c>
      <c r="L472" s="17" t="str">
        <f ca="1"/>
        <v>432(10)</v>
      </c>
      <c r="M472" s="83"/>
      <c r="N472" s="84" t="str">
        <f t="shared" si="107"/>
        <v/>
      </c>
      <c r="O472" s="20" t="str">
        <f t="shared" si="108"/>
        <v/>
      </c>
      <c r="P472" s="64" t="str">
        <f t="shared" si="109"/>
        <v/>
      </c>
      <c r="Q472" s="85" t="str">
        <f t="shared" ca="1" si="110"/>
        <v/>
      </c>
      <c r="R472" s="86" t="str">
        <f t="shared" si="111"/>
        <v/>
      </c>
      <c r="S472" s="86" t="str">
        <f t="shared" si="112"/>
        <v/>
      </c>
      <c r="T472" s="104" t="str">
        <f t="shared" si="113"/>
        <v/>
      </c>
      <c r="U472" s="19" t="str">
        <f>IF(AND(M472&lt;&gt;"",M472&lt;&gt;0), IF(E472 = "Muni", T472, IF(E472="Corp", T472*(1 -'Investor Input'!$C$4-'Investor Input'!$C$5), T472*(1 -'Investor Input'!$C$4))), T472)</f>
        <v/>
      </c>
      <c r="V472" s="84" t="str">
        <f t="shared" si="114"/>
        <v/>
      </c>
      <c r="W472" s="84" t="str">
        <f t="shared" si="105"/>
        <v/>
      </c>
      <c r="X472" s="21" t="str">
        <f t="shared" si="106"/>
        <v/>
      </c>
      <c r="Y472" s="60" t="str">
        <f t="shared" si="115"/>
        <v/>
      </c>
      <c r="Z472" s="60" t="str">
        <f t="shared" si="116"/>
        <v/>
      </c>
      <c r="AA472" s="64" t="str">
        <f t="shared" si="117"/>
        <v/>
      </c>
      <c r="AB472" s="64" t="str">
        <f>IF(AND(AA472&lt;&gt;"",AA472&lt;&gt;0), IF(E472="Muni", AA472, IF(E472 = "Corp", (1-'Investor Input'!$C$4-'Investor Input'!$C$5)*AA472, (1-'Investor Input'!$C$4)*AA472)), AA472)</f>
        <v/>
      </c>
      <c r="AC472" s="94" t="str">
        <f t="shared" si="118"/>
        <v/>
      </c>
      <c r="AD472" s="60" t="str">
        <f>IF(AND(M472&lt;&gt;"", M472&lt;&gt;0), N472/$N$505*MATCH(AC472,'Misc Lists'!$K$2:$K$25,0), "")</f>
        <v/>
      </c>
      <c r="AE472" s="90" t="str">
        <f t="shared" si="119"/>
        <v/>
      </c>
      <c r="AF472" s="99" t="str">
        <f>IF(AND(M472&lt;&gt;"", M472&lt;&gt;0), N472/$N$505*MATCH(AE472,'Misc Lists'!$L$2:$L$25,0), "")</f>
        <v/>
      </c>
    </row>
    <row r="473" spans="2:32" hidden="1" outlineLevel="1" x14ac:dyDescent="0.5">
      <c r="B473" s="60" t="str">
        <f ca="1"/>
        <v>89115A2C5</v>
      </c>
      <c r="C473" s="61" t="str">
        <f ca="1"/>
        <v>N/A</v>
      </c>
      <c r="D473" s="60" t="str">
        <f ca="1"/>
        <v>TORONTO DOMINION BK ONT MTN             4.10800% 06/08/2027 CALL MAKE WHOLE     ISIN #US89115A2C54</v>
      </c>
      <c r="E473" s="61" t="str">
        <f ca="1"/>
        <v>Corp</v>
      </c>
      <c r="F473" s="62">
        <f ca="1"/>
        <v>4.1079999999999997</v>
      </c>
      <c r="G473" s="63">
        <f ca="1"/>
        <v>46546</v>
      </c>
      <c r="H473" s="61" t="str">
        <f ca="1"/>
        <v>A2</v>
      </c>
      <c r="I473" s="61" t="str">
        <f ca="1"/>
        <v>A-</v>
      </c>
      <c r="J473" s="64">
        <f ca="1"/>
        <v>99.153999999999996</v>
      </c>
      <c r="K473" s="17">
        <f ca="1"/>
        <v>4.5069999999999997</v>
      </c>
      <c r="L473" s="17" t="str">
        <f ca="1"/>
        <v>500(50)</v>
      </c>
      <c r="M473" s="83"/>
      <c r="N473" s="84" t="str">
        <f t="shared" si="107"/>
        <v/>
      </c>
      <c r="O473" s="20" t="str">
        <f t="shared" si="108"/>
        <v/>
      </c>
      <c r="P473" s="64" t="str">
        <f t="shared" si="109"/>
        <v/>
      </c>
      <c r="Q473" s="85" t="str">
        <f t="shared" ca="1" si="110"/>
        <v/>
      </c>
      <c r="R473" s="86" t="str">
        <f t="shared" si="111"/>
        <v/>
      </c>
      <c r="S473" s="86" t="str">
        <f t="shared" si="112"/>
        <v/>
      </c>
      <c r="T473" s="104" t="str">
        <f t="shared" si="113"/>
        <v/>
      </c>
      <c r="U473" s="19" t="str">
        <f>IF(AND(M473&lt;&gt;"",M473&lt;&gt;0), IF(E473 = "Muni", T473, IF(E473="Corp", T473*(1 -'Investor Input'!$C$4-'Investor Input'!$C$5), T473*(1 -'Investor Input'!$C$4))), T473)</f>
        <v/>
      </c>
      <c r="V473" s="84" t="str">
        <f t="shared" si="114"/>
        <v/>
      </c>
      <c r="W473" s="84" t="str">
        <f t="shared" si="105"/>
        <v/>
      </c>
      <c r="X473" s="21" t="str">
        <f t="shared" si="106"/>
        <v/>
      </c>
      <c r="Y473" s="60" t="str">
        <f t="shared" si="115"/>
        <v/>
      </c>
      <c r="Z473" s="60" t="str">
        <f t="shared" si="116"/>
        <v/>
      </c>
      <c r="AA473" s="64" t="str">
        <f t="shared" si="117"/>
        <v/>
      </c>
      <c r="AB473" s="64" t="str">
        <f>IF(AND(AA473&lt;&gt;"",AA473&lt;&gt;0), IF(E473="Muni", AA473, IF(E473 = "Corp", (1-'Investor Input'!$C$4-'Investor Input'!$C$5)*AA473, (1-'Investor Input'!$C$4)*AA473)), AA473)</f>
        <v/>
      </c>
      <c r="AC473" s="94" t="str">
        <f t="shared" si="118"/>
        <v/>
      </c>
      <c r="AD473" s="60" t="str">
        <f>IF(AND(M473&lt;&gt;"", M473&lt;&gt;0), N473/$N$505*MATCH(AC473,'Misc Lists'!$K$2:$K$25,0), "")</f>
        <v/>
      </c>
      <c r="AE473" s="90" t="str">
        <f t="shared" si="119"/>
        <v/>
      </c>
      <c r="AF473" s="99" t="str">
        <f>IF(AND(M473&lt;&gt;"", M473&lt;&gt;0), N473/$N$505*MATCH(AE473,'Misc Lists'!$L$2:$L$25,0), "")</f>
        <v/>
      </c>
    </row>
    <row r="474" spans="2:32" hidden="1" outlineLevel="1" x14ac:dyDescent="0.5">
      <c r="B474" s="60" t="str">
        <f ca="1"/>
        <v>89236TMV4</v>
      </c>
      <c r="C474" s="61" t="str">
        <f ca="1"/>
        <v>N/A</v>
      </c>
      <c r="D474" s="60" t="str">
        <f ca="1"/>
        <v>TOYOTA MTR CR CORP  SER B MTN           4.55000% 10/29/2027</v>
      </c>
      <c r="E474" s="61" t="str">
        <f ca="1"/>
        <v>Corp</v>
      </c>
      <c r="F474" s="62">
        <f ca="1"/>
        <v>4.55</v>
      </c>
      <c r="G474" s="63">
        <f ca="1"/>
        <v>46689</v>
      </c>
      <c r="H474" s="61" t="str">
        <f ca="1"/>
        <v>A1</v>
      </c>
      <c r="I474" s="61" t="str">
        <f ca="1"/>
        <v>A+</v>
      </c>
      <c r="J474" s="64">
        <f ca="1"/>
        <v>100.1</v>
      </c>
      <c r="K474" s="17">
        <f ca="1"/>
        <v>4.5069999999999997</v>
      </c>
      <c r="L474" s="17" t="str">
        <f ca="1"/>
        <v>409(10)</v>
      </c>
      <c r="M474" s="83"/>
      <c r="N474" s="84" t="str">
        <f t="shared" si="107"/>
        <v/>
      </c>
      <c r="O474" s="20" t="str">
        <f t="shared" si="108"/>
        <v/>
      </c>
      <c r="P474" s="64" t="str">
        <f t="shared" si="109"/>
        <v/>
      </c>
      <c r="Q474" s="85" t="str">
        <f t="shared" ca="1" si="110"/>
        <v/>
      </c>
      <c r="R474" s="86" t="str">
        <f t="shared" si="111"/>
        <v/>
      </c>
      <c r="S474" s="86" t="str">
        <f t="shared" si="112"/>
        <v/>
      </c>
      <c r="T474" s="104" t="str">
        <f t="shared" si="113"/>
        <v/>
      </c>
      <c r="U474" s="19" t="str">
        <f>IF(AND(M474&lt;&gt;"",M474&lt;&gt;0), IF(E474 = "Muni", T474, IF(E474="Corp", T474*(1 -'Investor Input'!$C$4-'Investor Input'!$C$5), T474*(1 -'Investor Input'!$C$4))), T474)</f>
        <v/>
      </c>
      <c r="V474" s="84" t="str">
        <f t="shared" si="114"/>
        <v/>
      </c>
      <c r="W474" s="84" t="str">
        <f t="shared" si="105"/>
        <v/>
      </c>
      <c r="X474" s="21" t="str">
        <f t="shared" si="106"/>
        <v/>
      </c>
      <c r="Y474" s="60" t="str">
        <f t="shared" si="115"/>
        <v/>
      </c>
      <c r="Z474" s="60" t="str">
        <f t="shared" si="116"/>
        <v/>
      </c>
      <c r="AA474" s="64" t="str">
        <f t="shared" si="117"/>
        <v/>
      </c>
      <c r="AB474" s="64" t="str">
        <f>IF(AND(AA474&lt;&gt;"",AA474&lt;&gt;0), IF(E474="Muni", AA474, IF(E474 = "Corp", (1-'Investor Input'!$C$4-'Investor Input'!$C$5)*AA474, (1-'Investor Input'!$C$4)*AA474)), AA474)</f>
        <v/>
      </c>
      <c r="AC474" s="94" t="str">
        <f t="shared" si="118"/>
        <v/>
      </c>
      <c r="AD474" s="60" t="str">
        <f>IF(AND(M474&lt;&gt;"", M474&lt;&gt;0), N474/$N$505*MATCH(AC474,'Misc Lists'!$K$2:$K$25,0), "")</f>
        <v/>
      </c>
      <c r="AE474" s="90" t="str">
        <f t="shared" si="119"/>
        <v/>
      </c>
      <c r="AF474" s="99" t="str">
        <f>IF(AND(M474&lt;&gt;"", M474&lt;&gt;0), N474/$N$505*MATCH(AE474,'Misc Lists'!$L$2:$L$25,0), "")</f>
        <v/>
      </c>
    </row>
    <row r="475" spans="2:32" hidden="1" outlineLevel="1" x14ac:dyDescent="0.5">
      <c r="B475" s="60" t="str">
        <f ca="1"/>
        <v>743315AJ2</v>
      </c>
      <c r="C475" s="61" t="str">
        <f ca="1"/>
        <v>N/A</v>
      </c>
      <c r="D475" s="60" t="str">
        <f ca="1"/>
        <v>PROGRESSIVE CORP    NOTE CALL MAKE WHOLE6.62500% 03/01/2029</v>
      </c>
      <c r="E475" s="61" t="str">
        <f ca="1"/>
        <v>Corp</v>
      </c>
      <c r="F475" s="62">
        <f ca="1"/>
        <v>6.625</v>
      </c>
      <c r="G475" s="63">
        <f ca="1"/>
        <v>47178</v>
      </c>
      <c r="H475" s="61" t="str">
        <f ca="1"/>
        <v>A2</v>
      </c>
      <c r="I475" s="61" t="str">
        <f ca="1"/>
        <v>A</v>
      </c>
      <c r="J475" s="64">
        <f ca="1"/>
        <v>107.621</v>
      </c>
      <c r="K475" s="17">
        <f ca="1"/>
        <v>4.5060000000000002</v>
      </c>
      <c r="L475" s="17" t="str">
        <f ca="1"/>
        <v>300(15)</v>
      </c>
      <c r="M475" s="83"/>
      <c r="N475" s="84" t="str">
        <f t="shared" si="107"/>
        <v/>
      </c>
      <c r="O475" s="20" t="str">
        <f t="shared" si="108"/>
        <v/>
      </c>
      <c r="P475" s="64" t="str">
        <f t="shared" si="109"/>
        <v/>
      </c>
      <c r="Q475" s="85" t="str">
        <f t="shared" ca="1" si="110"/>
        <v/>
      </c>
      <c r="R475" s="86" t="str">
        <f t="shared" si="111"/>
        <v/>
      </c>
      <c r="S475" s="86" t="str">
        <f t="shared" si="112"/>
        <v/>
      </c>
      <c r="T475" s="104" t="str">
        <f t="shared" si="113"/>
        <v/>
      </c>
      <c r="U475" s="19" t="str">
        <f>IF(AND(M475&lt;&gt;"",M475&lt;&gt;0), IF(E475 = "Muni", T475, IF(E475="Corp", T475*(1 -'Investor Input'!$C$4-'Investor Input'!$C$5), T475*(1 -'Investor Input'!$C$4))), T475)</f>
        <v/>
      </c>
      <c r="V475" s="84" t="str">
        <f t="shared" si="114"/>
        <v/>
      </c>
      <c r="W475" s="84" t="str">
        <f t="shared" si="105"/>
        <v/>
      </c>
      <c r="X475" s="21" t="str">
        <f t="shared" si="106"/>
        <v/>
      </c>
      <c r="Y475" s="60" t="str">
        <f t="shared" si="115"/>
        <v/>
      </c>
      <c r="Z475" s="60" t="str">
        <f t="shared" si="116"/>
        <v/>
      </c>
      <c r="AA475" s="64" t="str">
        <f t="shared" si="117"/>
        <v/>
      </c>
      <c r="AB475" s="64" t="str">
        <f>IF(AND(AA475&lt;&gt;"",AA475&lt;&gt;0), IF(E475="Muni", AA475, IF(E475 = "Corp", (1-'Investor Input'!$C$4-'Investor Input'!$C$5)*AA475, (1-'Investor Input'!$C$4)*AA475)), AA475)</f>
        <v/>
      </c>
      <c r="AC475" s="94" t="str">
        <f t="shared" si="118"/>
        <v/>
      </c>
      <c r="AD475" s="60" t="str">
        <f>IF(AND(M475&lt;&gt;"", M475&lt;&gt;0), N475/$N$505*MATCH(AC475,'Misc Lists'!$K$2:$K$25,0), "")</f>
        <v/>
      </c>
      <c r="AE475" s="90" t="str">
        <f t="shared" si="119"/>
        <v/>
      </c>
      <c r="AF475" s="99" t="str">
        <f>IF(AND(M475&lt;&gt;"", M475&lt;&gt;0), N475/$N$505*MATCH(AE475,'Misc Lists'!$L$2:$L$25,0), "")</f>
        <v/>
      </c>
    </row>
    <row r="476" spans="2:32" hidden="1" outlineLevel="1" x14ac:dyDescent="0.5">
      <c r="B476" s="60" t="str">
        <f ca="1"/>
        <v>759351AM1</v>
      </c>
      <c r="C476" s="61" t="str">
        <f ca="1"/>
        <v>N/A</v>
      </c>
      <c r="D476" s="60" t="str">
        <f ca="1"/>
        <v>REINSURANCE GROUP   AMER INC NOTE       3.95000% 09/15/2026 CALL MAKE WHOLE</v>
      </c>
      <c r="E476" s="61" t="str">
        <f ca="1"/>
        <v>Corp</v>
      </c>
      <c r="F476" s="62">
        <f ca="1"/>
        <v>3.95</v>
      </c>
      <c r="G476" s="63">
        <f ca="1"/>
        <v>46280</v>
      </c>
      <c r="H476" s="61" t="str">
        <f ca="1"/>
        <v>BAA1</v>
      </c>
      <c r="I476" s="61" t="str">
        <f ca="1"/>
        <v>A</v>
      </c>
      <c r="J476" s="64">
        <f ca="1"/>
        <v>99.200999999999993</v>
      </c>
      <c r="K476" s="17">
        <f ca="1"/>
        <v>4.5039999999999996</v>
      </c>
      <c r="L476" s="17" t="str">
        <f ca="1"/>
        <v>550(2)</v>
      </c>
      <c r="M476" s="83"/>
      <c r="N476" s="84" t="str">
        <f t="shared" si="107"/>
        <v/>
      </c>
      <c r="O476" s="20" t="str">
        <f t="shared" si="108"/>
        <v/>
      </c>
      <c r="P476" s="64" t="str">
        <f t="shared" si="109"/>
        <v/>
      </c>
      <c r="Q476" s="85" t="str">
        <f t="shared" ca="1" si="110"/>
        <v/>
      </c>
      <c r="R476" s="86" t="str">
        <f t="shared" si="111"/>
        <v/>
      </c>
      <c r="S476" s="86" t="str">
        <f t="shared" si="112"/>
        <v/>
      </c>
      <c r="T476" s="104" t="str">
        <f t="shared" si="113"/>
        <v/>
      </c>
      <c r="U476" s="19" t="str">
        <f>IF(AND(M476&lt;&gt;"",M476&lt;&gt;0), IF(E476 = "Muni", T476, IF(E476="Corp", T476*(1 -'Investor Input'!$C$4-'Investor Input'!$C$5), T476*(1 -'Investor Input'!$C$4))), T476)</f>
        <v/>
      </c>
      <c r="V476" s="84" t="str">
        <f t="shared" si="114"/>
        <v/>
      </c>
      <c r="W476" s="84" t="str">
        <f t="shared" si="105"/>
        <v/>
      </c>
      <c r="X476" s="21" t="str">
        <f t="shared" si="106"/>
        <v/>
      </c>
      <c r="Y476" s="60" t="str">
        <f t="shared" si="115"/>
        <v/>
      </c>
      <c r="Z476" s="60" t="str">
        <f t="shared" si="116"/>
        <v/>
      </c>
      <c r="AA476" s="64" t="str">
        <f t="shared" si="117"/>
        <v/>
      </c>
      <c r="AB476" s="64" t="str">
        <f>IF(AND(AA476&lt;&gt;"",AA476&lt;&gt;0), IF(E476="Muni", AA476, IF(E476 = "Corp", (1-'Investor Input'!$C$4-'Investor Input'!$C$5)*AA476, (1-'Investor Input'!$C$4)*AA476)), AA476)</f>
        <v/>
      </c>
      <c r="AC476" s="94" t="str">
        <f t="shared" si="118"/>
        <v/>
      </c>
      <c r="AD476" s="60" t="str">
        <f>IF(AND(M476&lt;&gt;"", M476&lt;&gt;0), N476/$N$505*MATCH(AC476,'Misc Lists'!$K$2:$K$25,0), "")</f>
        <v/>
      </c>
      <c r="AE476" s="90" t="str">
        <f t="shared" si="119"/>
        <v/>
      </c>
      <c r="AF476" s="99" t="str">
        <f>IF(AND(M476&lt;&gt;"", M476&lt;&gt;0), N476/$N$505*MATCH(AE476,'Misc Lists'!$L$2:$L$25,0), "")</f>
        <v/>
      </c>
    </row>
    <row r="477" spans="2:32" hidden="1" outlineLevel="1" x14ac:dyDescent="0.5">
      <c r="B477" s="60" t="str">
        <f ca="1"/>
        <v>03740LAD4</v>
      </c>
      <c r="C477" s="61" t="str">
        <f ca="1"/>
        <v>N/A</v>
      </c>
      <c r="D477" s="60" t="str">
        <f ca="1"/>
        <v>AON CORP / AON      GLOBAL HLDGS NOTE   2.85000% 05/28/2027 CALL MAKE WHOLE</v>
      </c>
      <c r="E477" s="61" t="str">
        <f ca="1"/>
        <v>Corp</v>
      </c>
      <c r="F477" s="62">
        <f ca="1"/>
        <v>2.85</v>
      </c>
      <c r="G477" s="63">
        <f ca="1"/>
        <v>46535</v>
      </c>
      <c r="H477" s="61" t="str">
        <f ca="1"/>
        <v>BAA2</v>
      </c>
      <c r="I477" s="61" t="str">
        <f ca="1"/>
        <v>A-</v>
      </c>
      <c r="J477" s="64">
        <f ca="1"/>
        <v>96.551000000000002</v>
      </c>
      <c r="K477" s="17">
        <f ca="1"/>
        <v>4.5039999999999996</v>
      </c>
      <c r="L477" s="17" t="str">
        <f ca="1"/>
        <v>60(9)</v>
      </c>
      <c r="M477" s="83"/>
      <c r="N477" s="84" t="str">
        <f t="shared" si="107"/>
        <v/>
      </c>
      <c r="O477" s="20" t="str">
        <f t="shared" si="108"/>
        <v/>
      </c>
      <c r="P477" s="64" t="str">
        <f t="shared" si="109"/>
        <v/>
      </c>
      <c r="Q477" s="85" t="str">
        <f t="shared" ca="1" si="110"/>
        <v/>
      </c>
      <c r="R477" s="86" t="str">
        <f t="shared" si="111"/>
        <v/>
      </c>
      <c r="S477" s="86" t="str">
        <f t="shared" si="112"/>
        <v/>
      </c>
      <c r="T477" s="104" t="str">
        <f t="shared" si="113"/>
        <v/>
      </c>
      <c r="U477" s="19" t="str">
        <f>IF(AND(M477&lt;&gt;"",M477&lt;&gt;0), IF(E477 = "Muni", T477, IF(E477="Corp", T477*(1 -'Investor Input'!$C$4-'Investor Input'!$C$5), T477*(1 -'Investor Input'!$C$4))), T477)</f>
        <v/>
      </c>
      <c r="V477" s="84" t="str">
        <f t="shared" si="114"/>
        <v/>
      </c>
      <c r="W477" s="84" t="str">
        <f t="shared" si="105"/>
        <v/>
      </c>
      <c r="X477" s="21" t="str">
        <f t="shared" si="106"/>
        <v/>
      </c>
      <c r="Y477" s="60" t="str">
        <f t="shared" si="115"/>
        <v/>
      </c>
      <c r="Z477" s="60" t="str">
        <f t="shared" si="116"/>
        <v/>
      </c>
      <c r="AA477" s="64" t="str">
        <f t="shared" si="117"/>
        <v/>
      </c>
      <c r="AB477" s="64" t="str">
        <f>IF(AND(AA477&lt;&gt;"",AA477&lt;&gt;0), IF(E477="Muni", AA477, IF(E477 = "Corp", (1-'Investor Input'!$C$4-'Investor Input'!$C$5)*AA477, (1-'Investor Input'!$C$4)*AA477)), AA477)</f>
        <v/>
      </c>
      <c r="AC477" s="94" t="str">
        <f t="shared" si="118"/>
        <v/>
      </c>
      <c r="AD477" s="60" t="str">
        <f>IF(AND(M477&lt;&gt;"", M477&lt;&gt;0), N477/$N$505*MATCH(AC477,'Misc Lists'!$K$2:$K$25,0), "")</f>
        <v/>
      </c>
      <c r="AE477" s="90" t="str">
        <f t="shared" si="119"/>
        <v/>
      </c>
      <c r="AF477" s="99" t="str">
        <f>IF(AND(M477&lt;&gt;"", M477&lt;&gt;0), N477/$N$505*MATCH(AE477,'Misc Lists'!$L$2:$L$25,0), "")</f>
        <v/>
      </c>
    </row>
    <row r="478" spans="2:32" hidden="1" outlineLevel="1" x14ac:dyDescent="0.5">
      <c r="B478" s="60" t="str">
        <f ca="1"/>
        <v>26884ABJ1</v>
      </c>
      <c r="C478" s="61" t="str">
        <f ca="1"/>
        <v>N/A</v>
      </c>
      <c r="D478" s="60" t="str">
        <f ca="1"/>
        <v>ERP OPER LTD        PARTNERSHIP NOTE    3.50000% 03/01/2028 CALL MAKE WHOLE</v>
      </c>
      <c r="E478" s="61" t="str">
        <f ca="1"/>
        <v>Corp</v>
      </c>
      <c r="F478" s="62">
        <f ca="1"/>
        <v>3.5</v>
      </c>
      <c r="G478" s="63">
        <f ca="1"/>
        <v>46813</v>
      </c>
      <c r="H478" s="61" t="str">
        <f ca="1"/>
        <v>A3</v>
      </c>
      <c r="I478" s="61" t="str">
        <f ca="1"/>
        <v>A-</v>
      </c>
      <c r="J478" s="64">
        <f ca="1"/>
        <v>97.238</v>
      </c>
      <c r="K478" s="17">
        <f ca="1"/>
        <v>4.5039999999999996</v>
      </c>
      <c r="L478" s="17" t="str">
        <f ca="1"/>
        <v>200(1)</v>
      </c>
      <c r="M478" s="83"/>
      <c r="N478" s="84" t="str">
        <f t="shared" si="107"/>
        <v/>
      </c>
      <c r="O478" s="20" t="str">
        <f t="shared" si="108"/>
        <v/>
      </c>
      <c r="P478" s="64" t="str">
        <f t="shared" si="109"/>
        <v/>
      </c>
      <c r="Q478" s="85" t="str">
        <f t="shared" ca="1" si="110"/>
        <v/>
      </c>
      <c r="R478" s="86" t="str">
        <f t="shared" si="111"/>
        <v/>
      </c>
      <c r="S478" s="86" t="str">
        <f t="shared" si="112"/>
        <v/>
      </c>
      <c r="T478" s="104" t="str">
        <f t="shared" si="113"/>
        <v/>
      </c>
      <c r="U478" s="19" t="str">
        <f>IF(AND(M478&lt;&gt;"",M478&lt;&gt;0), IF(E478 = "Muni", T478, IF(E478="Corp", T478*(1 -'Investor Input'!$C$4-'Investor Input'!$C$5), T478*(1 -'Investor Input'!$C$4))), T478)</f>
        <v/>
      </c>
      <c r="V478" s="84" t="str">
        <f t="shared" si="114"/>
        <v/>
      </c>
      <c r="W478" s="84" t="str">
        <f t="shared" si="105"/>
        <v/>
      </c>
      <c r="X478" s="21" t="str">
        <f t="shared" si="106"/>
        <v/>
      </c>
      <c r="Y478" s="60" t="str">
        <f t="shared" si="115"/>
        <v/>
      </c>
      <c r="Z478" s="60" t="str">
        <f t="shared" si="116"/>
        <v/>
      </c>
      <c r="AA478" s="64" t="str">
        <f t="shared" si="117"/>
        <v/>
      </c>
      <c r="AB478" s="64" t="str">
        <f>IF(AND(AA478&lt;&gt;"",AA478&lt;&gt;0), IF(E478="Muni", AA478, IF(E478 = "Corp", (1-'Investor Input'!$C$4-'Investor Input'!$C$5)*AA478, (1-'Investor Input'!$C$4)*AA478)), AA478)</f>
        <v/>
      </c>
      <c r="AC478" s="94" t="str">
        <f t="shared" si="118"/>
        <v/>
      </c>
      <c r="AD478" s="60" t="str">
        <f>IF(AND(M478&lt;&gt;"", M478&lt;&gt;0), N478/$N$505*MATCH(AC478,'Misc Lists'!$K$2:$K$25,0), "")</f>
        <v/>
      </c>
      <c r="AE478" s="90" t="str">
        <f t="shared" si="119"/>
        <v/>
      </c>
      <c r="AF478" s="99" t="str">
        <f>IF(AND(M478&lt;&gt;"", M478&lt;&gt;0), N478/$N$505*MATCH(AE478,'Misc Lists'!$L$2:$L$25,0), "")</f>
        <v/>
      </c>
    </row>
    <row r="479" spans="2:32" hidden="1" outlineLevel="1" x14ac:dyDescent="0.5">
      <c r="B479" s="60" t="str">
        <f ca="1"/>
        <v>29736RAS9</v>
      </c>
      <c r="C479" s="61" t="str">
        <f ca="1"/>
        <v>N/A</v>
      </c>
      <c r="D479" s="60" t="str">
        <f ca="1"/>
        <v>LAUDER ESTEE COS INCNOTE CALL MAKE WHOLE4.37500% 05/15/2028</v>
      </c>
      <c r="E479" s="61" t="str">
        <f ca="1"/>
        <v>Corp</v>
      </c>
      <c r="F479" s="62">
        <f ca="1"/>
        <v>4.375</v>
      </c>
      <c r="G479" s="63">
        <f ca="1"/>
        <v>46888</v>
      </c>
      <c r="H479" s="61" t="str">
        <f ca="1"/>
        <v>A2</v>
      </c>
      <c r="I479" s="61" t="str">
        <f ca="1"/>
        <v>A-</v>
      </c>
      <c r="J479" s="64">
        <f ca="1"/>
        <v>99.616</v>
      </c>
      <c r="K479" s="17">
        <f ca="1"/>
        <v>4.5039999999999996</v>
      </c>
      <c r="L479" s="17" t="str">
        <f ca="1"/>
        <v>200(2)</v>
      </c>
      <c r="M479" s="83"/>
      <c r="N479" s="84" t="str">
        <f t="shared" si="107"/>
        <v/>
      </c>
      <c r="O479" s="20" t="str">
        <f t="shared" si="108"/>
        <v/>
      </c>
      <c r="P479" s="64" t="str">
        <f t="shared" si="109"/>
        <v/>
      </c>
      <c r="Q479" s="85" t="str">
        <f t="shared" ca="1" si="110"/>
        <v/>
      </c>
      <c r="R479" s="86" t="str">
        <f t="shared" si="111"/>
        <v/>
      </c>
      <c r="S479" s="86" t="str">
        <f t="shared" si="112"/>
        <v/>
      </c>
      <c r="T479" s="104" t="str">
        <f t="shared" si="113"/>
        <v/>
      </c>
      <c r="U479" s="19" t="str">
        <f>IF(AND(M479&lt;&gt;"",M479&lt;&gt;0), IF(E479 = "Muni", T479, IF(E479="Corp", T479*(1 -'Investor Input'!$C$4-'Investor Input'!$C$5), T479*(1 -'Investor Input'!$C$4))), T479)</f>
        <v/>
      </c>
      <c r="V479" s="84" t="str">
        <f t="shared" si="114"/>
        <v/>
      </c>
      <c r="W479" s="84" t="str">
        <f t="shared" si="105"/>
        <v/>
      </c>
      <c r="X479" s="21" t="str">
        <f t="shared" si="106"/>
        <v/>
      </c>
      <c r="Y479" s="60" t="str">
        <f t="shared" si="115"/>
        <v/>
      </c>
      <c r="Z479" s="60" t="str">
        <f t="shared" si="116"/>
        <v/>
      </c>
      <c r="AA479" s="64" t="str">
        <f t="shared" si="117"/>
        <v/>
      </c>
      <c r="AB479" s="64" t="str">
        <f>IF(AND(AA479&lt;&gt;"",AA479&lt;&gt;0), IF(E479="Muni", AA479, IF(E479 = "Corp", (1-'Investor Input'!$C$4-'Investor Input'!$C$5)*AA479, (1-'Investor Input'!$C$4)*AA479)), AA479)</f>
        <v/>
      </c>
      <c r="AC479" s="94" t="str">
        <f t="shared" si="118"/>
        <v/>
      </c>
      <c r="AD479" s="60" t="str">
        <f>IF(AND(M479&lt;&gt;"", M479&lt;&gt;0), N479/$N$505*MATCH(AC479,'Misc Lists'!$K$2:$K$25,0), "")</f>
        <v/>
      </c>
      <c r="AE479" s="90" t="str">
        <f t="shared" si="119"/>
        <v/>
      </c>
      <c r="AF479" s="99" t="str">
        <f>IF(AND(M479&lt;&gt;"", M479&lt;&gt;0), N479/$N$505*MATCH(AE479,'Misc Lists'!$L$2:$L$25,0), "")</f>
        <v/>
      </c>
    </row>
    <row r="480" spans="2:32" hidden="1" outlineLevel="1" x14ac:dyDescent="0.5">
      <c r="B480" s="60" t="str">
        <f ca="1"/>
        <v>373334KS9</v>
      </c>
      <c r="C480" s="61" t="str">
        <f ca="1"/>
        <v>N/A</v>
      </c>
      <c r="D480" s="60" t="str">
        <f ca="1"/>
        <v>GEORGIA PWR CO      SER 2023 A NOTE     4.65000% 05/16/2028 CALL MAKE WHOLE</v>
      </c>
      <c r="E480" s="61" t="str">
        <f ca="1"/>
        <v>Corp</v>
      </c>
      <c r="F480" s="62">
        <f ca="1"/>
        <v>4.6500000000000004</v>
      </c>
      <c r="G480" s="63">
        <f ca="1"/>
        <v>46889</v>
      </c>
      <c r="H480" s="61" t="str">
        <f ca="1"/>
        <v>A3</v>
      </c>
      <c r="I480" s="61" t="str">
        <f ca="1"/>
        <v>A</v>
      </c>
      <c r="J480" s="64">
        <f ca="1"/>
        <v>100.42100000000001</v>
      </c>
      <c r="K480" s="17">
        <f ca="1"/>
        <v>4.5039999999999996</v>
      </c>
      <c r="L480" s="17" t="str">
        <f ca="1"/>
        <v>100(9)</v>
      </c>
      <c r="M480" s="83"/>
      <c r="N480" s="84" t="str">
        <f t="shared" si="107"/>
        <v/>
      </c>
      <c r="O480" s="20" t="str">
        <f t="shared" si="108"/>
        <v/>
      </c>
      <c r="P480" s="64" t="str">
        <f t="shared" si="109"/>
        <v/>
      </c>
      <c r="Q480" s="85" t="str">
        <f t="shared" ca="1" si="110"/>
        <v/>
      </c>
      <c r="R480" s="86" t="str">
        <f t="shared" si="111"/>
        <v/>
      </c>
      <c r="S480" s="86" t="str">
        <f t="shared" si="112"/>
        <v/>
      </c>
      <c r="T480" s="104" t="str">
        <f t="shared" si="113"/>
        <v/>
      </c>
      <c r="U480" s="19" t="str">
        <f>IF(AND(M480&lt;&gt;"",M480&lt;&gt;0), IF(E480 = "Muni", T480, IF(E480="Corp", T480*(1 -'Investor Input'!$C$4-'Investor Input'!$C$5), T480*(1 -'Investor Input'!$C$4))), T480)</f>
        <v/>
      </c>
      <c r="V480" s="84" t="str">
        <f t="shared" si="114"/>
        <v/>
      </c>
      <c r="W480" s="84" t="str">
        <f t="shared" si="105"/>
        <v/>
      </c>
      <c r="X480" s="21" t="str">
        <f t="shared" si="106"/>
        <v/>
      </c>
      <c r="Y480" s="60" t="str">
        <f t="shared" si="115"/>
        <v/>
      </c>
      <c r="Z480" s="60" t="str">
        <f t="shared" si="116"/>
        <v/>
      </c>
      <c r="AA480" s="64" t="str">
        <f t="shared" si="117"/>
        <v/>
      </c>
      <c r="AB480" s="64" t="str">
        <f>IF(AND(AA480&lt;&gt;"",AA480&lt;&gt;0), IF(E480="Muni", AA480, IF(E480 = "Corp", (1-'Investor Input'!$C$4-'Investor Input'!$C$5)*AA480, (1-'Investor Input'!$C$4)*AA480)), AA480)</f>
        <v/>
      </c>
      <c r="AC480" s="94" t="str">
        <f t="shared" si="118"/>
        <v/>
      </c>
      <c r="AD480" s="60" t="str">
        <f>IF(AND(M480&lt;&gt;"", M480&lt;&gt;0), N480/$N$505*MATCH(AC480,'Misc Lists'!$K$2:$K$25,0), "")</f>
        <v/>
      </c>
      <c r="AE480" s="90" t="str">
        <f t="shared" si="119"/>
        <v/>
      </c>
      <c r="AF480" s="99" t="str">
        <f>IF(AND(M480&lt;&gt;"", M480&lt;&gt;0), N480/$N$505*MATCH(AE480,'Misc Lists'!$L$2:$L$25,0), "")</f>
        <v/>
      </c>
    </row>
    <row r="481" spans="2:32" hidden="1" outlineLevel="1" x14ac:dyDescent="0.5">
      <c r="B481" s="60" t="str">
        <f ca="1"/>
        <v>17275RBR2</v>
      </c>
      <c r="C481" s="61" t="str">
        <f ca="1"/>
        <v>N/A</v>
      </c>
      <c r="D481" s="60" t="str">
        <f ca="1"/>
        <v>CISCO SYS INC       NOTE CALL MAKE WHOLE4.85000% 02/26/2029</v>
      </c>
      <c r="E481" s="61" t="str">
        <f ca="1"/>
        <v>Corp</v>
      </c>
      <c r="F481" s="62">
        <f ca="1"/>
        <v>4.8499999999999996</v>
      </c>
      <c r="G481" s="63">
        <f ca="1"/>
        <v>47175</v>
      </c>
      <c r="H481" s="61" t="str">
        <f ca="1"/>
        <v>A1</v>
      </c>
      <c r="I481" s="61" t="str">
        <f ca="1"/>
        <v>AA-</v>
      </c>
      <c r="J481" s="64">
        <f ca="1"/>
        <v>101.24</v>
      </c>
      <c r="K481" s="17">
        <f ca="1"/>
        <v>4.5039999999999996</v>
      </c>
      <c r="L481" s="17" t="str">
        <f ca="1"/>
        <v>500(2)</v>
      </c>
      <c r="M481" s="83"/>
      <c r="N481" s="84" t="str">
        <f t="shared" si="107"/>
        <v/>
      </c>
      <c r="O481" s="20" t="str">
        <f t="shared" si="108"/>
        <v/>
      </c>
      <c r="P481" s="64" t="str">
        <f t="shared" si="109"/>
        <v/>
      </c>
      <c r="Q481" s="85" t="str">
        <f t="shared" ca="1" si="110"/>
        <v/>
      </c>
      <c r="R481" s="86" t="str">
        <f t="shared" si="111"/>
        <v/>
      </c>
      <c r="S481" s="86" t="str">
        <f t="shared" si="112"/>
        <v/>
      </c>
      <c r="T481" s="104" t="str">
        <f t="shared" si="113"/>
        <v/>
      </c>
      <c r="U481" s="19" t="str">
        <f>IF(AND(M481&lt;&gt;"",M481&lt;&gt;0), IF(E481 = "Muni", T481, IF(E481="Corp", T481*(1 -'Investor Input'!$C$4-'Investor Input'!$C$5), T481*(1 -'Investor Input'!$C$4))), T481)</f>
        <v/>
      </c>
      <c r="V481" s="84" t="str">
        <f t="shared" si="114"/>
        <v/>
      </c>
      <c r="W481" s="84" t="str">
        <f t="shared" si="105"/>
        <v/>
      </c>
      <c r="X481" s="21" t="str">
        <f t="shared" si="106"/>
        <v/>
      </c>
      <c r="Y481" s="60" t="str">
        <f t="shared" si="115"/>
        <v/>
      </c>
      <c r="Z481" s="60" t="str">
        <f t="shared" si="116"/>
        <v/>
      </c>
      <c r="AA481" s="64" t="str">
        <f t="shared" si="117"/>
        <v/>
      </c>
      <c r="AB481" s="64" t="str">
        <f>IF(AND(AA481&lt;&gt;"",AA481&lt;&gt;0), IF(E481="Muni", AA481, IF(E481 = "Corp", (1-'Investor Input'!$C$4-'Investor Input'!$C$5)*AA481, (1-'Investor Input'!$C$4)*AA481)), AA481)</f>
        <v/>
      </c>
      <c r="AC481" s="94" t="str">
        <f t="shared" si="118"/>
        <v/>
      </c>
      <c r="AD481" s="60" t="str">
        <f>IF(AND(M481&lt;&gt;"", M481&lt;&gt;0), N481/$N$505*MATCH(AC481,'Misc Lists'!$K$2:$K$25,0), "")</f>
        <v/>
      </c>
      <c r="AE481" s="90" t="str">
        <f t="shared" si="119"/>
        <v/>
      </c>
      <c r="AF481" s="99" t="str">
        <f>IF(AND(M481&lt;&gt;"", M481&lt;&gt;0), N481/$N$505*MATCH(AE481,'Misc Lists'!$L$2:$L$25,0), "")</f>
        <v/>
      </c>
    </row>
    <row r="482" spans="2:32" hidden="1" outlineLevel="1" x14ac:dyDescent="0.5">
      <c r="B482" s="60" t="str">
        <f ca="1"/>
        <v>437076DC3</v>
      </c>
      <c r="C482" s="61" t="str">
        <f ca="1"/>
        <v>N/A</v>
      </c>
      <c r="D482" s="60" t="str">
        <f ca="1"/>
        <v>HOME DEPOT INC      NOTE CALL MAKE WHOLE4.75000% 06/25/2029</v>
      </c>
      <c r="E482" s="61" t="str">
        <f ca="1"/>
        <v>Corp</v>
      </c>
      <c r="F482" s="62">
        <f ca="1"/>
        <v>4.75</v>
      </c>
      <c r="G482" s="63">
        <f ca="1"/>
        <v>47294</v>
      </c>
      <c r="H482" s="61" t="str">
        <f ca="1"/>
        <v>A2</v>
      </c>
      <c r="I482" s="61" t="str">
        <f ca="1"/>
        <v>A</v>
      </c>
      <c r="J482" s="64">
        <f ca="1"/>
        <v>100.943</v>
      </c>
      <c r="K482" s="17">
        <f ca="1"/>
        <v>4.5039999999999996</v>
      </c>
      <c r="L482" s="17" t="str">
        <f ca="1"/>
        <v>500( 2)</v>
      </c>
      <c r="M482" s="83"/>
      <c r="N482" s="84" t="str">
        <f t="shared" si="107"/>
        <v/>
      </c>
      <c r="O482" s="20" t="str">
        <f t="shared" si="108"/>
        <v/>
      </c>
      <c r="P482" s="64" t="str">
        <f t="shared" si="109"/>
        <v/>
      </c>
      <c r="Q482" s="85" t="str">
        <f t="shared" ca="1" si="110"/>
        <v/>
      </c>
      <c r="R482" s="86" t="str">
        <f t="shared" si="111"/>
        <v/>
      </c>
      <c r="S482" s="86" t="str">
        <f t="shared" si="112"/>
        <v/>
      </c>
      <c r="T482" s="104" t="str">
        <f t="shared" si="113"/>
        <v/>
      </c>
      <c r="U482" s="19" t="str">
        <f>IF(AND(M482&lt;&gt;"",M482&lt;&gt;0), IF(E482 = "Muni", T482, IF(E482="Corp", T482*(1 -'Investor Input'!$C$4-'Investor Input'!$C$5), T482*(1 -'Investor Input'!$C$4))), T482)</f>
        <v/>
      </c>
      <c r="V482" s="84" t="str">
        <f t="shared" si="114"/>
        <v/>
      </c>
      <c r="W482" s="84" t="str">
        <f t="shared" si="105"/>
        <v/>
      </c>
      <c r="X482" s="21" t="str">
        <f t="shared" si="106"/>
        <v/>
      </c>
      <c r="Y482" s="60" t="str">
        <f t="shared" si="115"/>
        <v/>
      </c>
      <c r="Z482" s="60" t="str">
        <f t="shared" si="116"/>
        <v/>
      </c>
      <c r="AA482" s="64" t="str">
        <f t="shared" si="117"/>
        <v/>
      </c>
      <c r="AB482" s="64" t="str">
        <f>IF(AND(AA482&lt;&gt;"",AA482&lt;&gt;0), IF(E482="Muni", AA482, IF(E482 = "Corp", (1-'Investor Input'!$C$4-'Investor Input'!$C$5)*AA482, (1-'Investor Input'!$C$4)*AA482)), AA482)</f>
        <v/>
      </c>
      <c r="AC482" s="94" t="str">
        <f t="shared" si="118"/>
        <v/>
      </c>
      <c r="AD482" s="60" t="str">
        <f>IF(AND(M482&lt;&gt;"", M482&lt;&gt;0), N482/$N$505*MATCH(AC482,'Misc Lists'!$K$2:$K$25,0), "")</f>
        <v/>
      </c>
      <c r="AE482" s="90" t="str">
        <f t="shared" si="119"/>
        <v/>
      </c>
      <c r="AF482" s="99" t="str">
        <f>IF(AND(M482&lt;&gt;"", M482&lt;&gt;0), N482/$N$505*MATCH(AE482,'Misc Lists'!$L$2:$L$25,0), "")</f>
        <v/>
      </c>
    </row>
    <row r="483" spans="2:32" hidden="1" outlineLevel="1" x14ac:dyDescent="0.5">
      <c r="B483" s="60" t="str">
        <f ca="1"/>
        <v>59523UAM9</v>
      </c>
      <c r="C483" s="61" t="str">
        <f ca="1"/>
        <v>N/A</v>
      </c>
      <c r="D483" s="60" t="str">
        <f ca="1"/>
        <v>MID-AMERICA APTS LP NOTE CALL MAKE WHOLE4.00000% 11/15/2025</v>
      </c>
      <c r="E483" s="61" t="str">
        <f ca="1"/>
        <v>Corp</v>
      </c>
      <c r="F483" s="62">
        <f ca="1"/>
        <v>4</v>
      </c>
      <c r="G483" s="63">
        <f ca="1"/>
        <v>45976</v>
      </c>
      <c r="H483" s="61" t="str">
        <f ca="1"/>
        <v>A3</v>
      </c>
      <c r="I483" s="61" t="str">
        <f ca="1"/>
        <v>A-</v>
      </c>
      <c r="J483" s="64">
        <f ca="1"/>
        <v>99.664000000000001</v>
      </c>
      <c r="K483" s="17">
        <f ca="1"/>
        <v>4.5030000000000001</v>
      </c>
      <c r="L483" s="17" t="str">
        <f ca="1"/>
        <v>100(9)</v>
      </c>
      <c r="M483" s="83"/>
      <c r="N483" s="84" t="str">
        <f t="shared" si="107"/>
        <v/>
      </c>
      <c r="O483" s="20" t="str">
        <f t="shared" si="108"/>
        <v/>
      </c>
      <c r="P483" s="64" t="str">
        <f t="shared" si="109"/>
        <v/>
      </c>
      <c r="Q483" s="85" t="str">
        <f t="shared" ca="1" si="110"/>
        <v/>
      </c>
      <c r="R483" s="86" t="str">
        <f t="shared" si="111"/>
        <v/>
      </c>
      <c r="S483" s="86" t="str">
        <f t="shared" si="112"/>
        <v/>
      </c>
      <c r="T483" s="104" t="str">
        <f t="shared" si="113"/>
        <v/>
      </c>
      <c r="U483" s="19" t="str">
        <f>IF(AND(M483&lt;&gt;"",M483&lt;&gt;0), IF(E483 = "Muni", T483, IF(E483="Corp", T483*(1 -'Investor Input'!$C$4-'Investor Input'!$C$5), T483*(1 -'Investor Input'!$C$4))), T483)</f>
        <v/>
      </c>
      <c r="V483" s="84" t="str">
        <f t="shared" si="114"/>
        <v/>
      </c>
      <c r="W483" s="84" t="str">
        <f t="shared" si="105"/>
        <v/>
      </c>
      <c r="X483" s="21" t="str">
        <f t="shared" si="106"/>
        <v/>
      </c>
      <c r="Y483" s="60" t="str">
        <f t="shared" si="115"/>
        <v/>
      </c>
      <c r="Z483" s="60" t="str">
        <f t="shared" si="116"/>
        <v/>
      </c>
      <c r="AA483" s="64" t="str">
        <f t="shared" si="117"/>
        <v/>
      </c>
      <c r="AB483" s="64" t="str">
        <f>IF(AND(AA483&lt;&gt;"",AA483&lt;&gt;0), IF(E483="Muni", AA483, IF(E483 = "Corp", (1-'Investor Input'!$C$4-'Investor Input'!$C$5)*AA483, (1-'Investor Input'!$C$4)*AA483)), AA483)</f>
        <v/>
      </c>
      <c r="AC483" s="94" t="str">
        <f t="shared" si="118"/>
        <v/>
      </c>
      <c r="AD483" s="60" t="str">
        <f>IF(AND(M483&lt;&gt;"", M483&lt;&gt;0), N483/$N$505*MATCH(AC483,'Misc Lists'!$K$2:$K$25,0), "")</f>
        <v/>
      </c>
      <c r="AE483" s="90" t="str">
        <f t="shared" si="119"/>
        <v/>
      </c>
      <c r="AF483" s="99" t="str">
        <f>IF(AND(M483&lt;&gt;"", M483&lt;&gt;0), N483/$N$505*MATCH(AE483,'Misc Lists'!$L$2:$L$25,0), "")</f>
        <v/>
      </c>
    </row>
    <row r="484" spans="2:32" hidden="1" outlineLevel="1" x14ac:dyDescent="0.5">
      <c r="B484" s="60" t="str">
        <f ca="1"/>
        <v>718172CE7</v>
      </c>
      <c r="C484" s="61" t="str">
        <f ca="1"/>
        <v>N/A</v>
      </c>
      <c r="D484" s="60" t="str">
        <f ca="1"/>
        <v>PHILIP MORRIS INTL  INC NOTE            3.12500% 03/02/2028 CALL MAKE WHOLE</v>
      </c>
      <c r="E484" s="61" t="str">
        <f ca="1"/>
        <v>Corp</v>
      </c>
      <c r="F484" s="62">
        <f ca="1"/>
        <v>3.125</v>
      </c>
      <c r="G484" s="63">
        <f ca="1"/>
        <v>46814</v>
      </c>
      <c r="H484" s="61" t="str">
        <f ca="1"/>
        <v>A2</v>
      </c>
      <c r="I484" s="61" t="str">
        <f ca="1"/>
        <v>A-</v>
      </c>
      <c r="J484" s="64">
        <f ca="1"/>
        <v>96.204999999999998</v>
      </c>
      <c r="K484" s="17">
        <f ca="1"/>
        <v>4.5030000000000001</v>
      </c>
      <c r="L484" s="17" t="str">
        <f ca="1"/>
        <v>500(2)</v>
      </c>
      <c r="M484" s="83"/>
      <c r="N484" s="84" t="str">
        <f t="shared" si="107"/>
        <v/>
      </c>
      <c r="O484" s="20" t="str">
        <f t="shared" si="108"/>
        <v/>
      </c>
      <c r="P484" s="64" t="str">
        <f t="shared" si="109"/>
        <v/>
      </c>
      <c r="Q484" s="85" t="str">
        <f t="shared" ca="1" si="110"/>
        <v/>
      </c>
      <c r="R484" s="86" t="str">
        <f t="shared" si="111"/>
        <v/>
      </c>
      <c r="S484" s="86" t="str">
        <f t="shared" si="112"/>
        <v/>
      </c>
      <c r="T484" s="104" t="str">
        <f t="shared" si="113"/>
        <v/>
      </c>
      <c r="U484" s="19" t="str">
        <f>IF(AND(M484&lt;&gt;"",M484&lt;&gt;0), IF(E484 = "Muni", T484, IF(E484="Corp", T484*(1 -'Investor Input'!$C$4-'Investor Input'!$C$5), T484*(1 -'Investor Input'!$C$4))), T484)</f>
        <v/>
      </c>
      <c r="V484" s="84" t="str">
        <f t="shared" si="114"/>
        <v/>
      </c>
      <c r="W484" s="84" t="str">
        <f t="shared" si="105"/>
        <v/>
      </c>
      <c r="X484" s="21" t="str">
        <f t="shared" si="106"/>
        <v/>
      </c>
      <c r="Y484" s="60" t="str">
        <f t="shared" si="115"/>
        <v/>
      </c>
      <c r="Z484" s="60" t="str">
        <f t="shared" si="116"/>
        <v/>
      </c>
      <c r="AA484" s="64" t="str">
        <f t="shared" si="117"/>
        <v/>
      </c>
      <c r="AB484" s="64" t="str">
        <f>IF(AND(AA484&lt;&gt;"",AA484&lt;&gt;0), IF(E484="Muni", AA484, IF(E484 = "Corp", (1-'Investor Input'!$C$4-'Investor Input'!$C$5)*AA484, (1-'Investor Input'!$C$4)*AA484)), AA484)</f>
        <v/>
      </c>
      <c r="AC484" s="94" t="str">
        <f t="shared" si="118"/>
        <v/>
      </c>
      <c r="AD484" s="60" t="str">
        <f>IF(AND(M484&lt;&gt;"", M484&lt;&gt;0), N484/$N$505*MATCH(AC484,'Misc Lists'!$K$2:$K$25,0), "")</f>
        <v/>
      </c>
      <c r="AE484" s="90" t="str">
        <f t="shared" si="119"/>
        <v/>
      </c>
      <c r="AF484" s="99" t="str">
        <f>IF(AND(M484&lt;&gt;"", M484&lt;&gt;0), N484/$N$505*MATCH(AE484,'Misc Lists'!$L$2:$L$25,0), "")</f>
        <v/>
      </c>
    </row>
    <row r="485" spans="2:32" hidden="1" outlineLevel="1" x14ac:dyDescent="0.5">
      <c r="B485" s="60" t="str">
        <f ca="1"/>
        <v>808513BP9</v>
      </c>
      <c r="C485" s="61" t="str">
        <f ca="1"/>
        <v>N/A</v>
      </c>
      <c r="D485" s="60" t="str">
        <f ca="1"/>
        <v>SCHWAB CHARLES CORP NOTE CALL MAKE WHOLE2.00000% 03/20/2028</v>
      </c>
      <c r="E485" s="61" t="str">
        <f ca="1"/>
        <v>Corp</v>
      </c>
      <c r="F485" s="62">
        <f ca="1"/>
        <v>2</v>
      </c>
      <c r="G485" s="63">
        <f ca="1"/>
        <v>46832</v>
      </c>
      <c r="H485" s="61" t="str">
        <f ca="1"/>
        <v>A2</v>
      </c>
      <c r="I485" s="61" t="str">
        <f ca="1"/>
        <v>A-</v>
      </c>
      <c r="J485" s="64">
        <f ca="1"/>
        <v>93</v>
      </c>
      <c r="K485" s="17">
        <f ca="1"/>
        <v>4.5030000000000001</v>
      </c>
      <c r="L485" s="17" t="str">
        <f ca="1"/>
        <v>500(2)</v>
      </c>
      <c r="M485" s="83"/>
      <c r="N485" s="84" t="str">
        <f t="shared" si="107"/>
        <v/>
      </c>
      <c r="O485" s="20" t="str">
        <f t="shared" si="108"/>
        <v/>
      </c>
      <c r="P485" s="64" t="str">
        <f t="shared" si="109"/>
        <v/>
      </c>
      <c r="Q485" s="85" t="str">
        <f t="shared" ca="1" si="110"/>
        <v/>
      </c>
      <c r="R485" s="86" t="str">
        <f t="shared" si="111"/>
        <v/>
      </c>
      <c r="S485" s="86" t="str">
        <f t="shared" si="112"/>
        <v/>
      </c>
      <c r="T485" s="104" t="str">
        <f t="shared" si="113"/>
        <v/>
      </c>
      <c r="U485" s="19" t="str">
        <f>IF(AND(M485&lt;&gt;"",M485&lt;&gt;0), IF(E485 = "Muni", T485, IF(E485="Corp", T485*(1 -'Investor Input'!$C$4-'Investor Input'!$C$5), T485*(1 -'Investor Input'!$C$4))), T485)</f>
        <v/>
      </c>
      <c r="V485" s="84" t="str">
        <f t="shared" si="114"/>
        <v/>
      </c>
      <c r="W485" s="84" t="str">
        <f t="shared" si="105"/>
        <v/>
      </c>
      <c r="X485" s="21" t="str">
        <f t="shared" si="106"/>
        <v/>
      </c>
      <c r="Y485" s="60" t="str">
        <f t="shared" si="115"/>
        <v/>
      </c>
      <c r="Z485" s="60" t="str">
        <f t="shared" si="116"/>
        <v/>
      </c>
      <c r="AA485" s="64" t="str">
        <f t="shared" si="117"/>
        <v/>
      </c>
      <c r="AB485" s="64" t="str">
        <f>IF(AND(AA485&lt;&gt;"",AA485&lt;&gt;0), IF(E485="Muni", AA485, IF(E485 = "Corp", (1-'Investor Input'!$C$4-'Investor Input'!$C$5)*AA485, (1-'Investor Input'!$C$4)*AA485)), AA485)</f>
        <v/>
      </c>
      <c r="AC485" s="94" t="str">
        <f t="shared" si="118"/>
        <v/>
      </c>
      <c r="AD485" s="60" t="str">
        <f>IF(AND(M485&lt;&gt;"", M485&lt;&gt;0), N485/$N$505*MATCH(AC485,'Misc Lists'!$K$2:$K$25,0), "")</f>
        <v/>
      </c>
      <c r="AE485" s="90" t="str">
        <f t="shared" si="119"/>
        <v/>
      </c>
      <c r="AF485" s="99" t="str">
        <f>IF(AND(M485&lt;&gt;"", M485&lt;&gt;0), N485/$N$505*MATCH(AE485,'Misc Lists'!$L$2:$L$25,0), "")</f>
        <v/>
      </c>
    </row>
    <row r="486" spans="2:32" hidden="1" outlineLevel="1" x14ac:dyDescent="0.5">
      <c r="B486" s="60" t="str">
        <f ca="1"/>
        <v>71713UAW2</v>
      </c>
      <c r="C486" s="61" t="str">
        <f ca="1"/>
        <v>N/A</v>
      </c>
      <c r="D486" s="60" t="str">
        <f ca="1"/>
        <v>PFIZER INC          BOND CALL MAKE WHOLE6.60000% 12/01/2028</v>
      </c>
      <c r="E486" s="61" t="str">
        <f ca="1"/>
        <v>Corp</v>
      </c>
      <c r="F486" s="62">
        <f ca="1"/>
        <v>6.6</v>
      </c>
      <c r="G486" s="63">
        <f ca="1"/>
        <v>47088</v>
      </c>
      <c r="H486" s="61" t="str">
        <f ca="1"/>
        <v>A2</v>
      </c>
      <c r="I486" s="61" t="str">
        <f ca="1"/>
        <v>A</v>
      </c>
      <c r="J486" s="64">
        <f ca="1"/>
        <v>107.099</v>
      </c>
      <c r="K486" s="17">
        <f ca="1"/>
        <v>4.5030000000000001</v>
      </c>
      <c r="L486" s="17" t="str">
        <f ca="1"/>
        <v>150(150)</v>
      </c>
      <c r="M486" s="83"/>
      <c r="N486" s="84" t="str">
        <f t="shared" si="107"/>
        <v/>
      </c>
      <c r="O486" s="20" t="str">
        <f t="shared" si="108"/>
        <v/>
      </c>
      <c r="P486" s="64" t="str">
        <f t="shared" si="109"/>
        <v/>
      </c>
      <c r="Q486" s="85" t="str">
        <f t="shared" ca="1" si="110"/>
        <v/>
      </c>
      <c r="R486" s="86" t="str">
        <f t="shared" si="111"/>
        <v/>
      </c>
      <c r="S486" s="86" t="str">
        <f t="shared" si="112"/>
        <v/>
      </c>
      <c r="T486" s="104" t="str">
        <f t="shared" si="113"/>
        <v/>
      </c>
      <c r="U486" s="19" t="str">
        <f>IF(AND(M486&lt;&gt;"",M486&lt;&gt;0), IF(E486 = "Muni", T486, IF(E486="Corp", T486*(1 -'Investor Input'!$C$4-'Investor Input'!$C$5), T486*(1 -'Investor Input'!$C$4))), T486)</f>
        <v/>
      </c>
      <c r="V486" s="84" t="str">
        <f t="shared" si="114"/>
        <v/>
      </c>
      <c r="W486" s="84" t="str">
        <f t="shared" si="105"/>
        <v/>
      </c>
      <c r="X486" s="21" t="str">
        <f t="shared" si="106"/>
        <v/>
      </c>
      <c r="Y486" s="60" t="str">
        <f t="shared" si="115"/>
        <v/>
      </c>
      <c r="Z486" s="60" t="str">
        <f t="shared" si="116"/>
        <v/>
      </c>
      <c r="AA486" s="64" t="str">
        <f t="shared" si="117"/>
        <v/>
      </c>
      <c r="AB486" s="64" t="str">
        <f>IF(AND(AA486&lt;&gt;"",AA486&lt;&gt;0), IF(E486="Muni", AA486, IF(E486 = "Corp", (1-'Investor Input'!$C$4-'Investor Input'!$C$5)*AA486, (1-'Investor Input'!$C$4)*AA486)), AA486)</f>
        <v/>
      </c>
      <c r="AC486" s="94" t="str">
        <f t="shared" si="118"/>
        <v/>
      </c>
      <c r="AD486" s="60" t="str">
        <f>IF(AND(M486&lt;&gt;"", M486&lt;&gt;0), N486/$N$505*MATCH(AC486,'Misc Lists'!$K$2:$K$25,0), "")</f>
        <v/>
      </c>
      <c r="AE486" s="90" t="str">
        <f t="shared" si="119"/>
        <v/>
      </c>
      <c r="AF486" s="99" t="str">
        <f>IF(AND(M486&lt;&gt;"", M486&lt;&gt;0), N486/$N$505*MATCH(AE486,'Misc Lists'!$L$2:$L$25,0), "")</f>
        <v/>
      </c>
    </row>
    <row r="487" spans="2:32" hidden="1" outlineLevel="1" x14ac:dyDescent="0.5">
      <c r="B487" s="60" t="str">
        <f ca="1"/>
        <v>00440KAB9</v>
      </c>
      <c r="C487" s="61" t="str">
        <f ca="1"/>
        <v>N/A</v>
      </c>
      <c r="D487" s="60" t="str">
        <f ca="1"/>
        <v>ACCENTURE CAPITAL   INC NOTE            4.05000% 10/04/2029 CALL MAKE WHOLE</v>
      </c>
      <c r="E487" s="61" t="str">
        <f ca="1"/>
        <v>Corp</v>
      </c>
      <c r="F487" s="62">
        <f ca="1"/>
        <v>4.05</v>
      </c>
      <c r="G487" s="63">
        <f ca="1"/>
        <v>47395</v>
      </c>
      <c r="H487" s="61" t="str">
        <f ca="1"/>
        <v>AA3</v>
      </c>
      <c r="I487" s="61" t="str">
        <f ca="1"/>
        <v>AA-</v>
      </c>
      <c r="J487" s="64">
        <f ca="1"/>
        <v>98.147999999999996</v>
      </c>
      <c r="K487" s="17">
        <f ca="1"/>
        <v>4.5030000000000001</v>
      </c>
      <c r="L487" s="17" t="str">
        <f ca="1"/>
        <v>500(2)</v>
      </c>
      <c r="M487" s="83"/>
      <c r="N487" s="84" t="str">
        <f t="shared" si="107"/>
        <v/>
      </c>
      <c r="O487" s="20" t="str">
        <f t="shared" si="108"/>
        <v/>
      </c>
      <c r="P487" s="64" t="str">
        <f t="shared" si="109"/>
        <v/>
      </c>
      <c r="Q487" s="85" t="str">
        <f t="shared" ca="1" si="110"/>
        <v/>
      </c>
      <c r="R487" s="86" t="str">
        <f t="shared" si="111"/>
        <v/>
      </c>
      <c r="S487" s="86" t="str">
        <f t="shared" si="112"/>
        <v/>
      </c>
      <c r="T487" s="104" t="str">
        <f t="shared" si="113"/>
        <v/>
      </c>
      <c r="U487" s="19" t="str">
        <f>IF(AND(M487&lt;&gt;"",M487&lt;&gt;0), IF(E487 = "Muni", T487, IF(E487="Corp", T487*(1 -'Investor Input'!$C$4-'Investor Input'!$C$5), T487*(1 -'Investor Input'!$C$4))), T487)</f>
        <v/>
      </c>
      <c r="V487" s="84" t="str">
        <f t="shared" si="114"/>
        <v/>
      </c>
      <c r="W487" s="84" t="str">
        <f t="shared" si="105"/>
        <v/>
      </c>
      <c r="X487" s="21" t="str">
        <f t="shared" si="106"/>
        <v/>
      </c>
      <c r="Y487" s="60" t="str">
        <f t="shared" si="115"/>
        <v/>
      </c>
      <c r="Z487" s="60" t="str">
        <f t="shared" si="116"/>
        <v/>
      </c>
      <c r="AA487" s="64" t="str">
        <f t="shared" si="117"/>
        <v/>
      </c>
      <c r="AB487" s="64" t="str">
        <f>IF(AND(AA487&lt;&gt;"",AA487&lt;&gt;0), IF(E487="Muni", AA487, IF(E487 = "Corp", (1-'Investor Input'!$C$4-'Investor Input'!$C$5)*AA487, (1-'Investor Input'!$C$4)*AA487)), AA487)</f>
        <v/>
      </c>
      <c r="AC487" s="94" t="str">
        <f t="shared" si="118"/>
        <v/>
      </c>
      <c r="AD487" s="60" t="str">
        <f>IF(AND(M487&lt;&gt;"", M487&lt;&gt;0), N487/$N$505*MATCH(AC487,'Misc Lists'!$K$2:$K$25,0), "")</f>
        <v/>
      </c>
      <c r="AE487" s="90" t="str">
        <f t="shared" si="119"/>
        <v/>
      </c>
      <c r="AF487" s="99" t="str">
        <f>IF(AND(M487&lt;&gt;"", M487&lt;&gt;0), N487/$N$505*MATCH(AE487,'Misc Lists'!$L$2:$L$25,0), "")</f>
        <v/>
      </c>
    </row>
    <row r="488" spans="2:32" hidden="1" outlineLevel="1" x14ac:dyDescent="0.5">
      <c r="B488" s="60" t="str">
        <f ca="1"/>
        <v>06368LC53</v>
      </c>
      <c r="C488" s="61" t="str">
        <f ca="1"/>
        <v>N/A</v>
      </c>
      <c r="D488" s="60" t="str">
        <f ca="1"/>
        <v>BANK MONTREAL MEDIUMSER H MTN           5.26600% 12/11/2026 CALL MAKE WHOLE</v>
      </c>
      <c r="E488" s="61" t="str">
        <f ca="1"/>
        <v>Corp</v>
      </c>
      <c r="F488" s="62">
        <f ca="1"/>
        <v>5.266</v>
      </c>
      <c r="G488" s="63">
        <f ca="1"/>
        <v>46367</v>
      </c>
      <c r="H488" s="61" t="str">
        <f ca="1"/>
        <v>A2</v>
      </c>
      <c r="I488" s="61" t="str">
        <f ca="1"/>
        <v>A-</v>
      </c>
      <c r="J488" s="64">
        <f ca="1"/>
        <v>101.262</v>
      </c>
      <c r="K488" s="17">
        <f ca="1"/>
        <v>4.5019999999999998</v>
      </c>
      <c r="L488" s="17" t="str">
        <f ca="1"/>
        <v>200(2)</v>
      </c>
      <c r="M488" s="83"/>
      <c r="N488" s="84" t="str">
        <f t="shared" si="107"/>
        <v/>
      </c>
      <c r="O488" s="20" t="str">
        <f t="shared" si="108"/>
        <v/>
      </c>
      <c r="P488" s="64" t="str">
        <f t="shared" si="109"/>
        <v/>
      </c>
      <c r="Q488" s="85" t="str">
        <f t="shared" ca="1" si="110"/>
        <v/>
      </c>
      <c r="R488" s="86" t="str">
        <f t="shared" si="111"/>
        <v/>
      </c>
      <c r="S488" s="86" t="str">
        <f t="shared" si="112"/>
        <v/>
      </c>
      <c r="T488" s="104" t="str">
        <f t="shared" si="113"/>
        <v/>
      </c>
      <c r="U488" s="19" t="str">
        <f>IF(AND(M488&lt;&gt;"",M488&lt;&gt;0), IF(E488 = "Muni", T488, IF(E488="Corp", T488*(1 -'Investor Input'!$C$4-'Investor Input'!$C$5), T488*(1 -'Investor Input'!$C$4))), T488)</f>
        <v/>
      </c>
      <c r="V488" s="84" t="str">
        <f t="shared" si="114"/>
        <v/>
      </c>
      <c r="W488" s="84" t="str">
        <f t="shared" si="105"/>
        <v/>
      </c>
      <c r="X488" s="21" t="str">
        <f t="shared" si="106"/>
        <v/>
      </c>
      <c r="Y488" s="60" t="str">
        <f t="shared" si="115"/>
        <v/>
      </c>
      <c r="Z488" s="60" t="str">
        <f t="shared" si="116"/>
        <v/>
      </c>
      <c r="AA488" s="64" t="str">
        <f t="shared" si="117"/>
        <v/>
      </c>
      <c r="AB488" s="64" t="str">
        <f>IF(AND(AA488&lt;&gt;"",AA488&lt;&gt;0), IF(E488="Muni", AA488, IF(E488 = "Corp", (1-'Investor Input'!$C$4-'Investor Input'!$C$5)*AA488, (1-'Investor Input'!$C$4)*AA488)), AA488)</f>
        <v/>
      </c>
      <c r="AC488" s="94" t="str">
        <f t="shared" si="118"/>
        <v/>
      </c>
      <c r="AD488" s="60" t="str">
        <f>IF(AND(M488&lt;&gt;"", M488&lt;&gt;0), N488/$N$505*MATCH(AC488,'Misc Lists'!$K$2:$K$25,0), "")</f>
        <v/>
      </c>
      <c r="AE488" s="90" t="str">
        <f t="shared" si="119"/>
        <v/>
      </c>
      <c r="AF488" s="99" t="str">
        <f>IF(AND(M488&lt;&gt;"", M488&lt;&gt;0), N488/$N$505*MATCH(AE488,'Misc Lists'!$L$2:$L$25,0), "")</f>
        <v/>
      </c>
    </row>
    <row r="489" spans="2:32" hidden="1" outlineLevel="1" x14ac:dyDescent="0.5">
      <c r="B489" s="60" t="str">
        <f ca="1"/>
        <v>02665WDJ7</v>
      </c>
      <c r="C489" s="61" t="str">
        <f ca="1"/>
        <v>N/A</v>
      </c>
      <c r="D489" s="60" t="str">
        <f ca="1"/>
        <v>AMERICAN HONDA FIN  CORP  SER A MTN     2.35000% 01/08/2027 CALL MAKE WHOLE</v>
      </c>
      <c r="E489" s="61" t="str">
        <f ca="1"/>
        <v>Corp</v>
      </c>
      <c r="F489" s="62">
        <f ca="1"/>
        <v>2.35</v>
      </c>
      <c r="G489" s="63">
        <f ca="1"/>
        <v>46395</v>
      </c>
      <c r="H489" s="61" t="str">
        <f ca="1"/>
        <v>A3</v>
      </c>
      <c r="I489" s="61" t="str">
        <f ca="1"/>
        <v>A-</v>
      </c>
      <c r="J489" s="64">
        <f ca="1"/>
        <v>96.272999999999996</v>
      </c>
      <c r="K489" s="17">
        <f ca="1"/>
        <v>4.5019999999999998</v>
      </c>
      <c r="L489" s="17" t="str">
        <f ca="1"/>
        <v>200(2)</v>
      </c>
      <c r="M489" s="83"/>
      <c r="N489" s="84" t="str">
        <f t="shared" si="107"/>
        <v/>
      </c>
      <c r="O489" s="20" t="str">
        <f t="shared" si="108"/>
        <v/>
      </c>
      <c r="P489" s="64" t="str">
        <f t="shared" si="109"/>
        <v/>
      </c>
      <c r="Q489" s="85" t="str">
        <f t="shared" ca="1" si="110"/>
        <v/>
      </c>
      <c r="R489" s="86" t="str">
        <f t="shared" si="111"/>
        <v/>
      </c>
      <c r="S489" s="86" t="str">
        <f t="shared" si="112"/>
        <v/>
      </c>
      <c r="T489" s="104" t="str">
        <f t="shared" si="113"/>
        <v/>
      </c>
      <c r="U489" s="19" t="str">
        <f>IF(AND(M489&lt;&gt;"",M489&lt;&gt;0), IF(E489 = "Muni", T489, IF(E489="Corp", T489*(1 -'Investor Input'!$C$4-'Investor Input'!$C$5), T489*(1 -'Investor Input'!$C$4))), T489)</f>
        <v/>
      </c>
      <c r="V489" s="84" t="str">
        <f t="shared" si="114"/>
        <v/>
      </c>
      <c r="W489" s="84" t="str">
        <f t="shared" si="105"/>
        <v/>
      </c>
      <c r="X489" s="21" t="str">
        <f t="shared" si="106"/>
        <v/>
      </c>
      <c r="Y489" s="60" t="str">
        <f t="shared" si="115"/>
        <v/>
      </c>
      <c r="Z489" s="60" t="str">
        <f t="shared" si="116"/>
        <v/>
      </c>
      <c r="AA489" s="64" t="str">
        <f t="shared" si="117"/>
        <v/>
      </c>
      <c r="AB489" s="64" t="str">
        <f>IF(AND(AA489&lt;&gt;"",AA489&lt;&gt;0), IF(E489="Muni", AA489, IF(E489 = "Corp", (1-'Investor Input'!$C$4-'Investor Input'!$C$5)*AA489, (1-'Investor Input'!$C$4)*AA489)), AA489)</f>
        <v/>
      </c>
      <c r="AC489" s="94" t="str">
        <f t="shared" si="118"/>
        <v/>
      </c>
      <c r="AD489" s="60" t="str">
        <f>IF(AND(M489&lt;&gt;"", M489&lt;&gt;0), N489/$N$505*MATCH(AC489,'Misc Lists'!$K$2:$K$25,0), "")</f>
        <v/>
      </c>
      <c r="AE489" s="90" t="str">
        <f t="shared" si="119"/>
        <v/>
      </c>
      <c r="AF489" s="99" t="str">
        <f>IF(AND(M489&lt;&gt;"", M489&lt;&gt;0), N489/$N$505*MATCH(AE489,'Misc Lists'!$L$2:$L$25,0), "")</f>
        <v/>
      </c>
    </row>
    <row r="490" spans="2:32" hidden="1" outlineLevel="1" x14ac:dyDescent="0.5">
      <c r="B490" s="60" t="str">
        <f ca="1"/>
        <v>718172CV9</v>
      </c>
      <c r="C490" s="61" t="str">
        <f ca="1"/>
        <v>N/A</v>
      </c>
      <c r="D490" s="60" t="str">
        <f ca="1"/>
        <v>PHILIP MORRIS INTL  INC NOTE            5.12500% 11/17/2027 CALL MAKE WHOLE</v>
      </c>
      <c r="E490" s="61" t="str">
        <f ca="1"/>
        <v>Corp</v>
      </c>
      <c r="F490" s="62">
        <f ca="1"/>
        <v>5.125</v>
      </c>
      <c r="G490" s="63">
        <f ca="1"/>
        <v>46708</v>
      </c>
      <c r="H490" s="61" t="str">
        <f ca="1"/>
        <v>A2</v>
      </c>
      <c r="I490" s="61" t="str">
        <f ca="1"/>
        <v>A-</v>
      </c>
      <c r="J490" s="64">
        <f ca="1"/>
        <v>101.55</v>
      </c>
      <c r="K490" s="17">
        <f ca="1"/>
        <v>4.5019999999999998</v>
      </c>
      <c r="L490" s="17" t="str">
        <f ca="1"/>
        <v>500(2)</v>
      </c>
      <c r="M490" s="83"/>
      <c r="N490" s="84" t="str">
        <f t="shared" si="107"/>
        <v/>
      </c>
      <c r="O490" s="20" t="str">
        <f t="shared" si="108"/>
        <v/>
      </c>
      <c r="P490" s="64" t="str">
        <f t="shared" si="109"/>
        <v/>
      </c>
      <c r="Q490" s="85" t="str">
        <f t="shared" ca="1" si="110"/>
        <v/>
      </c>
      <c r="R490" s="86" t="str">
        <f t="shared" si="111"/>
        <v/>
      </c>
      <c r="S490" s="86" t="str">
        <f t="shared" si="112"/>
        <v/>
      </c>
      <c r="T490" s="104" t="str">
        <f t="shared" si="113"/>
        <v/>
      </c>
      <c r="U490" s="19" t="str">
        <f>IF(AND(M490&lt;&gt;"",M490&lt;&gt;0), IF(E490 = "Muni", T490, IF(E490="Corp", T490*(1 -'Investor Input'!$C$4-'Investor Input'!$C$5), T490*(1 -'Investor Input'!$C$4))), T490)</f>
        <v/>
      </c>
      <c r="V490" s="84" t="str">
        <f t="shared" si="114"/>
        <v/>
      </c>
      <c r="W490" s="84" t="str">
        <f t="shared" si="105"/>
        <v/>
      </c>
      <c r="X490" s="21" t="str">
        <f t="shared" si="106"/>
        <v/>
      </c>
      <c r="Y490" s="60" t="str">
        <f t="shared" si="115"/>
        <v/>
      </c>
      <c r="Z490" s="60" t="str">
        <f t="shared" si="116"/>
        <v/>
      </c>
      <c r="AA490" s="64" t="str">
        <f t="shared" si="117"/>
        <v/>
      </c>
      <c r="AB490" s="64" t="str">
        <f>IF(AND(AA490&lt;&gt;"",AA490&lt;&gt;0), IF(E490="Muni", AA490, IF(E490 = "Corp", (1-'Investor Input'!$C$4-'Investor Input'!$C$5)*AA490, (1-'Investor Input'!$C$4)*AA490)), AA490)</f>
        <v/>
      </c>
      <c r="AC490" s="94" t="str">
        <f t="shared" si="118"/>
        <v/>
      </c>
      <c r="AD490" s="60" t="str">
        <f>IF(AND(M490&lt;&gt;"", M490&lt;&gt;0), N490/$N$505*MATCH(AC490,'Misc Lists'!$K$2:$K$25,0), "")</f>
        <v/>
      </c>
      <c r="AE490" s="90" t="str">
        <f t="shared" si="119"/>
        <v/>
      </c>
      <c r="AF490" s="99" t="str">
        <f>IF(AND(M490&lt;&gt;"", M490&lt;&gt;0), N490/$N$505*MATCH(AE490,'Misc Lists'!$L$2:$L$25,0), "")</f>
        <v/>
      </c>
    </row>
    <row r="491" spans="2:32" hidden="1" outlineLevel="1" x14ac:dyDescent="0.5">
      <c r="B491" s="60" t="str">
        <f ca="1"/>
        <v>89236TLL7</v>
      </c>
      <c r="C491" s="61" t="str">
        <f ca="1"/>
        <v>N/A</v>
      </c>
      <c r="D491" s="60" t="str">
        <f ca="1"/>
        <v>TOYOTA MTR CR CORP  SER B MTN           4.65000% 01/05/2029 CALL MAKE WHOLE</v>
      </c>
      <c r="E491" s="61" t="str">
        <f ca="1"/>
        <v>Corp</v>
      </c>
      <c r="F491" s="62">
        <f ca="1"/>
        <v>4.6500000000000004</v>
      </c>
      <c r="G491" s="63">
        <f ca="1"/>
        <v>47123</v>
      </c>
      <c r="H491" s="61" t="str">
        <f ca="1"/>
        <v>A1</v>
      </c>
      <c r="I491" s="61" t="str">
        <f ca="1"/>
        <v>A+</v>
      </c>
      <c r="J491" s="64">
        <f ca="1"/>
        <v>100.508</v>
      </c>
      <c r="K491" s="17">
        <f ca="1"/>
        <v>4.5019999999999998</v>
      </c>
      <c r="L491" s="17" t="str">
        <f ca="1"/>
        <v>100(15)</v>
      </c>
      <c r="M491" s="83"/>
      <c r="N491" s="84" t="str">
        <f t="shared" si="107"/>
        <v/>
      </c>
      <c r="O491" s="20" t="str">
        <f t="shared" si="108"/>
        <v/>
      </c>
      <c r="P491" s="64" t="str">
        <f t="shared" si="109"/>
        <v/>
      </c>
      <c r="Q491" s="85" t="str">
        <f t="shared" ca="1" si="110"/>
        <v/>
      </c>
      <c r="R491" s="86" t="str">
        <f t="shared" si="111"/>
        <v/>
      </c>
      <c r="S491" s="86" t="str">
        <f t="shared" si="112"/>
        <v/>
      </c>
      <c r="T491" s="104" t="str">
        <f t="shared" si="113"/>
        <v/>
      </c>
      <c r="U491" s="19" t="str">
        <f>IF(AND(M491&lt;&gt;"",M491&lt;&gt;0), IF(E491 = "Muni", T491, IF(E491="Corp", T491*(1 -'Investor Input'!$C$4-'Investor Input'!$C$5), T491*(1 -'Investor Input'!$C$4))), T491)</f>
        <v/>
      </c>
      <c r="V491" s="84" t="str">
        <f t="shared" si="114"/>
        <v/>
      </c>
      <c r="W491" s="84" t="str">
        <f t="shared" si="105"/>
        <v/>
      </c>
      <c r="X491" s="21" t="str">
        <f t="shared" si="106"/>
        <v/>
      </c>
      <c r="Y491" s="60" t="str">
        <f t="shared" si="115"/>
        <v/>
      </c>
      <c r="Z491" s="60" t="str">
        <f t="shared" si="116"/>
        <v/>
      </c>
      <c r="AA491" s="64" t="str">
        <f t="shared" si="117"/>
        <v/>
      </c>
      <c r="AB491" s="64" t="str">
        <f>IF(AND(AA491&lt;&gt;"",AA491&lt;&gt;0), IF(E491="Muni", AA491, IF(E491 = "Corp", (1-'Investor Input'!$C$4-'Investor Input'!$C$5)*AA491, (1-'Investor Input'!$C$4)*AA491)), AA491)</f>
        <v/>
      </c>
      <c r="AC491" s="94" t="str">
        <f t="shared" si="118"/>
        <v/>
      </c>
      <c r="AD491" s="60" t="str">
        <f>IF(AND(M491&lt;&gt;"", M491&lt;&gt;0), N491/$N$505*MATCH(AC491,'Misc Lists'!$K$2:$K$25,0), "")</f>
        <v/>
      </c>
      <c r="AE491" s="90" t="str">
        <f t="shared" si="119"/>
        <v/>
      </c>
      <c r="AF491" s="99" t="str">
        <f>IF(AND(M491&lt;&gt;"", M491&lt;&gt;0), N491/$N$505*MATCH(AE491,'Misc Lists'!$L$2:$L$25,0), "")</f>
        <v/>
      </c>
    </row>
    <row r="492" spans="2:32" outlineLevel="1" x14ac:dyDescent="0.5">
      <c r="B492" s="60" t="str">
        <f ca="1"/>
        <v>459200JG7</v>
      </c>
      <c r="C492" s="61" t="str">
        <f ca="1"/>
        <v>N/A</v>
      </c>
      <c r="D492" s="60" t="str">
        <f ca="1"/>
        <v>INTERNATIONAL       BUSINESS MACHS NOTE 3.45000% 02/19/2026 CALL MAKE WHOLE</v>
      </c>
      <c r="E492" s="61" t="str">
        <f ca="1"/>
        <v>Corp</v>
      </c>
      <c r="F492" s="62">
        <f ca="1"/>
        <v>3.45</v>
      </c>
      <c r="G492" s="63">
        <f ca="1"/>
        <v>46072</v>
      </c>
      <c r="H492" s="61" t="str">
        <f ca="1"/>
        <v>A3</v>
      </c>
      <c r="I492" s="61" t="str">
        <f ca="1"/>
        <v>A-</v>
      </c>
      <c r="J492" s="64">
        <f ca="1"/>
        <v>99.046000000000006</v>
      </c>
      <c r="K492" s="17">
        <f ca="1"/>
        <v>4.5</v>
      </c>
      <c r="L492" s="17" t="str">
        <f ca="1"/>
        <v>500(100)</v>
      </c>
      <c r="M492" s="83">
        <v>10</v>
      </c>
      <c r="N492" s="84">
        <f t="shared" ca="1" si="107"/>
        <v>10000</v>
      </c>
      <c r="O492" s="20">
        <f t="shared" ca="1" si="108"/>
        <v>9.9995895168503331E-3</v>
      </c>
      <c r="P492" s="64">
        <f t="shared" ca="1" si="109"/>
        <v>34.5</v>
      </c>
      <c r="Q492" s="85">
        <f t="shared" ca="1" si="110"/>
        <v>45791.491364930553</v>
      </c>
      <c r="R492" s="86">
        <f t="shared" ca="1" si="111"/>
        <v>1</v>
      </c>
      <c r="S492" s="86">
        <f t="shared" ca="1" si="112"/>
        <v>0.7387453637397392</v>
      </c>
      <c r="T492" s="104">
        <f t="shared" ca="1" si="113"/>
        <v>3.4450900247063022E-2</v>
      </c>
      <c r="U492" s="19">
        <f ca="1">IF(AND(M492&lt;&gt;"",M492&lt;&gt;0), IF(E492 = "Muni", T492, IF(E492="Corp", T492*(1 -'Investor Input'!$C$4-'Investor Input'!$C$5), T492*(1 -'Investor Input'!$C$4))), T492)</f>
        <v>1.8603486133414032E-2</v>
      </c>
      <c r="V492" s="84">
        <f t="shared" ca="1" si="114"/>
        <v>10081.180110599656</v>
      </c>
      <c r="W492" s="84">
        <f t="shared" ca="1" si="105"/>
        <v>81.180110599656473</v>
      </c>
      <c r="X492" s="21">
        <f t="shared" ca="1" si="106"/>
        <v>8.1180110599656467E-3</v>
      </c>
      <c r="Y492" s="60">
        <f t="shared" ca="1" si="115"/>
        <v>2</v>
      </c>
      <c r="Z492" s="60">
        <f t="shared" ca="1" si="116"/>
        <v>8</v>
      </c>
      <c r="AA492" s="64">
        <f t="shared" ca="1" si="117"/>
        <v>172.5</v>
      </c>
      <c r="AB492" s="64">
        <f ca="1">IF(AND(AA492&lt;&gt;"",AA492&lt;&gt;0), IF(E492="Muni", AA492, IF(E492 = "Corp", (1-'Investor Input'!$C$4-'Investor Input'!$C$5)*AA492, (1-'Investor Input'!$C$4)*AA492)), AA492)</f>
        <v>93.15</v>
      </c>
      <c r="AC492" s="94" t="str">
        <f t="shared" ca="1" si="118"/>
        <v>A3</v>
      </c>
      <c r="AD492" s="60">
        <f ca="1">IF(AND(M492&lt;&gt;"", M492&lt;&gt;0), N492/$N$505*MATCH(AC492,'Misc Lists'!$K$2:$K$25,0), "")</f>
        <v>7.9996716134802665E-2</v>
      </c>
      <c r="AE492" s="90" t="str">
        <f t="shared" ca="1" si="119"/>
        <v>A-</v>
      </c>
      <c r="AF492" s="99">
        <f ca="1">IF(AND(M492&lt;&gt;"", M492&lt;&gt;0), N492/$N$505*MATCH(AE492,'Misc Lists'!$L$2:$L$25,0), "")</f>
        <v>7.9996716134802665E-2</v>
      </c>
    </row>
    <row r="493" spans="2:32" hidden="1" outlineLevel="1" x14ac:dyDescent="0.5">
      <c r="B493" s="60" t="str">
        <f ca="1"/>
        <v>26884ABF9</v>
      </c>
      <c r="C493" s="61" t="str">
        <f ca="1"/>
        <v>N/A</v>
      </c>
      <c r="D493" s="60" t="str">
        <f ca="1"/>
        <v>ERP OPER LTD        PARTNERSHIP NOTE    2.85000% 11/01/2026 CALL MAKE WHOLE</v>
      </c>
      <c r="E493" s="61" t="str">
        <f ca="1"/>
        <v>Corp</v>
      </c>
      <c r="F493" s="62">
        <f ca="1"/>
        <v>2.85</v>
      </c>
      <c r="G493" s="63">
        <f ca="1"/>
        <v>46327</v>
      </c>
      <c r="H493" s="61" t="str">
        <f ca="1"/>
        <v>A3</v>
      </c>
      <c r="I493" s="61" t="str">
        <f ca="1"/>
        <v>A-</v>
      </c>
      <c r="J493" s="64">
        <f ca="1"/>
        <v>97.421999999999997</v>
      </c>
      <c r="K493" s="17">
        <f ca="1"/>
        <v>4.5</v>
      </c>
      <c r="L493" s="17" t="str">
        <f ca="1"/>
        <v>122(10)</v>
      </c>
      <c r="M493" s="83"/>
      <c r="N493" s="84" t="str">
        <f t="shared" si="107"/>
        <v/>
      </c>
      <c r="O493" s="20" t="str">
        <f t="shared" si="108"/>
        <v/>
      </c>
      <c r="P493" s="64" t="str">
        <f t="shared" si="109"/>
        <v/>
      </c>
      <c r="Q493" s="85" t="str">
        <f t="shared" ca="1" si="110"/>
        <v/>
      </c>
      <c r="R493" s="86" t="str">
        <f t="shared" si="111"/>
        <v/>
      </c>
      <c r="S493" s="86" t="str">
        <f t="shared" si="112"/>
        <v/>
      </c>
      <c r="T493" s="104" t="str">
        <f t="shared" si="113"/>
        <v/>
      </c>
      <c r="U493" s="19" t="str">
        <f>IF(AND(M493&lt;&gt;"",M493&lt;&gt;0), IF(E493 = "Muni", T493, IF(E493="Corp", T493*(1 -'Investor Input'!$C$4-'Investor Input'!$C$5), T493*(1 -'Investor Input'!$C$4))), T493)</f>
        <v/>
      </c>
      <c r="V493" s="84" t="str">
        <f t="shared" si="114"/>
        <v/>
      </c>
      <c r="W493" s="84" t="str">
        <f t="shared" si="105"/>
        <v/>
      </c>
      <c r="X493" s="21" t="str">
        <f t="shared" si="106"/>
        <v/>
      </c>
      <c r="Y493" s="60" t="str">
        <f t="shared" si="115"/>
        <v/>
      </c>
      <c r="Z493" s="60" t="str">
        <f t="shared" si="116"/>
        <v/>
      </c>
      <c r="AA493" s="64" t="str">
        <f t="shared" si="117"/>
        <v/>
      </c>
      <c r="AB493" s="64" t="str">
        <f>IF(AND(AA493&lt;&gt;"",AA493&lt;&gt;0), IF(E493="Muni", AA493, IF(E493 = "Corp", (1-'Investor Input'!$C$4-'Investor Input'!$C$5)*AA493, (1-'Investor Input'!$C$4)*AA493)), AA493)</f>
        <v/>
      </c>
      <c r="AC493" s="94" t="str">
        <f t="shared" si="118"/>
        <v/>
      </c>
      <c r="AD493" s="60" t="str">
        <f>IF(AND(M493&lt;&gt;"", M493&lt;&gt;0), N493/$N$505*MATCH(AC493,'Misc Lists'!$K$2:$K$25,0), "")</f>
        <v/>
      </c>
      <c r="AE493" s="90" t="str">
        <f t="shared" si="119"/>
        <v/>
      </c>
      <c r="AF493" s="99" t="str">
        <f>IF(AND(M493&lt;&gt;"", M493&lt;&gt;0), N493/$N$505*MATCH(AE493,'Misc Lists'!$L$2:$L$25,0), "")</f>
        <v/>
      </c>
    </row>
    <row r="494" spans="2:32" hidden="1" outlineLevel="1" x14ac:dyDescent="0.5">
      <c r="B494" s="60" t="str">
        <f ca="1"/>
        <v>036752AB9</v>
      </c>
      <c r="C494" s="61" t="str">
        <f ca="1"/>
        <v>N/A</v>
      </c>
      <c r="D494" s="60" t="str">
        <f ca="1"/>
        <v>ELEVANCE HEALTH INC NOTE CALL MAKE WHOLE3.65000% 12/01/2027</v>
      </c>
      <c r="E494" s="61" t="str">
        <f ca="1"/>
        <v>Corp</v>
      </c>
      <c r="F494" s="62">
        <f ca="1"/>
        <v>3.65</v>
      </c>
      <c r="G494" s="63">
        <f ca="1"/>
        <v>46722</v>
      </c>
      <c r="H494" s="61" t="str">
        <f ca="1"/>
        <v>BAA2</v>
      </c>
      <c r="I494" s="61" t="str">
        <f ca="1"/>
        <v>A</v>
      </c>
      <c r="J494" s="64">
        <f ca="1"/>
        <v>97.843000000000004</v>
      </c>
      <c r="K494" s="17">
        <f ca="1"/>
        <v>4.5</v>
      </c>
      <c r="L494" s="17" t="str">
        <f ca="1"/>
        <v>500(1)</v>
      </c>
      <c r="M494" s="83"/>
      <c r="N494" s="84" t="str">
        <f t="shared" si="107"/>
        <v/>
      </c>
      <c r="O494" s="20" t="str">
        <f t="shared" si="108"/>
        <v/>
      </c>
      <c r="P494" s="64" t="str">
        <f t="shared" si="109"/>
        <v/>
      </c>
      <c r="Q494" s="85" t="str">
        <f t="shared" ca="1" si="110"/>
        <v/>
      </c>
      <c r="R494" s="86" t="str">
        <f t="shared" si="111"/>
        <v/>
      </c>
      <c r="S494" s="86" t="str">
        <f t="shared" si="112"/>
        <v/>
      </c>
      <c r="T494" s="104" t="str">
        <f t="shared" si="113"/>
        <v/>
      </c>
      <c r="U494" s="19" t="str">
        <f>IF(AND(M494&lt;&gt;"",M494&lt;&gt;0), IF(E494 = "Muni", T494, IF(E494="Corp", T494*(1 -'Investor Input'!$C$4-'Investor Input'!$C$5), T494*(1 -'Investor Input'!$C$4))), T494)</f>
        <v/>
      </c>
      <c r="V494" s="84" t="str">
        <f t="shared" si="114"/>
        <v/>
      </c>
      <c r="W494" s="84" t="str">
        <f t="shared" si="105"/>
        <v/>
      </c>
      <c r="X494" s="21" t="str">
        <f t="shared" si="106"/>
        <v/>
      </c>
      <c r="Y494" s="60" t="str">
        <f t="shared" si="115"/>
        <v/>
      </c>
      <c r="Z494" s="60" t="str">
        <f t="shared" si="116"/>
        <v/>
      </c>
      <c r="AA494" s="64" t="str">
        <f t="shared" si="117"/>
        <v/>
      </c>
      <c r="AB494" s="64" t="str">
        <f>IF(AND(AA494&lt;&gt;"",AA494&lt;&gt;0), IF(E494="Muni", AA494, IF(E494 = "Corp", (1-'Investor Input'!$C$4-'Investor Input'!$C$5)*AA494, (1-'Investor Input'!$C$4)*AA494)), AA494)</f>
        <v/>
      </c>
      <c r="AC494" s="94" t="str">
        <f t="shared" si="118"/>
        <v/>
      </c>
      <c r="AD494" s="60" t="str">
        <f>IF(AND(M494&lt;&gt;"", M494&lt;&gt;0), N494/$N$505*MATCH(AC494,'Misc Lists'!$K$2:$K$25,0), "")</f>
        <v/>
      </c>
      <c r="AE494" s="90" t="str">
        <f t="shared" si="119"/>
        <v/>
      </c>
      <c r="AF494" s="99" t="str">
        <f>IF(AND(M494&lt;&gt;"", M494&lt;&gt;0), N494/$N$505*MATCH(AE494,'Misc Lists'!$L$2:$L$25,0), "")</f>
        <v/>
      </c>
    </row>
    <row r="495" spans="2:32" hidden="1" outlineLevel="1" x14ac:dyDescent="0.5">
      <c r="B495" s="60" t="str">
        <f ca="1"/>
        <v>06418GAC1</v>
      </c>
      <c r="C495" s="61" t="str">
        <f ca="1"/>
        <v>N/A</v>
      </c>
      <c r="D495" s="60" t="str">
        <f ca="1"/>
        <v>BANK NOVA SCOTIA B CMTN CALL MAKE WHOLE 5.45000% 06/12/2025 ISIN #US06418GAC15</v>
      </c>
      <c r="E495" s="61" t="str">
        <f ca="1"/>
        <v>Corp</v>
      </c>
      <c r="F495" s="62">
        <f ca="1"/>
        <v>5.45</v>
      </c>
      <c r="G495" s="63">
        <f ca="1"/>
        <v>45820</v>
      </c>
      <c r="H495" s="61" t="str">
        <f ca="1"/>
        <v>A2</v>
      </c>
      <c r="I495" s="61" t="str">
        <f ca="1"/>
        <v>A-</v>
      </c>
      <c r="J495" s="64">
        <f ca="1"/>
        <v>100.22</v>
      </c>
      <c r="K495" s="17">
        <f ca="1"/>
        <v>4.4989999999999997</v>
      </c>
      <c r="L495" s="17" t="str">
        <f ca="1"/>
        <v>341(25)</v>
      </c>
      <c r="M495" s="83"/>
      <c r="N495" s="84" t="str">
        <f t="shared" si="107"/>
        <v/>
      </c>
      <c r="O495" s="20" t="str">
        <f t="shared" si="108"/>
        <v/>
      </c>
      <c r="P495" s="64" t="str">
        <f t="shared" si="109"/>
        <v/>
      </c>
      <c r="Q495" s="85" t="str">
        <f t="shared" ca="1" si="110"/>
        <v/>
      </c>
      <c r="R495" s="86" t="str">
        <f t="shared" si="111"/>
        <v/>
      </c>
      <c r="S495" s="86" t="str">
        <f t="shared" si="112"/>
        <v/>
      </c>
      <c r="T495" s="104" t="str">
        <f t="shared" si="113"/>
        <v/>
      </c>
      <c r="U495" s="19" t="str">
        <f>IF(AND(M495&lt;&gt;"",M495&lt;&gt;0), IF(E495 = "Muni", T495, IF(E495="Corp", T495*(1 -'Investor Input'!$C$4-'Investor Input'!$C$5), T495*(1 -'Investor Input'!$C$4))), T495)</f>
        <v/>
      </c>
      <c r="V495" s="84" t="str">
        <f t="shared" si="114"/>
        <v/>
      </c>
      <c r="W495" s="84" t="str">
        <f t="shared" si="105"/>
        <v/>
      </c>
      <c r="X495" s="21" t="str">
        <f t="shared" si="106"/>
        <v/>
      </c>
      <c r="Y495" s="60" t="str">
        <f t="shared" si="115"/>
        <v/>
      </c>
      <c r="Z495" s="60" t="str">
        <f t="shared" si="116"/>
        <v/>
      </c>
      <c r="AA495" s="64" t="str">
        <f t="shared" si="117"/>
        <v/>
      </c>
      <c r="AB495" s="64" t="str">
        <f>IF(AND(AA495&lt;&gt;"",AA495&lt;&gt;0), IF(E495="Muni", AA495, IF(E495 = "Corp", (1-'Investor Input'!$C$4-'Investor Input'!$C$5)*AA495, (1-'Investor Input'!$C$4)*AA495)), AA495)</f>
        <v/>
      </c>
      <c r="AC495" s="94" t="str">
        <f t="shared" si="118"/>
        <v/>
      </c>
      <c r="AD495" s="60" t="str">
        <f>IF(AND(M495&lt;&gt;"", M495&lt;&gt;0), N495/$N$505*MATCH(AC495,'Misc Lists'!$K$2:$K$25,0), "")</f>
        <v/>
      </c>
      <c r="AE495" s="90" t="str">
        <f t="shared" si="119"/>
        <v/>
      </c>
      <c r="AF495" s="99" t="str">
        <f>IF(AND(M495&lt;&gt;"", M495&lt;&gt;0), N495/$N$505*MATCH(AE495,'Misc Lists'!$L$2:$L$25,0), "")</f>
        <v/>
      </c>
    </row>
    <row r="496" spans="2:32" hidden="1" outlineLevel="1" x14ac:dyDescent="0.5">
      <c r="B496" s="60" t="str">
        <f ca="1"/>
        <v>22550L2K6</v>
      </c>
      <c r="C496" s="61" t="str">
        <f ca="1"/>
        <v>N/A</v>
      </c>
      <c r="D496" s="60" t="str">
        <f ca="1"/>
        <v>UBS AG N Y BRH      MTN                 5.00000% 07/09/2027</v>
      </c>
      <c r="E496" s="61" t="str">
        <f ca="1"/>
        <v>Corp</v>
      </c>
      <c r="F496" s="62">
        <f ca="1"/>
        <v>5</v>
      </c>
      <c r="G496" s="63">
        <f ca="1"/>
        <v>46577</v>
      </c>
      <c r="H496" s="61" t="str">
        <f ca="1"/>
        <v>AA2</v>
      </c>
      <c r="I496" s="61" t="str">
        <f ca="1"/>
        <v>A+</v>
      </c>
      <c r="J496" s="64">
        <f ca="1"/>
        <v>101.08799999999999</v>
      </c>
      <c r="K496" s="17">
        <f ca="1"/>
        <v>4.4989999999999997</v>
      </c>
      <c r="L496" s="17" t="str">
        <f ca="1"/>
        <v>1,000(250)</v>
      </c>
      <c r="M496" s="83"/>
      <c r="N496" s="84" t="str">
        <f t="shared" si="107"/>
        <v/>
      </c>
      <c r="O496" s="20" t="str">
        <f t="shared" si="108"/>
        <v/>
      </c>
      <c r="P496" s="64" t="str">
        <f t="shared" si="109"/>
        <v/>
      </c>
      <c r="Q496" s="85" t="str">
        <f t="shared" ca="1" si="110"/>
        <v/>
      </c>
      <c r="R496" s="86" t="str">
        <f t="shared" si="111"/>
        <v/>
      </c>
      <c r="S496" s="86" t="str">
        <f t="shared" si="112"/>
        <v/>
      </c>
      <c r="T496" s="104" t="str">
        <f t="shared" si="113"/>
        <v/>
      </c>
      <c r="U496" s="19" t="str">
        <f>IF(AND(M496&lt;&gt;"",M496&lt;&gt;0), IF(E496 = "Muni", T496, IF(E496="Corp", T496*(1 -'Investor Input'!$C$4-'Investor Input'!$C$5), T496*(1 -'Investor Input'!$C$4))), T496)</f>
        <v/>
      </c>
      <c r="V496" s="84" t="str">
        <f t="shared" si="114"/>
        <v/>
      </c>
      <c r="W496" s="84" t="str">
        <f t="shared" si="105"/>
        <v/>
      </c>
      <c r="X496" s="21" t="str">
        <f t="shared" si="106"/>
        <v/>
      </c>
      <c r="Y496" s="60" t="str">
        <f t="shared" si="115"/>
        <v/>
      </c>
      <c r="Z496" s="60" t="str">
        <f t="shared" si="116"/>
        <v/>
      </c>
      <c r="AA496" s="64" t="str">
        <f t="shared" si="117"/>
        <v/>
      </c>
      <c r="AB496" s="64" t="str">
        <f>IF(AND(AA496&lt;&gt;"",AA496&lt;&gt;0), IF(E496="Muni", AA496, IF(E496 = "Corp", (1-'Investor Input'!$C$4-'Investor Input'!$C$5)*AA496, (1-'Investor Input'!$C$4)*AA496)), AA496)</f>
        <v/>
      </c>
      <c r="AC496" s="94" t="str">
        <f t="shared" si="118"/>
        <v/>
      </c>
      <c r="AD496" s="60" t="str">
        <f>IF(AND(M496&lt;&gt;"", M496&lt;&gt;0), N496/$N$505*MATCH(AC496,'Misc Lists'!$K$2:$K$25,0), "")</f>
        <v/>
      </c>
      <c r="AE496" s="90" t="str">
        <f t="shared" si="119"/>
        <v/>
      </c>
      <c r="AF496" s="99" t="str">
        <f>IF(AND(M496&lt;&gt;"", M496&lt;&gt;0), N496/$N$505*MATCH(AE496,'Misc Lists'!$L$2:$L$25,0), "")</f>
        <v/>
      </c>
    </row>
    <row r="497" spans="2:32" hidden="1" outlineLevel="1" x14ac:dyDescent="0.5">
      <c r="B497" s="60" t="str">
        <f ca="1"/>
        <v>87612EBL9</v>
      </c>
      <c r="C497" s="61" t="str">
        <f ca="1"/>
        <v>N/A</v>
      </c>
      <c r="D497" s="60" t="str">
        <f ca="1"/>
        <v>TARGET CORP         NOTE CALL MAKE WHOLE2.25000% 04/15/2025</v>
      </c>
      <c r="E497" s="61" t="str">
        <f ca="1"/>
        <v>Corp</v>
      </c>
      <c r="F497" s="62">
        <f ca="1"/>
        <v>2.25</v>
      </c>
      <c r="G497" s="63">
        <f ca="1"/>
        <v>45762</v>
      </c>
      <c r="H497" s="61" t="str">
        <f ca="1"/>
        <v>A2</v>
      </c>
      <c r="I497" s="61" t="str">
        <f ca="1"/>
        <v>A</v>
      </c>
      <c r="J497" s="64">
        <f ca="1"/>
        <v>99.790999999999997</v>
      </c>
      <c r="K497" s="17">
        <f ca="1"/>
        <v>4.4980000000000002</v>
      </c>
      <c r="L497" s="17" t="str">
        <f ca="1"/>
        <v>213(2)</v>
      </c>
      <c r="M497" s="83"/>
      <c r="N497" s="84" t="str">
        <f t="shared" si="107"/>
        <v/>
      </c>
      <c r="O497" s="20" t="str">
        <f t="shared" si="108"/>
        <v/>
      </c>
      <c r="P497" s="64" t="str">
        <f t="shared" si="109"/>
        <v/>
      </c>
      <c r="Q497" s="85" t="str">
        <f t="shared" ca="1" si="110"/>
        <v/>
      </c>
      <c r="R497" s="86" t="str">
        <f t="shared" si="111"/>
        <v/>
      </c>
      <c r="S497" s="86" t="str">
        <f t="shared" si="112"/>
        <v/>
      </c>
      <c r="T497" s="104" t="str">
        <f t="shared" si="113"/>
        <v/>
      </c>
      <c r="U497" s="19" t="str">
        <f>IF(AND(M497&lt;&gt;"",M497&lt;&gt;0), IF(E497 = "Muni", T497, IF(E497="Corp", T497*(1 -'Investor Input'!$C$4-'Investor Input'!$C$5), T497*(1 -'Investor Input'!$C$4))), T497)</f>
        <v/>
      </c>
      <c r="V497" s="84" t="str">
        <f t="shared" si="114"/>
        <v/>
      </c>
      <c r="W497" s="84" t="str">
        <f t="shared" si="105"/>
        <v/>
      </c>
      <c r="X497" s="21" t="str">
        <f t="shared" si="106"/>
        <v/>
      </c>
      <c r="Y497" s="60" t="str">
        <f t="shared" si="115"/>
        <v/>
      </c>
      <c r="Z497" s="60" t="str">
        <f t="shared" si="116"/>
        <v/>
      </c>
      <c r="AA497" s="64" t="str">
        <f t="shared" si="117"/>
        <v/>
      </c>
      <c r="AB497" s="64" t="str">
        <f>IF(AND(AA497&lt;&gt;"",AA497&lt;&gt;0), IF(E497="Muni", AA497, IF(E497 = "Corp", (1-'Investor Input'!$C$4-'Investor Input'!$C$5)*AA497, (1-'Investor Input'!$C$4)*AA497)), AA497)</f>
        <v/>
      </c>
      <c r="AC497" s="94" t="str">
        <f t="shared" si="118"/>
        <v/>
      </c>
      <c r="AD497" s="60" t="str">
        <f>IF(AND(M497&lt;&gt;"", M497&lt;&gt;0), N497/$N$505*MATCH(AC497,'Misc Lists'!$K$2:$K$25,0), "")</f>
        <v/>
      </c>
      <c r="AE497" s="90" t="str">
        <f t="shared" si="119"/>
        <v/>
      </c>
      <c r="AF497" s="99" t="str">
        <f>IF(AND(M497&lt;&gt;"", M497&lt;&gt;0), N497/$N$505*MATCH(AE497,'Misc Lists'!$L$2:$L$25,0), "")</f>
        <v/>
      </c>
    </row>
    <row r="498" spans="2:32" hidden="1" outlineLevel="1" x14ac:dyDescent="0.5">
      <c r="B498" s="60" t="str">
        <f ca="1"/>
        <v>74456QBY1</v>
      </c>
      <c r="C498" s="61" t="str">
        <f ca="1"/>
        <v>N/A</v>
      </c>
      <c r="D498" s="60" t="str">
        <f ca="1"/>
        <v>PUBLIC SVC ELEC &amp;GASCO MTN              3.20000% 05/15/2029 CALL MAKE WHOLE</v>
      </c>
      <c r="E498" s="61" t="str">
        <f ca="1"/>
        <v>Corp</v>
      </c>
      <c r="F498" s="62">
        <f ca="1"/>
        <v>3.2</v>
      </c>
      <c r="G498" s="63">
        <f ca="1"/>
        <v>47253</v>
      </c>
      <c r="H498" s="61" t="str">
        <f ca="1"/>
        <v>A1</v>
      </c>
      <c r="I498" s="61" t="str">
        <f ca="1"/>
        <v>A</v>
      </c>
      <c r="J498" s="64">
        <f ca="1"/>
        <v>95.105999999999995</v>
      </c>
      <c r="K498" s="17">
        <f ca="1"/>
        <v>4.4980000000000002</v>
      </c>
      <c r="L498" s="17" t="str">
        <f ca="1"/>
        <v>100(9)</v>
      </c>
      <c r="M498" s="83"/>
      <c r="N498" s="84" t="str">
        <f t="shared" si="107"/>
        <v/>
      </c>
      <c r="O498" s="20" t="str">
        <f t="shared" si="108"/>
        <v/>
      </c>
      <c r="P498" s="64" t="str">
        <f t="shared" si="109"/>
        <v/>
      </c>
      <c r="Q498" s="85" t="str">
        <f t="shared" ca="1" si="110"/>
        <v/>
      </c>
      <c r="R498" s="86" t="str">
        <f t="shared" si="111"/>
        <v/>
      </c>
      <c r="S498" s="86" t="str">
        <f t="shared" si="112"/>
        <v/>
      </c>
      <c r="T498" s="104" t="str">
        <f t="shared" si="113"/>
        <v/>
      </c>
      <c r="U498" s="19" t="str">
        <f>IF(AND(M498&lt;&gt;"",M498&lt;&gt;0), IF(E498 = "Muni", T498, IF(E498="Corp", T498*(1 -'Investor Input'!$C$4-'Investor Input'!$C$5), T498*(1 -'Investor Input'!$C$4))), T498)</f>
        <v/>
      </c>
      <c r="V498" s="84" t="str">
        <f t="shared" si="114"/>
        <v/>
      </c>
      <c r="W498" s="84" t="str">
        <f t="shared" si="105"/>
        <v/>
      </c>
      <c r="X498" s="21" t="str">
        <f t="shared" si="106"/>
        <v/>
      </c>
      <c r="Y498" s="60" t="str">
        <f t="shared" si="115"/>
        <v/>
      </c>
      <c r="Z498" s="60" t="str">
        <f t="shared" si="116"/>
        <v/>
      </c>
      <c r="AA498" s="64" t="str">
        <f t="shared" si="117"/>
        <v/>
      </c>
      <c r="AB498" s="64" t="str">
        <f>IF(AND(AA498&lt;&gt;"",AA498&lt;&gt;0), IF(E498="Muni", AA498, IF(E498 = "Corp", (1-'Investor Input'!$C$4-'Investor Input'!$C$5)*AA498, (1-'Investor Input'!$C$4)*AA498)), AA498)</f>
        <v/>
      </c>
      <c r="AC498" s="94" t="str">
        <f t="shared" si="118"/>
        <v/>
      </c>
      <c r="AD498" s="60" t="str">
        <f>IF(AND(M498&lt;&gt;"", M498&lt;&gt;0), N498/$N$505*MATCH(AC498,'Misc Lists'!$K$2:$K$25,0), "")</f>
        <v/>
      </c>
      <c r="AE498" s="90" t="str">
        <f t="shared" si="119"/>
        <v/>
      </c>
      <c r="AF498" s="99" t="str">
        <f>IF(AND(M498&lt;&gt;"", M498&lt;&gt;0), N498/$N$505*MATCH(AE498,'Misc Lists'!$L$2:$L$25,0), "")</f>
        <v/>
      </c>
    </row>
    <row r="499" spans="2:32" hidden="1" outlineLevel="1" x14ac:dyDescent="0.5">
      <c r="B499" s="60" t="str">
        <f ca="1"/>
        <v>438516BU9</v>
      </c>
      <c r="C499" s="61" t="str">
        <f ca="1"/>
        <v>N/A</v>
      </c>
      <c r="D499" s="60" t="str">
        <f ca="1"/>
        <v>HONEYWELL INTL INC  NOTE CALL MAKE WHOLE2.70000% 08/15/2029</v>
      </c>
      <c r="E499" s="61" t="str">
        <f ca="1"/>
        <v>Corp</v>
      </c>
      <c r="F499" s="62">
        <f ca="1"/>
        <v>2.7</v>
      </c>
      <c r="G499" s="63">
        <f ca="1"/>
        <v>47345</v>
      </c>
      <c r="H499" s="61" t="str">
        <f ca="1"/>
        <v>A2</v>
      </c>
      <c r="I499" s="61" t="str">
        <f ca="1"/>
        <v>A</v>
      </c>
      <c r="J499" s="64">
        <f ca="1"/>
        <v>92.856999999999999</v>
      </c>
      <c r="K499" s="17">
        <f ca="1"/>
        <v>4.4980000000000002</v>
      </c>
      <c r="L499" s="17" t="str">
        <f ca="1"/>
        <v>500(2)</v>
      </c>
      <c r="M499" s="83"/>
      <c r="N499" s="84" t="str">
        <f t="shared" si="107"/>
        <v/>
      </c>
      <c r="O499" s="20" t="str">
        <f t="shared" si="108"/>
        <v/>
      </c>
      <c r="P499" s="64" t="str">
        <f t="shared" si="109"/>
        <v/>
      </c>
      <c r="Q499" s="85" t="str">
        <f t="shared" ca="1" si="110"/>
        <v/>
      </c>
      <c r="R499" s="86" t="str">
        <f t="shared" si="111"/>
        <v/>
      </c>
      <c r="S499" s="86" t="str">
        <f t="shared" si="112"/>
        <v/>
      </c>
      <c r="T499" s="104" t="str">
        <f t="shared" si="113"/>
        <v/>
      </c>
      <c r="U499" s="19" t="str">
        <f>IF(AND(M499&lt;&gt;"",M499&lt;&gt;0), IF(E499 = "Muni", T499, IF(E499="Corp", T499*(1 -'Investor Input'!$C$4-'Investor Input'!$C$5), T499*(1 -'Investor Input'!$C$4))), T499)</f>
        <v/>
      </c>
      <c r="V499" s="84" t="str">
        <f t="shared" si="114"/>
        <v/>
      </c>
      <c r="W499" s="84" t="str">
        <f t="shared" si="105"/>
        <v/>
      </c>
      <c r="X499" s="21" t="str">
        <f t="shared" si="106"/>
        <v/>
      </c>
      <c r="Y499" s="60" t="str">
        <f t="shared" si="115"/>
        <v/>
      </c>
      <c r="Z499" s="60" t="str">
        <f t="shared" si="116"/>
        <v/>
      </c>
      <c r="AA499" s="64" t="str">
        <f t="shared" si="117"/>
        <v/>
      </c>
      <c r="AB499" s="64" t="str">
        <f>IF(AND(AA499&lt;&gt;"",AA499&lt;&gt;0), IF(E499="Muni", AA499, IF(E499 = "Corp", (1-'Investor Input'!$C$4-'Investor Input'!$C$5)*AA499, (1-'Investor Input'!$C$4)*AA499)), AA499)</f>
        <v/>
      </c>
      <c r="AC499" s="94" t="str">
        <f t="shared" si="118"/>
        <v/>
      </c>
      <c r="AD499" s="60" t="str">
        <f>IF(AND(M499&lt;&gt;"", M499&lt;&gt;0), N499/$N$505*MATCH(AC499,'Misc Lists'!$K$2:$K$25,0), "")</f>
        <v/>
      </c>
      <c r="AE499" s="90" t="str">
        <f t="shared" si="119"/>
        <v/>
      </c>
      <c r="AF499" s="99" t="str">
        <f>IF(AND(M499&lt;&gt;"", M499&lt;&gt;0), N499/$N$505*MATCH(AE499,'Misc Lists'!$L$2:$L$25,0), "")</f>
        <v/>
      </c>
    </row>
    <row r="500" spans="2:32" hidden="1" outlineLevel="1" x14ac:dyDescent="0.5">
      <c r="B500" s="60" t="str">
        <f ca="1"/>
        <v>911312BU9</v>
      </c>
      <c r="C500" s="61" t="str">
        <f ca="1"/>
        <v>N/A</v>
      </c>
      <c r="D500" s="60" t="str">
        <f ca="1"/>
        <v>UNITED PARCEL SVCS  INC NOTE            2.50000% 09/01/2029 CALL MAKE WHOLE</v>
      </c>
      <c r="E500" s="61" t="str">
        <f ca="1"/>
        <v>Corp</v>
      </c>
      <c r="F500" s="62">
        <f ca="1"/>
        <v>2.5</v>
      </c>
      <c r="G500" s="63">
        <f ca="1"/>
        <v>47362</v>
      </c>
      <c r="H500" s="61" t="str">
        <f ca="1"/>
        <v>A2</v>
      </c>
      <c r="I500" s="61" t="str">
        <f ca="1"/>
        <v>A</v>
      </c>
      <c r="J500" s="64">
        <f ca="1"/>
        <v>91.991</v>
      </c>
      <c r="K500" s="17">
        <f ca="1"/>
        <v>4.4980000000000002</v>
      </c>
      <c r="L500" s="17" t="str">
        <f ca="1"/>
        <v>500(2)</v>
      </c>
      <c r="M500" s="83"/>
      <c r="N500" s="84" t="str">
        <f t="shared" si="107"/>
        <v/>
      </c>
      <c r="O500" s="20" t="str">
        <f t="shared" si="108"/>
        <v/>
      </c>
      <c r="P500" s="64" t="str">
        <f t="shared" si="109"/>
        <v/>
      </c>
      <c r="Q500" s="85" t="str">
        <f t="shared" ca="1" si="110"/>
        <v/>
      </c>
      <c r="R500" s="86" t="str">
        <f t="shared" si="111"/>
        <v/>
      </c>
      <c r="S500" s="86" t="str">
        <f t="shared" si="112"/>
        <v/>
      </c>
      <c r="T500" s="104" t="str">
        <f t="shared" si="113"/>
        <v/>
      </c>
      <c r="U500" s="19" t="str">
        <f>IF(AND(M500&lt;&gt;"",M500&lt;&gt;0), IF(E500 = "Muni", T500, IF(E500="Corp", T500*(1 -'Investor Input'!$C$4-'Investor Input'!$C$5), T500*(1 -'Investor Input'!$C$4))), T500)</f>
        <v/>
      </c>
      <c r="V500" s="84" t="str">
        <f t="shared" si="114"/>
        <v/>
      </c>
      <c r="W500" s="84" t="str">
        <f t="shared" si="105"/>
        <v/>
      </c>
      <c r="X500" s="21" t="str">
        <f t="shared" si="106"/>
        <v/>
      </c>
      <c r="Y500" s="60" t="str">
        <f t="shared" si="115"/>
        <v/>
      </c>
      <c r="Z500" s="60" t="str">
        <f t="shared" si="116"/>
        <v/>
      </c>
      <c r="AA500" s="64" t="str">
        <f t="shared" si="117"/>
        <v/>
      </c>
      <c r="AB500" s="64" t="str">
        <f>IF(AND(AA500&lt;&gt;"",AA500&lt;&gt;0), IF(E500="Muni", AA500, IF(E500 = "Corp", (1-'Investor Input'!$C$4-'Investor Input'!$C$5)*AA500, (1-'Investor Input'!$C$4)*AA500)), AA500)</f>
        <v/>
      </c>
      <c r="AC500" s="94" t="str">
        <f t="shared" si="118"/>
        <v/>
      </c>
      <c r="AD500" s="60" t="str">
        <f>IF(AND(M500&lt;&gt;"", M500&lt;&gt;0), N500/$N$505*MATCH(AC500,'Misc Lists'!$K$2:$K$25,0), "")</f>
        <v/>
      </c>
      <c r="AE500" s="90" t="str">
        <f t="shared" si="119"/>
        <v/>
      </c>
      <c r="AF500" s="99" t="str">
        <f>IF(AND(M500&lt;&gt;"", M500&lt;&gt;0), N500/$N$505*MATCH(AE500,'Misc Lists'!$L$2:$L$25,0), "")</f>
        <v/>
      </c>
    </row>
    <row r="501" spans="2:32" hidden="1" outlineLevel="1" x14ac:dyDescent="0.5">
      <c r="B501" s="60" t="str">
        <f ca="1"/>
        <v>149123CH2</v>
      </c>
      <c r="C501" s="61" t="str">
        <f ca="1"/>
        <v>N/A</v>
      </c>
      <c r="D501" s="60" t="str">
        <f ca="1"/>
        <v>CATERPILLAR INC     NOTE CALL MAKE WHOLE2.60000% 04/09/2030</v>
      </c>
      <c r="E501" s="61" t="str">
        <f ca="1"/>
        <v>Corp</v>
      </c>
      <c r="F501" s="62">
        <f ca="1"/>
        <v>2.6</v>
      </c>
      <c r="G501" s="63">
        <f ca="1"/>
        <v>47582</v>
      </c>
      <c r="H501" s="61" t="str">
        <f ca="1"/>
        <v>A2</v>
      </c>
      <c r="I501" s="61" t="str">
        <f ca="1"/>
        <v>A</v>
      </c>
      <c r="J501" s="64">
        <f ca="1"/>
        <v>91.472999999999999</v>
      </c>
      <c r="K501" s="17">
        <f ca="1"/>
        <v>4.4980000000000002</v>
      </c>
      <c r="L501" s="17" t="str">
        <f ca="1"/>
        <v>500(2)</v>
      </c>
      <c r="M501" s="83"/>
      <c r="N501" s="84" t="str">
        <f t="shared" si="107"/>
        <v/>
      </c>
      <c r="O501" s="20" t="str">
        <f t="shared" si="108"/>
        <v/>
      </c>
      <c r="P501" s="64" t="str">
        <f t="shared" si="109"/>
        <v/>
      </c>
      <c r="Q501" s="85" t="str">
        <f t="shared" ca="1" si="110"/>
        <v/>
      </c>
      <c r="R501" s="86" t="str">
        <f t="shared" si="111"/>
        <v/>
      </c>
      <c r="S501" s="86" t="str">
        <f t="shared" si="112"/>
        <v/>
      </c>
      <c r="T501" s="104" t="str">
        <f t="shared" si="113"/>
        <v/>
      </c>
      <c r="U501" s="19" t="str">
        <f>IF(AND(M501&lt;&gt;"",M501&lt;&gt;0), IF(E501 = "Muni", T501, IF(E501="Corp", T501*(1 -'Investor Input'!$C$4-'Investor Input'!$C$5), T501*(1 -'Investor Input'!$C$4))), T501)</f>
        <v/>
      </c>
      <c r="V501" s="84" t="str">
        <f t="shared" si="114"/>
        <v/>
      </c>
      <c r="W501" s="84" t="str">
        <f t="shared" si="105"/>
        <v/>
      </c>
      <c r="X501" s="21" t="str">
        <f t="shared" si="106"/>
        <v/>
      </c>
      <c r="Y501" s="60" t="str">
        <f t="shared" si="115"/>
        <v/>
      </c>
      <c r="Z501" s="60" t="str">
        <f t="shared" si="116"/>
        <v/>
      </c>
      <c r="AA501" s="64" t="str">
        <f t="shared" si="117"/>
        <v/>
      </c>
      <c r="AB501" s="64" t="str">
        <f>IF(AND(AA501&lt;&gt;"",AA501&lt;&gt;0), IF(E501="Muni", AA501, IF(E501 = "Corp", (1-'Investor Input'!$C$4-'Investor Input'!$C$5)*AA501, (1-'Investor Input'!$C$4)*AA501)), AA501)</f>
        <v/>
      </c>
      <c r="AC501" s="94" t="str">
        <f t="shared" si="118"/>
        <v/>
      </c>
      <c r="AD501" s="60" t="str">
        <f>IF(AND(M501&lt;&gt;"", M501&lt;&gt;0), N501/$N$505*MATCH(AC501,'Misc Lists'!$K$2:$K$25,0), "")</f>
        <v/>
      </c>
      <c r="AE501" s="90" t="str">
        <f t="shared" si="119"/>
        <v/>
      </c>
      <c r="AF501" s="99" t="str">
        <f>IF(AND(M501&lt;&gt;"", M501&lt;&gt;0), N501/$N$505*MATCH(AE501,'Misc Lists'!$L$2:$L$25,0), "")</f>
        <v/>
      </c>
    </row>
    <row r="502" spans="2:32" hidden="1" outlineLevel="1" x14ac:dyDescent="0.5">
      <c r="B502" s="60" t="str">
        <f ca="1"/>
        <v>91159HHM5</v>
      </c>
      <c r="C502" s="61" t="str">
        <f ca="1"/>
        <v>N/A</v>
      </c>
      <c r="D502" s="60" t="str">
        <f ca="1"/>
        <v>US BANCORP          MTN                 3.10000% 04/27/2026</v>
      </c>
      <c r="E502" s="61" t="str">
        <f ca="1"/>
        <v>Corp</v>
      </c>
      <c r="F502" s="62">
        <f ca="1"/>
        <v>3.1</v>
      </c>
      <c r="G502" s="63">
        <f ca="1"/>
        <v>46139</v>
      </c>
      <c r="H502" s="61" t="str">
        <f ca="1"/>
        <v>A3</v>
      </c>
      <c r="I502" s="61" t="str">
        <f ca="1"/>
        <v>A-</v>
      </c>
      <c r="J502" s="64">
        <f ca="1"/>
        <v>98.480999999999995</v>
      </c>
      <c r="K502" s="17">
        <f ca="1"/>
        <v>4.4969999999999999</v>
      </c>
      <c r="L502" s="17" t="str">
        <f ca="1"/>
        <v>29(5)</v>
      </c>
      <c r="M502" s="83"/>
      <c r="N502" s="84" t="str">
        <f t="shared" si="107"/>
        <v/>
      </c>
      <c r="O502" s="20" t="str">
        <f t="shared" si="108"/>
        <v/>
      </c>
      <c r="P502" s="64" t="str">
        <f t="shared" si="109"/>
        <v/>
      </c>
      <c r="Q502" s="85" t="str">
        <f t="shared" ca="1" si="110"/>
        <v/>
      </c>
      <c r="R502" s="86" t="str">
        <f t="shared" si="111"/>
        <v/>
      </c>
      <c r="S502" s="86" t="str">
        <f t="shared" si="112"/>
        <v/>
      </c>
      <c r="T502" s="104" t="str">
        <f t="shared" si="113"/>
        <v/>
      </c>
      <c r="U502" s="19" t="str">
        <f>IF(AND(M502&lt;&gt;"",M502&lt;&gt;0), IF(E502 = "Muni", T502, IF(E502="Corp", T502*(1 -'Investor Input'!$C$4-'Investor Input'!$C$5), T502*(1 -'Investor Input'!$C$4))), T502)</f>
        <v/>
      </c>
      <c r="V502" s="84" t="str">
        <f t="shared" si="114"/>
        <v/>
      </c>
      <c r="W502" s="84" t="str">
        <f t="shared" si="105"/>
        <v/>
      </c>
      <c r="X502" s="21" t="str">
        <f t="shared" si="106"/>
        <v/>
      </c>
      <c r="Y502" s="60" t="str">
        <f t="shared" si="115"/>
        <v/>
      </c>
      <c r="Z502" s="60" t="str">
        <f t="shared" si="116"/>
        <v/>
      </c>
      <c r="AA502" s="64" t="str">
        <f t="shared" si="117"/>
        <v/>
      </c>
      <c r="AB502" s="64" t="str">
        <f>IF(AND(AA502&lt;&gt;"",AA502&lt;&gt;0), IF(E502="Muni", AA502, IF(E502 = "Corp", (1-'Investor Input'!$C$4-'Investor Input'!$C$5)*AA502, (1-'Investor Input'!$C$4)*AA502)), AA502)</f>
        <v/>
      </c>
      <c r="AC502" s="94" t="str">
        <f t="shared" si="118"/>
        <v/>
      </c>
      <c r="AD502" s="60" t="str">
        <f>IF(AND(M502&lt;&gt;"", M502&lt;&gt;0), N502/$N$505*MATCH(AC502,'Misc Lists'!$K$2:$K$25,0), "")</f>
        <v/>
      </c>
      <c r="AE502" s="90" t="str">
        <f t="shared" si="119"/>
        <v/>
      </c>
      <c r="AF502" s="99" t="str">
        <f>IF(AND(M502&lt;&gt;"", M502&lt;&gt;0), N502/$N$505*MATCH(AE502,'Misc Lists'!$L$2:$L$25,0), "")</f>
        <v/>
      </c>
    </row>
    <row r="503" spans="2:32" hidden="1" outlineLevel="1" x14ac:dyDescent="0.5">
      <c r="B503" s="60" t="str">
        <f ca="1"/>
        <v>26884ABG7</v>
      </c>
      <c r="C503" s="61" t="str">
        <f ca="1"/>
        <v>N/A</v>
      </c>
      <c r="D503" s="60" t="str">
        <f ca="1"/>
        <v>ERP OPER LTD        PARTNERSHIP NOTE    3.25000% 08/01/2027 CALL MAKE WHOLE</v>
      </c>
      <c r="E503" s="61" t="str">
        <f ca="1"/>
        <v>Corp</v>
      </c>
      <c r="F503" s="62">
        <f ca="1"/>
        <v>3.25</v>
      </c>
      <c r="G503" s="63">
        <f ca="1"/>
        <v>46600</v>
      </c>
      <c r="H503" s="61" t="str">
        <f ca="1"/>
        <v>A3</v>
      </c>
      <c r="I503" s="61" t="str">
        <f ca="1"/>
        <v>A-</v>
      </c>
      <c r="J503" s="64">
        <f ca="1"/>
        <v>97.204999999999998</v>
      </c>
      <c r="K503" s="17">
        <f ca="1"/>
        <v>4.4969999999999999</v>
      </c>
      <c r="L503" s="17" t="str">
        <f ca="1"/>
        <v>575(1)</v>
      </c>
      <c r="M503" s="83"/>
      <c r="N503" s="84" t="str">
        <f t="shared" si="107"/>
        <v/>
      </c>
      <c r="O503" s="20" t="str">
        <f t="shared" si="108"/>
        <v/>
      </c>
      <c r="P503" s="64" t="str">
        <f t="shared" si="109"/>
        <v/>
      </c>
      <c r="Q503" s="85" t="str">
        <f t="shared" ca="1" si="110"/>
        <v/>
      </c>
      <c r="R503" s="86" t="str">
        <f t="shared" si="111"/>
        <v/>
      </c>
      <c r="S503" s="86" t="str">
        <f t="shared" si="112"/>
        <v/>
      </c>
      <c r="T503" s="104" t="str">
        <f t="shared" si="113"/>
        <v/>
      </c>
      <c r="U503" s="19" t="str">
        <f>IF(AND(M503&lt;&gt;"",M503&lt;&gt;0), IF(E503 = "Muni", T503, IF(E503="Corp", T503*(1 -'Investor Input'!$C$4-'Investor Input'!$C$5), T503*(1 -'Investor Input'!$C$4))), T503)</f>
        <v/>
      </c>
      <c r="V503" s="84" t="str">
        <f t="shared" si="114"/>
        <v/>
      </c>
      <c r="W503" s="84" t="str">
        <f t="shared" si="105"/>
        <v/>
      </c>
      <c r="X503" s="21" t="str">
        <f t="shared" si="106"/>
        <v/>
      </c>
      <c r="Y503" s="60" t="str">
        <f t="shared" si="115"/>
        <v/>
      </c>
      <c r="Z503" s="60" t="str">
        <f t="shared" si="116"/>
        <v/>
      </c>
      <c r="AA503" s="64" t="str">
        <f t="shared" si="117"/>
        <v/>
      </c>
      <c r="AB503" s="64" t="str">
        <f>IF(AND(AA503&lt;&gt;"",AA503&lt;&gt;0), IF(E503="Muni", AA503, IF(E503 = "Corp", (1-'Investor Input'!$C$4-'Investor Input'!$C$5)*AA503, (1-'Investor Input'!$C$4)*AA503)), AA503)</f>
        <v/>
      </c>
      <c r="AC503" s="94" t="str">
        <f t="shared" si="118"/>
        <v/>
      </c>
      <c r="AD503" s="60" t="str">
        <f>IF(AND(M503&lt;&gt;"", M503&lt;&gt;0), N503/$N$505*MATCH(AC503,'Misc Lists'!$K$2:$K$25,0), "")</f>
        <v/>
      </c>
      <c r="AE503" s="90" t="str">
        <f t="shared" si="119"/>
        <v/>
      </c>
      <c r="AF503" s="99" t="str">
        <f>IF(AND(M503&lt;&gt;"", M503&lt;&gt;0), N503/$N$505*MATCH(AE503,'Misc Lists'!$L$2:$L$25,0), "")</f>
        <v/>
      </c>
    </row>
    <row r="504" spans="2:32" outlineLevel="1" x14ac:dyDescent="0.5">
      <c r="B504" s="60"/>
      <c r="C504" s="61"/>
      <c r="D504" s="60"/>
      <c r="E504" s="61"/>
      <c r="F504" s="62"/>
      <c r="G504" s="63"/>
      <c r="H504" s="61"/>
      <c r="I504" s="61"/>
      <c r="J504" s="64"/>
      <c r="K504" s="17"/>
      <c r="L504" s="17"/>
      <c r="M504" s="64"/>
      <c r="N504" s="84"/>
      <c r="O504" s="20"/>
      <c r="P504" s="64"/>
      <c r="Q504" s="85"/>
      <c r="R504" s="86"/>
      <c r="S504" s="86"/>
      <c r="T504" s="104"/>
      <c r="U504" s="19"/>
      <c r="V504" s="84"/>
      <c r="W504" s="84"/>
      <c r="X504" s="21"/>
      <c r="Y504" s="60"/>
      <c r="Z504" s="60"/>
      <c r="AA504" s="60"/>
      <c r="AB504" s="60"/>
      <c r="AC504" s="95"/>
      <c r="AD504" s="60"/>
      <c r="AE504" s="60"/>
      <c r="AF504" s="99"/>
    </row>
    <row r="505" spans="2:32" ht="14.7" thickBot="1" x14ac:dyDescent="0.55000000000000004">
      <c r="B505" s="22"/>
      <c r="C505" s="23"/>
      <c r="D505" s="22"/>
      <c r="E505" s="23"/>
      <c r="F505" s="24"/>
      <c r="G505" s="25"/>
      <c r="H505" s="23"/>
      <c r="I505" s="23"/>
      <c r="J505" s="26"/>
      <c r="K505" s="27"/>
      <c r="L505" s="28"/>
      <c r="M505" s="29">
        <f>SUM(M4:M503)</f>
        <v>1082</v>
      </c>
      <c r="N505" s="30">
        <f ca="1">SUM(N4:N503)</f>
        <v>1000041.05</v>
      </c>
      <c r="O505" s="32">
        <f ca="1">SUM(O4:O503)</f>
        <v>0.99999999999999978</v>
      </c>
      <c r="P505" s="31"/>
      <c r="Q505" s="31"/>
      <c r="R505" s="31"/>
      <c r="S505" s="110">
        <f ca="1">SUMPRODUCT(O4:O503, S4:S503)</f>
        <v>3.9389517811479431</v>
      </c>
      <c r="T505" s="105">
        <f ca="1">AVERAGE(T4:T503)</f>
        <v>4.5350327229702267E-2</v>
      </c>
      <c r="U505" s="101">
        <f ca="1">AVERAGE(U4:U503)</f>
        <v>2.4489176704039235E-2</v>
      </c>
      <c r="V505" s="30">
        <f ca="1">SUM(V4:V503)</f>
        <v>1085699.5241680783</v>
      </c>
      <c r="W505" s="30">
        <f ca="1">SUM(W4:W503)</f>
        <v>85658.474168078508</v>
      </c>
      <c r="X505" s="33">
        <f ca="1">W505/N505</f>
        <v>8.5654958032051295E-2</v>
      </c>
      <c r="Y505" s="23"/>
      <c r="Z505" s="23"/>
      <c r="AA505" s="45">
        <f ca="1">SUM(AA4:AA503)</f>
        <v>16987.8</v>
      </c>
      <c r="AB505" s="45">
        <f ca="1">SUM(AB4:AB503)</f>
        <v>9173.4120000000003</v>
      </c>
      <c r="AC505" s="96" t="str">
        <f ca="1">VLOOKUP(AD505, 'Misc Lists'!$J$2:$L$25, 2, 1)</f>
        <v>A2</v>
      </c>
      <c r="AD505" s="91">
        <f ca="1">SUM(AD4:AD503)</f>
        <v>7.1285372235469717</v>
      </c>
      <c r="AE505" s="45" t="str">
        <f ca="1">VLOOKUP(AF505, 'Misc Lists'!$J$2:$L$25, 3, 1)</f>
        <v>BBB+</v>
      </c>
      <c r="AF505" s="100">
        <f ca="1">SUM(AF4:AF503)</f>
        <v>9.2044520572430493</v>
      </c>
    </row>
    <row r="506" spans="2:32" ht="14.7" thickTop="1" x14ac:dyDescent="0.5"/>
  </sheetData>
  <sheetProtection selectLockedCells="1"/>
  <autoFilter ref="B3:AF503" xr:uid="{6E38BF0B-6EB1-48EB-8F11-32BFE7928852}">
    <filterColumn colId="11">
      <customFilters>
        <customFilter operator="notEqual" val=" "/>
      </customFilters>
    </filterColumn>
  </autoFilter>
  <dataValidations count="3">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504" xr:uid="{E7B46B80-0971-4E22-9E00-056BD93C731E}">
      <formula1>VALUE(MID(L504, FIND("(", L504) + 1, LEN(L504) - FIND("(", L504)-1))</formula1>
    </dataValidation>
    <dataValidation operator="lessThanOrEqual" allowBlank="1" showInputMessage="1" showErrorMessage="1" sqref="N505:O505" xr:uid="{4CDFA56A-8C8F-441A-B007-253CBC24E82C}"/>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4:M503" xr:uid="{0D3228CF-C620-42F1-A341-D8B8F79EE8E6}">
      <formula1>IF(L4 &lt;&gt;"N/A", VALUE(MID(L4,FIND("(",L4)+1,LEN(L4)-FIND("(",L4)-1)), 0)</formula1>
    </dataValidation>
  </dataValidations>
  <pageMargins left="0.7" right="0.7" top="0.75" bottom="0.75" header="0.3" footer="0.3"/>
  <ignoredErrors>
    <ignoredError sqref="AC505 AE505" formula="1"/>
  </ignoredErrors>
  <legacyDrawing r:id="rId1"/>
  <extLst>
    <ext xmlns:x14="http://schemas.microsoft.com/office/spreadsheetml/2009/9/main" uri="{78C0D931-6437-407d-A8EE-F0AAD7539E65}">
      <x14:conditionalFormattings>
        <x14:conditionalFormatting xmlns:xm="http://schemas.microsoft.com/office/excel/2006/main">
          <x14:cfRule type="cellIs" priority="1" operator="greaterThan" id="{66602D41-B544-413F-A7B0-60BFCE874E0A}">
            <xm:f>'Investor Input'!$C$6</xm:f>
            <x14:dxf>
              <font>
                <color rgb="FF9C0006"/>
              </font>
              <fill>
                <patternFill>
                  <bgColor rgb="FFFFC7CE"/>
                </patternFill>
              </fill>
            </x14:dxf>
          </x14:cfRule>
          <xm:sqref>N505:O505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B2BA8-3FF8-4F00-A272-61B7B97B8835}">
  <sheetPr filterMode="1"/>
  <dimension ref="A1:AF506"/>
  <sheetViews>
    <sheetView showGridLines="0" workbookViewId="0">
      <pane xSplit="14" ySplit="3" topLeftCell="O4" activePane="bottomRight" state="frozen"/>
      <selection pane="topRight" activeCell="O1" sqref="O1"/>
      <selection pane="bottomLeft" activeCell="A4" sqref="A4"/>
      <selection pane="bottomRight" activeCell="O1" sqref="O1"/>
    </sheetView>
  </sheetViews>
  <sheetFormatPr defaultRowHeight="14.35" outlineLevelRow="1" x14ac:dyDescent="0.5"/>
  <cols>
    <col min="1" max="1" width="2.703125" customWidth="1"/>
    <col min="2" max="2" width="14.1171875" customWidth="1"/>
    <col min="3" max="3" width="8.87890625" style="72"/>
    <col min="4" max="4" width="18.17578125" customWidth="1"/>
    <col min="5" max="5" width="9.703125" style="72" customWidth="1"/>
    <col min="6" max="6" width="8.87890625" style="73"/>
    <col min="7" max="7" width="12.9375" style="2" bestFit="1" customWidth="1"/>
    <col min="8" max="9" width="8.87890625" style="72"/>
    <col min="10" max="10" width="8.87890625" style="74"/>
    <col min="11" max="11" width="8.87890625" style="3"/>
    <col min="12" max="12" width="12.9375" style="3" bestFit="1" customWidth="1"/>
    <col min="13" max="13" width="16.29296875" bestFit="1" customWidth="1"/>
    <col min="14" max="14" width="13.87890625" style="75" bestFit="1" customWidth="1"/>
    <col min="15" max="15" width="15.3515625" style="5" bestFit="1" customWidth="1"/>
    <col min="16" max="16" width="14.64453125" style="5" bestFit="1" customWidth="1"/>
    <col min="17" max="17" width="14.64453125" style="5" customWidth="1"/>
    <col min="18" max="18" width="14" style="5" bestFit="1" customWidth="1"/>
    <col min="19" max="19" width="15.3515625" style="5" bestFit="1" customWidth="1"/>
    <col min="20" max="20" width="11.703125" style="5" bestFit="1" customWidth="1"/>
    <col min="21" max="21" width="11.703125" style="5" customWidth="1"/>
    <col min="22" max="22" width="12.64453125" style="5" bestFit="1" customWidth="1"/>
    <col min="23" max="23" width="14.64453125" style="5" bestFit="1" customWidth="1"/>
    <col min="24" max="24" width="12.9375" style="5" bestFit="1" customWidth="1"/>
    <col min="25" max="25" width="19.76171875" bestFit="1" customWidth="1"/>
    <col min="26" max="26" width="19.76171875" customWidth="1"/>
    <col min="27" max="27" width="16.29296875" bestFit="1" customWidth="1"/>
    <col min="28" max="28" width="23" bestFit="1" customWidth="1"/>
    <col min="29" max="29" width="14" bestFit="1" customWidth="1"/>
    <col min="30" max="30" width="13.703125" bestFit="1" customWidth="1"/>
    <col min="31" max="31" width="14.1171875" bestFit="1" customWidth="1"/>
    <col min="32" max="32" width="13.703125" bestFit="1" customWidth="1"/>
  </cols>
  <sheetData>
    <row r="1" spans="1:32" hidden="1" x14ac:dyDescent="0.5">
      <c r="A1" t="str" cm="1">
        <f t="array" aca="1" ref="A1" ca="1">MID(CELL("filename",A1),FIND("]",CELL("filename",A1))+1,255)</f>
        <v>Secure Bonds Scenario</v>
      </c>
      <c r="L1" s="4"/>
      <c r="T1" s="76"/>
      <c r="X1" s="76"/>
    </row>
    <row r="2" spans="1:32" x14ac:dyDescent="0.5">
      <c r="B2" s="6" t="s">
        <v>29</v>
      </c>
      <c r="C2" s="6"/>
      <c r="D2" s="6"/>
      <c r="E2" s="6"/>
      <c r="F2" s="7"/>
      <c r="G2" s="8"/>
      <c r="H2" s="6"/>
      <c r="I2" s="6"/>
      <c r="J2" s="9"/>
      <c r="K2" s="10"/>
      <c r="L2" s="11"/>
      <c r="M2" s="6" t="s">
        <v>30</v>
      </c>
      <c r="N2" s="12"/>
      <c r="O2" s="6"/>
      <c r="P2" s="6"/>
      <c r="Q2" s="6"/>
      <c r="R2" s="6"/>
      <c r="S2" s="6"/>
      <c r="T2" s="6"/>
      <c r="U2" s="13"/>
      <c r="V2" s="6" t="s">
        <v>31</v>
      </c>
      <c r="W2" s="6"/>
      <c r="X2" s="13"/>
      <c r="Y2" s="6" t="s">
        <v>32</v>
      </c>
      <c r="Z2" s="6"/>
      <c r="AA2" s="12"/>
      <c r="AB2" s="12"/>
      <c r="AC2" s="92" t="s">
        <v>33</v>
      </c>
      <c r="AD2" s="89"/>
      <c r="AE2" s="89"/>
      <c r="AF2" s="97"/>
    </row>
    <row r="3" spans="1:32" s="72" customFormat="1" x14ac:dyDescent="0.5">
      <c r="B3" s="77" t="s">
        <v>34</v>
      </c>
      <c r="C3" s="77" t="s">
        <v>35</v>
      </c>
      <c r="D3" s="77" t="s">
        <v>36</v>
      </c>
      <c r="E3" s="77" t="s">
        <v>37</v>
      </c>
      <c r="F3" s="78" t="s">
        <v>38</v>
      </c>
      <c r="G3" s="79" t="s">
        <v>39</v>
      </c>
      <c r="H3" s="77" t="s">
        <v>40</v>
      </c>
      <c r="I3" s="77" t="s">
        <v>41</v>
      </c>
      <c r="J3" s="80" t="s">
        <v>42</v>
      </c>
      <c r="K3" s="14" t="s">
        <v>43</v>
      </c>
      <c r="L3" s="15" t="s">
        <v>44</v>
      </c>
      <c r="M3" s="16" t="s">
        <v>45</v>
      </c>
      <c r="N3" s="81" t="s">
        <v>46</v>
      </c>
      <c r="O3" s="77" t="s">
        <v>47</v>
      </c>
      <c r="P3" s="77" t="s">
        <v>48</v>
      </c>
      <c r="Q3" s="77" t="s">
        <v>49</v>
      </c>
      <c r="R3" s="77" t="s">
        <v>50</v>
      </c>
      <c r="S3" s="77" t="s">
        <v>51</v>
      </c>
      <c r="T3" s="77" t="s">
        <v>52</v>
      </c>
      <c r="U3" s="82" t="s">
        <v>53</v>
      </c>
      <c r="V3" s="77" t="s">
        <v>42</v>
      </c>
      <c r="W3" s="77" t="s">
        <v>54</v>
      </c>
      <c r="X3" s="82" t="s">
        <v>55</v>
      </c>
      <c r="Y3" s="72" t="s">
        <v>56</v>
      </c>
      <c r="Z3" s="72" t="s">
        <v>57</v>
      </c>
      <c r="AA3" s="72" t="s">
        <v>58</v>
      </c>
      <c r="AB3" s="72" t="s">
        <v>59</v>
      </c>
      <c r="AC3" s="93" t="s">
        <v>60</v>
      </c>
      <c r="AD3" s="72" t="s">
        <v>61</v>
      </c>
      <c r="AE3" s="72" t="s">
        <v>62</v>
      </c>
      <c r="AF3" s="98" t="s">
        <v>63</v>
      </c>
    </row>
    <row r="4" spans="1:32" hidden="1" x14ac:dyDescent="0.5">
      <c r="B4" s="65" t="str" cm="1">
        <f t="array" aca="1" ref="B4:L503" ca="1" xml:space="preserve"> _xlfn.TAKE(_xlfn._xlws.SORT(_xlfn._xlws.FILTER(_xlfn._xlws.FILTER(Master_Bond_List[], ('Investor Input'!C6 &gt;= IFERROR(VALUE(MID(Master_Bond_List[Quantity Ask(min)], FIND("(", Master_Bond_List[Quantity Ask(min)]) + 1, LEN(Master_Bond_List[Quantity Ask(min)]) - FIND("(", Master_Bond_List[Quantity Ask(min)])-1)), 1)*1000)*((Master_Bond_List[Maturity Date]-TODAY()) &lt; 'Investor Input'!C7*365)*(Master_Bond_List[Type] = "Muni")*(Master_Bond_List[State]='Investor Input'!D3)*((Master_Bond_List[Moody''s Rating] = "AAA") + (Master_Bond_List[Moody''s Rating] = "AA1") + (Master_Bond_List[Moody''s Rating] = "AA2") + (Master_Bond_List[Moody''s Rating] = "AA3")) + ('Investor Input'!C6 &gt;= IFERROR(VALUE(MID(Master_Bond_List[Quantity Ask(min)], FIND("(", Master_Bond_List[Quantity Ask(min)]) + 1, LEN(Master_Bond_List[Quantity Ask(min)]) - FIND("(", Master_Bond_List[Quantity Ask(min)])-1)), 1)*1000)*((Master_Bond_List[Maturity Date]-TODAY()) &lt; 'Investor Input'!C7*365)*(Master_Bond_List[Type] = "Tres") + ('Investor Input'!C6 &gt;= IFERROR(VALUE(MID(Master_Bond_List[Quantity Ask(min)], FIND("(", Master_Bond_List[Quantity Ask(min)]) + 1, LEN(Master_Bond_List[Quantity Ask(min)]) - FIND("(", Master_Bond_List[Quantity Ask(min)])-1)), 1)*1000)*((Master_Bond_List[Maturity Date]-TODAY()) &lt; 'Investor Input'!C7*365)*(Master_Bond_List[Type] = "TIPS")*((Master_Bond_List[Moody''s Rating] = "AAA") + (Master_Bond_List[Moody''s Rating] = "AA1") + (Master_Bond_List[Moody''s Rating] = "AA2") + (Master_Bond_List[Moody''s Rating] = "AA3")) + ('Investor Input'!C6 &gt;= IFERROR(VALUE(MID(Master_Bond_List[Quantity Ask(min)], FIND("(", Master_Bond_List[Quantity Ask(min)]) + 1, LEN(Master_Bond_List[Quantity Ask(min)]) - FIND("(", Master_Bond_List[Quantity Ask(min)])-1)), 1)*1000)*((Master_Bond_List[Maturity Date]-TODAY()) &lt; 'Investor Input'!C7*365)*(Master_Bond_List[Type] = "Corp")*((Master_Bond_List[Moody''s Rating] = "AAA") + (Master_Bond_List[Moody''s Rating] = "AA1") + (Master_Bond_List[Moody''s Rating] = "AA2") + (Master_Bond_List[Moody''s Rating] = "AA3"))), {1,1,1,1,1,1,0,1,1,0,1,0,0,1,0,0,1,0}), {4,10}, {-1,-1}), 500)</f>
        <v>91282CGZ8</v>
      </c>
      <c r="C4" s="66" t="str">
        <f ca="1"/>
        <v>N/A</v>
      </c>
      <c r="D4" s="65" t="str">
        <f ca="1"/>
        <v>UNITED STATES TREAS SER K-2030          3.50000% 04/30/2030 NTS NOTE</v>
      </c>
      <c r="E4" s="66" t="str">
        <f ca="1"/>
        <v>Tres</v>
      </c>
      <c r="F4" s="67">
        <f ca="1"/>
        <v>3.5</v>
      </c>
      <c r="G4" s="68">
        <f ca="1"/>
        <v>47603</v>
      </c>
      <c r="H4" s="66" t="str">
        <f ca="1"/>
        <v>AAA</v>
      </c>
      <c r="I4" s="66" t="str">
        <f ca="1"/>
        <v>--</v>
      </c>
      <c r="J4" s="69">
        <f ca="1"/>
        <v>96.087000000000003</v>
      </c>
      <c r="K4" s="70">
        <f ca="1"/>
        <v>4.3479999999999999</v>
      </c>
      <c r="L4" s="71" t="str">
        <f ca="1"/>
        <v>4,937(1)</v>
      </c>
      <c r="M4" s="83"/>
      <c r="N4" s="84" t="str">
        <f>IF(AND(M4&lt;&gt;"", M4&lt;&gt;0), IF(L4 &lt;&gt; "N/A", IF(M4&gt;=VALUE(LEFT(L4, FIND("(", L4)-1)), J4*10*M4, 1000*M4), 1000*M4), "")</f>
        <v/>
      </c>
      <c r="O4" s="20" t="str">
        <f>IF(AND(M4&lt;&gt;"",M4&lt;&gt;0),N4/$N$505, "")</f>
        <v/>
      </c>
      <c r="P4" s="64" t="str">
        <f>IF(AND(M4&lt;&gt;"", M4&lt;&gt;0), F4*1000/100, "")</f>
        <v/>
      </c>
      <c r="Q4" s="85" t="str">
        <f ca="1">IF(AND(M4&lt;&gt;"", M4&lt;&gt;0), NOW(), "")</f>
        <v/>
      </c>
      <c r="R4" s="86" t="str">
        <f>IF(AND(M4&lt;&gt;"", M4&lt;&gt;0), ROUND((G4 - Q4)/365, 0), "")</f>
        <v/>
      </c>
      <c r="S4" s="86" t="str">
        <f>IF(AND(M4&lt;&gt;"",M4&lt;&gt;0),MDURATION(Q4,G4,F4/100,K4/100,2), "")</f>
        <v/>
      </c>
      <c r="T4" s="104" t="str">
        <f t="shared" ref="T4:T67" si="0">IF(AND(M4&lt;&gt;"",M4&lt;&gt;0),YIELD(Q4,G4,F4/100,N4/(M4*10),100,2),"")</f>
        <v/>
      </c>
      <c r="U4" s="19" t="str">
        <f>IF(AND(M4&lt;&gt;"",M4&lt;&gt;0), IF(E4 = "Muni", T4, IF(E4="Corp", T4*(1 -'Investor Input'!$C$4-'Investor Input'!$C$5), T4*(1 -'Investor Input'!$C$4))), T4)</f>
        <v/>
      </c>
      <c r="V4" s="84" t="str">
        <f t="shared" ref="V4:V67" si="1">IF(AND(M4&lt;&gt;"",M4&lt;&gt;0),(FV(K4/(2*100),(G4-Q4)*2/365, F4*1000/(2*100), -N4/M4))*M4, "")</f>
        <v/>
      </c>
      <c r="W4" s="84" t="str">
        <f t="shared" ref="W4:W67" si="2">IF(AND(M4&lt;&gt;"",M4&lt;&gt;0),V4-N4,"")</f>
        <v/>
      </c>
      <c r="X4" s="46" t="str">
        <f t="shared" ref="X4:X67" si="3">IF(AND(M4&lt;&gt;"",M4&lt;&gt;0),W4/N4,"")</f>
        <v/>
      </c>
      <c r="Y4" s="60" t="str">
        <f t="shared" ref="Y4:Y67" si="4">IF(AND(M4&lt;&gt;"", M4&lt;&gt;0), MONTH(G4), "")</f>
        <v/>
      </c>
      <c r="Z4" s="60" t="str">
        <f t="shared" ref="Z4:Z67" si="5">IF(AND(M4&lt;&gt;"", M4&lt;&gt;0), MONTH(EDATE(G4, 6)), "")</f>
        <v/>
      </c>
      <c r="AA4" s="64" t="str">
        <f t="shared" ref="AA4:AA67" si="6">IF(AND(M4&lt;&gt;"", M4&lt;&gt;0), F4*1000*M4/(100*2), "")</f>
        <v/>
      </c>
      <c r="AB4" s="64" t="str">
        <f>IF(AND(AA4&lt;&gt;"",AA4&lt;&gt;0), IF(E4="Muni", AA4, IF(E4 = "Corp", (1-'Investor Input'!$C$4-'Investor Input'!$C$5)*AA4, (1-'Investor Input'!$C$4)*AA4)), AA4)</f>
        <v/>
      </c>
      <c r="AC4" s="94" t="str">
        <f t="shared" ref="AC4:AC67" si="7">IF(AND(M4&lt;&gt;"", M4&lt;&gt;0), H4, "")</f>
        <v/>
      </c>
      <c r="AD4" s="60" t="str">
        <f>IF(AND(M4&lt;&gt;"", M4&lt;&gt;0), N4/$N$505*MATCH(AC4,'Misc Lists'!$K$2:$K$25,0), "")</f>
        <v/>
      </c>
      <c r="AE4" s="90" t="str">
        <f t="shared" ref="AE4:AE67" si="8">IF(AND(M4&lt;&gt;"", M4&lt;&gt;0), I4, "")</f>
        <v/>
      </c>
      <c r="AF4" s="99" t="str">
        <f>IF(AND(M4&lt;&gt;"", M4&lt;&gt;0), N4/$N$505*MATCH(AE4,'Misc Lists'!$L$2:$L$25,0), "")</f>
        <v/>
      </c>
    </row>
    <row r="5" spans="1:32" hidden="1" x14ac:dyDescent="0.5">
      <c r="B5" s="65" t="str">
        <f ca="1"/>
        <v>91282CGS4</v>
      </c>
      <c r="C5" s="66" t="str">
        <f ca="1"/>
        <v>N/A</v>
      </c>
      <c r="D5" s="65" t="str">
        <f ca="1"/>
        <v>UNITED STATES TREAS SER J-2030          3.62500% 03/31/2030 NTS NOTE</v>
      </c>
      <c r="E5" s="66" t="str">
        <f ca="1"/>
        <v>Tres</v>
      </c>
      <c r="F5" s="67">
        <f ca="1"/>
        <v>3.625</v>
      </c>
      <c r="G5" s="68">
        <f ca="1"/>
        <v>47573</v>
      </c>
      <c r="H5" s="66" t="str">
        <f ca="1"/>
        <v>AAA</v>
      </c>
      <c r="I5" s="66" t="str">
        <f ca="1"/>
        <v>--</v>
      </c>
      <c r="J5" s="69">
        <f ca="1"/>
        <v>96.727000000000004</v>
      </c>
      <c r="K5" s="70">
        <f ca="1"/>
        <v>4.3449999999999998</v>
      </c>
      <c r="L5" s="71" t="str">
        <f ca="1"/>
        <v>65,000(400)</v>
      </c>
      <c r="M5" s="83"/>
      <c r="N5" s="84" t="str">
        <f t="shared" ref="N5:N68" si="9">IF(AND(M5&lt;&gt;"", M5&lt;&gt;0), IF(L5 &lt;&gt; "N/A", IF(M5&gt;=VALUE(LEFT(L5, FIND("(", L5)-1)), J5*10*M5, 1000*M5), 1000*M5), "")</f>
        <v/>
      </c>
      <c r="O5" s="20" t="str">
        <f t="shared" ref="O5:O68" si="10">IF(AND(M5&lt;&gt;"",M5&lt;&gt;0),N5/$N$505, "")</f>
        <v/>
      </c>
      <c r="P5" s="64" t="str">
        <f t="shared" ref="P5:P68" si="11">IF(AND(M5&lt;&gt;"", M5&lt;&gt;0), F5*1000/100, "")</f>
        <v/>
      </c>
      <c r="Q5" s="85" t="str">
        <f t="shared" ref="Q5:Q68" ca="1" si="12">IF(AND(M5&lt;&gt;"", M5&lt;&gt;0), NOW(), "")</f>
        <v/>
      </c>
      <c r="R5" s="86" t="str">
        <f t="shared" ref="R5:R68" si="13">IF(AND(M5&lt;&gt;"", M5&lt;&gt;0), ROUND((G5 - Q5)/365, 0), "")</f>
        <v/>
      </c>
      <c r="S5" s="86" t="str">
        <f t="shared" ref="S5:S68" si="14">IF(AND(M5&lt;&gt;"",M5&lt;&gt;0),MDURATION(Q5,G5,F5/100,K5/100,2), "")</f>
        <v/>
      </c>
      <c r="T5" s="104" t="str">
        <f t="shared" si="0"/>
        <v/>
      </c>
      <c r="U5" s="19" t="str">
        <f>IF(AND(M5&lt;&gt;"",M5&lt;&gt;0), IF(E5 = "Muni", T5, IF(E5="Corp", T5*(1 -'Investor Input'!$C$4-'Investor Input'!$C$5), T5*(1 -'Investor Input'!$C$4))), T5)</f>
        <v/>
      </c>
      <c r="V5" s="84" t="str">
        <f t="shared" si="1"/>
        <v/>
      </c>
      <c r="W5" s="84" t="str">
        <f t="shared" si="2"/>
        <v/>
      </c>
      <c r="X5" s="46" t="str">
        <f t="shared" si="3"/>
        <v/>
      </c>
      <c r="Y5" s="60" t="str">
        <f t="shared" si="4"/>
        <v/>
      </c>
      <c r="Z5" s="60" t="str">
        <f t="shared" si="5"/>
        <v/>
      </c>
      <c r="AA5" s="64" t="str">
        <f t="shared" si="6"/>
        <v/>
      </c>
      <c r="AB5" s="64" t="str">
        <f>IF(AND(AA5&lt;&gt;"",AA5&lt;&gt;0), IF(E5="Muni", AA5, IF(E5 = "Corp", (1-'Investor Input'!$C$4-'Investor Input'!$C$5)*AA5, (1-'Investor Input'!$C$4)*AA5)), AA5)</f>
        <v/>
      </c>
      <c r="AC5" s="94" t="str">
        <f t="shared" si="7"/>
        <v/>
      </c>
      <c r="AD5" s="60" t="str">
        <f>IF(AND(M5&lt;&gt;"", M5&lt;&gt;0), N5/$N$505*MATCH(AC5,'Misc Lists'!$K$2:$K$25,0), "")</f>
        <v/>
      </c>
      <c r="AE5" s="90" t="str">
        <f t="shared" si="8"/>
        <v/>
      </c>
      <c r="AF5" s="99" t="str">
        <f>IF(AND(M5&lt;&gt;"", M5&lt;&gt;0), N5/$N$505*MATCH(AE5,'Misc Lists'!$L$2:$L$25,0), "")</f>
        <v/>
      </c>
    </row>
    <row r="6" spans="1:32" hidden="1" x14ac:dyDescent="0.5">
      <c r="B6" s="65" t="str">
        <f ca="1"/>
        <v>91282CGJ4</v>
      </c>
      <c r="C6" s="66" t="str">
        <f ca="1"/>
        <v>N/A</v>
      </c>
      <c r="D6" s="65" t="str">
        <f ca="1"/>
        <v>UNITED STATES TREAS SER G-2030          3.50000% 01/31/2030 NTS NOTE</v>
      </c>
      <c r="E6" s="66" t="str">
        <f ca="1"/>
        <v>Tres</v>
      </c>
      <c r="F6" s="67">
        <f ca="1"/>
        <v>3.5</v>
      </c>
      <c r="G6" s="68">
        <f ca="1"/>
        <v>47514</v>
      </c>
      <c r="H6" s="66" t="str">
        <f ca="1"/>
        <v>AAA</v>
      </c>
      <c r="I6" s="66" t="str">
        <f ca="1"/>
        <v>--</v>
      </c>
      <c r="J6" s="69">
        <f ca="1"/>
        <v>96.281999999999996</v>
      </c>
      <c r="K6" s="70">
        <f ca="1"/>
        <v>4.3419999999999996</v>
      </c>
      <c r="L6" s="71" t="str">
        <f ca="1"/>
        <v>65,000(400)</v>
      </c>
      <c r="M6" s="83"/>
      <c r="N6" s="84" t="str">
        <f t="shared" si="9"/>
        <v/>
      </c>
      <c r="O6" s="20" t="str">
        <f t="shared" si="10"/>
        <v/>
      </c>
      <c r="P6" s="64" t="str">
        <f t="shared" si="11"/>
        <v/>
      </c>
      <c r="Q6" s="85" t="str">
        <f t="shared" ca="1" si="12"/>
        <v/>
      </c>
      <c r="R6" s="86" t="str">
        <f t="shared" si="13"/>
        <v/>
      </c>
      <c r="S6" s="86" t="str">
        <f t="shared" si="14"/>
        <v/>
      </c>
      <c r="T6" s="104" t="str">
        <f t="shared" si="0"/>
        <v/>
      </c>
      <c r="U6" s="19" t="str">
        <f>IF(AND(M6&lt;&gt;"",M6&lt;&gt;0), IF(E6 = "Muni", T6, IF(E6="Corp", T6*(1 -'Investor Input'!$C$4-'Investor Input'!$C$5), T6*(1 -'Investor Input'!$C$4))), T6)</f>
        <v/>
      </c>
      <c r="V6" s="84" t="str">
        <f t="shared" si="1"/>
        <v/>
      </c>
      <c r="W6" s="84" t="str">
        <f t="shared" si="2"/>
        <v/>
      </c>
      <c r="X6" s="46" t="str">
        <f t="shared" si="3"/>
        <v/>
      </c>
      <c r="Y6" s="60" t="str">
        <f t="shared" si="4"/>
        <v/>
      </c>
      <c r="Z6" s="60" t="str">
        <f t="shared" si="5"/>
        <v/>
      </c>
      <c r="AA6" s="64" t="str">
        <f t="shared" si="6"/>
        <v/>
      </c>
      <c r="AB6" s="64" t="str">
        <f>IF(AND(AA6&lt;&gt;"",AA6&lt;&gt;0), IF(E6="Muni", AA6, IF(E6 = "Corp", (1-'Investor Input'!$C$4-'Investor Input'!$C$5)*AA6, (1-'Investor Input'!$C$4)*AA6)), AA6)</f>
        <v/>
      </c>
      <c r="AC6" s="94" t="str">
        <f t="shared" si="7"/>
        <v/>
      </c>
      <c r="AD6" s="60" t="str">
        <f>IF(AND(M6&lt;&gt;"", M6&lt;&gt;0), N6/$N$505*MATCH(AC6,'Misc Lists'!$K$2:$K$25,0), "")</f>
        <v/>
      </c>
      <c r="AE6" s="90" t="str">
        <f t="shared" si="8"/>
        <v/>
      </c>
      <c r="AF6" s="99" t="str">
        <f>IF(AND(M6&lt;&gt;"", M6&lt;&gt;0), N6/$N$505*MATCH(AE6,'Misc Lists'!$L$2:$L$25,0), "")</f>
        <v/>
      </c>
    </row>
    <row r="7" spans="1:32" hidden="1" x14ac:dyDescent="0.5">
      <c r="B7" s="65" t="str">
        <f ca="1"/>
        <v>91282CAJ0</v>
      </c>
      <c r="C7" s="66" t="str">
        <f ca="1"/>
        <v>N/A</v>
      </c>
      <c r="D7" s="65" t="str">
        <f ca="1"/>
        <v>UNITED STATES TREAS SER AC-2025         0.25000% 08/31/2025 NTS NOTE</v>
      </c>
      <c r="E7" s="66" t="str">
        <f ca="1"/>
        <v>Tres</v>
      </c>
      <c r="F7" s="67">
        <f ca="1"/>
        <v>0.25</v>
      </c>
      <c r="G7" s="68">
        <f ca="1"/>
        <v>45900</v>
      </c>
      <c r="H7" s="66" t="str">
        <f ca="1"/>
        <v>AAA</v>
      </c>
      <c r="I7" s="66" t="str">
        <f ca="1"/>
        <v>--</v>
      </c>
      <c r="J7" s="69">
        <f ca="1"/>
        <v>97.888999999999996</v>
      </c>
      <c r="K7" s="70">
        <f ca="1"/>
        <v>4.34</v>
      </c>
      <c r="L7" s="71" t="str">
        <f ca="1"/>
        <v>8,000(200)</v>
      </c>
      <c r="M7" s="83"/>
      <c r="N7" s="84" t="str">
        <f t="shared" si="9"/>
        <v/>
      </c>
      <c r="O7" s="20" t="str">
        <f t="shared" si="10"/>
        <v/>
      </c>
      <c r="P7" s="64" t="str">
        <f t="shared" si="11"/>
        <v/>
      </c>
      <c r="Q7" s="85" t="str">
        <f t="shared" ca="1" si="12"/>
        <v/>
      </c>
      <c r="R7" s="86" t="str">
        <f t="shared" si="13"/>
        <v/>
      </c>
      <c r="S7" s="86" t="str">
        <f t="shared" si="14"/>
        <v/>
      </c>
      <c r="T7" s="104" t="str">
        <f t="shared" si="0"/>
        <v/>
      </c>
      <c r="U7" s="19" t="str">
        <f>IF(AND(M7&lt;&gt;"",M7&lt;&gt;0), IF(E7 = "Muni", T7, IF(E7="Corp", T7*(1 -'Investor Input'!$C$4-'Investor Input'!$C$5), T7*(1 -'Investor Input'!$C$4))), T7)</f>
        <v/>
      </c>
      <c r="V7" s="84" t="str">
        <f t="shared" si="1"/>
        <v/>
      </c>
      <c r="W7" s="84" t="str">
        <f t="shared" si="2"/>
        <v/>
      </c>
      <c r="X7" s="46" t="str">
        <f t="shared" si="3"/>
        <v/>
      </c>
      <c r="Y7" s="60" t="str">
        <f t="shared" si="4"/>
        <v/>
      </c>
      <c r="Z7" s="60" t="str">
        <f t="shared" si="5"/>
        <v/>
      </c>
      <c r="AA7" s="64" t="str">
        <f t="shared" si="6"/>
        <v/>
      </c>
      <c r="AB7" s="64" t="str">
        <f>IF(AND(AA7&lt;&gt;"",AA7&lt;&gt;0), IF(E7="Muni", AA7, IF(E7 = "Corp", (1-'Investor Input'!$C$4-'Investor Input'!$C$5)*AA7, (1-'Investor Input'!$C$4)*AA7)), AA7)</f>
        <v/>
      </c>
      <c r="AC7" s="94" t="str">
        <f t="shared" si="7"/>
        <v/>
      </c>
      <c r="AD7" s="60" t="str">
        <f>IF(AND(M7&lt;&gt;"", M7&lt;&gt;0), N7/$N$505*MATCH(AC7,'Misc Lists'!$K$2:$K$25,0), "")</f>
        <v/>
      </c>
      <c r="AE7" s="90" t="str">
        <f t="shared" si="8"/>
        <v/>
      </c>
      <c r="AF7" s="99" t="str">
        <f>IF(AND(M7&lt;&gt;"", M7&lt;&gt;0), N7/$N$505*MATCH(AE7,'Misc Lists'!$L$2:$L$25,0), "")</f>
        <v/>
      </c>
    </row>
    <row r="8" spans="1:32" hidden="1" x14ac:dyDescent="0.5">
      <c r="B8" s="65" t="str">
        <f ca="1"/>
        <v>91282CGB1</v>
      </c>
      <c r="C8" s="66" t="str">
        <f ca="1"/>
        <v>N/A</v>
      </c>
      <c r="D8" s="65" t="str">
        <f ca="1"/>
        <v>UNITED STATES TREAS SER T-2029          3.87500% 12/31/2029 NTS NOTE</v>
      </c>
      <c r="E8" s="66" t="str">
        <f ca="1"/>
        <v>Tres</v>
      </c>
      <c r="F8" s="67">
        <f ca="1"/>
        <v>3.875</v>
      </c>
      <c r="G8" s="68">
        <f ca="1"/>
        <v>47483</v>
      </c>
      <c r="H8" s="66" t="str">
        <f ca="1"/>
        <v>AAA</v>
      </c>
      <c r="I8" s="66" t="str">
        <f ca="1"/>
        <v>--</v>
      </c>
      <c r="J8" s="69">
        <f ca="1"/>
        <v>97.972999999999999</v>
      </c>
      <c r="K8" s="70">
        <f ca="1"/>
        <v>4.34</v>
      </c>
      <c r="L8" s="71" t="str">
        <f ca="1"/>
        <v>10,000(275)</v>
      </c>
      <c r="M8" s="83"/>
      <c r="N8" s="84" t="str">
        <f t="shared" si="9"/>
        <v/>
      </c>
      <c r="O8" s="20" t="str">
        <f t="shared" si="10"/>
        <v/>
      </c>
      <c r="P8" s="64" t="str">
        <f t="shared" si="11"/>
        <v/>
      </c>
      <c r="Q8" s="85" t="str">
        <f t="shared" ca="1" si="12"/>
        <v/>
      </c>
      <c r="R8" s="86" t="str">
        <f t="shared" si="13"/>
        <v/>
      </c>
      <c r="S8" s="86" t="str">
        <f t="shared" si="14"/>
        <v/>
      </c>
      <c r="T8" s="104" t="str">
        <f t="shared" si="0"/>
        <v/>
      </c>
      <c r="U8" s="19" t="str">
        <f>IF(AND(M8&lt;&gt;"",M8&lt;&gt;0), IF(E8 = "Muni", T8, IF(E8="Corp", T8*(1 -'Investor Input'!$C$4-'Investor Input'!$C$5), T8*(1 -'Investor Input'!$C$4))), T8)</f>
        <v/>
      </c>
      <c r="V8" s="84" t="str">
        <f t="shared" si="1"/>
        <v/>
      </c>
      <c r="W8" s="84" t="str">
        <f t="shared" si="2"/>
        <v/>
      </c>
      <c r="X8" s="46" t="str">
        <f t="shared" si="3"/>
        <v/>
      </c>
      <c r="Y8" s="60" t="str">
        <f t="shared" si="4"/>
        <v/>
      </c>
      <c r="Z8" s="60" t="str">
        <f t="shared" si="5"/>
        <v/>
      </c>
      <c r="AA8" s="64" t="str">
        <f t="shared" si="6"/>
        <v/>
      </c>
      <c r="AB8" s="64" t="str">
        <f>IF(AND(AA8&lt;&gt;"",AA8&lt;&gt;0), IF(E8="Muni", AA8, IF(E8 = "Corp", (1-'Investor Input'!$C$4-'Investor Input'!$C$5)*AA8, (1-'Investor Input'!$C$4)*AA8)), AA8)</f>
        <v/>
      </c>
      <c r="AC8" s="94" t="str">
        <f t="shared" si="7"/>
        <v/>
      </c>
      <c r="AD8" s="60" t="str">
        <f>IF(AND(M8&lt;&gt;"", M8&lt;&gt;0), N8/$N$505*MATCH(AC8,'Misc Lists'!$K$2:$K$25,0), "")</f>
        <v/>
      </c>
      <c r="AE8" s="90" t="str">
        <f t="shared" si="8"/>
        <v/>
      </c>
      <c r="AF8" s="99" t="str">
        <f>IF(AND(M8&lt;&gt;"", M8&lt;&gt;0), N8/$N$505*MATCH(AE8,'Misc Lists'!$L$2:$L$25,0), "")</f>
        <v/>
      </c>
    </row>
    <row r="9" spans="1:32" hidden="1" x14ac:dyDescent="0.5">
      <c r="B9" s="65" t="str">
        <f ca="1"/>
        <v>91282CGQ8</v>
      </c>
      <c r="C9" s="66" t="str">
        <f ca="1"/>
        <v>N/A</v>
      </c>
      <c r="D9" s="65" t="str">
        <f ca="1"/>
        <v>UNITED STATES TREAS SER H-2030          4.00000% 02/28/2030 NTS NOTE</v>
      </c>
      <c r="E9" s="66" t="str">
        <f ca="1"/>
        <v>Tres</v>
      </c>
      <c r="F9" s="67">
        <f ca="1"/>
        <v>4</v>
      </c>
      <c r="G9" s="68">
        <f ca="1"/>
        <v>47542</v>
      </c>
      <c r="H9" s="66" t="str">
        <f ca="1"/>
        <v>AAA</v>
      </c>
      <c r="I9" s="66" t="str">
        <f ca="1"/>
        <v>--</v>
      </c>
      <c r="J9" s="69">
        <f ca="1"/>
        <v>98.474999999999994</v>
      </c>
      <c r="K9" s="70">
        <f ca="1"/>
        <v>4.34</v>
      </c>
      <c r="L9" s="71" t="str">
        <f ca="1"/>
        <v>3,000(200)</v>
      </c>
      <c r="M9" s="83"/>
      <c r="N9" s="84" t="str">
        <f t="shared" si="9"/>
        <v/>
      </c>
      <c r="O9" s="20" t="str">
        <f t="shared" si="10"/>
        <v/>
      </c>
      <c r="P9" s="64" t="str">
        <f t="shared" si="11"/>
        <v/>
      </c>
      <c r="Q9" s="85" t="str">
        <f t="shared" ca="1" si="12"/>
        <v/>
      </c>
      <c r="R9" s="86" t="str">
        <f t="shared" si="13"/>
        <v/>
      </c>
      <c r="S9" s="86" t="str">
        <f t="shared" si="14"/>
        <v/>
      </c>
      <c r="T9" s="104" t="str">
        <f t="shared" si="0"/>
        <v/>
      </c>
      <c r="U9" s="19" t="str">
        <f>IF(AND(M9&lt;&gt;"",M9&lt;&gt;0), IF(E9 = "Muni", T9, IF(E9="Corp", T9*(1 -'Investor Input'!$C$4-'Investor Input'!$C$5), T9*(1 -'Investor Input'!$C$4))), T9)</f>
        <v/>
      </c>
      <c r="V9" s="84" t="str">
        <f t="shared" si="1"/>
        <v/>
      </c>
      <c r="W9" s="84" t="str">
        <f t="shared" si="2"/>
        <v/>
      </c>
      <c r="X9" s="46" t="str">
        <f t="shared" si="3"/>
        <v/>
      </c>
      <c r="Y9" s="60" t="str">
        <f t="shared" si="4"/>
        <v/>
      </c>
      <c r="Z9" s="60" t="str">
        <f t="shared" si="5"/>
        <v/>
      </c>
      <c r="AA9" s="64" t="str">
        <f t="shared" si="6"/>
        <v/>
      </c>
      <c r="AB9" s="64" t="str">
        <f>IF(AND(AA9&lt;&gt;"",AA9&lt;&gt;0), IF(E9="Muni", AA9, IF(E9 = "Corp", (1-'Investor Input'!$C$4-'Investor Input'!$C$5)*AA9, (1-'Investor Input'!$C$4)*AA9)), AA9)</f>
        <v/>
      </c>
      <c r="AC9" s="94" t="str">
        <f t="shared" si="7"/>
        <v/>
      </c>
      <c r="AD9" s="60" t="str">
        <f>IF(AND(M9&lt;&gt;"", M9&lt;&gt;0), N9/$N$505*MATCH(AC9,'Misc Lists'!$K$2:$K$25,0), "")</f>
        <v/>
      </c>
      <c r="AE9" s="90" t="str">
        <f t="shared" si="8"/>
        <v/>
      </c>
      <c r="AF9" s="99" t="str">
        <f>IF(AND(M9&lt;&gt;"", M9&lt;&gt;0), N9/$N$505*MATCH(AE9,'Misc Lists'!$L$2:$L$25,0), "")</f>
        <v/>
      </c>
    </row>
    <row r="10" spans="1:32" hidden="1" x14ac:dyDescent="0.5">
      <c r="B10" s="65" t="str">
        <f ca="1"/>
        <v>9128284Z0</v>
      </c>
      <c r="C10" s="66" t="str">
        <f ca="1"/>
        <v>N/A</v>
      </c>
      <c r="D10" s="65" t="str">
        <f ca="1"/>
        <v>UNITED STATES TREAS SER P-2025          2.75000% 08/31/2025 NTS NOTE</v>
      </c>
      <c r="E10" s="66" t="str">
        <f ca="1"/>
        <v>Tres</v>
      </c>
      <c r="F10" s="67">
        <f ca="1"/>
        <v>2.75</v>
      </c>
      <c r="G10" s="68">
        <f ca="1"/>
        <v>45900</v>
      </c>
      <c r="H10" s="66" t="str">
        <f ca="1"/>
        <v>AAA</v>
      </c>
      <c r="I10" s="66" t="str">
        <f ca="1"/>
        <v>--</v>
      </c>
      <c r="J10" s="69">
        <f ca="1"/>
        <v>99.18</v>
      </c>
      <c r="K10" s="70">
        <f ca="1"/>
        <v>4.3369999999999997</v>
      </c>
      <c r="L10" s="71" t="str">
        <f ca="1"/>
        <v>30,000(600)</v>
      </c>
      <c r="M10" s="83"/>
      <c r="N10" s="84" t="str">
        <f t="shared" si="9"/>
        <v/>
      </c>
      <c r="O10" s="20" t="str">
        <f t="shared" si="10"/>
        <v/>
      </c>
      <c r="P10" s="64" t="str">
        <f t="shared" si="11"/>
        <v/>
      </c>
      <c r="Q10" s="85" t="str">
        <f t="shared" ca="1" si="12"/>
        <v/>
      </c>
      <c r="R10" s="86" t="str">
        <f t="shared" si="13"/>
        <v/>
      </c>
      <c r="S10" s="86" t="str">
        <f t="shared" si="14"/>
        <v/>
      </c>
      <c r="T10" s="104" t="str">
        <f t="shared" si="0"/>
        <v/>
      </c>
      <c r="U10" s="19" t="str">
        <f>IF(AND(M10&lt;&gt;"",M10&lt;&gt;0), IF(E10 = "Muni", T10, IF(E10="Corp", T10*(1 -'Investor Input'!$C$4-'Investor Input'!$C$5), T10*(1 -'Investor Input'!$C$4))), T10)</f>
        <v/>
      </c>
      <c r="V10" s="84" t="str">
        <f t="shared" si="1"/>
        <v/>
      </c>
      <c r="W10" s="84" t="str">
        <f t="shared" si="2"/>
        <v/>
      </c>
      <c r="X10" s="46" t="str">
        <f t="shared" si="3"/>
        <v/>
      </c>
      <c r="Y10" s="60" t="str">
        <f t="shared" si="4"/>
        <v/>
      </c>
      <c r="Z10" s="60" t="str">
        <f t="shared" si="5"/>
        <v/>
      </c>
      <c r="AA10" s="64" t="str">
        <f t="shared" si="6"/>
        <v/>
      </c>
      <c r="AB10" s="64" t="str">
        <f>IF(AND(AA10&lt;&gt;"",AA10&lt;&gt;0), IF(E10="Muni", AA10, IF(E10 = "Corp", (1-'Investor Input'!$C$4-'Investor Input'!$C$5)*AA10, (1-'Investor Input'!$C$4)*AA10)), AA10)</f>
        <v/>
      </c>
      <c r="AC10" s="94" t="str">
        <f t="shared" si="7"/>
        <v/>
      </c>
      <c r="AD10" s="60" t="str">
        <f>IF(AND(M10&lt;&gt;"", M10&lt;&gt;0), N10/$N$505*MATCH(AC10,'Misc Lists'!$K$2:$K$25,0), "")</f>
        <v/>
      </c>
      <c r="AE10" s="90" t="str">
        <f t="shared" si="8"/>
        <v/>
      </c>
      <c r="AF10" s="99" t="str">
        <f>IF(AND(M10&lt;&gt;"", M10&lt;&gt;0), N10/$N$505*MATCH(AE10,'Misc Lists'!$L$2:$L$25,0), "")</f>
        <v/>
      </c>
    </row>
    <row r="11" spans="1:32" hidden="1" x14ac:dyDescent="0.5">
      <c r="B11" s="65" t="str">
        <f ca="1"/>
        <v>91282CFY2</v>
      </c>
      <c r="C11" s="66" t="str">
        <f ca="1"/>
        <v>N/A</v>
      </c>
      <c r="D11" s="65" t="str">
        <f ca="1"/>
        <v>UNITED STATES TREAS SER S-2029          3.87500% 11/30/2029 NTS NOTE</v>
      </c>
      <c r="E11" s="66" t="str">
        <f ca="1"/>
        <v>Tres</v>
      </c>
      <c r="F11" s="67">
        <f ca="1"/>
        <v>3.875</v>
      </c>
      <c r="G11" s="68">
        <f ca="1"/>
        <v>47452</v>
      </c>
      <c r="H11" s="66" t="str">
        <f ca="1"/>
        <v>AAA</v>
      </c>
      <c r="I11" s="66" t="str">
        <f ca="1"/>
        <v>--</v>
      </c>
      <c r="J11" s="69">
        <f ca="1"/>
        <v>98.028000000000006</v>
      </c>
      <c r="K11" s="70">
        <f ca="1"/>
        <v>4.335</v>
      </c>
      <c r="L11" s="71" t="str">
        <f ca="1"/>
        <v>65,000(400)</v>
      </c>
      <c r="M11" s="83"/>
      <c r="N11" s="84" t="str">
        <f t="shared" si="9"/>
        <v/>
      </c>
      <c r="O11" s="20" t="str">
        <f t="shared" si="10"/>
        <v/>
      </c>
      <c r="P11" s="64" t="str">
        <f t="shared" si="11"/>
        <v/>
      </c>
      <c r="Q11" s="85" t="str">
        <f t="shared" ca="1" si="12"/>
        <v/>
      </c>
      <c r="R11" s="86" t="str">
        <f t="shared" si="13"/>
        <v/>
      </c>
      <c r="S11" s="86" t="str">
        <f t="shared" si="14"/>
        <v/>
      </c>
      <c r="T11" s="104" t="str">
        <f t="shared" si="0"/>
        <v/>
      </c>
      <c r="U11" s="19" t="str">
        <f>IF(AND(M11&lt;&gt;"",M11&lt;&gt;0), IF(E11 = "Muni", T11, IF(E11="Corp", T11*(1 -'Investor Input'!$C$4-'Investor Input'!$C$5), T11*(1 -'Investor Input'!$C$4))), T11)</f>
        <v/>
      </c>
      <c r="V11" s="84" t="str">
        <f t="shared" si="1"/>
        <v/>
      </c>
      <c r="W11" s="84" t="str">
        <f t="shared" si="2"/>
        <v/>
      </c>
      <c r="X11" s="46" t="str">
        <f t="shared" si="3"/>
        <v/>
      </c>
      <c r="Y11" s="60" t="str">
        <f t="shared" si="4"/>
        <v/>
      </c>
      <c r="Z11" s="60" t="str">
        <f t="shared" si="5"/>
        <v/>
      </c>
      <c r="AA11" s="64" t="str">
        <f t="shared" si="6"/>
        <v/>
      </c>
      <c r="AB11" s="64" t="str">
        <f>IF(AND(AA11&lt;&gt;"",AA11&lt;&gt;0), IF(E11="Muni", AA11, IF(E11 = "Corp", (1-'Investor Input'!$C$4-'Investor Input'!$C$5)*AA11, (1-'Investor Input'!$C$4)*AA11)), AA11)</f>
        <v/>
      </c>
      <c r="AC11" s="94" t="str">
        <f t="shared" si="7"/>
        <v/>
      </c>
      <c r="AD11" s="60" t="str">
        <f>IF(AND(M11&lt;&gt;"", M11&lt;&gt;0), N11/$N$505*MATCH(AC11,'Misc Lists'!$K$2:$K$25,0), "")</f>
        <v/>
      </c>
      <c r="AE11" s="90" t="str">
        <f t="shared" si="8"/>
        <v/>
      </c>
      <c r="AF11" s="99" t="str">
        <f>IF(AND(M11&lt;&gt;"", M11&lt;&gt;0), N11/$N$505*MATCH(AE11,'Misc Lists'!$L$2:$L$25,0), "")</f>
        <v/>
      </c>
    </row>
    <row r="12" spans="1:32" hidden="1" x14ac:dyDescent="0.5">
      <c r="B12" s="65" t="str">
        <f ca="1"/>
        <v>912828Z94</v>
      </c>
      <c r="C12" s="66" t="str">
        <f ca="1"/>
        <v>N/A</v>
      </c>
      <c r="D12" s="65" t="str">
        <f ca="1"/>
        <v>UNITED STATES TREAS NTS NOTE            1.50000% 02/15/2030</v>
      </c>
      <c r="E12" s="66" t="str">
        <f ca="1"/>
        <v>Tres</v>
      </c>
      <c r="F12" s="67">
        <f ca="1"/>
        <v>1.5</v>
      </c>
      <c r="G12" s="68">
        <f ca="1"/>
        <v>47529</v>
      </c>
      <c r="H12" s="66" t="str">
        <f ca="1"/>
        <v>AAA</v>
      </c>
      <c r="I12" s="66" t="str">
        <f ca="1"/>
        <v>NR</v>
      </c>
      <c r="J12" s="69">
        <f ca="1"/>
        <v>87.403999999999996</v>
      </c>
      <c r="K12" s="70">
        <f ca="1"/>
        <v>4.3330000000000002</v>
      </c>
      <c r="L12" s="71" t="str">
        <f ca="1"/>
        <v>3,000(200)</v>
      </c>
      <c r="M12" s="83"/>
      <c r="N12" s="84" t="str">
        <f t="shared" si="9"/>
        <v/>
      </c>
      <c r="O12" s="20" t="str">
        <f t="shared" si="10"/>
        <v/>
      </c>
      <c r="P12" s="64" t="str">
        <f t="shared" si="11"/>
        <v/>
      </c>
      <c r="Q12" s="85" t="str">
        <f t="shared" ca="1" si="12"/>
        <v/>
      </c>
      <c r="R12" s="86" t="str">
        <f t="shared" si="13"/>
        <v/>
      </c>
      <c r="S12" s="86" t="str">
        <f t="shared" si="14"/>
        <v/>
      </c>
      <c r="T12" s="104" t="str">
        <f t="shared" si="0"/>
        <v/>
      </c>
      <c r="U12" s="19" t="str">
        <f>IF(AND(M12&lt;&gt;"",M12&lt;&gt;0), IF(E12 = "Muni", T12, IF(E12="Corp", T12*(1 -'Investor Input'!$C$4-'Investor Input'!$C$5), T12*(1 -'Investor Input'!$C$4))), T12)</f>
        <v/>
      </c>
      <c r="V12" s="84" t="str">
        <f t="shared" si="1"/>
        <v/>
      </c>
      <c r="W12" s="84" t="str">
        <f t="shared" si="2"/>
        <v/>
      </c>
      <c r="X12" s="46" t="str">
        <f t="shared" si="3"/>
        <v/>
      </c>
      <c r="Y12" s="60" t="str">
        <f t="shared" si="4"/>
        <v/>
      </c>
      <c r="Z12" s="60" t="str">
        <f t="shared" si="5"/>
        <v/>
      </c>
      <c r="AA12" s="64" t="str">
        <f t="shared" si="6"/>
        <v/>
      </c>
      <c r="AB12" s="64" t="str">
        <f>IF(AND(AA12&lt;&gt;"",AA12&lt;&gt;0), IF(E12="Muni", AA12, IF(E12 = "Corp", (1-'Investor Input'!$C$4-'Investor Input'!$C$5)*AA12, (1-'Investor Input'!$C$4)*AA12)), AA12)</f>
        <v/>
      </c>
      <c r="AC12" s="94" t="str">
        <f t="shared" si="7"/>
        <v/>
      </c>
      <c r="AD12" s="60" t="str">
        <f>IF(AND(M12&lt;&gt;"", M12&lt;&gt;0), N12/$N$505*MATCH(AC12,'Misc Lists'!$K$2:$K$25,0), "")</f>
        <v/>
      </c>
      <c r="AE12" s="90" t="str">
        <f t="shared" si="8"/>
        <v/>
      </c>
      <c r="AF12" s="99" t="str">
        <f>IF(AND(M12&lt;&gt;"", M12&lt;&gt;0), N12/$N$505*MATCH(AE12,'Misc Lists'!$L$2:$L$25,0), "")</f>
        <v/>
      </c>
    </row>
    <row r="13" spans="1:32" hidden="1" x14ac:dyDescent="0.5">
      <c r="B13" s="65" t="str">
        <f ca="1"/>
        <v>91282CFT3</v>
      </c>
      <c r="C13" s="66" t="str">
        <f ca="1"/>
        <v>N/A</v>
      </c>
      <c r="D13" s="65" t="str">
        <f ca="1"/>
        <v>UNITED STATES TREAS SER R-2029          4.00000% 10/31/2029 NTS NOTE</v>
      </c>
      <c r="E13" s="66" t="str">
        <f ca="1"/>
        <v>Tres</v>
      </c>
      <c r="F13" s="67">
        <f ca="1"/>
        <v>4</v>
      </c>
      <c r="G13" s="68">
        <f ca="1"/>
        <v>47422</v>
      </c>
      <c r="H13" s="66" t="str">
        <f ca="1"/>
        <v>AAA</v>
      </c>
      <c r="I13" s="66" t="str">
        <f ca="1"/>
        <v>--</v>
      </c>
      <c r="J13" s="69">
        <f ca="1"/>
        <v>98.597999999999999</v>
      </c>
      <c r="K13" s="70">
        <f ca="1"/>
        <v>4.3319999999999999</v>
      </c>
      <c r="L13" s="71" t="str">
        <f ca="1"/>
        <v>65,000(400)</v>
      </c>
      <c r="M13" s="83"/>
      <c r="N13" s="84" t="str">
        <f t="shared" si="9"/>
        <v/>
      </c>
      <c r="O13" s="20" t="str">
        <f t="shared" si="10"/>
        <v/>
      </c>
      <c r="P13" s="64" t="str">
        <f t="shared" si="11"/>
        <v/>
      </c>
      <c r="Q13" s="85" t="str">
        <f t="shared" ca="1" si="12"/>
        <v/>
      </c>
      <c r="R13" s="86" t="str">
        <f t="shared" si="13"/>
        <v/>
      </c>
      <c r="S13" s="86" t="str">
        <f t="shared" si="14"/>
        <v/>
      </c>
      <c r="T13" s="104" t="str">
        <f t="shared" si="0"/>
        <v/>
      </c>
      <c r="U13" s="19" t="str">
        <f>IF(AND(M13&lt;&gt;"",M13&lt;&gt;0), IF(E13 = "Muni", T13, IF(E13="Corp", T13*(1 -'Investor Input'!$C$4-'Investor Input'!$C$5), T13*(1 -'Investor Input'!$C$4))), T13)</f>
        <v/>
      </c>
      <c r="V13" s="84" t="str">
        <f t="shared" si="1"/>
        <v/>
      </c>
      <c r="W13" s="84" t="str">
        <f t="shared" si="2"/>
        <v/>
      </c>
      <c r="X13" s="46" t="str">
        <f t="shared" si="3"/>
        <v/>
      </c>
      <c r="Y13" s="60" t="str">
        <f t="shared" si="4"/>
        <v/>
      </c>
      <c r="Z13" s="60" t="str">
        <f t="shared" si="5"/>
        <v/>
      </c>
      <c r="AA13" s="64" t="str">
        <f t="shared" si="6"/>
        <v/>
      </c>
      <c r="AB13" s="64" t="str">
        <f>IF(AND(AA13&lt;&gt;"",AA13&lt;&gt;0), IF(E13="Muni", AA13, IF(E13 = "Corp", (1-'Investor Input'!$C$4-'Investor Input'!$C$5)*AA13, (1-'Investor Input'!$C$4)*AA13)), AA13)</f>
        <v/>
      </c>
      <c r="AC13" s="94" t="str">
        <f t="shared" si="7"/>
        <v/>
      </c>
      <c r="AD13" s="60" t="str">
        <f>IF(AND(M13&lt;&gt;"", M13&lt;&gt;0), N13/$N$505*MATCH(AC13,'Misc Lists'!$K$2:$K$25,0), "")</f>
        <v/>
      </c>
      <c r="AE13" s="90" t="str">
        <f t="shared" si="8"/>
        <v/>
      </c>
      <c r="AF13" s="99" t="str">
        <f>IF(AND(M13&lt;&gt;"", M13&lt;&gt;0), N13/$N$505*MATCH(AE13,'Misc Lists'!$L$2:$L$25,0), "")</f>
        <v/>
      </c>
    </row>
    <row r="14" spans="1:32" hidden="1" x14ac:dyDescent="0.5">
      <c r="B14" s="65" t="str">
        <f ca="1"/>
        <v>91282CFL0</v>
      </c>
      <c r="C14" s="66" t="str">
        <f ca="1"/>
        <v>N/A</v>
      </c>
      <c r="D14" s="65" t="str">
        <f ca="1"/>
        <v>UNITED STATES TREAS SER Q-2029          3.87500% 09/30/2029 NTS NOTE</v>
      </c>
      <c r="E14" s="66" t="str">
        <f ca="1"/>
        <v>Tres</v>
      </c>
      <c r="F14" s="67">
        <f ca="1"/>
        <v>3.875</v>
      </c>
      <c r="G14" s="68">
        <f ca="1"/>
        <v>47391</v>
      </c>
      <c r="H14" s="66" t="str">
        <f ca="1"/>
        <v>AAA</v>
      </c>
      <c r="I14" s="66" t="str">
        <f ca="1"/>
        <v>--</v>
      </c>
      <c r="J14" s="69">
        <f ca="1"/>
        <v>98.105999999999995</v>
      </c>
      <c r="K14" s="70">
        <f ca="1"/>
        <v>4.3310000000000004</v>
      </c>
      <c r="L14" s="71" t="str">
        <f ca="1"/>
        <v>65,000(400)</v>
      </c>
      <c r="M14" s="83"/>
      <c r="N14" s="84" t="str">
        <f t="shared" si="9"/>
        <v/>
      </c>
      <c r="O14" s="20" t="str">
        <f t="shared" si="10"/>
        <v/>
      </c>
      <c r="P14" s="64" t="str">
        <f t="shared" si="11"/>
        <v/>
      </c>
      <c r="Q14" s="85" t="str">
        <f t="shared" ca="1" si="12"/>
        <v/>
      </c>
      <c r="R14" s="86" t="str">
        <f t="shared" si="13"/>
        <v/>
      </c>
      <c r="S14" s="86" t="str">
        <f t="shared" si="14"/>
        <v/>
      </c>
      <c r="T14" s="104" t="str">
        <f t="shared" si="0"/>
        <v/>
      </c>
      <c r="U14" s="19" t="str">
        <f>IF(AND(M14&lt;&gt;"",M14&lt;&gt;0), IF(E14 = "Muni", T14, IF(E14="Corp", T14*(1 -'Investor Input'!$C$4-'Investor Input'!$C$5), T14*(1 -'Investor Input'!$C$4))), T14)</f>
        <v/>
      </c>
      <c r="V14" s="84" t="str">
        <f t="shared" si="1"/>
        <v/>
      </c>
      <c r="W14" s="84" t="str">
        <f t="shared" si="2"/>
        <v/>
      </c>
      <c r="X14" s="46" t="str">
        <f t="shared" si="3"/>
        <v/>
      </c>
      <c r="Y14" s="60" t="str">
        <f t="shared" si="4"/>
        <v/>
      </c>
      <c r="Z14" s="60" t="str">
        <f t="shared" si="5"/>
        <v/>
      </c>
      <c r="AA14" s="64" t="str">
        <f t="shared" si="6"/>
        <v/>
      </c>
      <c r="AB14" s="64" t="str">
        <f>IF(AND(AA14&lt;&gt;"",AA14&lt;&gt;0), IF(E14="Muni", AA14, IF(E14 = "Corp", (1-'Investor Input'!$C$4-'Investor Input'!$C$5)*AA14, (1-'Investor Input'!$C$4)*AA14)), AA14)</f>
        <v/>
      </c>
      <c r="AC14" s="94" t="str">
        <f t="shared" si="7"/>
        <v/>
      </c>
      <c r="AD14" s="60" t="str">
        <f>IF(AND(M14&lt;&gt;"", M14&lt;&gt;0), N14/$N$505*MATCH(AC14,'Misc Lists'!$K$2:$K$25,0), "")</f>
        <v/>
      </c>
      <c r="AE14" s="90" t="str">
        <f t="shared" si="8"/>
        <v/>
      </c>
      <c r="AF14" s="99" t="str">
        <f>IF(AND(M14&lt;&gt;"", M14&lt;&gt;0), N14/$N$505*MATCH(AE14,'Misc Lists'!$L$2:$L$25,0), "")</f>
        <v/>
      </c>
    </row>
    <row r="15" spans="1:32" hidden="1" x14ac:dyDescent="0.5">
      <c r="B15" s="65" t="str">
        <f ca="1"/>
        <v>91282CMD0</v>
      </c>
      <c r="C15" s="66" t="str">
        <f ca="1"/>
        <v>N/A</v>
      </c>
      <c r="D15" s="65" t="str">
        <f ca="1"/>
        <v>UNITED STATES TREAS SER AH-2029         4.37500% 12/31/2029 NTS NOTE</v>
      </c>
      <c r="E15" s="66" t="str">
        <f ca="1"/>
        <v>Tres</v>
      </c>
      <c r="F15" s="67">
        <f ca="1"/>
        <v>4.375</v>
      </c>
      <c r="G15" s="68">
        <f ca="1"/>
        <v>47483</v>
      </c>
      <c r="H15" s="66" t="str">
        <f ca="1"/>
        <v>AAA</v>
      </c>
      <c r="I15" s="66" t="str">
        <f ca="1"/>
        <v>--</v>
      </c>
      <c r="J15" s="69">
        <f ca="1"/>
        <v>100.188</v>
      </c>
      <c r="K15" s="70">
        <f ca="1"/>
        <v>4.33</v>
      </c>
      <c r="L15" s="71" t="str">
        <f ca="1"/>
        <v>65,000(400)</v>
      </c>
      <c r="M15" s="83"/>
      <c r="N15" s="84" t="str">
        <f t="shared" si="9"/>
        <v/>
      </c>
      <c r="O15" s="20" t="str">
        <f t="shared" si="10"/>
        <v/>
      </c>
      <c r="P15" s="64" t="str">
        <f t="shared" si="11"/>
        <v/>
      </c>
      <c r="Q15" s="85" t="str">
        <f t="shared" ca="1" si="12"/>
        <v/>
      </c>
      <c r="R15" s="86" t="str">
        <f t="shared" si="13"/>
        <v/>
      </c>
      <c r="S15" s="86" t="str">
        <f t="shared" si="14"/>
        <v/>
      </c>
      <c r="T15" s="104" t="str">
        <f t="shared" si="0"/>
        <v/>
      </c>
      <c r="U15" s="19" t="str">
        <f>IF(AND(M15&lt;&gt;"",M15&lt;&gt;0), IF(E15 = "Muni", T15, IF(E15="Corp", T15*(1 -'Investor Input'!$C$4-'Investor Input'!$C$5), T15*(1 -'Investor Input'!$C$4))), T15)</f>
        <v/>
      </c>
      <c r="V15" s="84" t="str">
        <f t="shared" si="1"/>
        <v/>
      </c>
      <c r="W15" s="84" t="str">
        <f t="shared" si="2"/>
        <v/>
      </c>
      <c r="X15" s="46" t="str">
        <f t="shared" si="3"/>
        <v/>
      </c>
      <c r="Y15" s="60" t="str">
        <f t="shared" si="4"/>
        <v/>
      </c>
      <c r="Z15" s="60" t="str">
        <f t="shared" si="5"/>
        <v/>
      </c>
      <c r="AA15" s="64" t="str">
        <f t="shared" si="6"/>
        <v/>
      </c>
      <c r="AB15" s="64" t="str">
        <f>IF(AND(AA15&lt;&gt;"",AA15&lt;&gt;0), IF(E15="Muni", AA15, IF(E15 = "Corp", (1-'Investor Input'!$C$4-'Investor Input'!$C$5)*AA15, (1-'Investor Input'!$C$4)*AA15)), AA15)</f>
        <v/>
      </c>
      <c r="AC15" s="94" t="str">
        <f t="shared" si="7"/>
        <v/>
      </c>
      <c r="AD15" s="60" t="str">
        <f>IF(AND(M15&lt;&gt;"", M15&lt;&gt;0), N15/$N$505*MATCH(AC15,'Misc Lists'!$K$2:$K$25,0), "")</f>
        <v/>
      </c>
      <c r="AE15" s="90" t="str">
        <f t="shared" si="8"/>
        <v/>
      </c>
      <c r="AF15" s="99" t="str">
        <f>IF(AND(M15&lt;&gt;"", M15&lt;&gt;0), N15/$N$505*MATCH(AE15,'Misc Lists'!$L$2:$L$25,0), "")</f>
        <v/>
      </c>
    </row>
    <row r="16" spans="1:32" hidden="1" x14ac:dyDescent="0.5">
      <c r="B16" s="65" t="str">
        <f ca="1"/>
        <v>91282CLN9</v>
      </c>
      <c r="C16" s="66" t="str">
        <f ca="1"/>
        <v>N/A</v>
      </c>
      <c r="D16" s="65" t="str">
        <f ca="1"/>
        <v>UNITED STATES TREAS SER AD-2029         3.50000% 09/30/2029 NTS NOTE</v>
      </c>
      <c r="E16" s="66" t="str">
        <f ca="1"/>
        <v>Tres</v>
      </c>
      <c r="F16" s="67">
        <f ca="1"/>
        <v>3.5</v>
      </c>
      <c r="G16" s="68">
        <f ca="1"/>
        <v>47391</v>
      </c>
      <c r="H16" s="66" t="str">
        <f ca="1"/>
        <v>AAA</v>
      </c>
      <c r="I16" s="66" t="str">
        <f ca="1"/>
        <v>--</v>
      </c>
      <c r="J16" s="69">
        <f ca="1"/>
        <v>96.563000000000002</v>
      </c>
      <c r="K16" s="70">
        <f ca="1"/>
        <v>4.3289999999999997</v>
      </c>
      <c r="L16" s="71" t="str">
        <f ca="1"/>
        <v>65,000(400)</v>
      </c>
      <c r="M16" s="83"/>
      <c r="N16" s="84" t="str">
        <f t="shared" si="9"/>
        <v/>
      </c>
      <c r="O16" s="20" t="str">
        <f t="shared" si="10"/>
        <v/>
      </c>
      <c r="P16" s="64" t="str">
        <f t="shared" si="11"/>
        <v/>
      </c>
      <c r="Q16" s="85" t="str">
        <f t="shared" ca="1" si="12"/>
        <v/>
      </c>
      <c r="R16" s="86" t="str">
        <f t="shared" si="13"/>
        <v/>
      </c>
      <c r="S16" s="86" t="str">
        <f t="shared" si="14"/>
        <v/>
      </c>
      <c r="T16" s="104" t="str">
        <f t="shared" si="0"/>
        <v/>
      </c>
      <c r="U16" s="19" t="str">
        <f>IF(AND(M16&lt;&gt;"",M16&lt;&gt;0), IF(E16 = "Muni", T16, IF(E16="Corp", T16*(1 -'Investor Input'!$C$4-'Investor Input'!$C$5), T16*(1 -'Investor Input'!$C$4))), T16)</f>
        <v/>
      </c>
      <c r="V16" s="84" t="str">
        <f t="shared" si="1"/>
        <v/>
      </c>
      <c r="W16" s="84" t="str">
        <f t="shared" si="2"/>
        <v/>
      </c>
      <c r="X16" s="46" t="str">
        <f t="shared" si="3"/>
        <v/>
      </c>
      <c r="Y16" s="60" t="str">
        <f t="shared" si="4"/>
        <v/>
      </c>
      <c r="Z16" s="60" t="str">
        <f t="shared" si="5"/>
        <v/>
      </c>
      <c r="AA16" s="64" t="str">
        <f t="shared" si="6"/>
        <v/>
      </c>
      <c r="AB16" s="64" t="str">
        <f>IF(AND(AA16&lt;&gt;"",AA16&lt;&gt;0), IF(E16="Muni", AA16, IF(E16 = "Corp", (1-'Investor Input'!$C$4-'Investor Input'!$C$5)*AA16, (1-'Investor Input'!$C$4)*AA16)), AA16)</f>
        <v/>
      </c>
      <c r="AC16" s="94" t="str">
        <f t="shared" si="7"/>
        <v/>
      </c>
      <c r="AD16" s="60" t="str">
        <f>IF(AND(M16&lt;&gt;"", M16&lt;&gt;0), N16/$N$505*MATCH(AC16,'Misc Lists'!$K$2:$K$25,0), "")</f>
        <v/>
      </c>
      <c r="AE16" s="90" t="str">
        <f t="shared" si="8"/>
        <v/>
      </c>
      <c r="AF16" s="99" t="str">
        <f>IF(AND(M16&lt;&gt;"", M16&lt;&gt;0), N16/$N$505*MATCH(AE16,'Misc Lists'!$L$2:$L$25,0), "")</f>
        <v/>
      </c>
    </row>
    <row r="17" spans="2:32" hidden="1" x14ac:dyDescent="0.5">
      <c r="B17" s="65" t="str">
        <f ca="1"/>
        <v>91282CFJ5</v>
      </c>
      <c r="C17" s="66" t="str">
        <f ca="1"/>
        <v>N/A</v>
      </c>
      <c r="D17" s="65" t="str">
        <f ca="1"/>
        <v>UNITED STATES TREAS SER P-2029          3.12500% 08/31/2029 NTS NOTE</v>
      </c>
      <c r="E17" s="66" t="str">
        <f ca="1"/>
        <v>Tres</v>
      </c>
      <c r="F17" s="67">
        <f ca="1"/>
        <v>3.125</v>
      </c>
      <c r="G17" s="68">
        <f ca="1"/>
        <v>47361</v>
      </c>
      <c r="H17" s="66" t="str">
        <f ca="1"/>
        <v>AAA</v>
      </c>
      <c r="I17" s="66" t="str">
        <f ca="1"/>
        <v>--</v>
      </c>
      <c r="J17" s="69">
        <f ca="1"/>
        <v>95.097999999999999</v>
      </c>
      <c r="K17" s="70">
        <f ca="1"/>
        <v>4.3280000000000003</v>
      </c>
      <c r="L17" s="71" t="str">
        <f ca="1"/>
        <v>65,000(400)</v>
      </c>
      <c r="M17" s="83"/>
      <c r="N17" s="84" t="str">
        <f t="shared" si="9"/>
        <v/>
      </c>
      <c r="O17" s="20" t="str">
        <f t="shared" si="10"/>
        <v/>
      </c>
      <c r="P17" s="64" t="str">
        <f t="shared" si="11"/>
        <v/>
      </c>
      <c r="Q17" s="85" t="str">
        <f t="shared" ca="1" si="12"/>
        <v/>
      </c>
      <c r="R17" s="86" t="str">
        <f t="shared" si="13"/>
        <v/>
      </c>
      <c r="S17" s="86" t="str">
        <f t="shared" si="14"/>
        <v/>
      </c>
      <c r="T17" s="104" t="str">
        <f t="shared" si="0"/>
        <v/>
      </c>
      <c r="U17" s="19" t="str">
        <f>IF(AND(M17&lt;&gt;"",M17&lt;&gt;0), IF(E17 = "Muni", T17, IF(E17="Corp", T17*(1 -'Investor Input'!$C$4-'Investor Input'!$C$5), T17*(1 -'Investor Input'!$C$4))), T17)</f>
        <v/>
      </c>
      <c r="V17" s="84" t="str">
        <f t="shared" si="1"/>
        <v/>
      </c>
      <c r="W17" s="84" t="str">
        <f t="shared" si="2"/>
        <v/>
      </c>
      <c r="X17" s="46" t="str">
        <f t="shared" si="3"/>
        <v/>
      </c>
      <c r="Y17" s="60" t="str">
        <f t="shared" si="4"/>
        <v/>
      </c>
      <c r="Z17" s="60" t="str">
        <f t="shared" si="5"/>
        <v/>
      </c>
      <c r="AA17" s="64" t="str">
        <f t="shared" si="6"/>
        <v/>
      </c>
      <c r="AB17" s="64" t="str">
        <f>IF(AND(AA17&lt;&gt;"",AA17&lt;&gt;0), IF(E17="Muni", AA17, IF(E17 = "Corp", (1-'Investor Input'!$C$4-'Investor Input'!$C$5)*AA17, (1-'Investor Input'!$C$4)*AA17)), AA17)</f>
        <v/>
      </c>
      <c r="AC17" s="94" t="str">
        <f t="shared" si="7"/>
        <v/>
      </c>
      <c r="AD17" s="60" t="str">
        <f>IF(AND(M17&lt;&gt;"", M17&lt;&gt;0), N17/$N$505*MATCH(AC17,'Misc Lists'!$K$2:$K$25,0), "")</f>
        <v/>
      </c>
      <c r="AE17" s="90" t="str">
        <f t="shared" si="8"/>
        <v/>
      </c>
      <c r="AF17" s="99" t="str">
        <f>IF(AND(M17&lt;&gt;"", M17&lt;&gt;0), N17/$N$505*MATCH(AE17,'Misc Lists'!$L$2:$L$25,0), "")</f>
        <v/>
      </c>
    </row>
    <row r="18" spans="2:32" hidden="1" x14ac:dyDescent="0.5">
      <c r="B18" s="65" t="str">
        <f ca="1"/>
        <v>91282CMG3</v>
      </c>
      <c r="C18" s="66" t="str">
        <f ca="1"/>
        <v>N/A</v>
      </c>
      <c r="D18" s="65" t="str">
        <f ca="1"/>
        <v>UNITED STATES TREAS SER U-2030          4.25000% 01/31/2030 NTS NOTE</v>
      </c>
      <c r="E18" s="66" t="str">
        <f ca="1"/>
        <v>Tres</v>
      </c>
      <c r="F18" s="67">
        <f ca="1"/>
        <v>4.25</v>
      </c>
      <c r="G18" s="68">
        <f ca="1"/>
        <v>47514</v>
      </c>
      <c r="H18" s="66" t="str">
        <f ca="1"/>
        <v>AAA</v>
      </c>
      <c r="I18" s="66" t="str">
        <f ca="1"/>
        <v>--</v>
      </c>
      <c r="J18" s="69">
        <f ca="1"/>
        <v>99.653000000000006</v>
      </c>
      <c r="K18" s="70">
        <f ca="1"/>
        <v>4.3280000000000003</v>
      </c>
      <c r="L18" s="71" t="str">
        <f ca="1"/>
        <v>100,000(400)</v>
      </c>
      <c r="M18" s="83"/>
      <c r="N18" s="84" t="str">
        <f t="shared" si="9"/>
        <v/>
      </c>
      <c r="O18" s="20" t="str">
        <f t="shared" si="10"/>
        <v/>
      </c>
      <c r="P18" s="64" t="str">
        <f t="shared" si="11"/>
        <v/>
      </c>
      <c r="Q18" s="85" t="str">
        <f t="shared" ca="1" si="12"/>
        <v/>
      </c>
      <c r="R18" s="86" t="str">
        <f t="shared" si="13"/>
        <v/>
      </c>
      <c r="S18" s="86" t="str">
        <f t="shared" si="14"/>
        <v/>
      </c>
      <c r="T18" s="104" t="str">
        <f t="shared" si="0"/>
        <v/>
      </c>
      <c r="U18" s="19" t="str">
        <f>IF(AND(M18&lt;&gt;"",M18&lt;&gt;0), IF(E18 = "Muni", T18, IF(E18="Corp", T18*(1 -'Investor Input'!$C$4-'Investor Input'!$C$5), T18*(1 -'Investor Input'!$C$4))), T18)</f>
        <v/>
      </c>
      <c r="V18" s="84" t="str">
        <f t="shared" si="1"/>
        <v/>
      </c>
      <c r="W18" s="84" t="str">
        <f t="shared" si="2"/>
        <v/>
      </c>
      <c r="X18" s="46" t="str">
        <f t="shared" si="3"/>
        <v/>
      </c>
      <c r="Y18" s="60" t="str">
        <f t="shared" si="4"/>
        <v/>
      </c>
      <c r="Z18" s="60" t="str">
        <f t="shared" si="5"/>
        <v/>
      </c>
      <c r="AA18" s="64" t="str">
        <f t="shared" si="6"/>
        <v/>
      </c>
      <c r="AB18" s="64" t="str">
        <f>IF(AND(AA18&lt;&gt;"",AA18&lt;&gt;0), IF(E18="Muni", AA18, IF(E18 = "Corp", (1-'Investor Input'!$C$4-'Investor Input'!$C$5)*AA18, (1-'Investor Input'!$C$4)*AA18)), AA18)</f>
        <v/>
      </c>
      <c r="AC18" s="94" t="str">
        <f t="shared" si="7"/>
        <v/>
      </c>
      <c r="AD18" s="60" t="str">
        <f>IF(AND(M18&lt;&gt;"", M18&lt;&gt;0), N18/$N$505*MATCH(AC18,'Misc Lists'!$K$2:$K$25,0), "")</f>
        <v/>
      </c>
      <c r="AE18" s="90" t="str">
        <f t="shared" si="8"/>
        <v/>
      </c>
      <c r="AF18" s="99" t="str">
        <f>IF(AND(M18&lt;&gt;"", M18&lt;&gt;0), N18/$N$505*MATCH(AE18,'Misc Lists'!$L$2:$L$25,0), "")</f>
        <v/>
      </c>
    </row>
    <row r="19" spans="2:32" hidden="1" x14ac:dyDescent="0.5">
      <c r="B19" s="65" t="str">
        <f ca="1"/>
        <v>91282CLR0</v>
      </c>
      <c r="C19" s="66" t="str">
        <f ca="1"/>
        <v>N/A</v>
      </c>
      <c r="D19" s="65" t="str">
        <f ca="1"/>
        <v>UNITED STATES TREAS SER AF-2029         4.12500% 10/31/2029 NTS NOTE</v>
      </c>
      <c r="E19" s="66" t="str">
        <f ca="1"/>
        <v>Tres</v>
      </c>
      <c r="F19" s="67">
        <f ca="1"/>
        <v>4.125</v>
      </c>
      <c r="G19" s="68">
        <f ca="1"/>
        <v>47422</v>
      </c>
      <c r="H19" s="66" t="str">
        <f ca="1"/>
        <v>AAA</v>
      </c>
      <c r="I19" s="66" t="str">
        <f ca="1"/>
        <v>--</v>
      </c>
      <c r="J19" s="69">
        <f ca="1"/>
        <v>99.149000000000001</v>
      </c>
      <c r="K19" s="70">
        <f ca="1"/>
        <v>4.3259999999999996</v>
      </c>
      <c r="L19" s="71" t="str">
        <f ca="1"/>
        <v>65,000(400)</v>
      </c>
      <c r="M19" s="83"/>
      <c r="N19" s="84" t="str">
        <f t="shared" si="9"/>
        <v/>
      </c>
      <c r="O19" s="20" t="str">
        <f t="shared" si="10"/>
        <v/>
      </c>
      <c r="P19" s="64" t="str">
        <f t="shared" si="11"/>
        <v/>
      </c>
      <c r="Q19" s="85" t="str">
        <f t="shared" ca="1" si="12"/>
        <v/>
      </c>
      <c r="R19" s="86" t="str">
        <f t="shared" si="13"/>
        <v/>
      </c>
      <c r="S19" s="86" t="str">
        <f t="shared" si="14"/>
        <v/>
      </c>
      <c r="T19" s="104" t="str">
        <f t="shared" si="0"/>
        <v/>
      </c>
      <c r="U19" s="19" t="str">
        <f>IF(AND(M19&lt;&gt;"",M19&lt;&gt;0), IF(E19 = "Muni", T19, IF(E19="Corp", T19*(1 -'Investor Input'!$C$4-'Investor Input'!$C$5), T19*(1 -'Investor Input'!$C$4))), T19)</f>
        <v/>
      </c>
      <c r="V19" s="84" t="str">
        <f t="shared" si="1"/>
        <v/>
      </c>
      <c r="W19" s="84" t="str">
        <f t="shared" si="2"/>
        <v/>
      </c>
      <c r="X19" s="46" t="str">
        <f t="shared" si="3"/>
        <v/>
      </c>
      <c r="Y19" s="60" t="str">
        <f t="shared" si="4"/>
        <v/>
      </c>
      <c r="Z19" s="60" t="str">
        <f t="shared" si="5"/>
        <v/>
      </c>
      <c r="AA19" s="64" t="str">
        <f t="shared" si="6"/>
        <v/>
      </c>
      <c r="AB19" s="64" t="str">
        <f>IF(AND(AA19&lt;&gt;"",AA19&lt;&gt;0), IF(E19="Muni", AA19, IF(E19 = "Corp", (1-'Investor Input'!$C$4-'Investor Input'!$C$5)*AA19, (1-'Investor Input'!$C$4)*AA19)), AA19)</f>
        <v/>
      </c>
      <c r="AC19" s="94" t="str">
        <f t="shared" si="7"/>
        <v/>
      </c>
      <c r="AD19" s="60" t="str">
        <f>IF(AND(M19&lt;&gt;"", M19&lt;&gt;0), N19/$N$505*MATCH(AC19,'Misc Lists'!$K$2:$K$25,0), "")</f>
        <v/>
      </c>
      <c r="AE19" s="90" t="str">
        <f t="shared" si="8"/>
        <v/>
      </c>
      <c r="AF19" s="99" t="str">
        <f>IF(AND(M19&lt;&gt;"", M19&lt;&gt;0), N19/$N$505*MATCH(AE19,'Misc Lists'!$L$2:$L$25,0), "")</f>
        <v/>
      </c>
    </row>
    <row r="20" spans="2:32" hidden="1" x14ac:dyDescent="0.5">
      <c r="B20" s="65" t="str">
        <f ca="1"/>
        <v>91282CEV9</v>
      </c>
      <c r="C20" s="66" t="str">
        <f ca="1"/>
        <v>N/A</v>
      </c>
      <c r="D20" s="65" t="str">
        <f ca="1"/>
        <v>UNITED STATES TREAS SER M-2029          3.25000% 06/30/2029 NTS NOTE</v>
      </c>
      <c r="E20" s="66" t="str">
        <f ca="1"/>
        <v>Tres</v>
      </c>
      <c r="F20" s="67">
        <f ca="1"/>
        <v>3.25</v>
      </c>
      <c r="G20" s="68">
        <f ca="1"/>
        <v>47299</v>
      </c>
      <c r="H20" s="66" t="str">
        <f ca="1"/>
        <v>AAA</v>
      </c>
      <c r="I20" s="66" t="str">
        <f ca="1"/>
        <v>--</v>
      </c>
      <c r="J20" s="69">
        <f ca="1"/>
        <v>95.762</v>
      </c>
      <c r="K20" s="70">
        <f ca="1"/>
        <v>4.3250000000000002</v>
      </c>
      <c r="L20" s="71" t="str">
        <f ca="1"/>
        <v>65,000(400)</v>
      </c>
      <c r="M20" s="83"/>
      <c r="N20" s="84" t="str">
        <f t="shared" si="9"/>
        <v/>
      </c>
      <c r="O20" s="20" t="str">
        <f t="shared" si="10"/>
        <v/>
      </c>
      <c r="P20" s="64" t="str">
        <f t="shared" si="11"/>
        <v/>
      </c>
      <c r="Q20" s="85" t="str">
        <f t="shared" ca="1" si="12"/>
        <v/>
      </c>
      <c r="R20" s="86" t="str">
        <f t="shared" si="13"/>
        <v/>
      </c>
      <c r="S20" s="86" t="str">
        <f t="shared" si="14"/>
        <v/>
      </c>
      <c r="T20" s="104" t="str">
        <f t="shared" si="0"/>
        <v/>
      </c>
      <c r="U20" s="19" t="str">
        <f>IF(AND(M20&lt;&gt;"",M20&lt;&gt;0), IF(E20 = "Muni", T20, IF(E20="Corp", T20*(1 -'Investor Input'!$C$4-'Investor Input'!$C$5), T20*(1 -'Investor Input'!$C$4))), T20)</f>
        <v/>
      </c>
      <c r="V20" s="84" t="str">
        <f t="shared" si="1"/>
        <v/>
      </c>
      <c r="W20" s="84" t="str">
        <f t="shared" si="2"/>
        <v/>
      </c>
      <c r="X20" s="46" t="str">
        <f t="shared" si="3"/>
        <v/>
      </c>
      <c r="Y20" s="60" t="str">
        <f t="shared" si="4"/>
        <v/>
      </c>
      <c r="Z20" s="60" t="str">
        <f t="shared" si="5"/>
        <v/>
      </c>
      <c r="AA20" s="64" t="str">
        <f t="shared" si="6"/>
        <v/>
      </c>
      <c r="AB20" s="64" t="str">
        <f>IF(AND(AA20&lt;&gt;"",AA20&lt;&gt;0), IF(E20="Muni", AA20, IF(E20 = "Corp", (1-'Investor Input'!$C$4-'Investor Input'!$C$5)*AA20, (1-'Investor Input'!$C$4)*AA20)), AA20)</f>
        <v/>
      </c>
      <c r="AC20" s="94" t="str">
        <f t="shared" si="7"/>
        <v/>
      </c>
      <c r="AD20" s="60" t="str">
        <f>IF(AND(M20&lt;&gt;"", M20&lt;&gt;0), N20/$N$505*MATCH(AC20,'Misc Lists'!$K$2:$K$25,0), "")</f>
        <v/>
      </c>
      <c r="AE20" s="90" t="str">
        <f t="shared" si="8"/>
        <v/>
      </c>
      <c r="AF20" s="99" t="str">
        <f>IF(AND(M20&lt;&gt;"", M20&lt;&gt;0), N20/$N$505*MATCH(AE20,'Misc Lists'!$L$2:$L$25,0), "")</f>
        <v/>
      </c>
    </row>
    <row r="21" spans="2:32" hidden="1" outlineLevel="1" x14ac:dyDescent="0.5">
      <c r="B21" s="65" t="str">
        <f ca="1"/>
        <v>91282CKX8</v>
      </c>
      <c r="C21" s="66" t="str">
        <f ca="1"/>
        <v>N/A</v>
      </c>
      <c r="D21" s="65" t="str">
        <f ca="1"/>
        <v>UNITED STATES TREAS SER AA-2029         4.25000% 06/30/2029 NTS NOTE</v>
      </c>
      <c r="E21" s="66" t="str">
        <f ca="1"/>
        <v>Tres</v>
      </c>
      <c r="F21" s="67">
        <f ca="1"/>
        <v>4.25</v>
      </c>
      <c r="G21" s="68">
        <f ca="1"/>
        <v>47299</v>
      </c>
      <c r="H21" s="66" t="str">
        <f ca="1"/>
        <v>AAA</v>
      </c>
      <c r="I21" s="66" t="str">
        <f ca="1"/>
        <v>--</v>
      </c>
      <c r="J21" s="69">
        <f ca="1"/>
        <v>99.7</v>
      </c>
      <c r="K21" s="70">
        <f ca="1"/>
        <v>4.3250000000000002</v>
      </c>
      <c r="L21" s="71" t="str">
        <f ca="1"/>
        <v>80,000(400)</v>
      </c>
      <c r="M21" s="83"/>
      <c r="N21" s="84" t="str">
        <f t="shared" si="9"/>
        <v/>
      </c>
      <c r="O21" s="20" t="str">
        <f t="shared" si="10"/>
        <v/>
      </c>
      <c r="P21" s="64" t="str">
        <f t="shared" si="11"/>
        <v/>
      </c>
      <c r="Q21" s="85" t="str">
        <f t="shared" ca="1" si="12"/>
        <v/>
      </c>
      <c r="R21" s="86" t="str">
        <f t="shared" si="13"/>
        <v/>
      </c>
      <c r="S21" s="86" t="str">
        <f t="shared" si="14"/>
        <v/>
      </c>
      <c r="T21" s="104" t="str">
        <f t="shared" si="0"/>
        <v/>
      </c>
      <c r="U21" s="19" t="str">
        <f>IF(AND(M21&lt;&gt;"",M21&lt;&gt;0), IF(E21 = "Muni", T21, IF(E21="Corp", T21*(1 -'Investor Input'!$C$4-'Investor Input'!$C$5), T21*(1 -'Investor Input'!$C$4))), T21)</f>
        <v/>
      </c>
      <c r="V21" s="84" t="str">
        <f t="shared" si="1"/>
        <v/>
      </c>
      <c r="W21" s="84" t="str">
        <f t="shared" si="2"/>
        <v/>
      </c>
      <c r="X21" s="46" t="str">
        <f t="shared" si="3"/>
        <v/>
      </c>
      <c r="Y21" s="60" t="str">
        <f t="shared" si="4"/>
        <v/>
      </c>
      <c r="Z21" s="60" t="str">
        <f t="shared" si="5"/>
        <v/>
      </c>
      <c r="AA21" s="64" t="str">
        <f t="shared" si="6"/>
        <v/>
      </c>
      <c r="AB21" s="64" t="str">
        <f>IF(AND(AA21&lt;&gt;"",AA21&lt;&gt;0), IF(E21="Muni", AA21, IF(E21 = "Corp", (1-'Investor Input'!$C$4-'Investor Input'!$C$5)*AA21, (1-'Investor Input'!$C$4)*AA21)), AA21)</f>
        <v/>
      </c>
      <c r="AC21" s="94" t="str">
        <f t="shared" si="7"/>
        <v/>
      </c>
      <c r="AD21" s="60" t="str">
        <f>IF(AND(M21&lt;&gt;"", M21&lt;&gt;0), N21/$N$505*MATCH(AC21,'Misc Lists'!$K$2:$K$25,0), "")</f>
        <v/>
      </c>
      <c r="AE21" s="90" t="str">
        <f t="shared" si="8"/>
        <v/>
      </c>
      <c r="AF21" s="99" t="str">
        <f>IF(AND(M21&lt;&gt;"", M21&lt;&gt;0), N21/$N$505*MATCH(AE21,'Misc Lists'!$L$2:$L$25,0), "")</f>
        <v/>
      </c>
    </row>
    <row r="22" spans="2:32" hidden="1" outlineLevel="1" x14ac:dyDescent="0.5">
      <c r="B22" s="65" t="str">
        <f ca="1"/>
        <v>91282CMA6</v>
      </c>
      <c r="C22" s="66" t="str">
        <f ca="1"/>
        <v>N/A</v>
      </c>
      <c r="D22" s="65" t="str">
        <f ca="1"/>
        <v>UNITED STATES TREAS SER AG-2029         4.12500% 11/30/2029 NTS NOTE</v>
      </c>
      <c r="E22" s="66" t="str">
        <f ca="1"/>
        <v>Tres</v>
      </c>
      <c r="F22" s="67">
        <f ca="1"/>
        <v>4.125</v>
      </c>
      <c r="G22" s="68">
        <f ca="1"/>
        <v>47452</v>
      </c>
      <c r="H22" s="66" t="str">
        <f ca="1"/>
        <v>AAA</v>
      </c>
      <c r="I22" s="66" t="str">
        <f ca="1"/>
        <v>--</v>
      </c>
      <c r="J22" s="69">
        <f ca="1"/>
        <v>99.137</v>
      </c>
      <c r="K22" s="70">
        <f ca="1"/>
        <v>4.3250000000000002</v>
      </c>
      <c r="L22" s="71" t="str">
        <f ca="1"/>
        <v>65,000(400)</v>
      </c>
      <c r="M22" s="83"/>
      <c r="N22" s="84" t="str">
        <f t="shared" si="9"/>
        <v/>
      </c>
      <c r="O22" s="20" t="str">
        <f t="shared" si="10"/>
        <v/>
      </c>
      <c r="P22" s="64" t="str">
        <f t="shared" si="11"/>
        <v/>
      </c>
      <c r="Q22" s="85" t="str">
        <f t="shared" ca="1" si="12"/>
        <v/>
      </c>
      <c r="R22" s="86" t="str">
        <f t="shared" si="13"/>
        <v/>
      </c>
      <c r="S22" s="86" t="str">
        <f t="shared" si="14"/>
        <v/>
      </c>
      <c r="T22" s="104" t="str">
        <f t="shared" si="0"/>
        <v/>
      </c>
      <c r="U22" s="19" t="str">
        <f>IF(AND(M22&lt;&gt;"",M22&lt;&gt;0), IF(E22 = "Muni", T22, IF(E22="Corp", T22*(1 -'Investor Input'!$C$4-'Investor Input'!$C$5), T22*(1 -'Investor Input'!$C$4))), T22)</f>
        <v/>
      </c>
      <c r="V22" s="84" t="str">
        <f t="shared" si="1"/>
        <v/>
      </c>
      <c r="W22" s="84" t="str">
        <f t="shared" si="2"/>
        <v/>
      </c>
      <c r="X22" s="46" t="str">
        <f t="shared" si="3"/>
        <v/>
      </c>
      <c r="Y22" s="60" t="str">
        <f t="shared" si="4"/>
        <v/>
      </c>
      <c r="Z22" s="60" t="str">
        <f t="shared" si="5"/>
        <v/>
      </c>
      <c r="AA22" s="64" t="str">
        <f t="shared" si="6"/>
        <v/>
      </c>
      <c r="AB22" s="64" t="str">
        <f>IF(AND(AA22&lt;&gt;"",AA22&lt;&gt;0), IF(E22="Muni", AA22, IF(E22 = "Corp", (1-'Investor Input'!$C$4-'Investor Input'!$C$5)*AA22, (1-'Investor Input'!$C$4)*AA22)), AA22)</f>
        <v/>
      </c>
      <c r="AC22" s="94" t="str">
        <f t="shared" si="7"/>
        <v/>
      </c>
      <c r="AD22" s="60" t="str">
        <f>IF(AND(M22&lt;&gt;"", M22&lt;&gt;0), N22/$N$505*MATCH(AC22,'Misc Lists'!$K$2:$K$25,0), "")</f>
        <v/>
      </c>
      <c r="AE22" s="90" t="str">
        <f t="shared" si="8"/>
        <v/>
      </c>
      <c r="AF22" s="99" t="str">
        <f>IF(AND(M22&lt;&gt;"", M22&lt;&gt;0), N22/$N$505*MATCH(AE22,'Misc Lists'!$L$2:$L$25,0), "")</f>
        <v/>
      </c>
    </row>
    <row r="23" spans="2:32" hidden="1" outlineLevel="1" x14ac:dyDescent="0.5">
      <c r="B23" s="65" t="str">
        <f ca="1"/>
        <v>91282CFC0</v>
      </c>
      <c r="C23" s="66" t="str">
        <f ca="1"/>
        <v>N/A</v>
      </c>
      <c r="D23" s="65" t="str">
        <f ca="1"/>
        <v>UNITED STATES TREAS SER N-2029          2.62500% 07/31/2029 NTS NOTE</v>
      </c>
      <c r="E23" s="66" t="str">
        <f ca="1"/>
        <v>Tres</v>
      </c>
      <c r="F23" s="67">
        <f ca="1"/>
        <v>2.625</v>
      </c>
      <c r="G23" s="68">
        <f ca="1"/>
        <v>47330</v>
      </c>
      <c r="H23" s="66" t="str">
        <f ca="1"/>
        <v>AAA</v>
      </c>
      <c r="I23" s="66" t="str">
        <f ca="1"/>
        <v>--</v>
      </c>
      <c r="J23" s="69">
        <f ca="1"/>
        <v>93.188000000000002</v>
      </c>
      <c r="K23" s="70">
        <f ca="1"/>
        <v>4.3230000000000004</v>
      </c>
      <c r="L23" s="71" t="str">
        <f ca="1"/>
        <v>65,000(400)</v>
      </c>
      <c r="M23" s="83"/>
      <c r="N23" s="84" t="str">
        <f t="shared" si="9"/>
        <v/>
      </c>
      <c r="O23" s="20" t="str">
        <f t="shared" si="10"/>
        <v/>
      </c>
      <c r="P23" s="64" t="str">
        <f t="shared" si="11"/>
        <v/>
      </c>
      <c r="Q23" s="85" t="str">
        <f t="shared" ca="1" si="12"/>
        <v/>
      </c>
      <c r="R23" s="86" t="str">
        <f t="shared" si="13"/>
        <v/>
      </c>
      <c r="S23" s="86" t="str">
        <f t="shared" si="14"/>
        <v/>
      </c>
      <c r="T23" s="104" t="str">
        <f t="shared" si="0"/>
        <v/>
      </c>
      <c r="U23" s="19" t="str">
        <f>IF(AND(M23&lt;&gt;"",M23&lt;&gt;0), IF(E23 = "Muni", T23, IF(E23="Corp", T23*(1 -'Investor Input'!$C$4-'Investor Input'!$C$5), T23*(1 -'Investor Input'!$C$4))), T23)</f>
        <v/>
      </c>
      <c r="V23" s="84" t="str">
        <f t="shared" si="1"/>
        <v/>
      </c>
      <c r="W23" s="84" t="str">
        <f t="shared" si="2"/>
        <v/>
      </c>
      <c r="X23" s="46" t="str">
        <f t="shared" si="3"/>
        <v/>
      </c>
      <c r="Y23" s="60" t="str">
        <f t="shared" si="4"/>
        <v/>
      </c>
      <c r="Z23" s="60" t="str">
        <f t="shared" si="5"/>
        <v/>
      </c>
      <c r="AA23" s="64" t="str">
        <f t="shared" si="6"/>
        <v/>
      </c>
      <c r="AB23" s="64" t="str">
        <f>IF(AND(AA23&lt;&gt;"",AA23&lt;&gt;0), IF(E23="Muni", AA23, IF(E23 = "Corp", (1-'Investor Input'!$C$4-'Investor Input'!$C$5)*AA23, (1-'Investor Input'!$C$4)*AA23)), AA23)</f>
        <v/>
      </c>
      <c r="AC23" s="94" t="str">
        <f t="shared" si="7"/>
        <v/>
      </c>
      <c r="AD23" s="60" t="str">
        <f>IF(AND(M23&lt;&gt;"", M23&lt;&gt;0), N23/$N$505*MATCH(AC23,'Misc Lists'!$K$2:$K$25,0), "")</f>
        <v/>
      </c>
      <c r="AE23" s="90" t="str">
        <f t="shared" si="8"/>
        <v/>
      </c>
      <c r="AF23" s="99" t="str">
        <f>IF(AND(M23&lt;&gt;"", M23&lt;&gt;0), N23/$N$505*MATCH(AE23,'Misc Lists'!$L$2:$L$25,0), "")</f>
        <v/>
      </c>
    </row>
    <row r="24" spans="2:32" hidden="1" outlineLevel="1" x14ac:dyDescent="0.5">
      <c r="B24" s="65" t="str">
        <f ca="1"/>
        <v>91282CLK5</v>
      </c>
      <c r="C24" s="66" t="str">
        <f ca="1"/>
        <v>N/A</v>
      </c>
      <c r="D24" s="65" t="str">
        <f ca="1"/>
        <v>UNITED STATES TREAS SER AC-2029         3.62500% 08/31/2029 NTS NOTE</v>
      </c>
      <c r="E24" s="66" t="str">
        <f ca="1"/>
        <v>Tres</v>
      </c>
      <c r="F24" s="67">
        <f ca="1"/>
        <v>3.625</v>
      </c>
      <c r="G24" s="68">
        <f ca="1"/>
        <v>47361</v>
      </c>
      <c r="H24" s="66" t="str">
        <f ca="1"/>
        <v>AAA</v>
      </c>
      <c r="I24" s="66" t="str">
        <f ca="1"/>
        <v>--</v>
      </c>
      <c r="J24" s="69">
        <f ca="1"/>
        <v>97.156999999999996</v>
      </c>
      <c r="K24" s="70">
        <f ca="1"/>
        <v>4.3230000000000004</v>
      </c>
      <c r="L24" s="71" t="str">
        <f ca="1"/>
        <v>65,000(400)</v>
      </c>
      <c r="M24" s="83"/>
      <c r="N24" s="84" t="str">
        <f t="shared" si="9"/>
        <v/>
      </c>
      <c r="O24" s="20" t="str">
        <f t="shared" si="10"/>
        <v/>
      </c>
      <c r="P24" s="64" t="str">
        <f t="shared" si="11"/>
        <v/>
      </c>
      <c r="Q24" s="85" t="str">
        <f t="shared" ca="1" si="12"/>
        <v/>
      </c>
      <c r="R24" s="86" t="str">
        <f t="shared" si="13"/>
        <v/>
      </c>
      <c r="S24" s="86" t="str">
        <f t="shared" si="14"/>
        <v/>
      </c>
      <c r="T24" s="104" t="str">
        <f t="shared" si="0"/>
        <v/>
      </c>
      <c r="U24" s="19" t="str">
        <f>IF(AND(M24&lt;&gt;"",M24&lt;&gt;0), IF(E24 = "Muni", T24, IF(E24="Corp", T24*(1 -'Investor Input'!$C$4-'Investor Input'!$C$5), T24*(1 -'Investor Input'!$C$4))), T24)</f>
        <v/>
      </c>
      <c r="V24" s="84" t="str">
        <f t="shared" si="1"/>
        <v/>
      </c>
      <c r="W24" s="84" t="str">
        <f t="shared" si="2"/>
        <v/>
      </c>
      <c r="X24" s="46" t="str">
        <f t="shared" si="3"/>
        <v/>
      </c>
      <c r="Y24" s="60" t="str">
        <f t="shared" si="4"/>
        <v/>
      </c>
      <c r="Z24" s="60" t="str">
        <f t="shared" si="5"/>
        <v/>
      </c>
      <c r="AA24" s="64" t="str">
        <f t="shared" si="6"/>
        <v/>
      </c>
      <c r="AB24" s="64" t="str">
        <f>IF(AND(AA24&lt;&gt;"",AA24&lt;&gt;0), IF(E24="Muni", AA24, IF(E24 = "Corp", (1-'Investor Input'!$C$4-'Investor Input'!$C$5)*AA24, (1-'Investor Input'!$C$4)*AA24)), AA24)</f>
        <v/>
      </c>
      <c r="AC24" s="94" t="str">
        <f t="shared" si="7"/>
        <v/>
      </c>
      <c r="AD24" s="60" t="str">
        <f>IF(AND(M24&lt;&gt;"", M24&lt;&gt;0), N24/$N$505*MATCH(AC24,'Misc Lists'!$K$2:$K$25,0), "")</f>
        <v/>
      </c>
      <c r="AE24" s="90" t="str">
        <f t="shared" si="8"/>
        <v/>
      </c>
      <c r="AF24" s="99" t="str">
        <f>IF(AND(M24&lt;&gt;"", M24&lt;&gt;0), N24/$N$505*MATCH(AE24,'Misc Lists'!$L$2:$L$25,0), "")</f>
        <v/>
      </c>
    </row>
    <row r="25" spans="2:32" hidden="1" outlineLevel="1" x14ac:dyDescent="0.5">
      <c r="B25" s="65" t="str">
        <f ca="1"/>
        <v>91282CHV6</v>
      </c>
      <c r="C25" s="66" t="str">
        <f ca="1"/>
        <v>N/A</v>
      </c>
      <c r="D25" s="65" t="str">
        <f ca="1"/>
        <v>UNITED STATES TREAS SER BG-2025         5.00000% 08/31/2025 NTS NOTE</v>
      </c>
      <c r="E25" s="66" t="str">
        <f ca="1"/>
        <v>Tres</v>
      </c>
      <c r="F25" s="67">
        <f ca="1"/>
        <v>5</v>
      </c>
      <c r="G25" s="68">
        <f ca="1"/>
        <v>45900</v>
      </c>
      <c r="H25" s="66" t="str">
        <f ca="1"/>
        <v>AAA</v>
      </c>
      <c r="I25" s="66" t="str">
        <f ca="1"/>
        <v>--</v>
      </c>
      <c r="J25" s="69">
        <f ca="1"/>
        <v>100.349</v>
      </c>
      <c r="K25" s="70">
        <f ca="1"/>
        <v>4.3220000000000001</v>
      </c>
      <c r="L25" s="71" t="str">
        <f ca="1"/>
        <v>5,600(200)</v>
      </c>
      <c r="M25" s="83"/>
      <c r="N25" s="84" t="str">
        <f t="shared" si="9"/>
        <v/>
      </c>
      <c r="O25" s="20" t="str">
        <f t="shared" si="10"/>
        <v/>
      </c>
      <c r="P25" s="64" t="str">
        <f t="shared" si="11"/>
        <v/>
      </c>
      <c r="Q25" s="85" t="str">
        <f t="shared" ca="1" si="12"/>
        <v/>
      </c>
      <c r="R25" s="86" t="str">
        <f t="shared" si="13"/>
        <v/>
      </c>
      <c r="S25" s="86" t="str">
        <f t="shared" si="14"/>
        <v/>
      </c>
      <c r="T25" s="104" t="str">
        <f t="shared" si="0"/>
        <v/>
      </c>
      <c r="U25" s="19" t="str">
        <f>IF(AND(M25&lt;&gt;"",M25&lt;&gt;0), IF(E25 = "Muni", T25, IF(E25="Corp", T25*(1 -'Investor Input'!$C$4-'Investor Input'!$C$5), T25*(1 -'Investor Input'!$C$4))), T25)</f>
        <v/>
      </c>
      <c r="V25" s="84" t="str">
        <f t="shared" si="1"/>
        <v/>
      </c>
      <c r="W25" s="84" t="str">
        <f t="shared" si="2"/>
        <v/>
      </c>
      <c r="X25" s="46" t="str">
        <f t="shared" si="3"/>
        <v/>
      </c>
      <c r="Y25" s="60" t="str">
        <f t="shared" si="4"/>
        <v/>
      </c>
      <c r="Z25" s="60" t="str">
        <f t="shared" si="5"/>
        <v/>
      </c>
      <c r="AA25" s="64" t="str">
        <f t="shared" si="6"/>
        <v/>
      </c>
      <c r="AB25" s="64" t="str">
        <f>IF(AND(AA25&lt;&gt;"",AA25&lt;&gt;0), IF(E25="Muni", AA25, IF(E25 = "Corp", (1-'Investor Input'!$C$4-'Investor Input'!$C$5)*AA25, (1-'Investor Input'!$C$4)*AA25)), AA25)</f>
        <v/>
      </c>
      <c r="AC25" s="94" t="str">
        <f t="shared" si="7"/>
        <v/>
      </c>
      <c r="AD25" s="60" t="str">
        <f>IF(AND(M25&lt;&gt;"", M25&lt;&gt;0), N25/$N$505*MATCH(AC25,'Misc Lists'!$K$2:$K$25,0), "")</f>
        <v/>
      </c>
      <c r="AE25" s="90" t="str">
        <f t="shared" si="8"/>
        <v/>
      </c>
      <c r="AF25" s="99" t="str">
        <f>IF(AND(M25&lt;&gt;"", M25&lt;&gt;0), N25/$N$505*MATCH(AE25,'Misc Lists'!$L$2:$L$25,0), "")</f>
        <v/>
      </c>
    </row>
    <row r="26" spans="2:32" hidden="1" outlineLevel="1" x14ac:dyDescent="0.5">
      <c r="B26" s="65" t="str">
        <f ca="1"/>
        <v>91282CKG5</v>
      </c>
      <c r="C26" s="66" t="str">
        <f ca="1"/>
        <v>N/A</v>
      </c>
      <c r="D26" s="65" t="str">
        <f ca="1"/>
        <v>UNITED STATES TREAS SER W-2029          4.12500% 03/31/2029 NTS NOTE</v>
      </c>
      <c r="E26" s="66" t="str">
        <f ca="1"/>
        <v>Tres</v>
      </c>
      <c r="F26" s="67">
        <f ca="1"/>
        <v>4.125</v>
      </c>
      <c r="G26" s="68">
        <f ca="1"/>
        <v>47208</v>
      </c>
      <c r="H26" s="66" t="str">
        <f ca="1"/>
        <v>AAA</v>
      </c>
      <c r="I26" s="66" t="str">
        <f ca="1"/>
        <v>--</v>
      </c>
      <c r="J26" s="69">
        <f ca="1"/>
        <v>99.262</v>
      </c>
      <c r="K26" s="70">
        <f ca="1"/>
        <v>4.3209999999999997</v>
      </c>
      <c r="L26" s="71" t="str">
        <f ca="1"/>
        <v>65,000(400)</v>
      </c>
      <c r="M26" s="83"/>
      <c r="N26" s="84" t="str">
        <f t="shared" si="9"/>
        <v/>
      </c>
      <c r="O26" s="20" t="str">
        <f t="shared" si="10"/>
        <v/>
      </c>
      <c r="P26" s="64" t="str">
        <f t="shared" si="11"/>
        <v/>
      </c>
      <c r="Q26" s="85" t="str">
        <f t="shared" ca="1" si="12"/>
        <v/>
      </c>
      <c r="R26" s="86" t="str">
        <f t="shared" si="13"/>
        <v/>
      </c>
      <c r="S26" s="86" t="str">
        <f t="shared" si="14"/>
        <v/>
      </c>
      <c r="T26" s="104" t="str">
        <f t="shared" si="0"/>
        <v/>
      </c>
      <c r="U26" s="19" t="str">
        <f>IF(AND(M26&lt;&gt;"",M26&lt;&gt;0), IF(E26 = "Muni", T26, IF(E26="Corp", T26*(1 -'Investor Input'!$C$4-'Investor Input'!$C$5), T26*(1 -'Investor Input'!$C$4))), T26)</f>
        <v/>
      </c>
      <c r="V26" s="84" t="str">
        <f t="shared" si="1"/>
        <v/>
      </c>
      <c r="W26" s="84" t="str">
        <f t="shared" si="2"/>
        <v/>
      </c>
      <c r="X26" s="46" t="str">
        <f t="shared" si="3"/>
        <v/>
      </c>
      <c r="Y26" s="60" t="str">
        <f t="shared" si="4"/>
        <v/>
      </c>
      <c r="Z26" s="60" t="str">
        <f t="shared" si="5"/>
        <v/>
      </c>
      <c r="AA26" s="64" t="str">
        <f t="shared" si="6"/>
        <v/>
      </c>
      <c r="AB26" s="64" t="str">
        <f>IF(AND(AA26&lt;&gt;"",AA26&lt;&gt;0), IF(E26="Muni", AA26, IF(E26 = "Corp", (1-'Investor Input'!$C$4-'Investor Input'!$C$5)*AA26, (1-'Investor Input'!$C$4)*AA26)), AA26)</f>
        <v/>
      </c>
      <c r="AC26" s="94" t="str">
        <f t="shared" si="7"/>
        <v/>
      </c>
      <c r="AD26" s="60" t="str">
        <f>IF(AND(M26&lt;&gt;"", M26&lt;&gt;0), N26/$N$505*MATCH(AC26,'Misc Lists'!$K$2:$K$25,0), "")</f>
        <v/>
      </c>
      <c r="AE26" s="90" t="str">
        <f t="shared" si="8"/>
        <v/>
      </c>
      <c r="AF26" s="99" t="str">
        <f>IF(AND(M26&lt;&gt;"", M26&lt;&gt;0), N26/$N$505*MATCH(AE26,'Misc Lists'!$L$2:$L$25,0), "")</f>
        <v/>
      </c>
    </row>
    <row r="27" spans="2:32" hidden="1" outlineLevel="1" x14ac:dyDescent="0.5">
      <c r="B27" s="65" t="str">
        <f ca="1"/>
        <v>91282CES6</v>
      </c>
      <c r="C27" s="66" t="str">
        <f ca="1"/>
        <v>N/A</v>
      </c>
      <c r="D27" s="65" t="str">
        <f ca="1"/>
        <v>UNITED STATES TREAS SER L-2029          2.75000% 05/31/2029 NTS NOTE</v>
      </c>
      <c r="E27" s="66" t="str">
        <f ca="1"/>
        <v>Tres</v>
      </c>
      <c r="F27" s="67">
        <f ca="1"/>
        <v>2.75</v>
      </c>
      <c r="G27" s="68">
        <f ca="1"/>
        <v>47269</v>
      </c>
      <c r="H27" s="66" t="str">
        <f ca="1"/>
        <v>AAA</v>
      </c>
      <c r="I27" s="66" t="str">
        <f ca="1"/>
        <v>--</v>
      </c>
      <c r="J27" s="69">
        <f ca="1"/>
        <v>93.915000000000006</v>
      </c>
      <c r="K27" s="70">
        <f ca="1"/>
        <v>4.3209999999999997</v>
      </c>
      <c r="L27" s="71" t="str">
        <f ca="1"/>
        <v>65,000(400)</v>
      </c>
      <c r="M27" s="83"/>
      <c r="N27" s="84" t="str">
        <f t="shared" si="9"/>
        <v/>
      </c>
      <c r="O27" s="20" t="str">
        <f t="shared" si="10"/>
        <v/>
      </c>
      <c r="P27" s="64" t="str">
        <f t="shared" si="11"/>
        <v/>
      </c>
      <c r="Q27" s="85" t="str">
        <f t="shared" ca="1" si="12"/>
        <v/>
      </c>
      <c r="R27" s="86" t="str">
        <f t="shared" si="13"/>
        <v/>
      </c>
      <c r="S27" s="86" t="str">
        <f t="shared" si="14"/>
        <v/>
      </c>
      <c r="T27" s="104" t="str">
        <f t="shared" si="0"/>
        <v/>
      </c>
      <c r="U27" s="19" t="str">
        <f>IF(AND(M27&lt;&gt;"",M27&lt;&gt;0), IF(E27 = "Muni", T27, IF(E27="Corp", T27*(1 -'Investor Input'!$C$4-'Investor Input'!$C$5), T27*(1 -'Investor Input'!$C$4))), T27)</f>
        <v/>
      </c>
      <c r="V27" s="84" t="str">
        <f t="shared" si="1"/>
        <v/>
      </c>
      <c r="W27" s="84" t="str">
        <f t="shared" si="2"/>
        <v/>
      </c>
      <c r="X27" s="46" t="str">
        <f t="shared" si="3"/>
        <v/>
      </c>
      <c r="Y27" s="60" t="str">
        <f t="shared" si="4"/>
        <v/>
      </c>
      <c r="Z27" s="60" t="str">
        <f t="shared" si="5"/>
        <v/>
      </c>
      <c r="AA27" s="64" t="str">
        <f t="shared" si="6"/>
        <v/>
      </c>
      <c r="AB27" s="64" t="str">
        <f>IF(AND(AA27&lt;&gt;"",AA27&lt;&gt;0), IF(E27="Muni", AA27, IF(E27 = "Corp", (1-'Investor Input'!$C$4-'Investor Input'!$C$5)*AA27, (1-'Investor Input'!$C$4)*AA27)), AA27)</f>
        <v/>
      </c>
      <c r="AC27" s="94" t="str">
        <f t="shared" si="7"/>
        <v/>
      </c>
      <c r="AD27" s="60" t="str">
        <f>IF(AND(M27&lt;&gt;"", M27&lt;&gt;0), N27/$N$505*MATCH(AC27,'Misc Lists'!$K$2:$K$25,0), "")</f>
        <v/>
      </c>
      <c r="AE27" s="90" t="str">
        <f t="shared" si="8"/>
        <v/>
      </c>
      <c r="AF27" s="99" t="str">
        <f>IF(AND(M27&lt;&gt;"", M27&lt;&gt;0), N27/$N$505*MATCH(AE27,'Misc Lists'!$L$2:$L$25,0), "")</f>
        <v/>
      </c>
    </row>
    <row r="28" spans="2:32" hidden="1" outlineLevel="1" x14ac:dyDescent="0.5">
      <c r="B28" s="65" t="str">
        <f ca="1"/>
        <v>91282CKT7</v>
      </c>
      <c r="C28" s="66" t="str">
        <f ca="1"/>
        <v>N/A</v>
      </c>
      <c r="D28" s="65" t="str">
        <f ca="1"/>
        <v>UNITED STATES TREAS SER Z-2029          4.50000% 05/31/2029 NTS NOTE</v>
      </c>
      <c r="E28" s="66" t="str">
        <f ca="1"/>
        <v>Tres</v>
      </c>
      <c r="F28" s="67">
        <f ca="1"/>
        <v>4.5</v>
      </c>
      <c r="G28" s="68">
        <f ca="1"/>
        <v>47269</v>
      </c>
      <c r="H28" s="66" t="str">
        <f ca="1"/>
        <v>AAA</v>
      </c>
      <c r="I28" s="66" t="str">
        <f ca="1"/>
        <v>--</v>
      </c>
      <c r="J28" s="69">
        <f ca="1"/>
        <v>100.684</v>
      </c>
      <c r="K28" s="70">
        <f ca="1"/>
        <v>4.3209999999999997</v>
      </c>
      <c r="L28" s="71" t="str">
        <f ca="1"/>
        <v>65,000(400)</v>
      </c>
      <c r="M28" s="83"/>
      <c r="N28" s="84" t="str">
        <f t="shared" si="9"/>
        <v/>
      </c>
      <c r="O28" s="20" t="str">
        <f t="shared" si="10"/>
        <v/>
      </c>
      <c r="P28" s="64" t="str">
        <f t="shared" si="11"/>
        <v/>
      </c>
      <c r="Q28" s="85" t="str">
        <f t="shared" ca="1" si="12"/>
        <v/>
      </c>
      <c r="R28" s="86" t="str">
        <f t="shared" si="13"/>
        <v/>
      </c>
      <c r="S28" s="86" t="str">
        <f t="shared" si="14"/>
        <v/>
      </c>
      <c r="T28" s="104" t="str">
        <f t="shared" si="0"/>
        <v/>
      </c>
      <c r="U28" s="19" t="str">
        <f>IF(AND(M28&lt;&gt;"",M28&lt;&gt;0), IF(E28 = "Muni", T28, IF(E28="Corp", T28*(1 -'Investor Input'!$C$4-'Investor Input'!$C$5), T28*(1 -'Investor Input'!$C$4))), T28)</f>
        <v/>
      </c>
      <c r="V28" s="84" t="str">
        <f t="shared" si="1"/>
        <v/>
      </c>
      <c r="W28" s="84" t="str">
        <f t="shared" si="2"/>
        <v/>
      </c>
      <c r="X28" s="46" t="str">
        <f t="shared" si="3"/>
        <v/>
      </c>
      <c r="Y28" s="60" t="str">
        <f t="shared" si="4"/>
        <v/>
      </c>
      <c r="Z28" s="60" t="str">
        <f t="shared" si="5"/>
        <v/>
      </c>
      <c r="AA28" s="64" t="str">
        <f t="shared" si="6"/>
        <v/>
      </c>
      <c r="AB28" s="64" t="str">
        <f>IF(AND(AA28&lt;&gt;"",AA28&lt;&gt;0), IF(E28="Muni", AA28, IF(E28 = "Corp", (1-'Investor Input'!$C$4-'Investor Input'!$C$5)*AA28, (1-'Investor Input'!$C$4)*AA28)), AA28)</f>
        <v/>
      </c>
      <c r="AC28" s="94" t="str">
        <f t="shared" si="7"/>
        <v/>
      </c>
      <c r="AD28" s="60" t="str">
        <f>IF(AND(M28&lt;&gt;"", M28&lt;&gt;0), N28/$N$505*MATCH(AC28,'Misc Lists'!$K$2:$K$25,0), "")</f>
        <v/>
      </c>
      <c r="AE28" s="90" t="str">
        <f t="shared" si="8"/>
        <v/>
      </c>
      <c r="AF28" s="99" t="str">
        <f>IF(AND(M28&lt;&gt;"", M28&lt;&gt;0), N28/$N$505*MATCH(AE28,'Misc Lists'!$L$2:$L$25,0), "")</f>
        <v/>
      </c>
    </row>
    <row r="29" spans="2:32" hidden="1" outlineLevel="1" x14ac:dyDescent="0.5">
      <c r="B29" s="65" t="str">
        <f ca="1"/>
        <v>91282CLC3</v>
      </c>
      <c r="C29" s="66" t="str">
        <f ca="1"/>
        <v>N/A</v>
      </c>
      <c r="D29" s="65" t="str">
        <f ca="1"/>
        <v>UNITED STATES TREAS SER AB-2029         4.00000% 07/31/2029 NTS NOTE</v>
      </c>
      <c r="E29" s="66" t="str">
        <f ca="1"/>
        <v>Tres</v>
      </c>
      <c r="F29" s="67">
        <f ca="1"/>
        <v>4</v>
      </c>
      <c r="G29" s="68">
        <f ca="1"/>
        <v>47330</v>
      </c>
      <c r="H29" s="66" t="str">
        <f ca="1"/>
        <v>AAA</v>
      </c>
      <c r="I29" s="66" t="str">
        <f ca="1"/>
        <v>--</v>
      </c>
      <c r="J29" s="69">
        <f ca="1"/>
        <v>98.712000000000003</v>
      </c>
      <c r="K29" s="70">
        <f ca="1"/>
        <v>4.3209999999999997</v>
      </c>
      <c r="L29" s="71" t="str">
        <f ca="1"/>
        <v>65,000(400)</v>
      </c>
      <c r="M29" s="83"/>
      <c r="N29" s="84" t="str">
        <f t="shared" si="9"/>
        <v/>
      </c>
      <c r="O29" s="20" t="str">
        <f t="shared" si="10"/>
        <v/>
      </c>
      <c r="P29" s="64" t="str">
        <f t="shared" si="11"/>
        <v/>
      </c>
      <c r="Q29" s="85" t="str">
        <f t="shared" ca="1" si="12"/>
        <v/>
      </c>
      <c r="R29" s="86" t="str">
        <f t="shared" si="13"/>
        <v/>
      </c>
      <c r="S29" s="86" t="str">
        <f t="shared" si="14"/>
        <v/>
      </c>
      <c r="T29" s="104" t="str">
        <f t="shared" si="0"/>
        <v/>
      </c>
      <c r="U29" s="19" t="str">
        <f>IF(AND(M29&lt;&gt;"",M29&lt;&gt;0), IF(E29 = "Muni", T29, IF(E29="Corp", T29*(1 -'Investor Input'!$C$4-'Investor Input'!$C$5), T29*(1 -'Investor Input'!$C$4))), T29)</f>
        <v/>
      </c>
      <c r="V29" s="84" t="str">
        <f t="shared" si="1"/>
        <v/>
      </c>
      <c r="W29" s="84" t="str">
        <f t="shared" si="2"/>
        <v/>
      </c>
      <c r="X29" s="46" t="str">
        <f t="shared" si="3"/>
        <v/>
      </c>
      <c r="Y29" s="60" t="str">
        <f t="shared" si="4"/>
        <v/>
      </c>
      <c r="Z29" s="60" t="str">
        <f t="shared" si="5"/>
        <v/>
      </c>
      <c r="AA29" s="64" t="str">
        <f t="shared" si="6"/>
        <v/>
      </c>
      <c r="AB29" s="64" t="str">
        <f>IF(AND(AA29&lt;&gt;"",AA29&lt;&gt;0), IF(E29="Muni", AA29, IF(E29 = "Corp", (1-'Investor Input'!$C$4-'Investor Input'!$C$5)*AA29, (1-'Investor Input'!$C$4)*AA29)), AA29)</f>
        <v/>
      </c>
      <c r="AC29" s="94" t="str">
        <f t="shared" si="7"/>
        <v/>
      </c>
      <c r="AD29" s="60" t="str">
        <f>IF(AND(M29&lt;&gt;"", M29&lt;&gt;0), N29/$N$505*MATCH(AC29,'Misc Lists'!$K$2:$K$25,0), "")</f>
        <v/>
      </c>
      <c r="AE29" s="90" t="str">
        <f t="shared" si="8"/>
        <v/>
      </c>
      <c r="AF29" s="99" t="str">
        <f>IF(AND(M29&lt;&gt;"", M29&lt;&gt;0), N29/$N$505*MATCH(AE29,'Misc Lists'!$L$2:$L$25,0), "")</f>
        <v/>
      </c>
    </row>
    <row r="30" spans="2:32" hidden="1" outlineLevel="1" x14ac:dyDescent="0.5">
      <c r="B30" s="65" t="str">
        <f ca="1"/>
        <v>91282CEM9</v>
      </c>
      <c r="C30" s="66" t="str">
        <f ca="1"/>
        <v>N/A</v>
      </c>
      <c r="D30" s="65" t="str">
        <f ca="1"/>
        <v>UNITED STATES TREAS SER K-2029          2.87500% 04/30/2029 NTS NOTE</v>
      </c>
      <c r="E30" s="66" t="str">
        <f ca="1"/>
        <v>Tres</v>
      </c>
      <c r="F30" s="67">
        <f ca="1"/>
        <v>2.875</v>
      </c>
      <c r="G30" s="68">
        <f ca="1"/>
        <v>47238</v>
      </c>
      <c r="H30" s="66" t="str">
        <f ca="1"/>
        <v>AAA</v>
      </c>
      <c r="I30" s="66" t="str">
        <f ca="1"/>
        <v>--</v>
      </c>
      <c r="J30" s="69">
        <f ca="1"/>
        <v>94.504999999999995</v>
      </c>
      <c r="K30" s="70">
        <f ca="1"/>
        <v>4.32</v>
      </c>
      <c r="L30" s="71" t="str">
        <f ca="1"/>
        <v>65,000(400)</v>
      </c>
      <c r="M30" s="83"/>
      <c r="N30" s="84" t="str">
        <f t="shared" si="9"/>
        <v/>
      </c>
      <c r="O30" s="20" t="str">
        <f t="shared" si="10"/>
        <v/>
      </c>
      <c r="P30" s="64" t="str">
        <f t="shared" si="11"/>
        <v/>
      </c>
      <c r="Q30" s="85" t="str">
        <f t="shared" ca="1" si="12"/>
        <v/>
      </c>
      <c r="R30" s="86" t="str">
        <f t="shared" si="13"/>
        <v/>
      </c>
      <c r="S30" s="86" t="str">
        <f t="shared" si="14"/>
        <v/>
      </c>
      <c r="T30" s="104" t="str">
        <f t="shared" si="0"/>
        <v/>
      </c>
      <c r="U30" s="19" t="str">
        <f>IF(AND(M30&lt;&gt;"",M30&lt;&gt;0), IF(E30 = "Muni", T30, IF(E30="Corp", T30*(1 -'Investor Input'!$C$4-'Investor Input'!$C$5), T30*(1 -'Investor Input'!$C$4))), T30)</f>
        <v/>
      </c>
      <c r="V30" s="84" t="str">
        <f t="shared" si="1"/>
        <v/>
      </c>
      <c r="W30" s="84" t="str">
        <f t="shared" si="2"/>
        <v/>
      </c>
      <c r="X30" s="46" t="str">
        <f t="shared" si="3"/>
        <v/>
      </c>
      <c r="Y30" s="60" t="str">
        <f t="shared" si="4"/>
        <v/>
      </c>
      <c r="Z30" s="60" t="str">
        <f t="shared" si="5"/>
        <v/>
      </c>
      <c r="AA30" s="64" t="str">
        <f t="shared" si="6"/>
        <v/>
      </c>
      <c r="AB30" s="64" t="str">
        <f>IF(AND(AA30&lt;&gt;"",AA30&lt;&gt;0), IF(E30="Muni", AA30, IF(E30 = "Corp", (1-'Investor Input'!$C$4-'Investor Input'!$C$5)*AA30, (1-'Investor Input'!$C$4)*AA30)), AA30)</f>
        <v/>
      </c>
      <c r="AC30" s="94" t="str">
        <f t="shared" si="7"/>
        <v/>
      </c>
      <c r="AD30" s="60" t="str">
        <f>IF(AND(M30&lt;&gt;"", M30&lt;&gt;0), N30/$N$505*MATCH(AC30,'Misc Lists'!$K$2:$K$25,0), "")</f>
        <v/>
      </c>
      <c r="AE30" s="90" t="str">
        <f t="shared" si="8"/>
        <v/>
      </c>
      <c r="AF30" s="99" t="str">
        <f>IF(AND(M30&lt;&gt;"", M30&lt;&gt;0), N30/$N$505*MATCH(AE30,'Misc Lists'!$L$2:$L$25,0), "")</f>
        <v/>
      </c>
    </row>
    <row r="31" spans="2:32" hidden="1" outlineLevel="1" x14ac:dyDescent="0.5">
      <c r="B31" s="65" t="str">
        <f ca="1"/>
        <v>91282CKP5</v>
      </c>
      <c r="C31" s="66" t="str">
        <f ca="1"/>
        <v>N/A</v>
      </c>
      <c r="D31" s="65" t="str">
        <f ca="1"/>
        <v>UNITED STATES TREAS SER Y-2029          4.62500% 04/30/2029 NTS NOTE</v>
      </c>
      <c r="E31" s="66" t="str">
        <f ca="1"/>
        <v>Tres</v>
      </c>
      <c r="F31" s="67">
        <f ca="1"/>
        <v>4.625</v>
      </c>
      <c r="G31" s="68">
        <f ca="1"/>
        <v>47238</v>
      </c>
      <c r="H31" s="66" t="str">
        <f ca="1"/>
        <v>AAA</v>
      </c>
      <c r="I31" s="66" t="str">
        <f ca="1"/>
        <v>--</v>
      </c>
      <c r="J31" s="69">
        <f ca="1"/>
        <v>101.15300000000001</v>
      </c>
      <c r="K31" s="70">
        <f ca="1"/>
        <v>4.32</v>
      </c>
      <c r="L31" s="71" t="str">
        <f ca="1"/>
        <v>65,000(400)</v>
      </c>
      <c r="M31" s="83"/>
      <c r="N31" s="84" t="str">
        <f t="shared" si="9"/>
        <v/>
      </c>
      <c r="O31" s="20" t="str">
        <f t="shared" si="10"/>
        <v/>
      </c>
      <c r="P31" s="64" t="str">
        <f t="shared" si="11"/>
        <v/>
      </c>
      <c r="Q31" s="85" t="str">
        <f t="shared" ca="1" si="12"/>
        <v/>
      </c>
      <c r="R31" s="86" t="str">
        <f t="shared" si="13"/>
        <v/>
      </c>
      <c r="S31" s="86" t="str">
        <f t="shared" si="14"/>
        <v/>
      </c>
      <c r="T31" s="104" t="str">
        <f t="shared" si="0"/>
        <v/>
      </c>
      <c r="U31" s="19" t="str">
        <f>IF(AND(M31&lt;&gt;"",M31&lt;&gt;0), IF(E31 = "Muni", T31, IF(E31="Corp", T31*(1 -'Investor Input'!$C$4-'Investor Input'!$C$5), T31*(1 -'Investor Input'!$C$4))), T31)</f>
        <v/>
      </c>
      <c r="V31" s="84" t="str">
        <f t="shared" si="1"/>
        <v/>
      </c>
      <c r="W31" s="84" t="str">
        <f t="shared" si="2"/>
        <v/>
      </c>
      <c r="X31" s="46" t="str">
        <f t="shared" si="3"/>
        <v/>
      </c>
      <c r="Y31" s="60" t="str">
        <f t="shared" si="4"/>
        <v/>
      </c>
      <c r="Z31" s="60" t="str">
        <f t="shared" si="5"/>
        <v/>
      </c>
      <c r="AA31" s="64" t="str">
        <f t="shared" si="6"/>
        <v/>
      </c>
      <c r="AB31" s="64" t="str">
        <f>IF(AND(AA31&lt;&gt;"",AA31&lt;&gt;0), IF(E31="Muni", AA31, IF(E31 = "Corp", (1-'Investor Input'!$C$4-'Investor Input'!$C$5)*AA31, (1-'Investor Input'!$C$4)*AA31)), AA31)</f>
        <v/>
      </c>
      <c r="AC31" s="94" t="str">
        <f t="shared" si="7"/>
        <v/>
      </c>
      <c r="AD31" s="60" t="str">
        <f>IF(AND(M31&lt;&gt;"", M31&lt;&gt;0), N31/$N$505*MATCH(AC31,'Misc Lists'!$K$2:$K$25,0), "")</f>
        <v/>
      </c>
      <c r="AE31" s="90" t="str">
        <f t="shared" si="8"/>
        <v/>
      </c>
      <c r="AF31" s="99" t="str">
        <f>IF(AND(M31&lt;&gt;"", M31&lt;&gt;0), N31/$N$505*MATCH(AE31,'Misc Lists'!$L$2:$L$25,0), "")</f>
        <v/>
      </c>
    </row>
    <row r="32" spans="2:32" hidden="1" outlineLevel="1" x14ac:dyDescent="0.5">
      <c r="B32" s="65" t="str">
        <f ca="1"/>
        <v>91282CEE7</v>
      </c>
      <c r="C32" s="66" t="str">
        <f ca="1"/>
        <v>N/A</v>
      </c>
      <c r="D32" s="65" t="str">
        <f ca="1"/>
        <v>UNITED STATES TREAS SER J-2029          2.37500% 03/31/2029 NTS NOTE</v>
      </c>
      <c r="E32" s="66" t="str">
        <f ca="1"/>
        <v>Tres</v>
      </c>
      <c r="F32" s="67">
        <f ca="1"/>
        <v>2.375</v>
      </c>
      <c r="G32" s="68">
        <f ca="1"/>
        <v>47208</v>
      </c>
      <c r="H32" s="66" t="str">
        <f ca="1"/>
        <v>AAA</v>
      </c>
      <c r="I32" s="66" t="str">
        <f ca="1"/>
        <v>--</v>
      </c>
      <c r="J32" s="69">
        <f ca="1"/>
        <v>92.754999999999995</v>
      </c>
      <c r="K32" s="70">
        <f ca="1"/>
        <v>4.3159999999999998</v>
      </c>
      <c r="L32" s="71" t="str">
        <f ca="1"/>
        <v>65,000(400)</v>
      </c>
      <c r="M32" s="83"/>
      <c r="N32" s="84" t="str">
        <f t="shared" si="9"/>
        <v/>
      </c>
      <c r="O32" s="20" t="str">
        <f t="shared" si="10"/>
        <v/>
      </c>
      <c r="P32" s="64" t="str">
        <f t="shared" si="11"/>
        <v/>
      </c>
      <c r="Q32" s="85" t="str">
        <f t="shared" ca="1" si="12"/>
        <v/>
      </c>
      <c r="R32" s="86" t="str">
        <f t="shared" si="13"/>
        <v/>
      </c>
      <c r="S32" s="86" t="str">
        <f t="shared" si="14"/>
        <v/>
      </c>
      <c r="T32" s="104" t="str">
        <f t="shared" si="0"/>
        <v/>
      </c>
      <c r="U32" s="19" t="str">
        <f>IF(AND(M32&lt;&gt;"",M32&lt;&gt;0), IF(E32 = "Muni", T32, IF(E32="Corp", T32*(1 -'Investor Input'!$C$4-'Investor Input'!$C$5), T32*(1 -'Investor Input'!$C$4))), T32)</f>
        <v/>
      </c>
      <c r="V32" s="84" t="str">
        <f t="shared" si="1"/>
        <v/>
      </c>
      <c r="W32" s="84" t="str">
        <f t="shared" si="2"/>
        <v/>
      </c>
      <c r="X32" s="46" t="str">
        <f t="shared" si="3"/>
        <v/>
      </c>
      <c r="Y32" s="60" t="str">
        <f t="shared" si="4"/>
        <v/>
      </c>
      <c r="Z32" s="60" t="str">
        <f t="shared" si="5"/>
        <v/>
      </c>
      <c r="AA32" s="64" t="str">
        <f t="shared" si="6"/>
        <v/>
      </c>
      <c r="AB32" s="64" t="str">
        <f>IF(AND(AA32&lt;&gt;"",AA32&lt;&gt;0), IF(E32="Muni", AA32, IF(E32 = "Corp", (1-'Investor Input'!$C$4-'Investor Input'!$C$5)*AA32, (1-'Investor Input'!$C$4)*AA32)), AA32)</f>
        <v/>
      </c>
      <c r="AC32" s="94" t="str">
        <f t="shared" si="7"/>
        <v/>
      </c>
      <c r="AD32" s="60" t="str">
        <f>IF(AND(M32&lt;&gt;"", M32&lt;&gt;0), N32/$N$505*MATCH(AC32,'Misc Lists'!$K$2:$K$25,0), "")</f>
        <v/>
      </c>
      <c r="AE32" s="90" t="str">
        <f t="shared" si="8"/>
        <v/>
      </c>
      <c r="AF32" s="99" t="str">
        <f>IF(AND(M32&lt;&gt;"", M32&lt;&gt;0), N32/$N$505*MATCH(AE32,'Misc Lists'!$L$2:$L$25,0), "")</f>
        <v/>
      </c>
    </row>
    <row r="33" spans="2:32" hidden="1" outlineLevel="1" x14ac:dyDescent="0.5">
      <c r="B33" s="65" t="str">
        <f ca="1"/>
        <v>91282CKD2</v>
      </c>
      <c r="C33" s="66" t="str">
        <f ca="1"/>
        <v>N/A</v>
      </c>
      <c r="D33" s="65" t="str">
        <f ca="1"/>
        <v>UNITED STATES TREAS SER V-2029          4.25000% 02/28/2029 NTS NOTE</v>
      </c>
      <c r="E33" s="66" t="str">
        <f ca="1"/>
        <v>Tres</v>
      </c>
      <c r="F33" s="67">
        <f ca="1"/>
        <v>4.25</v>
      </c>
      <c r="G33" s="68">
        <f ca="1"/>
        <v>47177</v>
      </c>
      <c r="H33" s="66" t="str">
        <f ca="1"/>
        <v>AAA</v>
      </c>
      <c r="I33" s="66" t="str">
        <f ca="1"/>
        <v>--</v>
      </c>
      <c r="J33" s="69">
        <f ca="1"/>
        <v>99.757999999999996</v>
      </c>
      <c r="K33" s="70">
        <f ca="1"/>
        <v>4.3150000000000004</v>
      </c>
      <c r="L33" s="71" t="str">
        <f ca="1"/>
        <v>65,000(400)</v>
      </c>
      <c r="M33" s="83"/>
      <c r="N33" s="84" t="str">
        <f t="shared" si="9"/>
        <v/>
      </c>
      <c r="O33" s="20" t="str">
        <f t="shared" si="10"/>
        <v/>
      </c>
      <c r="P33" s="64" t="str">
        <f t="shared" si="11"/>
        <v/>
      </c>
      <c r="Q33" s="85" t="str">
        <f t="shared" ca="1" si="12"/>
        <v/>
      </c>
      <c r="R33" s="86" t="str">
        <f t="shared" si="13"/>
        <v/>
      </c>
      <c r="S33" s="86" t="str">
        <f t="shared" si="14"/>
        <v/>
      </c>
      <c r="T33" s="104" t="str">
        <f t="shared" si="0"/>
        <v/>
      </c>
      <c r="U33" s="19" t="str">
        <f>IF(AND(M33&lt;&gt;"",M33&lt;&gt;0), IF(E33 = "Muni", T33, IF(E33="Corp", T33*(1 -'Investor Input'!$C$4-'Investor Input'!$C$5), T33*(1 -'Investor Input'!$C$4))), T33)</f>
        <v/>
      </c>
      <c r="V33" s="84" t="str">
        <f t="shared" si="1"/>
        <v/>
      </c>
      <c r="W33" s="84" t="str">
        <f t="shared" si="2"/>
        <v/>
      </c>
      <c r="X33" s="46" t="str">
        <f t="shared" si="3"/>
        <v/>
      </c>
      <c r="Y33" s="60" t="str">
        <f t="shared" si="4"/>
        <v/>
      </c>
      <c r="Z33" s="60" t="str">
        <f t="shared" si="5"/>
        <v/>
      </c>
      <c r="AA33" s="64" t="str">
        <f t="shared" si="6"/>
        <v/>
      </c>
      <c r="AB33" s="64" t="str">
        <f>IF(AND(AA33&lt;&gt;"",AA33&lt;&gt;0), IF(E33="Muni", AA33, IF(E33 = "Corp", (1-'Investor Input'!$C$4-'Investor Input'!$C$5)*AA33, (1-'Investor Input'!$C$4)*AA33)), AA33)</f>
        <v/>
      </c>
      <c r="AC33" s="94" t="str">
        <f t="shared" si="7"/>
        <v/>
      </c>
      <c r="AD33" s="60" t="str">
        <f>IF(AND(M33&lt;&gt;"", M33&lt;&gt;0), N33/$N$505*MATCH(AC33,'Misc Lists'!$K$2:$K$25,0), "")</f>
        <v/>
      </c>
      <c r="AE33" s="90" t="str">
        <f t="shared" si="8"/>
        <v/>
      </c>
      <c r="AF33" s="99" t="str">
        <f>IF(AND(M33&lt;&gt;"", M33&lt;&gt;0), N33/$N$505*MATCH(AE33,'Misc Lists'!$L$2:$L$25,0), "")</f>
        <v/>
      </c>
    </row>
    <row r="34" spans="2:32" hidden="1" outlineLevel="1" x14ac:dyDescent="0.5">
      <c r="B34" s="65" t="str">
        <f ca="1"/>
        <v>91282CJB8</v>
      </c>
      <c r="C34" s="66" t="str">
        <f ca="1"/>
        <v>N/A</v>
      </c>
      <c r="D34" s="65" t="str">
        <f ca="1"/>
        <v>UNITED STATES TREAS SER BH-2025         5.00000% 09/30/2025 NTS NOTE</v>
      </c>
      <c r="E34" s="66" t="str">
        <f ca="1"/>
        <v>Tres</v>
      </c>
      <c r="F34" s="67">
        <f ca="1"/>
        <v>5</v>
      </c>
      <c r="G34" s="68">
        <f ca="1"/>
        <v>45930</v>
      </c>
      <c r="H34" s="66" t="str">
        <f ca="1"/>
        <v>AAA</v>
      </c>
      <c r="I34" s="66" t="str">
        <f ca="1"/>
        <v>--</v>
      </c>
      <c r="J34" s="69">
        <f ca="1"/>
        <v>100.407</v>
      </c>
      <c r="K34" s="70">
        <f ca="1"/>
        <v>4.3129999999999997</v>
      </c>
      <c r="L34" s="71" t="str">
        <f ca="1"/>
        <v>30,000(600)</v>
      </c>
      <c r="M34" s="83"/>
      <c r="N34" s="84" t="str">
        <f t="shared" si="9"/>
        <v/>
      </c>
      <c r="O34" s="20" t="str">
        <f t="shared" si="10"/>
        <v/>
      </c>
      <c r="P34" s="64" t="str">
        <f t="shared" si="11"/>
        <v/>
      </c>
      <c r="Q34" s="85" t="str">
        <f t="shared" ca="1" si="12"/>
        <v/>
      </c>
      <c r="R34" s="86" t="str">
        <f t="shared" si="13"/>
        <v/>
      </c>
      <c r="S34" s="86" t="str">
        <f t="shared" si="14"/>
        <v/>
      </c>
      <c r="T34" s="104" t="str">
        <f t="shared" si="0"/>
        <v/>
      </c>
      <c r="U34" s="19" t="str">
        <f>IF(AND(M34&lt;&gt;"",M34&lt;&gt;0), IF(E34 = "Muni", T34, IF(E34="Corp", T34*(1 -'Investor Input'!$C$4-'Investor Input'!$C$5), T34*(1 -'Investor Input'!$C$4))), T34)</f>
        <v/>
      </c>
      <c r="V34" s="84" t="str">
        <f t="shared" si="1"/>
        <v/>
      </c>
      <c r="W34" s="84" t="str">
        <f t="shared" si="2"/>
        <v/>
      </c>
      <c r="X34" s="46" t="str">
        <f t="shared" si="3"/>
        <v/>
      </c>
      <c r="Y34" s="60" t="str">
        <f t="shared" si="4"/>
        <v/>
      </c>
      <c r="Z34" s="60" t="str">
        <f t="shared" si="5"/>
        <v/>
      </c>
      <c r="AA34" s="64" t="str">
        <f t="shared" si="6"/>
        <v/>
      </c>
      <c r="AB34" s="64" t="str">
        <f>IF(AND(AA34&lt;&gt;"",AA34&lt;&gt;0), IF(E34="Muni", AA34, IF(E34 = "Corp", (1-'Investor Input'!$C$4-'Investor Input'!$C$5)*AA34, (1-'Investor Input'!$C$4)*AA34)), AA34)</f>
        <v/>
      </c>
      <c r="AC34" s="94" t="str">
        <f t="shared" si="7"/>
        <v/>
      </c>
      <c r="AD34" s="60" t="str">
        <f>IF(AND(M34&lt;&gt;"", M34&lt;&gt;0), N34/$N$505*MATCH(AC34,'Misc Lists'!$K$2:$K$25,0), "")</f>
        <v/>
      </c>
      <c r="AE34" s="90" t="str">
        <f t="shared" si="8"/>
        <v/>
      </c>
      <c r="AF34" s="99" t="str">
        <f>IF(AND(M34&lt;&gt;"", M34&lt;&gt;0), N34/$N$505*MATCH(AE34,'Misc Lists'!$L$2:$L$25,0), "")</f>
        <v/>
      </c>
    </row>
    <row r="35" spans="2:32" hidden="1" outlineLevel="1" x14ac:dyDescent="0.5">
      <c r="B35" s="65" t="str">
        <f ca="1"/>
        <v>9128286B1</v>
      </c>
      <c r="C35" s="66" t="str">
        <f ca="1"/>
        <v>N/A</v>
      </c>
      <c r="D35" s="65" t="str">
        <f ca="1"/>
        <v>UNITED STATES TREAS SER B-2029          2.62500% 02/15/2029 NTS NOTE</v>
      </c>
      <c r="E35" s="66" t="str">
        <f ca="1"/>
        <v>Tres</v>
      </c>
      <c r="F35" s="67">
        <f ca="1"/>
        <v>2.625</v>
      </c>
      <c r="G35" s="68">
        <f ca="1"/>
        <v>47164</v>
      </c>
      <c r="H35" s="66" t="str">
        <f ca="1"/>
        <v>AAA</v>
      </c>
      <c r="I35" s="66" t="str">
        <f ca="1"/>
        <v>--</v>
      </c>
      <c r="J35" s="69">
        <f ca="1"/>
        <v>93.872</v>
      </c>
      <c r="K35" s="70">
        <f ca="1"/>
        <v>4.3120000000000003</v>
      </c>
      <c r="L35" s="71" t="str">
        <f ca="1"/>
        <v>65,000(400)</v>
      </c>
      <c r="M35" s="83"/>
      <c r="N35" s="84" t="str">
        <f t="shared" si="9"/>
        <v/>
      </c>
      <c r="O35" s="20" t="str">
        <f t="shared" si="10"/>
        <v/>
      </c>
      <c r="P35" s="64" t="str">
        <f t="shared" si="11"/>
        <v/>
      </c>
      <c r="Q35" s="85" t="str">
        <f t="shared" ca="1" si="12"/>
        <v/>
      </c>
      <c r="R35" s="86" t="str">
        <f t="shared" si="13"/>
        <v/>
      </c>
      <c r="S35" s="86" t="str">
        <f t="shared" si="14"/>
        <v/>
      </c>
      <c r="T35" s="104" t="str">
        <f t="shared" si="0"/>
        <v/>
      </c>
      <c r="U35" s="19" t="str">
        <f>IF(AND(M35&lt;&gt;"",M35&lt;&gt;0), IF(E35 = "Muni", T35, IF(E35="Corp", T35*(1 -'Investor Input'!$C$4-'Investor Input'!$C$5), T35*(1 -'Investor Input'!$C$4))), T35)</f>
        <v/>
      </c>
      <c r="V35" s="84" t="str">
        <f t="shared" si="1"/>
        <v/>
      </c>
      <c r="W35" s="84" t="str">
        <f t="shared" si="2"/>
        <v/>
      </c>
      <c r="X35" s="46" t="str">
        <f t="shared" si="3"/>
        <v/>
      </c>
      <c r="Y35" s="60" t="str">
        <f t="shared" si="4"/>
        <v/>
      </c>
      <c r="Z35" s="60" t="str">
        <f t="shared" si="5"/>
        <v/>
      </c>
      <c r="AA35" s="64" t="str">
        <f t="shared" si="6"/>
        <v/>
      </c>
      <c r="AB35" s="64" t="str">
        <f>IF(AND(AA35&lt;&gt;"",AA35&lt;&gt;0), IF(E35="Muni", AA35, IF(E35 = "Corp", (1-'Investor Input'!$C$4-'Investor Input'!$C$5)*AA35, (1-'Investor Input'!$C$4)*AA35)), AA35)</f>
        <v/>
      </c>
      <c r="AC35" s="94" t="str">
        <f t="shared" si="7"/>
        <v/>
      </c>
      <c r="AD35" s="60" t="str">
        <f>IF(AND(M35&lt;&gt;"", M35&lt;&gt;0), N35/$N$505*MATCH(AC35,'Misc Lists'!$K$2:$K$25,0), "")</f>
        <v/>
      </c>
      <c r="AE35" s="90" t="str">
        <f t="shared" si="8"/>
        <v/>
      </c>
      <c r="AF35" s="99" t="str">
        <f>IF(AND(M35&lt;&gt;"", M35&lt;&gt;0), N35/$N$505*MATCH(AE35,'Misc Lists'!$L$2:$L$25,0), "")</f>
        <v/>
      </c>
    </row>
    <row r="36" spans="2:32" hidden="1" outlineLevel="1" x14ac:dyDescent="0.5">
      <c r="B36" s="65" t="str">
        <f ca="1"/>
        <v>91282CEB3</v>
      </c>
      <c r="C36" s="66" t="str">
        <f ca="1"/>
        <v>N/A</v>
      </c>
      <c r="D36" s="65" t="str">
        <f ca="1"/>
        <v>UNITED STATES TREAS SER H-2029          1.87500% 02/28/2029 NTS NOTE</v>
      </c>
      <c r="E36" s="66" t="str">
        <f ca="1"/>
        <v>Tres</v>
      </c>
      <c r="F36" s="67">
        <f ca="1"/>
        <v>1.875</v>
      </c>
      <c r="G36" s="68">
        <f ca="1"/>
        <v>47177</v>
      </c>
      <c r="H36" s="66" t="str">
        <f ca="1"/>
        <v>AAA</v>
      </c>
      <c r="I36" s="66" t="str">
        <f ca="1"/>
        <v>--</v>
      </c>
      <c r="J36" s="69">
        <f ca="1"/>
        <v>91.075000000000003</v>
      </c>
      <c r="K36" s="70">
        <f ca="1"/>
        <v>4.3120000000000003</v>
      </c>
      <c r="L36" s="71" t="str">
        <f ca="1"/>
        <v>65,000(400)</v>
      </c>
      <c r="M36" s="83"/>
      <c r="N36" s="84" t="str">
        <f t="shared" si="9"/>
        <v/>
      </c>
      <c r="O36" s="20" t="str">
        <f t="shared" si="10"/>
        <v/>
      </c>
      <c r="P36" s="64" t="str">
        <f t="shared" si="11"/>
        <v/>
      </c>
      <c r="Q36" s="85" t="str">
        <f t="shared" ca="1" si="12"/>
        <v/>
      </c>
      <c r="R36" s="86" t="str">
        <f t="shared" si="13"/>
        <v/>
      </c>
      <c r="S36" s="86" t="str">
        <f t="shared" si="14"/>
        <v/>
      </c>
      <c r="T36" s="104" t="str">
        <f t="shared" si="0"/>
        <v/>
      </c>
      <c r="U36" s="19" t="str">
        <f>IF(AND(M36&lt;&gt;"",M36&lt;&gt;0), IF(E36 = "Muni", T36, IF(E36="Corp", T36*(1 -'Investor Input'!$C$4-'Investor Input'!$C$5), T36*(1 -'Investor Input'!$C$4))), T36)</f>
        <v/>
      </c>
      <c r="V36" s="84" t="str">
        <f t="shared" si="1"/>
        <v/>
      </c>
      <c r="W36" s="84" t="str">
        <f t="shared" si="2"/>
        <v/>
      </c>
      <c r="X36" s="46" t="str">
        <f t="shared" si="3"/>
        <v/>
      </c>
      <c r="Y36" s="60" t="str">
        <f t="shared" si="4"/>
        <v/>
      </c>
      <c r="Z36" s="60" t="str">
        <f t="shared" si="5"/>
        <v/>
      </c>
      <c r="AA36" s="64" t="str">
        <f t="shared" si="6"/>
        <v/>
      </c>
      <c r="AB36" s="64" t="str">
        <f>IF(AND(AA36&lt;&gt;"",AA36&lt;&gt;0), IF(E36="Muni", AA36, IF(E36 = "Corp", (1-'Investor Input'!$C$4-'Investor Input'!$C$5)*AA36, (1-'Investor Input'!$C$4)*AA36)), AA36)</f>
        <v/>
      </c>
      <c r="AC36" s="94" t="str">
        <f t="shared" si="7"/>
        <v/>
      </c>
      <c r="AD36" s="60" t="str">
        <f>IF(AND(M36&lt;&gt;"", M36&lt;&gt;0), N36/$N$505*MATCH(AC36,'Misc Lists'!$K$2:$K$25,0), "")</f>
        <v/>
      </c>
      <c r="AE36" s="90" t="str">
        <f t="shared" si="8"/>
        <v/>
      </c>
      <c r="AF36" s="99" t="str">
        <f>IF(AND(M36&lt;&gt;"", M36&lt;&gt;0), N36/$N$505*MATCH(AE36,'Misc Lists'!$L$2:$L$25,0), "")</f>
        <v/>
      </c>
    </row>
    <row r="37" spans="2:32" hidden="1" outlineLevel="1" x14ac:dyDescent="0.5">
      <c r="B37" s="65" t="str">
        <f ca="1"/>
        <v>9128286T2</v>
      </c>
      <c r="C37" s="66" t="str">
        <f ca="1"/>
        <v>N/A</v>
      </c>
      <c r="D37" s="65" t="str">
        <f ca="1"/>
        <v>UNITED STATES TREAS SER C-2029          2.37500% 05/15/2029 NTS NOTE</v>
      </c>
      <c r="E37" s="66" t="str">
        <f ca="1"/>
        <v>Tres</v>
      </c>
      <c r="F37" s="67">
        <f ca="1"/>
        <v>2.375</v>
      </c>
      <c r="G37" s="68">
        <f ca="1"/>
        <v>47253</v>
      </c>
      <c r="H37" s="66" t="str">
        <f ca="1"/>
        <v>AAA</v>
      </c>
      <c r="I37" s="66" t="str">
        <f ca="1"/>
        <v>--</v>
      </c>
      <c r="J37" s="69">
        <f ca="1"/>
        <v>92.566999999999993</v>
      </c>
      <c r="K37" s="70">
        <f ca="1"/>
        <v>4.3120000000000003</v>
      </c>
      <c r="L37" s="71" t="str">
        <f ca="1"/>
        <v>65,000(400)</v>
      </c>
      <c r="M37" s="83"/>
      <c r="N37" s="84" t="str">
        <f t="shared" si="9"/>
        <v/>
      </c>
      <c r="O37" s="20" t="str">
        <f t="shared" si="10"/>
        <v/>
      </c>
      <c r="P37" s="64" t="str">
        <f t="shared" si="11"/>
        <v/>
      </c>
      <c r="Q37" s="85" t="str">
        <f t="shared" ca="1" si="12"/>
        <v/>
      </c>
      <c r="R37" s="86" t="str">
        <f t="shared" si="13"/>
        <v/>
      </c>
      <c r="S37" s="86" t="str">
        <f t="shared" si="14"/>
        <v/>
      </c>
      <c r="T37" s="104" t="str">
        <f t="shared" si="0"/>
        <v/>
      </c>
      <c r="U37" s="19" t="str">
        <f>IF(AND(M37&lt;&gt;"",M37&lt;&gt;0), IF(E37 = "Muni", T37, IF(E37="Corp", T37*(1 -'Investor Input'!$C$4-'Investor Input'!$C$5), T37*(1 -'Investor Input'!$C$4))), T37)</f>
        <v/>
      </c>
      <c r="V37" s="84" t="str">
        <f t="shared" si="1"/>
        <v/>
      </c>
      <c r="W37" s="84" t="str">
        <f t="shared" si="2"/>
        <v/>
      </c>
      <c r="X37" s="46" t="str">
        <f t="shared" si="3"/>
        <v/>
      </c>
      <c r="Y37" s="60" t="str">
        <f t="shared" si="4"/>
        <v/>
      </c>
      <c r="Z37" s="60" t="str">
        <f t="shared" si="5"/>
        <v/>
      </c>
      <c r="AA37" s="64" t="str">
        <f t="shared" si="6"/>
        <v/>
      </c>
      <c r="AB37" s="64" t="str">
        <f>IF(AND(AA37&lt;&gt;"",AA37&lt;&gt;0), IF(E37="Muni", AA37, IF(E37 = "Corp", (1-'Investor Input'!$C$4-'Investor Input'!$C$5)*AA37, (1-'Investor Input'!$C$4)*AA37)), AA37)</f>
        <v/>
      </c>
      <c r="AC37" s="94" t="str">
        <f t="shared" si="7"/>
        <v/>
      </c>
      <c r="AD37" s="60" t="str">
        <f>IF(AND(M37&lt;&gt;"", M37&lt;&gt;0), N37/$N$505*MATCH(AC37,'Misc Lists'!$K$2:$K$25,0), "")</f>
        <v/>
      </c>
      <c r="AE37" s="90" t="str">
        <f t="shared" si="8"/>
        <v/>
      </c>
      <c r="AF37" s="99" t="str">
        <f>IF(AND(M37&lt;&gt;"", M37&lt;&gt;0), N37/$N$505*MATCH(AE37,'Misc Lists'!$L$2:$L$25,0), "")</f>
        <v/>
      </c>
    </row>
    <row r="38" spans="2:32" hidden="1" outlineLevel="1" x14ac:dyDescent="0.5">
      <c r="B38" s="65" t="str">
        <f ca="1"/>
        <v>91282CJW2</v>
      </c>
      <c r="C38" s="66" t="str">
        <f ca="1"/>
        <v>N/A</v>
      </c>
      <c r="D38" s="65" t="str">
        <f ca="1"/>
        <v>UNITED STATES TREAS SER U-2029          4.00000% 01/31/2029 NTS NOTE</v>
      </c>
      <c r="E38" s="66" t="str">
        <f ca="1"/>
        <v>Tres</v>
      </c>
      <c r="F38" s="67">
        <f ca="1"/>
        <v>4</v>
      </c>
      <c r="G38" s="68">
        <f ca="1"/>
        <v>47149</v>
      </c>
      <c r="H38" s="66" t="str">
        <f ca="1"/>
        <v>AAA</v>
      </c>
      <c r="I38" s="66" t="str">
        <f ca="1"/>
        <v>--</v>
      </c>
      <c r="J38" s="69">
        <f ca="1"/>
        <v>98.88</v>
      </c>
      <c r="K38" s="70">
        <f ca="1"/>
        <v>4.3109999999999999</v>
      </c>
      <c r="L38" s="71" t="str">
        <f ca="1"/>
        <v>65,000(400)</v>
      </c>
      <c r="M38" s="83"/>
      <c r="N38" s="84" t="str">
        <f t="shared" si="9"/>
        <v/>
      </c>
      <c r="O38" s="20" t="str">
        <f t="shared" si="10"/>
        <v/>
      </c>
      <c r="P38" s="64" t="str">
        <f t="shared" si="11"/>
        <v/>
      </c>
      <c r="Q38" s="85" t="str">
        <f t="shared" ca="1" si="12"/>
        <v/>
      </c>
      <c r="R38" s="86" t="str">
        <f t="shared" si="13"/>
        <v/>
      </c>
      <c r="S38" s="86" t="str">
        <f t="shared" si="14"/>
        <v/>
      </c>
      <c r="T38" s="104" t="str">
        <f t="shared" si="0"/>
        <v/>
      </c>
      <c r="U38" s="19" t="str">
        <f>IF(AND(M38&lt;&gt;"",M38&lt;&gt;0), IF(E38 = "Muni", T38, IF(E38="Corp", T38*(1 -'Investor Input'!$C$4-'Investor Input'!$C$5), T38*(1 -'Investor Input'!$C$4))), T38)</f>
        <v/>
      </c>
      <c r="V38" s="84" t="str">
        <f t="shared" si="1"/>
        <v/>
      </c>
      <c r="W38" s="84" t="str">
        <f t="shared" si="2"/>
        <v/>
      </c>
      <c r="X38" s="46" t="str">
        <f t="shared" si="3"/>
        <v/>
      </c>
      <c r="Y38" s="60" t="str">
        <f t="shared" si="4"/>
        <v/>
      </c>
      <c r="Z38" s="60" t="str">
        <f t="shared" si="5"/>
        <v/>
      </c>
      <c r="AA38" s="64" t="str">
        <f t="shared" si="6"/>
        <v/>
      </c>
      <c r="AB38" s="64" t="str">
        <f>IF(AND(AA38&lt;&gt;"",AA38&lt;&gt;0), IF(E38="Muni", AA38, IF(E38 = "Corp", (1-'Investor Input'!$C$4-'Investor Input'!$C$5)*AA38, (1-'Investor Input'!$C$4)*AA38)), AA38)</f>
        <v/>
      </c>
      <c r="AC38" s="94" t="str">
        <f t="shared" si="7"/>
        <v/>
      </c>
      <c r="AD38" s="60" t="str">
        <f>IF(AND(M38&lt;&gt;"", M38&lt;&gt;0), N38/$N$505*MATCH(AC38,'Misc Lists'!$K$2:$K$25,0), "")</f>
        <v/>
      </c>
      <c r="AE38" s="90" t="str">
        <f t="shared" si="8"/>
        <v/>
      </c>
      <c r="AF38" s="99" t="str">
        <f>IF(AND(M38&lt;&gt;"", M38&lt;&gt;0), N38/$N$505*MATCH(AE38,'Misc Lists'!$L$2:$L$25,0), "")</f>
        <v/>
      </c>
    </row>
    <row r="39" spans="2:32" hidden="1" outlineLevel="1" x14ac:dyDescent="0.5">
      <c r="B39" s="65" t="str">
        <f ca="1"/>
        <v>91282CAM3</v>
      </c>
      <c r="C39" s="66" t="str">
        <f ca="1"/>
        <v>N/A</v>
      </c>
      <c r="D39" s="65" t="str">
        <f ca="1"/>
        <v>UNITED STATES TREAS SER AD-2025         0.25000% 09/30/2025 NTS NOTE</v>
      </c>
      <c r="E39" s="66" t="str">
        <f ca="1"/>
        <v>Tres</v>
      </c>
      <c r="F39" s="67">
        <f ca="1"/>
        <v>0.25</v>
      </c>
      <c r="G39" s="68">
        <f ca="1"/>
        <v>45930</v>
      </c>
      <c r="H39" s="66" t="str">
        <f ca="1"/>
        <v>AAA</v>
      </c>
      <c r="I39" s="66" t="str">
        <f ca="1"/>
        <v>--</v>
      </c>
      <c r="J39" s="69">
        <f ca="1"/>
        <v>97.570999999999998</v>
      </c>
      <c r="K39" s="70">
        <f ca="1"/>
        <v>4.3099999999999996</v>
      </c>
      <c r="L39" s="71" t="str">
        <f ca="1"/>
        <v>30,000(600)</v>
      </c>
      <c r="M39" s="83"/>
      <c r="N39" s="84" t="str">
        <f t="shared" si="9"/>
        <v/>
      </c>
      <c r="O39" s="20" t="str">
        <f t="shared" si="10"/>
        <v/>
      </c>
      <c r="P39" s="64" t="str">
        <f t="shared" si="11"/>
        <v/>
      </c>
      <c r="Q39" s="85" t="str">
        <f t="shared" ca="1" si="12"/>
        <v/>
      </c>
      <c r="R39" s="86" t="str">
        <f t="shared" si="13"/>
        <v/>
      </c>
      <c r="S39" s="86" t="str">
        <f t="shared" si="14"/>
        <v/>
      </c>
      <c r="T39" s="104" t="str">
        <f t="shared" si="0"/>
        <v/>
      </c>
      <c r="U39" s="19" t="str">
        <f>IF(AND(M39&lt;&gt;"",M39&lt;&gt;0), IF(E39 = "Muni", T39, IF(E39="Corp", T39*(1 -'Investor Input'!$C$4-'Investor Input'!$C$5), T39*(1 -'Investor Input'!$C$4))), T39)</f>
        <v/>
      </c>
      <c r="V39" s="84" t="str">
        <f t="shared" si="1"/>
        <v/>
      </c>
      <c r="W39" s="84" t="str">
        <f t="shared" si="2"/>
        <v/>
      </c>
      <c r="X39" s="46" t="str">
        <f t="shared" si="3"/>
        <v/>
      </c>
      <c r="Y39" s="60" t="str">
        <f t="shared" si="4"/>
        <v/>
      </c>
      <c r="Z39" s="60" t="str">
        <f t="shared" si="5"/>
        <v/>
      </c>
      <c r="AA39" s="64" t="str">
        <f t="shared" si="6"/>
        <v/>
      </c>
      <c r="AB39" s="64" t="str">
        <f>IF(AND(AA39&lt;&gt;"",AA39&lt;&gt;0), IF(E39="Muni", AA39, IF(E39 = "Corp", (1-'Investor Input'!$C$4-'Investor Input'!$C$5)*AA39, (1-'Investor Input'!$C$4)*AA39)), AA39)</f>
        <v/>
      </c>
      <c r="AC39" s="94" t="str">
        <f t="shared" si="7"/>
        <v/>
      </c>
      <c r="AD39" s="60" t="str">
        <f>IF(AND(M39&lt;&gt;"", M39&lt;&gt;0), N39/$N$505*MATCH(AC39,'Misc Lists'!$K$2:$K$25,0), "")</f>
        <v/>
      </c>
      <c r="AE39" s="90" t="str">
        <f t="shared" si="8"/>
        <v/>
      </c>
      <c r="AF39" s="99" t="str">
        <f>IF(AND(M39&lt;&gt;"", M39&lt;&gt;0), N39/$N$505*MATCH(AE39,'Misc Lists'!$L$2:$L$25,0), "")</f>
        <v/>
      </c>
    </row>
    <row r="40" spans="2:32" hidden="1" outlineLevel="1" x14ac:dyDescent="0.5">
      <c r="B40" s="65" t="str">
        <f ca="1"/>
        <v>91282CAZ4</v>
      </c>
      <c r="C40" s="66" t="str">
        <f ca="1"/>
        <v>N/A</v>
      </c>
      <c r="D40" s="65" t="str">
        <f ca="1"/>
        <v>UNITED STATES TREAS SER AG-2025 0.37500% 11/30/2025 NTS NOTE</v>
      </c>
      <c r="E40" s="66" t="str">
        <f ca="1"/>
        <v>Tres</v>
      </c>
      <c r="F40" s="67">
        <f ca="1"/>
        <v>0.375</v>
      </c>
      <c r="G40" s="68">
        <f ca="1"/>
        <v>45991</v>
      </c>
      <c r="H40" s="66" t="str">
        <f ca="1"/>
        <v>AAA</v>
      </c>
      <c r="I40" s="66" t="str">
        <f ca="1"/>
        <v>--</v>
      </c>
      <c r="J40" s="69">
        <f ca="1"/>
        <v>97.012</v>
      </c>
      <c r="K40" s="70">
        <f ca="1"/>
        <v>4.3099999999999996</v>
      </c>
      <c r="L40" s="71" t="str">
        <f ca="1"/>
        <v>30,000(600)</v>
      </c>
      <c r="M40" s="83"/>
      <c r="N40" s="84" t="str">
        <f t="shared" si="9"/>
        <v/>
      </c>
      <c r="O40" s="20" t="str">
        <f t="shared" si="10"/>
        <v/>
      </c>
      <c r="P40" s="64" t="str">
        <f t="shared" si="11"/>
        <v/>
      </c>
      <c r="Q40" s="85" t="str">
        <f t="shared" ca="1" si="12"/>
        <v/>
      </c>
      <c r="R40" s="86" t="str">
        <f t="shared" si="13"/>
        <v/>
      </c>
      <c r="S40" s="86" t="str">
        <f t="shared" si="14"/>
        <v/>
      </c>
      <c r="T40" s="104" t="str">
        <f t="shared" si="0"/>
        <v/>
      </c>
      <c r="U40" s="19" t="str">
        <f>IF(AND(M40&lt;&gt;"",M40&lt;&gt;0), IF(E40 = "Muni", T40, IF(E40="Corp", T40*(1 -'Investor Input'!$C$4-'Investor Input'!$C$5), T40*(1 -'Investor Input'!$C$4))), T40)</f>
        <v/>
      </c>
      <c r="V40" s="84" t="str">
        <f t="shared" si="1"/>
        <v/>
      </c>
      <c r="W40" s="84" t="str">
        <f t="shared" si="2"/>
        <v/>
      </c>
      <c r="X40" s="46" t="str">
        <f t="shared" si="3"/>
        <v/>
      </c>
      <c r="Y40" s="60" t="str">
        <f t="shared" si="4"/>
        <v/>
      </c>
      <c r="Z40" s="60" t="str">
        <f t="shared" si="5"/>
        <v/>
      </c>
      <c r="AA40" s="64" t="str">
        <f t="shared" si="6"/>
        <v/>
      </c>
      <c r="AB40" s="64" t="str">
        <f>IF(AND(AA40&lt;&gt;"",AA40&lt;&gt;0), IF(E40="Muni", AA40, IF(E40 = "Corp", (1-'Investor Input'!$C$4-'Investor Input'!$C$5)*AA40, (1-'Investor Input'!$C$4)*AA40)), AA40)</f>
        <v/>
      </c>
      <c r="AC40" s="94" t="str">
        <f t="shared" si="7"/>
        <v/>
      </c>
      <c r="AD40" s="60" t="str">
        <f>IF(AND(M40&lt;&gt;"", M40&lt;&gt;0), N40/$N$505*MATCH(AC40,'Misc Lists'!$K$2:$K$25,0), "")</f>
        <v/>
      </c>
      <c r="AE40" s="90" t="str">
        <f t="shared" si="8"/>
        <v/>
      </c>
      <c r="AF40" s="99" t="str">
        <f>IF(AND(M40&lt;&gt;"", M40&lt;&gt;0), N40/$N$505*MATCH(AE40,'Misc Lists'!$L$2:$L$25,0), "")</f>
        <v/>
      </c>
    </row>
    <row r="41" spans="2:32" hidden="1" outlineLevel="1" x14ac:dyDescent="0.5">
      <c r="B41" s="65" t="str">
        <f ca="1"/>
        <v>91282CJR3</v>
      </c>
      <c r="C41" s="66" t="str">
        <f ca="1"/>
        <v>N/A</v>
      </c>
      <c r="D41" s="65" t="str">
        <f ca="1"/>
        <v>UNITED STATES TREAS SER AH-2028         3.75000% 12/31/2028 NTS NOTE</v>
      </c>
      <c r="E41" s="66" t="str">
        <f ca="1"/>
        <v>Tres</v>
      </c>
      <c r="F41" s="67">
        <f ca="1"/>
        <v>3.75</v>
      </c>
      <c r="G41" s="68">
        <f ca="1"/>
        <v>47118</v>
      </c>
      <c r="H41" s="66" t="str">
        <f ca="1"/>
        <v>AAA</v>
      </c>
      <c r="I41" s="66" t="str">
        <f ca="1"/>
        <v>--</v>
      </c>
      <c r="J41" s="69">
        <f ca="1"/>
        <v>98.02</v>
      </c>
      <c r="K41" s="70">
        <f ca="1"/>
        <v>4.3099999999999996</v>
      </c>
      <c r="L41" s="71" t="str">
        <f ca="1"/>
        <v>65,000(400)</v>
      </c>
      <c r="M41" s="83"/>
      <c r="N41" s="84" t="str">
        <f t="shared" si="9"/>
        <v/>
      </c>
      <c r="O41" s="20" t="str">
        <f t="shared" si="10"/>
        <v/>
      </c>
      <c r="P41" s="64" t="str">
        <f t="shared" si="11"/>
        <v/>
      </c>
      <c r="Q41" s="85" t="str">
        <f t="shared" ca="1" si="12"/>
        <v/>
      </c>
      <c r="R41" s="86" t="str">
        <f t="shared" si="13"/>
        <v/>
      </c>
      <c r="S41" s="86" t="str">
        <f t="shared" si="14"/>
        <v/>
      </c>
      <c r="T41" s="104" t="str">
        <f t="shared" si="0"/>
        <v/>
      </c>
      <c r="U41" s="19" t="str">
        <f>IF(AND(M41&lt;&gt;"",M41&lt;&gt;0), IF(E41 = "Muni", T41, IF(E41="Corp", T41*(1 -'Investor Input'!$C$4-'Investor Input'!$C$5), T41*(1 -'Investor Input'!$C$4))), T41)</f>
        <v/>
      </c>
      <c r="V41" s="84" t="str">
        <f t="shared" si="1"/>
        <v/>
      </c>
      <c r="W41" s="84" t="str">
        <f t="shared" si="2"/>
        <v/>
      </c>
      <c r="X41" s="46" t="str">
        <f t="shared" si="3"/>
        <v/>
      </c>
      <c r="Y41" s="60" t="str">
        <f t="shared" si="4"/>
        <v/>
      </c>
      <c r="Z41" s="60" t="str">
        <f t="shared" si="5"/>
        <v/>
      </c>
      <c r="AA41" s="64" t="str">
        <f t="shared" si="6"/>
        <v/>
      </c>
      <c r="AB41" s="64" t="str">
        <f>IF(AND(AA41&lt;&gt;"",AA41&lt;&gt;0), IF(E41="Muni", AA41, IF(E41 = "Corp", (1-'Investor Input'!$C$4-'Investor Input'!$C$5)*AA41, (1-'Investor Input'!$C$4)*AA41)), AA41)</f>
        <v/>
      </c>
      <c r="AC41" s="94" t="str">
        <f t="shared" si="7"/>
        <v/>
      </c>
      <c r="AD41" s="60" t="str">
        <f>IF(AND(M41&lt;&gt;"", M41&lt;&gt;0), N41/$N$505*MATCH(AC41,'Misc Lists'!$K$2:$K$25,0), "")</f>
        <v/>
      </c>
      <c r="AE41" s="90" t="str">
        <f t="shared" si="8"/>
        <v/>
      </c>
      <c r="AF41" s="99" t="str">
        <f>IF(AND(M41&lt;&gt;"", M41&lt;&gt;0), N41/$N$505*MATCH(AE41,'Misc Lists'!$L$2:$L$25,0), "")</f>
        <v/>
      </c>
    </row>
    <row r="42" spans="2:32" hidden="1" outlineLevel="1" x14ac:dyDescent="0.5">
      <c r="B42" s="65" t="str">
        <f ca="1"/>
        <v>91282CDW8</v>
      </c>
      <c r="C42" s="66" t="str">
        <f ca="1"/>
        <v>N/A</v>
      </c>
      <c r="D42" s="65" t="str">
        <f ca="1"/>
        <v>UNITED STATES TREAS SER G-2029          1.75000% 01/31/2029 NTS NOTE</v>
      </c>
      <c r="E42" s="66" t="str">
        <f ca="1"/>
        <v>Tres</v>
      </c>
      <c r="F42" s="67">
        <f ca="1"/>
        <v>1.75</v>
      </c>
      <c r="G42" s="68">
        <f ca="1"/>
        <v>47149</v>
      </c>
      <c r="H42" s="66" t="str">
        <f ca="1"/>
        <v>AAA</v>
      </c>
      <c r="I42" s="66" t="str">
        <f ca="1"/>
        <v>--</v>
      </c>
      <c r="J42" s="69">
        <f ca="1"/>
        <v>90.79</v>
      </c>
      <c r="K42" s="70">
        <f ca="1"/>
        <v>4.3099999999999996</v>
      </c>
      <c r="L42" s="71" t="str">
        <f ca="1"/>
        <v>65,000(400)</v>
      </c>
      <c r="M42" s="83"/>
      <c r="N42" s="84" t="str">
        <f t="shared" si="9"/>
        <v/>
      </c>
      <c r="O42" s="20" t="str">
        <f t="shared" si="10"/>
        <v/>
      </c>
      <c r="P42" s="64" t="str">
        <f t="shared" si="11"/>
        <v/>
      </c>
      <c r="Q42" s="85" t="str">
        <f t="shared" ca="1" si="12"/>
        <v/>
      </c>
      <c r="R42" s="86" t="str">
        <f t="shared" si="13"/>
        <v/>
      </c>
      <c r="S42" s="86" t="str">
        <f t="shared" si="14"/>
        <v/>
      </c>
      <c r="T42" s="104" t="str">
        <f t="shared" si="0"/>
        <v/>
      </c>
      <c r="U42" s="19" t="str">
        <f>IF(AND(M42&lt;&gt;"",M42&lt;&gt;0), IF(E42 = "Muni", T42, IF(E42="Corp", T42*(1 -'Investor Input'!$C$4-'Investor Input'!$C$5), T42*(1 -'Investor Input'!$C$4))), T42)</f>
        <v/>
      </c>
      <c r="V42" s="84" t="str">
        <f t="shared" si="1"/>
        <v/>
      </c>
      <c r="W42" s="84" t="str">
        <f t="shared" si="2"/>
        <v/>
      </c>
      <c r="X42" s="46" t="str">
        <f t="shared" si="3"/>
        <v/>
      </c>
      <c r="Y42" s="60" t="str">
        <f t="shared" si="4"/>
        <v/>
      </c>
      <c r="Z42" s="60" t="str">
        <f t="shared" si="5"/>
        <v/>
      </c>
      <c r="AA42" s="64" t="str">
        <f t="shared" si="6"/>
        <v/>
      </c>
      <c r="AB42" s="64" t="str">
        <f>IF(AND(AA42&lt;&gt;"",AA42&lt;&gt;0), IF(E42="Muni", AA42, IF(E42 = "Corp", (1-'Investor Input'!$C$4-'Investor Input'!$C$5)*AA42, (1-'Investor Input'!$C$4)*AA42)), AA42)</f>
        <v/>
      </c>
      <c r="AC42" s="94" t="str">
        <f t="shared" si="7"/>
        <v/>
      </c>
      <c r="AD42" s="60" t="str">
        <f>IF(AND(M42&lt;&gt;"", M42&lt;&gt;0), N42/$N$505*MATCH(AC42,'Misc Lists'!$K$2:$K$25,0), "")</f>
        <v/>
      </c>
      <c r="AE42" s="90" t="str">
        <f t="shared" si="8"/>
        <v/>
      </c>
      <c r="AF42" s="99" t="str">
        <f>IF(AND(M42&lt;&gt;"", M42&lt;&gt;0), N42/$N$505*MATCH(AE42,'Misc Lists'!$L$2:$L$25,0), "")</f>
        <v/>
      </c>
    </row>
    <row r="43" spans="2:32" hidden="1" outlineLevel="1" x14ac:dyDescent="0.5">
      <c r="B43" s="65" t="str">
        <f ca="1"/>
        <v>91282CDP3</v>
      </c>
      <c r="C43" s="66" t="str">
        <f ca="1"/>
        <v>N/A</v>
      </c>
      <c r="D43" s="65" t="str">
        <f ca="1"/>
        <v>UNITED STATES TREAS SER T-2028          1.37500% 12/31/2028 NTS NOTE</v>
      </c>
      <c r="E43" s="66" t="str">
        <f ca="1"/>
        <v>Tres</v>
      </c>
      <c r="F43" s="67">
        <f ca="1"/>
        <v>1.375</v>
      </c>
      <c r="G43" s="68">
        <f ca="1"/>
        <v>47118</v>
      </c>
      <c r="H43" s="66" t="str">
        <f ca="1"/>
        <v>AAA</v>
      </c>
      <c r="I43" s="66" t="str">
        <f ca="1"/>
        <v>--</v>
      </c>
      <c r="J43" s="69">
        <f ca="1"/>
        <v>89.653000000000006</v>
      </c>
      <c r="K43" s="70">
        <f ca="1"/>
        <v>4.3090000000000002</v>
      </c>
      <c r="L43" s="71" t="str">
        <f ca="1"/>
        <v>65,000(400)</v>
      </c>
      <c r="M43" s="83"/>
      <c r="N43" s="84" t="str">
        <f t="shared" si="9"/>
        <v/>
      </c>
      <c r="O43" s="20" t="str">
        <f t="shared" si="10"/>
        <v/>
      </c>
      <c r="P43" s="64" t="str">
        <f t="shared" si="11"/>
        <v/>
      </c>
      <c r="Q43" s="85" t="str">
        <f t="shared" ca="1" si="12"/>
        <v/>
      </c>
      <c r="R43" s="86" t="str">
        <f t="shared" si="13"/>
        <v/>
      </c>
      <c r="S43" s="86" t="str">
        <f t="shared" si="14"/>
        <v/>
      </c>
      <c r="T43" s="104" t="str">
        <f t="shared" si="0"/>
        <v/>
      </c>
      <c r="U43" s="19" t="str">
        <f>IF(AND(M43&lt;&gt;"",M43&lt;&gt;0), IF(E43 = "Muni", T43, IF(E43="Corp", T43*(1 -'Investor Input'!$C$4-'Investor Input'!$C$5), T43*(1 -'Investor Input'!$C$4))), T43)</f>
        <v/>
      </c>
      <c r="V43" s="84" t="str">
        <f t="shared" si="1"/>
        <v/>
      </c>
      <c r="W43" s="84" t="str">
        <f t="shared" si="2"/>
        <v/>
      </c>
      <c r="X43" s="46" t="str">
        <f t="shared" si="3"/>
        <v/>
      </c>
      <c r="Y43" s="60" t="str">
        <f t="shared" si="4"/>
        <v/>
      </c>
      <c r="Z43" s="60" t="str">
        <f t="shared" si="5"/>
        <v/>
      </c>
      <c r="AA43" s="64" t="str">
        <f t="shared" si="6"/>
        <v/>
      </c>
      <c r="AB43" s="64" t="str">
        <f>IF(AND(AA43&lt;&gt;"",AA43&lt;&gt;0), IF(E43="Muni", AA43, IF(E43 = "Corp", (1-'Investor Input'!$C$4-'Investor Input'!$C$5)*AA43, (1-'Investor Input'!$C$4)*AA43)), AA43)</f>
        <v/>
      </c>
      <c r="AC43" s="94" t="str">
        <f t="shared" si="7"/>
        <v/>
      </c>
      <c r="AD43" s="60" t="str">
        <f>IF(AND(M43&lt;&gt;"", M43&lt;&gt;0), N43/$N$505*MATCH(AC43,'Misc Lists'!$K$2:$K$25,0), "")</f>
        <v/>
      </c>
      <c r="AE43" s="90" t="str">
        <f t="shared" si="8"/>
        <v/>
      </c>
      <c r="AF43" s="99" t="str">
        <f>IF(AND(M43&lt;&gt;"", M43&lt;&gt;0), N43/$N$505*MATCH(AE43,'Misc Lists'!$L$2:$L$25,0), "")</f>
        <v/>
      </c>
    </row>
    <row r="44" spans="2:32" hidden="1" outlineLevel="1" x14ac:dyDescent="0.5">
      <c r="B44" s="65" t="str">
        <f ca="1"/>
        <v>91282CJN2</v>
      </c>
      <c r="C44" s="66" t="str">
        <f ca="1"/>
        <v>N/A</v>
      </c>
      <c r="D44" s="65" t="str">
        <f ca="1"/>
        <v>UNITED STATES TREAS SER AG-2028         4.37500% 11/30/2028 NTS NOTE</v>
      </c>
      <c r="E44" s="66" t="str">
        <f ca="1"/>
        <v>Tres</v>
      </c>
      <c r="F44" s="67">
        <f ca="1"/>
        <v>4.375</v>
      </c>
      <c r="G44" s="68">
        <f ca="1"/>
        <v>47087</v>
      </c>
      <c r="H44" s="66" t="str">
        <f ca="1"/>
        <v>AAA</v>
      </c>
      <c r="I44" s="66" t="str">
        <f ca="1"/>
        <v>--</v>
      </c>
      <c r="J44" s="69">
        <f ca="1"/>
        <v>100.223</v>
      </c>
      <c r="K44" s="70">
        <f ca="1"/>
        <v>4.3079999999999998</v>
      </c>
      <c r="L44" s="71" t="str">
        <f ca="1"/>
        <v>65,000(400)</v>
      </c>
      <c r="M44" s="83"/>
      <c r="N44" s="84" t="str">
        <f t="shared" si="9"/>
        <v/>
      </c>
      <c r="O44" s="20" t="str">
        <f t="shared" si="10"/>
        <v/>
      </c>
      <c r="P44" s="64" t="str">
        <f t="shared" si="11"/>
        <v/>
      </c>
      <c r="Q44" s="85" t="str">
        <f t="shared" ca="1" si="12"/>
        <v/>
      </c>
      <c r="R44" s="86" t="str">
        <f t="shared" si="13"/>
        <v/>
      </c>
      <c r="S44" s="86" t="str">
        <f t="shared" si="14"/>
        <v/>
      </c>
      <c r="T44" s="104" t="str">
        <f t="shared" si="0"/>
        <v/>
      </c>
      <c r="U44" s="19" t="str">
        <f>IF(AND(M44&lt;&gt;"",M44&lt;&gt;0), IF(E44 = "Muni", T44, IF(E44="Corp", T44*(1 -'Investor Input'!$C$4-'Investor Input'!$C$5), T44*(1 -'Investor Input'!$C$4))), T44)</f>
        <v/>
      </c>
      <c r="V44" s="84" t="str">
        <f t="shared" si="1"/>
        <v/>
      </c>
      <c r="W44" s="84" t="str">
        <f t="shared" si="2"/>
        <v/>
      </c>
      <c r="X44" s="46" t="str">
        <f t="shared" si="3"/>
        <v/>
      </c>
      <c r="Y44" s="60" t="str">
        <f t="shared" si="4"/>
        <v/>
      </c>
      <c r="Z44" s="60" t="str">
        <f t="shared" si="5"/>
        <v/>
      </c>
      <c r="AA44" s="64" t="str">
        <f t="shared" si="6"/>
        <v/>
      </c>
      <c r="AB44" s="64" t="str">
        <f>IF(AND(AA44&lt;&gt;"",AA44&lt;&gt;0), IF(E44="Muni", AA44, IF(E44 = "Corp", (1-'Investor Input'!$C$4-'Investor Input'!$C$5)*AA44, (1-'Investor Input'!$C$4)*AA44)), AA44)</f>
        <v/>
      </c>
      <c r="AC44" s="94" t="str">
        <f t="shared" si="7"/>
        <v/>
      </c>
      <c r="AD44" s="60" t="str">
        <f>IF(AND(M44&lt;&gt;"", M44&lt;&gt;0), N44/$N$505*MATCH(AC44,'Misc Lists'!$K$2:$K$25,0), "")</f>
        <v/>
      </c>
      <c r="AE44" s="90" t="str">
        <f t="shared" si="8"/>
        <v/>
      </c>
      <c r="AF44" s="99" t="str">
        <f>IF(AND(M44&lt;&gt;"", M44&lt;&gt;0), N44/$N$505*MATCH(AE44,'Misc Lists'!$L$2:$L$25,0), "")</f>
        <v/>
      </c>
    </row>
    <row r="45" spans="2:32" hidden="1" outlineLevel="1" x14ac:dyDescent="0.5">
      <c r="B45" s="65" t="str">
        <f ca="1"/>
        <v>91282CFK2</v>
      </c>
      <c r="C45" s="66" t="str">
        <f ca="1"/>
        <v>N/A</v>
      </c>
      <c r="D45" s="65" t="str">
        <f ca="1"/>
        <v>UNITED STATES TREAS SER AS-2025         3.50000% 09/15/2025 NTS NOTE</v>
      </c>
      <c r="E45" s="66" t="str">
        <f ca="1"/>
        <v>Tres</v>
      </c>
      <c r="F45" s="67">
        <f ca="1"/>
        <v>3.5</v>
      </c>
      <c r="G45" s="68">
        <f ca="1"/>
        <v>45915</v>
      </c>
      <c r="H45" s="66" t="str">
        <f ca="1"/>
        <v>AAA</v>
      </c>
      <c r="I45" s="66" t="str">
        <f ca="1"/>
        <v>--</v>
      </c>
      <c r="J45" s="69">
        <f ca="1"/>
        <v>99.55</v>
      </c>
      <c r="K45" s="70">
        <f ca="1"/>
        <v>4.306</v>
      </c>
      <c r="L45" s="71" t="str">
        <f ca="1"/>
        <v>8,000(200)</v>
      </c>
      <c r="M45" s="83"/>
      <c r="N45" s="84" t="str">
        <f t="shared" si="9"/>
        <v/>
      </c>
      <c r="O45" s="20" t="str">
        <f t="shared" si="10"/>
        <v/>
      </c>
      <c r="P45" s="64" t="str">
        <f t="shared" si="11"/>
        <v/>
      </c>
      <c r="Q45" s="85" t="str">
        <f t="shared" ca="1" si="12"/>
        <v/>
      </c>
      <c r="R45" s="86" t="str">
        <f t="shared" si="13"/>
        <v/>
      </c>
      <c r="S45" s="86" t="str">
        <f t="shared" si="14"/>
        <v/>
      </c>
      <c r="T45" s="104" t="str">
        <f t="shared" si="0"/>
        <v/>
      </c>
      <c r="U45" s="19" t="str">
        <f>IF(AND(M45&lt;&gt;"",M45&lt;&gt;0), IF(E45 = "Muni", T45, IF(E45="Corp", T45*(1 -'Investor Input'!$C$4-'Investor Input'!$C$5), T45*(1 -'Investor Input'!$C$4))), T45)</f>
        <v/>
      </c>
      <c r="V45" s="84" t="str">
        <f t="shared" si="1"/>
        <v/>
      </c>
      <c r="W45" s="84" t="str">
        <f t="shared" si="2"/>
        <v/>
      </c>
      <c r="X45" s="46" t="str">
        <f t="shared" si="3"/>
        <v/>
      </c>
      <c r="Y45" s="60" t="str">
        <f t="shared" si="4"/>
        <v/>
      </c>
      <c r="Z45" s="60" t="str">
        <f t="shared" si="5"/>
        <v/>
      </c>
      <c r="AA45" s="64" t="str">
        <f t="shared" si="6"/>
        <v/>
      </c>
      <c r="AB45" s="64" t="str">
        <f>IF(AND(AA45&lt;&gt;"",AA45&lt;&gt;0), IF(E45="Muni", AA45, IF(E45 = "Corp", (1-'Investor Input'!$C$4-'Investor Input'!$C$5)*AA45, (1-'Investor Input'!$C$4)*AA45)), AA45)</f>
        <v/>
      </c>
      <c r="AC45" s="94" t="str">
        <f t="shared" si="7"/>
        <v/>
      </c>
      <c r="AD45" s="60" t="str">
        <f>IF(AND(M45&lt;&gt;"", M45&lt;&gt;0), N45/$N$505*MATCH(AC45,'Misc Lists'!$K$2:$K$25,0), "")</f>
        <v/>
      </c>
      <c r="AE45" s="90" t="str">
        <f t="shared" si="8"/>
        <v/>
      </c>
      <c r="AF45" s="99" t="str">
        <f>IF(AND(M45&lt;&gt;"", M45&lt;&gt;0), N45/$N$505*MATCH(AE45,'Misc Lists'!$L$2:$L$25,0), "")</f>
        <v/>
      </c>
    </row>
    <row r="46" spans="2:32" hidden="1" outlineLevel="1" x14ac:dyDescent="0.5">
      <c r="B46" s="65" t="str">
        <f ca="1"/>
        <v>9128285M8</v>
      </c>
      <c r="C46" s="66" t="str">
        <f ca="1"/>
        <v>N/A</v>
      </c>
      <c r="D46" s="65" t="str">
        <f ca="1"/>
        <v>UNITED STATES TREAS SER F-2028          3.12500% 11/15/2028 NTS NOTE</v>
      </c>
      <c r="E46" s="66" t="str">
        <f ca="1"/>
        <v>Tres</v>
      </c>
      <c r="F46" s="67">
        <f ca="1"/>
        <v>3.125</v>
      </c>
      <c r="G46" s="68">
        <f ca="1"/>
        <v>47072</v>
      </c>
      <c r="H46" s="66" t="str">
        <f ca="1"/>
        <v>AAA</v>
      </c>
      <c r="I46" s="66" t="str">
        <f ca="1"/>
        <v>--</v>
      </c>
      <c r="J46" s="69">
        <f ca="1"/>
        <v>95.957999999999998</v>
      </c>
      <c r="K46" s="70">
        <f ca="1"/>
        <v>4.306</v>
      </c>
      <c r="L46" s="71" t="str">
        <f ca="1"/>
        <v>65,000(400)</v>
      </c>
      <c r="M46" s="83"/>
      <c r="N46" s="84" t="str">
        <f t="shared" si="9"/>
        <v/>
      </c>
      <c r="O46" s="20" t="str">
        <f t="shared" si="10"/>
        <v/>
      </c>
      <c r="P46" s="64" t="str">
        <f t="shared" si="11"/>
        <v/>
      </c>
      <c r="Q46" s="85" t="str">
        <f t="shared" ca="1" si="12"/>
        <v/>
      </c>
      <c r="R46" s="86" t="str">
        <f t="shared" si="13"/>
        <v/>
      </c>
      <c r="S46" s="86" t="str">
        <f t="shared" si="14"/>
        <v/>
      </c>
      <c r="T46" s="104" t="str">
        <f t="shared" si="0"/>
        <v/>
      </c>
      <c r="U46" s="19" t="str">
        <f>IF(AND(M46&lt;&gt;"",M46&lt;&gt;0), IF(E46 = "Muni", T46, IF(E46="Corp", T46*(1 -'Investor Input'!$C$4-'Investor Input'!$C$5), T46*(1 -'Investor Input'!$C$4))), T46)</f>
        <v/>
      </c>
      <c r="V46" s="84" t="str">
        <f t="shared" si="1"/>
        <v/>
      </c>
      <c r="W46" s="84" t="str">
        <f t="shared" si="2"/>
        <v/>
      </c>
      <c r="X46" s="46" t="str">
        <f t="shared" si="3"/>
        <v/>
      </c>
      <c r="Y46" s="60" t="str">
        <f t="shared" si="4"/>
        <v/>
      </c>
      <c r="Z46" s="60" t="str">
        <f t="shared" si="5"/>
        <v/>
      </c>
      <c r="AA46" s="64" t="str">
        <f t="shared" si="6"/>
        <v/>
      </c>
      <c r="AB46" s="64" t="str">
        <f>IF(AND(AA46&lt;&gt;"",AA46&lt;&gt;0), IF(E46="Muni", AA46, IF(E46 = "Corp", (1-'Investor Input'!$C$4-'Investor Input'!$C$5)*AA46, (1-'Investor Input'!$C$4)*AA46)), AA46)</f>
        <v/>
      </c>
      <c r="AC46" s="94" t="str">
        <f t="shared" si="7"/>
        <v/>
      </c>
      <c r="AD46" s="60" t="str">
        <f>IF(AND(M46&lt;&gt;"", M46&lt;&gt;0), N46/$N$505*MATCH(AC46,'Misc Lists'!$K$2:$K$25,0), "")</f>
        <v/>
      </c>
      <c r="AE46" s="90" t="str">
        <f t="shared" si="8"/>
        <v/>
      </c>
      <c r="AF46" s="99" t="str">
        <f>IF(AND(M46&lt;&gt;"", M46&lt;&gt;0), N46/$N$505*MATCH(AE46,'Misc Lists'!$L$2:$L$25,0), "")</f>
        <v/>
      </c>
    </row>
    <row r="47" spans="2:32" hidden="1" outlineLevel="1" x14ac:dyDescent="0.5">
      <c r="B47" s="65" t="str">
        <f ca="1"/>
        <v>91282CDL2</v>
      </c>
      <c r="C47" s="66" t="str">
        <f ca="1"/>
        <v>N/A</v>
      </c>
      <c r="D47" s="65" t="str">
        <f ca="1"/>
        <v>UNITED STATES TREAS SER S-2028          1.50000% 11/30/2028 NTS NOTE</v>
      </c>
      <c r="E47" s="66" t="str">
        <f ca="1"/>
        <v>Tres</v>
      </c>
      <c r="F47" s="67">
        <f ca="1"/>
        <v>1.5</v>
      </c>
      <c r="G47" s="68">
        <f ca="1"/>
        <v>47087</v>
      </c>
      <c r="H47" s="66" t="str">
        <f ca="1"/>
        <v>AAA</v>
      </c>
      <c r="I47" s="66" t="str">
        <f ca="1"/>
        <v>--</v>
      </c>
      <c r="J47" s="69">
        <f ca="1"/>
        <v>90.305000000000007</v>
      </c>
      <c r="K47" s="70">
        <f ca="1"/>
        <v>4.306</v>
      </c>
      <c r="L47" s="71" t="str">
        <f ca="1"/>
        <v>5,000(1)</v>
      </c>
      <c r="M47" s="83"/>
      <c r="N47" s="84" t="str">
        <f t="shared" si="9"/>
        <v/>
      </c>
      <c r="O47" s="20" t="str">
        <f t="shared" si="10"/>
        <v/>
      </c>
      <c r="P47" s="64" t="str">
        <f t="shared" si="11"/>
        <v/>
      </c>
      <c r="Q47" s="85" t="str">
        <f t="shared" ca="1" si="12"/>
        <v/>
      </c>
      <c r="R47" s="86" t="str">
        <f t="shared" si="13"/>
        <v/>
      </c>
      <c r="S47" s="86" t="str">
        <f t="shared" si="14"/>
        <v/>
      </c>
      <c r="T47" s="104" t="str">
        <f t="shared" si="0"/>
        <v/>
      </c>
      <c r="U47" s="19" t="str">
        <f>IF(AND(M47&lt;&gt;"",M47&lt;&gt;0), IF(E47 = "Muni", T47, IF(E47="Corp", T47*(1 -'Investor Input'!$C$4-'Investor Input'!$C$5), T47*(1 -'Investor Input'!$C$4))), T47)</f>
        <v/>
      </c>
      <c r="V47" s="84" t="str">
        <f t="shared" si="1"/>
        <v/>
      </c>
      <c r="W47" s="84" t="str">
        <f t="shared" si="2"/>
        <v/>
      </c>
      <c r="X47" s="46" t="str">
        <f t="shared" si="3"/>
        <v/>
      </c>
      <c r="Y47" s="60" t="str">
        <f t="shared" si="4"/>
        <v/>
      </c>
      <c r="Z47" s="60" t="str">
        <f t="shared" si="5"/>
        <v/>
      </c>
      <c r="AA47" s="64" t="str">
        <f t="shared" si="6"/>
        <v/>
      </c>
      <c r="AB47" s="64" t="str">
        <f>IF(AND(AA47&lt;&gt;"",AA47&lt;&gt;0), IF(E47="Muni", AA47, IF(E47 = "Corp", (1-'Investor Input'!$C$4-'Investor Input'!$C$5)*AA47, (1-'Investor Input'!$C$4)*AA47)), AA47)</f>
        <v/>
      </c>
      <c r="AC47" s="94" t="str">
        <f t="shared" si="7"/>
        <v/>
      </c>
      <c r="AD47" s="60" t="str">
        <f>IF(AND(M47&lt;&gt;"", M47&lt;&gt;0), N47/$N$505*MATCH(AC47,'Misc Lists'!$K$2:$K$25,0), "")</f>
        <v/>
      </c>
      <c r="AE47" s="90" t="str">
        <f t="shared" si="8"/>
        <v/>
      </c>
      <c r="AF47" s="99" t="str">
        <f>IF(AND(M47&lt;&gt;"", M47&lt;&gt;0), N47/$N$505*MATCH(AE47,'Misc Lists'!$L$2:$L$25,0), "")</f>
        <v/>
      </c>
    </row>
    <row r="48" spans="2:32" hidden="1" outlineLevel="1" x14ac:dyDescent="0.5">
      <c r="B48" s="65" t="str">
        <f ca="1"/>
        <v>91282CDF5</v>
      </c>
      <c r="C48" s="66" t="str">
        <f ca="1"/>
        <v>N/A</v>
      </c>
      <c r="D48" s="65" t="str">
        <f ca="1"/>
        <v>UNITED STATES TREAS SER R-2028          1.37500% 10/31/2028 NTS NOTE</v>
      </c>
      <c r="E48" s="66" t="str">
        <f ca="1"/>
        <v>Tres</v>
      </c>
      <c r="F48" s="67">
        <f ca="1"/>
        <v>1.375</v>
      </c>
      <c r="G48" s="68">
        <f ca="1"/>
        <v>47057</v>
      </c>
      <c r="H48" s="66" t="str">
        <f ca="1"/>
        <v>AAA</v>
      </c>
      <c r="I48" s="66" t="str">
        <f ca="1"/>
        <v>--</v>
      </c>
      <c r="J48" s="69">
        <f ca="1"/>
        <v>90.087000000000003</v>
      </c>
      <c r="K48" s="70">
        <f ca="1"/>
        <v>4.3040000000000003</v>
      </c>
      <c r="L48" s="71" t="str">
        <f ca="1"/>
        <v>1,000(200)</v>
      </c>
      <c r="M48" s="83"/>
      <c r="N48" s="84" t="str">
        <f t="shared" si="9"/>
        <v/>
      </c>
      <c r="O48" s="20" t="str">
        <f t="shared" si="10"/>
        <v/>
      </c>
      <c r="P48" s="64" t="str">
        <f t="shared" si="11"/>
        <v/>
      </c>
      <c r="Q48" s="85" t="str">
        <f t="shared" ca="1" si="12"/>
        <v/>
      </c>
      <c r="R48" s="86" t="str">
        <f t="shared" si="13"/>
        <v/>
      </c>
      <c r="S48" s="86" t="str">
        <f t="shared" si="14"/>
        <v/>
      </c>
      <c r="T48" s="104" t="str">
        <f t="shared" si="0"/>
        <v/>
      </c>
      <c r="U48" s="19" t="str">
        <f>IF(AND(M48&lt;&gt;"",M48&lt;&gt;0), IF(E48 = "Muni", T48, IF(E48="Corp", T48*(1 -'Investor Input'!$C$4-'Investor Input'!$C$5), T48*(1 -'Investor Input'!$C$4))), T48)</f>
        <v/>
      </c>
      <c r="V48" s="84" t="str">
        <f t="shared" si="1"/>
        <v/>
      </c>
      <c r="W48" s="84" t="str">
        <f t="shared" si="2"/>
        <v/>
      </c>
      <c r="X48" s="46" t="str">
        <f t="shared" si="3"/>
        <v/>
      </c>
      <c r="Y48" s="60" t="str">
        <f t="shared" si="4"/>
        <v/>
      </c>
      <c r="Z48" s="60" t="str">
        <f t="shared" si="5"/>
        <v/>
      </c>
      <c r="AA48" s="64" t="str">
        <f t="shared" si="6"/>
        <v/>
      </c>
      <c r="AB48" s="64" t="str">
        <f>IF(AND(AA48&lt;&gt;"",AA48&lt;&gt;0), IF(E48="Muni", AA48, IF(E48 = "Corp", (1-'Investor Input'!$C$4-'Investor Input'!$C$5)*AA48, (1-'Investor Input'!$C$4)*AA48)), AA48)</f>
        <v/>
      </c>
      <c r="AC48" s="94" t="str">
        <f t="shared" si="7"/>
        <v/>
      </c>
      <c r="AD48" s="60" t="str">
        <f>IF(AND(M48&lt;&gt;"", M48&lt;&gt;0), N48/$N$505*MATCH(AC48,'Misc Lists'!$K$2:$K$25,0), "")</f>
        <v/>
      </c>
      <c r="AE48" s="90" t="str">
        <f t="shared" si="8"/>
        <v/>
      </c>
      <c r="AF48" s="99" t="str">
        <f>IF(AND(M48&lt;&gt;"", M48&lt;&gt;0), N48/$N$505*MATCH(AE48,'Misc Lists'!$L$2:$L$25,0), "")</f>
        <v/>
      </c>
    </row>
    <row r="49" spans="2:32" hidden="1" outlineLevel="1" x14ac:dyDescent="0.5">
      <c r="B49" s="65" t="str">
        <f ca="1"/>
        <v>91282CCY5</v>
      </c>
      <c r="C49" s="66" t="str">
        <f ca="1"/>
        <v>N/A</v>
      </c>
      <c r="D49" s="65" t="str">
        <f ca="1"/>
        <v>UNITED STATES TREAS SER Q-2028          1.25000% 09/30/2028 NTS NOTE</v>
      </c>
      <c r="E49" s="66" t="str">
        <f ca="1"/>
        <v>Tres</v>
      </c>
      <c r="F49" s="67">
        <f ca="1"/>
        <v>1.25</v>
      </c>
      <c r="G49" s="68">
        <f ca="1"/>
        <v>47026</v>
      </c>
      <c r="H49" s="66" t="str">
        <f ca="1"/>
        <v>AAA</v>
      </c>
      <c r="I49" s="66" t="str">
        <f ca="1"/>
        <v>--</v>
      </c>
      <c r="J49" s="69">
        <f ca="1"/>
        <v>89.887</v>
      </c>
      <c r="K49" s="70">
        <f ca="1"/>
        <v>4.3019999999999996</v>
      </c>
      <c r="L49" s="71" t="str">
        <f ca="1"/>
        <v>65,000(400)</v>
      </c>
      <c r="M49" s="83"/>
      <c r="N49" s="84" t="str">
        <f t="shared" si="9"/>
        <v/>
      </c>
      <c r="O49" s="20" t="str">
        <f t="shared" si="10"/>
        <v/>
      </c>
      <c r="P49" s="64" t="str">
        <f t="shared" si="11"/>
        <v/>
      </c>
      <c r="Q49" s="85" t="str">
        <f t="shared" ca="1" si="12"/>
        <v/>
      </c>
      <c r="R49" s="86" t="str">
        <f t="shared" si="13"/>
        <v/>
      </c>
      <c r="S49" s="86" t="str">
        <f t="shared" si="14"/>
        <v/>
      </c>
      <c r="T49" s="104" t="str">
        <f t="shared" si="0"/>
        <v/>
      </c>
      <c r="U49" s="19" t="str">
        <f>IF(AND(M49&lt;&gt;"",M49&lt;&gt;0), IF(E49 = "Muni", T49, IF(E49="Corp", T49*(1 -'Investor Input'!$C$4-'Investor Input'!$C$5), T49*(1 -'Investor Input'!$C$4))), T49)</f>
        <v/>
      </c>
      <c r="V49" s="84" t="str">
        <f t="shared" si="1"/>
        <v/>
      </c>
      <c r="W49" s="84" t="str">
        <f t="shared" si="2"/>
        <v/>
      </c>
      <c r="X49" s="46" t="str">
        <f t="shared" si="3"/>
        <v/>
      </c>
      <c r="Y49" s="60" t="str">
        <f t="shared" si="4"/>
        <v/>
      </c>
      <c r="Z49" s="60" t="str">
        <f t="shared" si="5"/>
        <v/>
      </c>
      <c r="AA49" s="64" t="str">
        <f t="shared" si="6"/>
        <v/>
      </c>
      <c r="AB49" s="64" t="str">
        <f>IF(AND(AA49&lt;&gt;"",AA49&lt;&gt;0), IF(E49="Muni", AA49, IF(E49 = "Corp", (1-'Investor Input'!$C$4-'Investor Input'!$C$5)*AA49, (1-'Investor Input'!$C$4)*AA49)), AA49)</f>
        <v/>
      </c>
      <c r="AC49" s="94" t="str">
        <f t="shared" si="7"/>
        <v/>
      </c>
      <c r="AD49" s="60" t="str">
        <f>IF(AND(M49&lt;&gt;"", M49&lt;&gt;0), N49/$N$505*MATCH(AC49,'Misc Lists'!$K$2:$K$25,0), "")</f>
        <v/>
      </c>
      <c r="AE49" s="90" t="str">
        <f t="shared" si="8"/>
        <v/>
      </c>
      <c r="AF49" s="99" t="str">
        <f>IF(AND(M49&lt;&gt;"", M49&lt;&gt;0), N49/$N$505*MATCH(AE49,'Misc Lists'!$L$2:$L$25,0), "")</f>
        <v/>
      </c>
    </row>
    <row r="50" spans="2:32" hidden="1" outlineLevel="1" x14ac:dyDescent="0.5">
      <c r="B50" s="65" t="str">
        <f ca="1"/>
        <v>91282CJF9</v>
      </c>
      <c r="C50" s="66" t="str">
        <f ca="1"/>
        <v>N/A</v>
      </c>
      <c r="D50" s="65" t="str">
        <f ca="1"/>
        <v>UNITED STATES TREAS SER AF-2028         4.87500% 10/31/2028 NTS NOTE</v>
      </c>
      <c r="E50" s="66" t="str">
        <f ca="1"/>
        <v>Tres</v>
      </c>
      <c r="F50" s="67">
        <f ca="1"/>
        <v>4.875</v>
      </c>
      <c r="G50" s="68">
        <f ca="1"/>
        <v>47057</v>
      </c>
      <c r="H50" s="66" t="str">
        <f ca="1"/>
        <v>AAA</v>
      </c>
      <c r="I50" s="66" t="str">
        <f ca="1"/>
        <v>--</v>
      </c>
      <c r="J50" s="69">
        <f ca="1"/>
        <v>101.934</v>
      </c>
      <c r="K50" s="70">
        <f ca="1"/>
        <v>4.3010000000000002</v>
      </c>
      <c r="L50" s="71" t="str">
        <f ca="1"/>
        <v>65,000(400)</v>
      </c>
      <c r="M50" s="83"/>
      <c r="N50" s="84" t="str">
        <f t="shared" si="9"/>
        <v/>
      </c>
      <c r="O50" s="20" t="str">
        <f t="shared" si="10"/>
        <v/>
      </c>
      <c r="P50" s="64" t="str">
        <f t="shared" si="11"/>
        <v/>
      </c>
      <c r="Q50" s="85" t="str">
        <f t="shared" ca="1" si="12"/>
        <v/>
      </c>
      <c r="R50" s="86" t="str">
        <f t="shared" si="13"/>
        <v/>
      </c>
      <c r="S50" s="86" t="str">
        <f t="shared" si="14"/>
        <v/>
      </c>
      <c r="T50" s="104" t="str">
        <f t="shared" si="0"/>
        <v/>
      </c>
      <c r="U50" s="19" t="str">
        <f>IF(AND(M50&lt;&gt;"",M50&lt;&gt;0), IF(E50 = "Muni", T50, IF(E50="Corp", T50*(1 -'Investor Input'!$C$4-'Investor Input'!$C$5), T50*(1 -'Investor Input'!$C$4))), T50)</f>
        <v/>
      </c>
      <c r="V50" s="84" t="str">
        <f t="shared" si="1"/>
        <v/>
      </c>
      <c r="W50" s="84" t="str">
        <f t="shared" si="2"/>
        <v/>
      </c>
      <c r="X50" s="46" t="str">
        <f t="shared" si="3"/>
        <v/>
      </c>
      <c r="Y50" s="60" t="str">
        <f t="shared" si="4"/>
        <v/>
      </c>
      <c r="Z50" s="60" t="str">
        <f t="shared" si="5"/>
        <v/>
      </c>
      <c r="AA50" s="64" t="str">
        <f t="shared" si="6"/>
        <v/>
      </c>
      <c r="AB50" s="64" t="str">
        <f>IF(AND(AA50&lt;&gt;"",AA50&lt;&gt;0), IF(E50="Muni", AA50, IF(E50 = "Corp", (1-'Investor Input'!$C$4-'Investor Input'!$C$5)*AA50, (1-'Investor Input'!$C$4)*AA50)), AA50)</f>
        <v/>
      </c>
      <c r="AC50" s="94" t="str">
        <f t="shared" si="7"/>
        <v/>
      </c>
      <c r="AD50" s="60" t="str">
        <f>IF(AND(M50&lt;&gt;"", M50&lt;&gt;0), N50/$N$505*MATCH(AC50,'Misc Lists'!$K$2:$K$25,0), "")</f>
        <v/>
      </c>
      <c r="AE50" s="90" t="str">
        <f t="shared" si="8"/>
        <v/>
      </c>
      <c r="AF50" s="99" t="str">
        <f>IF(AND(M50&lt;&gt;"", M50&lt;&gt;0), N50/$N$505*MATCH(AE50,'Misc Lists'!$L$2:$L$25,0), "")</f>
        <v/>
      </c>
    </row>
    <row r="51" spans="2:32" hidden="1" outlineLevel="1" x14ac:dyDescent="0.5">
      <c r="B51" s="65" t="str">
        <f ca="1"/>
        <v>91282CJL6</v>
      </c>
      <c r="C51" s="66" t="str">
        <f ca="1"/>
        <v>N/A</v>
      </c>
      <c r="D51" s="65" t="str">
        <f ca="1"/>
        <v>UNITED STATES TREAS SER BL-2025         4.87500% 11/30/2025 NTS NOTE</v>
      </c>
      <c r="E51" s="66" t="str">
        <f ca="1"/>
        <v>Tres</v>
      </c>
      <c r="F51" s="67">
        <f ca="1"/>
        <v>4.875</v>
      </c>
      <c r="G51" s="68">
        <f ca="1"/>
        <v>45991</v>
      </c>
      <c r="H51" s="66" t="str">
        <f ca="1"/>
        <v>AAA</v>
      </c>
      <c r="I51" s="66" t="str">
        <f ca="1"/>
        <v>--</v>
      </c>
      <c r="J51" s="69">
        <f ca="1"/>
        <v>100.43</v>
      </c>
      <c r="K51" s="70">
        <f ca="1"/>
        <v>4.3</v>
      </c>
      <c r="L51" s="71" t="str">
        <f ca="1"/>
        <v>30,000(600)</v>
      </c>
      <c r="M51" s="83"/>
      <c r="N51" s="84" t="str">
        <f t="shared" si="9"/>
        <v/>
      </c>
      <c r="O51" s="20" t="str">
        <f t="shared" si="10"/>
        <v/>
      </c>
      <c r="P51" s="64" t="str">
        <f t="shared" si="11"/>
        <v/>
      </c>
      <c r="Q51" s="85" t="str">
        <f t="shared" ca="1" si="12"/>
        <v/>
      </c>
      <c r="R51" s="86" t="str">
        <f t="shared" si="13"/>
        <v/>
      </c>
      <c r="S51" s="86" t="str">
        <f t="shared" si="14"/>
        <v/>
      </c>
      <c r="T51" s="104" t="str">
        <f t="shared" si="0"/>
        <v/>
      </c>
      <c r="U51" s="19" t="str">
        <f>IF(AND(M51&lt;&gt;"",M51&lt;&gt;0), IF(E51 = "Muni", T51, IF(E51="Corp", T51*(1 -'Investor Input'!$C$4-'Investor Input'!$C$5), T51*(1 -'Investor Input'!$C$4))), T51)</f>
        <v/>
      </c>
      <c r="V51" s="84" t="str">
        <f t="shared" si="1"/>
        <v/>
      </c>
      <c r="W51" s="84" t="str">
        <f t="shared" si="2"/>
        <v/>
      </c>
      <c r="X51" s="46" t="str">
        <f t="shared" si="3"/>
        <v/>
      </c>
      <c r="Y51" s="60" t="str">
        <f t="shared" si="4"/>
        <v/>
      </c>
      <c r="Z51" s="60" t="str">
        <f t="shared" si="5"/>
        <v/>
      </c>
      <c r="AA51" s="64" t="str">
        <f t="shared" si="6"/>
        <v/>
      </c>
      <c r="AB51" s="64" t="str">
        <f>IF(AND(AA51&lt;&gt;"",AA51&lt;&gt;0), IF(E51="Muni", AA51, IF(E51 = "Corp", (1-'Investor Input'!$C$4-'Investor Input'!$C$5)*AA51, (1-'Investor Input'!$C$4)*AA51)), AA51)</f>
        <v/>
      </c>
      <c r="AC51" s="94" t="str">
        <f t="shared" si="7"/>
        <v/>
      </c>
      <c r="AD51" s="60" t="str">
        <f>IF(AND(M51&lt;&gt;"", M51&lt;&gt;0), N51/$N$505*MATCH(AC51,'Misc Lists'!$K$2:$K$25,0), "")</f>
        <v/>
      </c>
      <c r="AE51" s="90" t="str">
        <f t="shared" si="8"/>
        <v/>
      </c>
      <c r="AF51" s="99" t="str">
        <f>IF(AND(M51&lt;&gt;"", M51&lt;&gt;0), N51/$N$505*MATCH(AE51,'Misc Lists'!$L$2:$L$25,0), "")</f>
        <v/>
      </c>
    </row>
    <row r="52" spans="2:32" hidden="1" outlineLevel="1" x14ac:dyDescent="0.5">
      <c r="B52" s="65" t="str">
        <f ca="1"/>
        <v>9128285N6</v>
      </c>
      <c r="C52" s="66" t="str">
        <f ca="1"/>
        <v>N/A</v>
      </c>
      <c r="D52" s="65" t="str">
        <f ca="1"/>
        <v>UNITED STATES TREAS SER S-2025          2.87500% 11/30/2025 NTS NOTE</v>
      </c>
      <c r="E52" s="66" t="str">
        <f ca="1"/>
        <v>Tres</v>
      </c>
      <c r="F52" s="67">
        <f ca="1"/>
        <v>2.875</v>
      </c>
      <c r="G52" s="68">
        <f ca="1"/>
        <v>45991</v>
      </c>
      <c r="H52" s="66" t="str">
        <f ca="1"/>
        <v>AAA</v>
      </c>
      <c r="I52" s="66" t="str">
        <f ca="1"/>
        <v>--</v>
      </c>
      <c r="J52" s="69">
        <f ca="1"/>
        <v>98.915000000000006</v>
      </c>
      <c r="K52" s="70">
        <f ca="1"/>
        <v>4.3</v>
      </c>
      <c r="L52" s="71" t="str">
        <f ca="1"/>
        <v>30,000(600)</v>
      </c>
      <c r="M52" s="83"/>
      <c r="N52" s="84" t="str">
        <f t="shared" si="9"/>
        <v/>
      </c>
      <c r="O52" s="20" t="str">
        <f t="shared" si="10"/>
        <v/>
      </c>
      <c r="P52" s="64" t="str">
        <f t="shared" si="11"/>
        <v/>
      </c>
      <c r="Q52" s="85" t="str">
        <f t="shared" ca="1" si="12"/>
        <v/>
      </c>
      <c r="R52" s="86" t="str">
        <f t="shared" si="13"/>
        <v/>
      </c>
      <c r="S52" s="86" t="str">
        <f t="shared" si="14"/>
        <v/>
      </c>
      <c r="T52" s="104" t="str">
        <f t="shared" si="0"/>
        <v/>
      </c>
      <c r="U52" s="19" t="str">
        <f>IF(AND(M52&lt;&gt;"",M52&lt;&gt;0), IF(E52 = "Muni", T52, IF(E52="Corp", T52*(1 -'Investor Input'!$C$4-'Investor Input'!$C$5), T52*(1 -'Investor Input'!$C$4))), T52)</f>
        <v/>
      </c>
      <c r="V52" s="84" t="str">
        <f t="shared" si="1"/>
        <v/>
      </c>
      <c r="W52" s="84" t="str">
        <f t="shared" si="2"/>
        <v/>
      </c>
      <c r="X52" s="46" t="str">
        <f t="shared" si="3"/>
        <v/>
      </c>
      <c r="Y52" s="60" t="str">
        <f t="shared" si="4"/>
        <v/>
      </c>
      <c r="Z52" s="60" t="str">
        <f t="shared" si="5"/>
        <v/>
      </c>
      <c r="AA52" s="64" t="str">
        <f t="shared" si="6"/>
        <v/>
      </c>
      <c r="AB52" s="64" t="str">
        <f>IF(AND(AA52&lt;&gt;"",AA52&lt;&gt;0), IF(E52="Muni", AA52, IF(E52 = "Corp", (1-'Investor Input'!$C$4-'Investor Input'!$C$5)*AA52, (1-'Investor Input'!$C$4)*AA52)), AA52)</f>
        <v/>
      </c>
      <c r="AC52" s="94" t="str">
        <f t="shared" si="7"/>
        <v/>
      </c>
      <c r="AD52" s="60" t="str">
        <f>IF(AND(M52&lt;&gt;"", M52&lt;&gt;0), N52/$N$505*MATCH(AC52,'Misc Lists'!$K$2:$K$25,0), "")</f>
        <v/>
      </c>
      <c r="AE52" s="90" t="str">
        <f t="shared" si="8"/>
        <v/>
      </c>
      <c r="AF52" s="99" t="str">
        <f>IF(AND(M52&lt;&gt;"", M52&lt;&gt;0), N52/$N$505*MATCH(AE52,'Misc Lists'!$L$2:$L$25,0), "")</f>
        <v/>
      </c>
    </row>
    <row r="53" spans="2:32" hidden="1" outlineLevel="1" x14ac:dyDescent="0.5">
      <c r="B53" s="65" t="str">
        <f ca="1"/>
        <v>91282CJA0</v>
      </c>
      <c r="C53" s="66" t="str">
        <f ca="1"/>
        <v>N/A</v>
      </c>
      <c r="D53" s="65" t="str">
        <f ca="1"/>
        <v>UNITED STATES TREAS SER AD-2028         4.62500% 09/30/2028 NTS NOTE</v>
      </c>
      <c r="E53" s="66" t="str">
        <f ca="1"/>
        <v>Tres</v>
      </c>
      <c r="F53" s="67">
        <f ca="1"/>
        <v>4.625</v>
      </c>
      <c r="G53" s="68">
        <f ca="1"/>
        <v>47026</v>
      </c>
      <c r="H53" s="66" t="str">
        <f ca="1"/>
        <v>AAA</v>
      </c>
      <c r="I53" s="66" t="str">
        <f ca="1"/>
        <v>--</v>
      </c>
      <c r="J53" s="69">
        <f ca="1"/>
        <v>101.071</v>
      </c>
      <c r="K53" s="70">
        <f ca="1"/>
        <v>4.3</v>
      </c>
      <c r="L53" s="71" t="str">
        <f ca="1"/>
        <v>65,000(400)</v>
      </c>
      <c r="M53" s="83"/>
      <c r="N53" s="84" t="str">
        <f t="shared" si="9"/>
        <v/>
      </c>
      <c r="O53" s="20" t="str">
        <f t="shared" si="10"/>
        <v/>
      </c>
      <c r="P53" s="64" t="str">
        <f t="shared" si="11"/>
        <v/>
      </c>
      <c r="Q53" s="85" t="str">
        <f t="shared" ca="1" si="12"/>
        <v/>
      </c>
      <c r="R53" s="86" t="str">
        <f t="shared" si="13"/>
        <v/>
      </c>
      <c r="S53" s="86" t="str">
        <f t="shared" si="14"/>
        <v/>
      </c>
      <c r="T53" s="104" t="str">
        <f t="shared" si="0"/>
        <v/>
      </c>
      <c r="U53" s="19" t="str">
        <f>IF(AND(M53&lt;&gt;"",M53&lt;&gt;0), IF(E53 = "Muni", T53, IF(E53="Corp", T53*(1 -'Investor Input'!$C$4-'Investor Input'!$C$5), T53*(1 -'Investor Input'!$C$4))), T53)</f>
        <v/>
      </c>
      <c r="V53" s="84" t="str">
        <f t="shared" si="1"/>
        <v/>
      </c>
      <c r="W53" s="84" t="str">
        <f t="shared" si="2"/>
        <v/>
      </c>
      <c r="X53" s="46" t="str">
        <f t="shared" si="3"/>
        <v/>
      </c>
      <c r="Y53" s="60" t="str">
        <f t="shared" si="4"/>
        <v/>
      </c>
      <c r="Z53" s="60" t="str">
        <f t="shared" si="5"/>
        <v/>
      </c>
      <c r="AA53" s="64" t="str">
        <f t="shared" si="6"/>
        <v/>
      </c>
      <c r="AB53" s="64" t="str">
        <f>IF(AND(AA53&lt;&gt;"",AA53&lt;&gt;0), IF(E53="Muni", AA53, IF(E53 = "Corp", (1-'Investor Input'!$C$4-'Investor Input'!$C$5)*AA53, (1-'Investor Input'!$C$4)*AA53)), AA53)</f>
        <v/>
      </c>
      <c r="AC53" s="94" t="str">
        <f t="shared" si="7"/>
        <v/>
      </c>
      <c r="AD53" s="60" t="str">
        <f>IF(AND(M53&lt;&gt;"", M53&lt;&gt;0), N53/$N$505*MATCH(AC53,'Misc Lists'!$K$2:$K$25,0), "")</f>
        <v/>
      </c>
      <c r="AE53" s="90" t="str">
        <f t="shared" si="8"/>
        <v/>
      </c>
      <c r="AF53" s="99" t="str">
        <f>IF(AND(M53&lt;&gt;"", M53&lt;&gt;0), N53/$N$505*MATCH(AE53,'Misc Lists'!$L$2:$L$25,0), "")</f>
        <v/>
      </c>
    </row>
    <row r="54" spans="2:32" hidden="1" outlineLevel="1" x14ac:dyDescent="0.5">
      <c r="B54" s="65" t="str">
        <f ca="1"/>
        <v>91282CCV1</v>
      </c>
      <c r="C54" s="66" t="str">
        <f ca="1"/>
        <v>N/A</v>
      </c>
      <c r="D54" s="65" t="str">
        <f ca="1"/>
        <v>UNITED STATES TREAS SER P-2028          1.12500% 08/31/2028 NTS NOTE</v>
      </c>
      <c r="E54" s="66" t="str">
        <f ca="1"/>
        <v>Tres</v>
      </c>
      <c r="F54" s="67">
        <f ca="1"/>
        <v>1.125</v>
      </c>
      <c r="G54" s="68">
        <f ca="1"/>
        <v>46996</v>
      </c>
      <c r="H54" s="66" t="str">
        <f ca="1"/>
        <v>AAA</v>
      </c>
      <c r="I54" s="66" t="str">
        <f ca="1"/>
        <v>--</v>
      </c>
      <c r="J54" s="69">
        <f ca="1"/>
        <v>89.712000000000003</v>
      </c>
      <c r="K54" s="70">
        <f ca="1"/>
        <v>4.2990000000000004</v>
      </c>
      <c r="L54" s="71" t="str">
        <f ca="1"/>
        <v>65,000(400)</v>
      </c>
      <c r="M54" s="83"/>
      <c r="N54" s="84" t="str">
        <f t="shared" si="9"/>
        <v/>
      </c>
      <c r="O54" s="20" t="str">
        <f t="shared" si="10"/>
        <v/>
      </c>
      <c r="P54" s="64" t="str">
        <f t="shared" si="11"/>
        <v/>
      </c>
      <c r="Q54" s="85" t="str">
        <f t="shared" ca="1" si="12"/>
        <v/>
      </c>
      <c r="R54" s="86" t="str">
        <f t="shared" si="13"/>
        <v/>
      </c>
      <c r="S54" s="86" t="str">
        <f t="shared" si="14"/>
        <v/>
      </c>
      <c r="T54" s="104" t="str">
        <f t="shared" si="0"/>
        <v/>
      </c>
      <c r="U54" s="19" t="str">
        <f>IF(AND(M54&lt;&gt;"",M54&lt;&gt;0), IF(E54 = "Muni", T54, IF(E54="Corp", T54*(1 -'Investor Input'!$C$4-'Investor Input'!$C$5), T54*(1 -'Investor Input'!$C$4))), T54)</f>
        <v/>
      </c>
      <c r="V54" s="84" t="str">
        <f t="shared" si="1"/>
        <v/>
      </c>
      <c r="W54" s="84" t="str">
        <f t="shared" si="2"/>
        <v/>
      </c>
      <c r="X54" s="46" t="str">
        <f t="shared" si="3"/>
        <v/>
      </c>
      <c r="Y54" s="60" t="str">
        <f t="shared" si="4"/>
        <v/>
      </c>
      <c r="Z54" s="60" t="str">
        <f t="shared" si="5"/>
        <v/>
      </c>
      <c r="AA54" s="64" t="str">
        <f t="shared" si="6"/>
        <v/>
      </c>
      <c r="AB54" s="64" t="str">
        <f>IF(AND(AA54&lt;&gt;"",AA54&lt;&gt;0), IF(E54="Muni", AA54, IF(E54 = "Corp", (1-'Investor Input'!$C$4-'Investor Input'!$C$5)*AA54, (1-'Investor Input'!$C$4)*AA54)), AA54)</f>
        <v/>
      </c>
      <c r="AC54" s="94" t="str">
        <f t="shared" si="7"/>
        <v/>
      </c>
      <c r="AD54" s="60" t="str">
        <f>IF(AND(M54&lt;&gt;"", M54&lt;&gt;0), N54/$N$505*MATCH(AC54,'Misc Lists'!$K$2:$K$25,0), "")</f>
        <v/>
      </c>
      <c r="AE54" s="90" t="str">
        <f t="shared" si="8"/>
        <v/>
      </c>
      <c r="AF54" s="99" t="str">
        <f>IF(AND(M54&lt;&gt;"", M54&lt;&gt;0), N54/$N$505*MATCH(AE54,'Misc Lists'!$L$2:$L$25,0), "")</f>
        <v/>
      </c>
    </row>
    <row r="55" spans="2:32" hidden="1" outlineLevel="1" x14ac:dyDescent="0.5">
      <c r="B55" s="65" t="str">
        <f ca="1"/>
        <v>91282CHX2</v>
      </c>
      <c r="C55" s="66" t="str">
        <f ca="1"/>
        <v>N/A</v>
      </c>
      <c r="D55" s="65" t="str">
        <f ca="1"/>
        <v>UNITED STATES TREAS SER AC-2028         4.37500% 08/31/2028 NTS NOTE</v>
      </c>
      <c r="E55" s="66" t="str">
        <f ca="1"/>
        <v>Tres</v>
      </c>
      <c r="F55" s="67">
        <f ca="1"/>
        <v>4.375</v>
      </c>
      <c r="G55" s="68">
        <f ca="1"/>
        <v>46996</v>
      </c>
      <c r="H55" s="66" t="str">
        <f ca="1"/>
        <v>AAA</v>
      </c>
      <c r="I55" s="66" t="str">
        <f ca="1"/>
        <v>--</v>
      </c>
      <c r="J55" s="69">
        <f ca="1"/>
        <v>100.24299999999999</v>
      </c>
      <c r="K55" s="70">
        <f ca="1"/>
        <v>4.2990000000000004</v>
      </c>
      <c r="L55" s="71" t="str">
        <f ca="1"/>
        <v>4,197(1)</v>
      </c>
      <c r="M55" s="83"/>
      <c r="N55" s="84" t="str">
        <f t="shared" si="9"/>
        <v/>
      </c>
      <c r="O55" s="20" t="str">
        <f t="shared" si="10"/>
        <v/>
      </c>
      <c r="P55" s="64" t="str">
        <f t="shared" si="11"/>
        <v/>
      </c>
      <c r="Q55" s="85" t="str">
        <f t="shared" ca="1" si="12"/>
        <v/>
      </c>
      <c r="R55" s="86" t="str">
        <f t="shared" si="13"/>
        <v/>
      </c>
      <c r="S55" s="86" t="str">
        <f t="shared" si="14"/>
        <v/>
      </c>
      <c r="T55" s="104" t="str">
        <f t="shared" si="0"/>
        <v/>
      </c>
      <c r="U55" s="19" t="str">
        <f>IF(AND(M55&lt;&gt;"",M55&lt;&gt;0), IF(E55 = "Muni", T55, IF(E55="Corp", T55*(1 -'Investor Input'!$C$4-'Investor Input'!$C$5), T55*(1 -'Investor Input'!$C$4))), T55)</f>
        <v/>
      </c>
      <c r="V55" s="84" t="str">
        <f t="shared" si="1"/>
        <v/>
      </c>
      <c r="W55" s="84" t="str">
        <f t="shared" si="2"/>
        <v/>
      </c>
      <c r="X55" s="46" t="str">
        <f t="shared" si="3"/>
        <v/>
      </c>
      <c r="Y55" s="60" t="str">
        <f t="shared" si="4"/>
        <v/>
      </c>
      <c r="Z55" s="60" t="str">
        <f t="shared" si="5"/>
        <v/>
      </c>
      <c r="AA55" s="64" t="str">
        <f t="shared" si="6"/>
        <v/>
      </c>
      <c r="AB55" s="64" t="str">
        <f>IF(AND(AA55&lt;&gt;"",AA55&lt;&gt;0), IF(E55="Muni", AA55, IF(E55 = "Corp", (1-'Investor Input'!$C$4-'Investor Input'!$C$5)*AA55, (1-'Investor Input'!$C$4)*AA55)), AA55)</f>
        <v/>
      </c>
      <c r="AC55" s="94" t="str">
        <f t="shared" si="7"/>
        <v/>
      </c>
      <c r="AD55" s="60" t="str">
        <f>IF(AND(M55&lt;&gt;"", M55&lt;&gt;0), N55/$N$505*MATCH(AC55,'Misc Lists'!$K$2:$K$25,0), "")</f>
        <v/>
      </c>
      <c r="AE55" s="90" t="str">
        <f t="shared" si="8"/>
        <v/>
      </c>
      <c r="AF55" s="99" t="str">
        <f>IF(AND(M55&lt;&gt;"", M55&lt;&gt;0), N55/$N$505*MATCH(AE55,'Misc Lists'!$L$2:$L$25,0), "")</f>
        <v/>
      </c>
    </row>
    <row r="56" spans="2:32" hidden="1" outlineLevel="1" x14ac:dyDescent="0.5">
      <c r="B56" s="65" t="str">
        <f ca="1"/>
        <v>9128285C0</v>
      </c>
      <c r="C56" s="66" t="str">
        <f ca="1"/>
        <v>N/A</v>
      </c>
      <c r="D56" s="65" t="str">
        <f ca="1"/>
        <v>UNITED STATES TREAS SER Q-2025          3.00000% 09/30/2025 NTS NOTE</v>
      </c>
      <c r="E56" s="66" t="str">
        <f ca="1"/>
        <v>Tres</v>
      </c>
      <c r="F56" s="67">
        <f ca="1"/>
        <v>3</v>
      </c>
      <c r="G56" s="68">
        <f ca="1"/>
        <v>45930</v>
      </c>
      <c r="H56" s="66" t="str">
        <f ca="1"/>
        <v>AAA</v>
      </c>
      <c r="I56" s="66" t="str">
        <f ca="1"/>
        <v>--</v>
      </c>
      <c r="J56" s="69">
        <f ca="1"/>
        <v>99.222999999999999</v>
      </c>
      <c r="K56" s="70">
        <f ca="1"/>
        <v>4.2939999999999996</v>
      </c>
      <c r="L56" s="71" t="str">
        <f ca="1"/>
        <v>30,000(600)</v>
      </c>
      <c r="M56" s="83"/>
      <c r="N56" s="84" t="str">
        <f t="shared" si="9"/>
        <v/>
      </c>
      <c r="O56" s="20" t="str">
        <f t="shared" si="10"/>
        <v/>
      </c>
      <c r="P56" s="64" t="str">
        <f t="shared" si="11"/>
        <v/>
      </c>
      <c r="Q56" s="85" t="str">
        <f t="shared" ca="1" si="12"/>
        <v/>
      </c>
      <c r="R56" s="86" t="str">
        <f t="shared" si="13"/>
        <v/>
      </c>
      <c r="S56" s="86" t="str">
        <f t="shared" si="14"/>
        <v/>
      </c>
      <c r="T56" s="104" t="str">
        <f t="shared" si="0"/>
        <v/>
      </c>
      <c r="U56" s="19" t="str">
        <f>IF(AND(M56&lt;&gt;"",M56&lt;&gt;0), IF(E56 = "Muni", T56, IF(E56="Corp", T56*(1 -'Investor Input'!$C$4-'Investor Input'!$C$5), T56*(1 -'Investor Input'!$C$4))), T56)</f>
        <v/>
      </c>
      <c r="V56" s="84" t="str">
        <f t="shared" si="1"/>
        <v/>
      </c>
      <c r="W56" s="84" t="str">
        <f t="shared" si="2"/>
        <v/>
      </c>
      <c r="X56" s="46" t="str">
        <f t="shared" si="3"/>
        <v/>
      </c>
      <c r="Y56" s="60" t="str">
        <f t="shared" si="4"/>
        <v/>
      </c>
      <c r="Z56" s="60" t="str">
        <f t="shared" si="5"/>
        <v/>
      </c>
      <c r="AA56" s="64" t="str">
        <f t="shared" si="6"/>
        <v/>
      </c>
      <c r="AB56" s="64" t="str">
        <f>IF(AND(AA56&lt;&gt;"",AA56&lt;&gt;0), IF(E56="Muni", AA56, IF(E56 = "Corp", (1-'Investor Input'!$C$4-'Investor Input'!$C$5)*AA56, (1-'Investor Input'!$C$4)*AA56)), AA56)</f>
        <v/>
      </c>
      <c r="AC56" s="94" t="str">
        <f t="shared" si="7"/>
        <v/>
      </c>
      <c r="AD56" s="60" t="str">
        <f>IF(AND(M56&lt;&gt;"", M56&lt;&gt;0), N56/$N$505*MATCH(AC56,'Misc Lists'!$K$2:$K$25,0), "")</f>
        <v/>
      </c>
      <c r="AE56" s="90" t="str">
        <f t="shared" si="8"/>
        <v/>
      </c>
      <c r="AF56" s="99" t="str">
        <f>IF(AND(M56&lt;&gt;"", M56&lt;&gt;0), N56/$N$505*MATCH(AE56,'Misc Lists'!$L$2:$L$25,0), "")</f>
        <v/>
      </c>
    </row>
    <row r="57" spans="2:32" hidden="1" outlineLevel="1" x14ac:dyDescent="0.5">
      <c r="B57" s="65" t="str">
        <f ca="1"/>
        <v>91282CJE2</v>
      </c>
      <c r="C57" s="66" t="str">
        <f ca="1"/>
        <v>N/A</v>
      </c>
      <c r="D57" s="65" t="str">
        <f ca="1"/>
        <v>UNITED STATES TREAS SER BJ-2025         5.00000% 10/31/2025 NTS NOTE</v>
      </c>
      <c r="E57" s="66" t="str">
        <f ca="1"/>
        <v>Tres</v>
      </c>
      <c r="F57" s="67">
        <f ca="1"/>
        <v>5</v>
      </c>
      <c r="G57" s="68">
        <f ca="1"/>
        <v>45961</v>
      </c>
      <c r="H57" s="66" t="str">
        <f ca="1"/>
        <v>AAA</v>
      </c>
      <c r="I57" s="66" t="str">
        <f ca="1"/>
        <v>--</v>
      </c>
      <c r="J57" s="69">
        <f ca="1"/>
        <v>100.473</v>
      </c>
      <c r="K57" s="70">
        <f ca="1"/>
        <v>4.2939999999999996</v>
      </c>
      <c r="L57" s="71" t="str">
        <f ca="1"/>
        <v>30,000(600)</v>
      </c>
      <c r="M57" s="83"/>
      <c r="N57" s="84" t="str">
        <f t="shared" si="9"/>
        <v/>
      </c>
      <c r="O57" s="20" t="str">
        <f t="shared" si="10"/>
        <v/>
      </c>
      <c r="P57" s="64" t="str">
        <f t="shared" si="11"/>
        <v/>
      </c>
      <c r="Q57" s="85" t="str">
        <f t="shared" ca="1" si="12"/>
        <v/>
      </c>
      <c r="R57" s="86" t="str">
        <f t="shared" si="13"/>
        <v/>
      </c>
      <c r="S57" s="86" t="str">
        <f t="shared" si="14"/>
        <v/>
      </c>
      <c r="T57" s="104" t="str">
        <f t="shared" si="0"/>
        <v/>
      </c>
      <c r="U57" s="19" t="str">
        <f>IF(AND(M57&lt;&gt;"",M57&lt;&gt;0), IF(E57 = "Muni", T57, IF(E57="Corp", T57*(1 -'Investor Input'!$C$4-'Investor Input'!$C$5), T57*(1 -'Investor Input'!$C$4))), T57)</f>
        <v/>
      </c>
      <c r="V57" s="84" t="str">
        <f t="shared" si="1"/>
        <v/>
      </c>
      <c r="W57" s="84" t="str">
        <f t="shared" si="2"/>
        <v/>
      </c>
      <c r="X57" s="46" t="str">
        <f t="shared" si="3"/>
        <v/>
      </c>
      <c r="Y57" s="60" t="str">
        <f t="shared" si="4"/>
        <v/>
      </c>
      <c r="Z57" s="60" t="str">
        <f t="shared" si="5"/>
        <v/>
      </c>
      <c r="AA57" s="64" t="str">
        <f t="shared" si="6"/>
        <v/>
      </c>
      <c r="AB57" s="64" t="str">
        <f>IF(AND(AA57&lt;&gt;"",AA57&lt;&gt;0), IF(E57="Muni", AA57, IF(E57 = "Corp", (1-'Investor Input'!$C$4-'Investor Input'!$C$5)*AA57, (1-'Investor Input'!$C$4)*AA57)), AA57)</f>
        <v/>
      </c>
      <c r="AC57" s="94" t="str">
        <f t="shared" si="7"/>
        <v/>
      </c>
      <c r="AD57" s="60" t="str">
        <f>IF(AND(M57&lt;&gt;"", M57&lt;&gt;0), N57/$N$505*MATCH(AC57,'Misc Lists'!$K$2:$K$25,0), "")</f>
        <v/>
      </c>
      <c r="AE57" s="90" t="str">
        <f t="shared" si="8"/>
        <v/>
      </c>
      <c r="AF57" s="99" t="str">
        <f>IF(AND(M57&lt;&gt;"", M57&lt;&gt;0), N57/$N$505*MATCH(AE57,'Misc Lists'!$L$2:$L$25,0), "")</f>
        <v/>
      </c>
    </row>
    <row r="58" spans="2:32" hidden="1" outlineLevel="1" x14ac:dyDescent="0.5">
      <c r="B58" s="65" t="str">
        <f ca="1"/>
        <v>91282CFW6</v>
      </c>
      <c r="C58" s="66" t="str">
        <f ca="1"/>
        <v>N/A</v>
      </c>
      <c r="D58" s="65" t="str">
        <f ca="1"/>
        <v>UNITED STATES TREAS SER AU-2025         4.50000% 11/15/2025 NTS NOTE</v>
      </c>
      <c r="E58" s="66" t="str">
        <f ca="1"/>
        <v>Tres</v>
      </c>
      <c r="F58" s="67">
        <f ca="1"/>
        <v>4.5</v>
      </c>
      <c r="G58" s="68">
        <f ca="1"/>
        <v>45976</v>
      </c>
      <c r="H58" s="66" t="str">
        <f ca="1"/>
        <v>--</v>
      </c>
      <c r="I58" s="66" t="str">
        <f ca="1"/>
        <v>--</v>
      </c>
      <c r="J58" s="69">
        <f ca="1"/>
        <v>100.142</v>
      </c>
      <c r="K58" s="70">
        <f ca="1"/>
        <v>4.2939999999999996</v>
      </c>
      <c r="L58" s="71" t="str">
        <f ca="1"/>
        <v>5,600(200)</v>
      </c>
      <c r="M58" s="83"/>
      <c r="N58" s="84" t="str">
        <f t="shared" si="9"/>
        <v/>
      </c>
      <c r="O58" s="20" t="str">
        <f t="shared" si="10"/>
        <v/>
      </c>
      <c r="P58" s="64" t="str">
        <f t="shared" si="11"/>
        <v/>
      </c>
      <c r="Q58" s="85" t="str">
        <f t="shared" ca="1" si="12"/>
        <v/>
      </c>
      <c r="R58" s="86" t="str">
        <f t="shared" si="13"/>
        <v/>
      </c>
      <c r="S58" s="86" t="str">
        <f t="shared" si="14"/>
        <v/>
      </c>
      <c r="T58" s="104" t="str">
        <f t="shared" si="0"/>
        <v/>
      </c>
      <c r="U58" s="19" t="str">
        <f>IF(AND(M58&lt;&gt;"",M58&lt;&gt;0), IF(E58 = "Muni", T58, IF(E58="Corp", T58*(1 -'Investor Input'!$C$4-'Investor Input'!$C$5), T58*(1 -'Investor Input'!$C$4))), T58)</f>
        <v/>
      </c>
      <c r="V58" s="84" t="str">
        <f t="shared" si="1"/>
        <v/>
      </c>
      <c r="W58" s="84" t="str">
        <f t="shared" si="2"/>
        <v/>
      </c>
      <c r="X58" s="46" t="str">
        <f t="shared" si="3"/>
        <v/>
      </c>
      <c r="Y58" s="60" t="str">
        <f t="shared" si="4"/>
        <v/>
      </c>
      <c r="Z58" s="60" t="str">
        <f t="shared" si="5"/>
        <v/>
      </c>
      <c r="AA58" s="64" t="str">
        <f t="shared" si="6"/>
        <v/>
      </c>
      <c r="AB58" s="64" t="str">
        <f>IF(AND(AA58&lt;&gt;"",AA58&lt;&gt;0), IF(E58="Muni", AA58, IF(E58 = "Corp", (1-'Investor Input'!$C$4-'Investor Input'!$C$5)*AA58, (1-'Investor Input'!$C$4)*AA58)), AA58)</f>
        <v/>
      </c>
      <c r="AC58" s="94" t="str">
        <f t="shared" si="7"/>
        <v/>
      </c>
      <c r="AD58" s="60" t="str">
        <f>IF(AND(M58&lt;&gt;"", M58&lt;&gt;0), N58/$N$505*MATCH(AC58,'Misc Lists'!$K$2:$K$25,0), "")</f>
        <v/>
      </c>
      <c r="AE58" s="90" t="str">
        <f t="shared" si="8"/>
        <v/>
      </c>
      <c r="AF58" s="99" t="str">
        <f>IF(AND(M58&lt;&gt;"", M58&lt;&gt;0), N58/$N$505*MATCH(AE58,'Misc Lists'!$L$2:$L$25,0), "")</f>
        <v/>
      </c>
    </row>
    <row r="59" spans="2:32" hidden="1" outlineLevel="1" x14ac:dyDescent="0.5">
      <c r="B59" s="65" t="str">
        <f ca="1"/>
        <v>9128284V9</v>
      </c>
      <c r="C59" s="66" t="str">
        <f ca="1"/>
        <v>N/A</v>
      </c>
      <c r="D59" s="65" t="str">
        <f ca="1"/>
        <v>UNITED STATES TREAS SER E-2028 2.87500% 08/15/2028 NTS NOTE</v>
      </c>
      <c r="E59" s="66" t="str">
        <f ca="1"/>
        <v>Tres</v>
      </c>
      <c r="F59" s="67">
        <f ca="1"/>
        <v>2.875</v>
      </c>
      <c r="G59" s="68">
        <f ca="1"/>
        <v>46980</v>
      </c>
      <c r="H59" s="66" t="str">
        <f ca="1"/>
        <v>AAA</v>
      </c>
      <c r="I59" s="66" t="str">
        <f ca="1"/>
        <v>--</v>
      </c>
      <c r="J59" s="69">
        <f ca="1"/>
        <v>95.441999999999993</v>
      </c>
      <c r="K59" s="70">
        <f ca="1"/>
        <v>4.2939999999999996</v>
      </c>
      <c r="L59" s="71" t="str">
        <f ca="1"/>
        <v>1,000(200)</v>
      </c>
      <c r="M59" s="83"/>
      <c r="N59" s="84" t="str">
        <f t="shared" si="9"/>
        <v/>
      </c>
      <c r="O59" s="20" t="str">
        <f t="shared" si="10"/>
        <v/>
      </c>
      <c r="P59" s="64" t="str">
        <f t="shared" si="11"/>
        <v/>
      </c>
      <c r="Q59" s="85" t="str">
        <f t="shared" ca="1" si="12"/>
        <v/>
      </c>
      <c r="R59" s="86" t="str">
        <f t="shared" si="13"/>
        <v/>
      </c>
      <c r="S59" s="86" t="str">
        <f t="shared" si="14"/>
        <v/>
      </c>
      <c r="T59" s="104" t="str">
        <f t="shared" si="0"/>
        <v/>
      </c>
      <c r="U59" s="19" t="str">
        <f>IF(AND(M59&lt;&gt;"",M59&lt;&gt;0), IF(E59 = "Muni", T59, IF(E59="Corp", T59*(1 -'Investor Input'!$C$4-'Investor Input'!$C$5), T59*(1 -'Investor Input'!$C$4))), T59)</f>
        <v/>
      </c>
      <c r="V59" s="84" t="str">
        <f t="shared" si="1"/>
        <v/>
      </c>
      <c r="W59" s="84" t="str">
        <f t="shared" si="2"/>
        <v/>
      </c>
      <c r="X59" s="46" t="str">
        <f t="shared" si="3"/>
        <v/>
      </c>
      <c r="Y59" s="60" t="str">
        <f t="shared" si="4"/>
        <v/>
      </c>
      <c r="Z59" s="60" t="str">
        <f t="shared" si="5"/>
        <v/>
      </c>
      <c r="AA59" s="64" t="str">
        <f t="shared" si="6"/>
        <v/>
      </c>
      <c r="AB59" s="64" t="str">
        <f>IF(AND(AA59&lt;&gt;"",AA59&lt;&gt;0), IF(E59="Muni", AA59, IF(E59 = "Corp", (1-'Investor Input'!$C$4-'Investor Input'!$C$5)*AA59, (1-'Investor Input'!$C$4)*AA59)), AA59)</f>
        <v/>
      </c>
      <c r="AC59" s="94" t="str">
        <f t="shared" si="7"/>
        <v/>
      </c>
      <c r="AD59" s="60" t="str">
        <f>IF(AND(M59&lt;&gt;"", M59&lt;&gt;0), N59/$N$505*MATCH(AC59,'Misc Lists'!$K$2:$K$25,0), "")</f>
        <v/>
      </c>
      <c r="AE59" s="90" t="str">
        <f t="shared" si="8"/>
        <v/>
      </c>
      <c r="AF59" s="99" t="str">
        <f>IF(AND(M59&lt;&gt;"", M59&lt;&gt;0), N59/$N$505*MATCH(AE59,'Misc Lists'!$L$2:$L$25,0), "")</f>
        <v/>
      </c>
    </row>
    <row r="60" spans="2:32" hidden="1" outlineLevel="1" x14ac:dyDescent="0.5">
      <c r="B60" s="65" t="str">
        <f ca="1"/>
        <v>91282CHQ7</v>
      </c>
      <c r="C60" s="66" t="str">
        <f ca="1"/>
        <v>N/A</v>
      </c>
      <c r="D60" s="65" t="str">
        <f ca="1"/>
        <v>UNITED STATES TREAS SER AB-2028         4.12500% 07/31/2028 NTS NOTE</v>
      </c>
      <c r="E60" s="66" t="str">
        <f ca="1"/>
        <v>Tres</v>
      </c>
      <c r="F60" s="67">
        <f ca="1"/>
        <v>4.125</v>
      </c>
      <c r="G60" s="68">
        <f ca="1"/>
        <v>46965</v>
      </c>
      <c r="H60" s="66" t="str">
        <f ca="1"/>
        <v>AAA</v>
      </c>
      <c r="I60" s="66" t="str">
        <f ca="1"/>
        <v>--</v>
      </c>
      <c r="J60" s="69">
        <f ca="1"/>
        <v>99.477000000000004</v>
      </c>
      <c r="K60" s="70">
        <f ca="1"/>
        <v>4.2889999999999997</v>
      </c>
      <c r="L60" s="71" t="str">
        <f ca="1"/>
        <v>65,000(400)</v>
      </c>
      <c r="M60" s="83"/>
      <c r="N60" s="84" t="str">
        <f t="shared" si="9"/>
        <v/>
      </c>
      <c r="O60" s="20" t="str">
        <f t="shared" si="10"/>
        <v/>
      </c>
      <c r="P60" s="64" t="str">
        <f t="shared" si="11"/>
        <v/>
      </c>
      <c r="Q60" s="85" t="str">
        <f t="shared" ca="1" si="12"/>
        <v/>
      </c>
      <c r="R60" s="86" t="str">
        <f t="shared" si="13"/>
        <v/>
      </c>
      <c r="S60" s="86" t="str">
        <f t="shared" si="14"/>
        <v/>
      </c>
      <c r="T60" s="104" t="str">
        <f t="shared" si="0"/>
        <v/>
      </c>
      <c r="U60" s="19" t="str">
        <f>IF(AND(M60&lt;&gt;"",M60&lt;&gt;0), IF(E60 = "Muni", T60, IF(E60="Corp", T60*(1 -'Investor Input'!$C$4-'Investor Input'!$C$5), T60*(1 -'Investor Input'!$C$4))), T60)</f>
        <v/>
      </c>
      <c r="V60" s="84" t="str">
        <f t="shared" si="1"/>
        <v/>
      </c>
      <c r="W60" s="84" t="str">
        <f t="shared" si="2"/>
        <v/>
      </c>
      <c r="X60" s="46" t="str">
        <f t="shared" si="3"/>
        <v/>
      </c>
      <c r="Y60" s="60" t="str">
        <f t="shared" si="4"/>
        <v/>
      </c>
      <c r="Z60" s="60" t="str">
        <f t="shared" si="5"/>
        <v/>
      </c>
      <c r="AA60" s="64" t="str">
        <f t="shared" si="6"/>
        <v/>
      </c>
      <c r="AB60" s="64" t="str">
        <f>IF(AND(AA60&lt;&gt;"",AA60&lt;&gt;0), IF(E60="Muni", AA60, IF(E60 = "Corp", (1-'Investor Input'!$C$4-'Investor Input'!$C$5)*AA60, (1-'Investor Input'!$C$4)*AA60)), AA60)</f>
        <v/>
      </c>
      <c r="AC60" s="94" t="str">
        <f t="shared" si="7"/>
        <v/>
      </c>
      <c r="AD60" s="60" t="str">
        <f>IF(AND(M60&lt;&gt;"", M60&lt;&gt;0), N60/$N$505*MATCH(AC60,'Misc Lists'!$K$2:$K$25,0), "")</f>
        <v/>
      </c>
      <c r="AE60" s="90" t="str">
        <f t="shared" si="8"/>
        <v/>
      </c>
      <c r="AF60" s="99" t="str">
        <f>IF(AND(M60&lt;&gt;"", M60&lt;&gt;0), N60/$N$505*MATCH(AE60,'Misc Lists'!$L$2:$L$25,0), "")</f>
        <v/>
      </c>
    </row>
    <row r="61" spans="2:32" hidden="1" outlineLevel="1" x14ac:dyDescent="0.5">
      <c r="B61" s="65" t="str">
        <f ca="1"/>
        <v>912828YS3</v>
      </c>
      <c r="C61" s="66" t="str">
        <f ca="1"/>
        <v>N/A</v>
      </c>
      <c r="D61" s="65" t="str">
        <f ca="1"/>
        <v>UNITED STATES TREAS SER F-2029          1.75000% 11/15/2029 NTS NOTE</v>
      </c>
      <c r="E61" s="66" t="str">
        <f ca="1"/>
        <v>Tres</v>
      </c>
      <c r="F61" s="67">
        <f ca="1"/>
        <v>1.75</v>
      </c>
      <c r="G61" s="68">
        <f ca="1"/>
        <v>47437</v>
      </c>
      <c r="H61" s="66" t="str">
        <f ca="1"/>
        <v>AAA</v>
      </c>
      <c r="I61" s="66" t="str">
        <f ca="1"/>
        <v>--</v>
      </c>
      <c r="J61" s="69">
        <f ca="1"/>
        <v>89.222999999999999</v>
      </c>
      <c r="K61" s="70">
        <f ca="1"/>
        <v>4.2869999999999999</v>
      </c>
      <c r="L61" s="71" t="str">
        <f ca="1"/>
        <v>65,000(400)</v>
      </c>
      <c r="M61" s="83"/>
      <c r="N61" s="84" t="str">
        <f t="shared" si="9"/>
        <v/>
      </c>
      <c r="O61" s="20" t="str">
        <f t="shared" si="10"/>
        <v/>
      </c>
      <c r="P61" s="64" t="str">
        <f t="shared" si="11"/>
        <v/>
      </c>
      <c r="Q61" s="85" t="str">
        <f t="shared" ca="1" si="12"/>
        <v/>
      </c>
      <c r="R61" s="86" t="str">
        <f t="shared" si="13"/>
        <v/>
      </c>
      <c r="S61" s="86" t="str">
        <f t="shared" si="14"/>
        <v/>
      </c>
      <c r="T61" s="104" t="str">
        <f t="shared" si="0"/>
        <v/>
      </c>
      <c r="U61" s="19" t="str">
        <f>IF(AND(M61&lt;&gt;"",M61&lt;&gt;0), IF(E61 = "Muni", T61, IF(E61="Corp", T61*(1 -'Investor Input'!$C$4-'Investor Input'!$C$5), T61*(1 -'Investor Input'!$C$4))), T61)</f>
        <v/>
      </c>
      <c r="V61" s="84" t="str">
        <f t="shared" si="1"/>
        <v/>
      </c>
      <c r="W61" s="84" t="str">
        <f t="shared" si="2"/>
        <v/>
      </c>
      <c r="X61" s="46" t="str">
        <f t="shared" si="3"/>
        <v/>
      </c>
      <c r="Y61" s="60" t="str">
        <f t="shared" si="4"/>
        <v/>
      </c>
      <c r="Z61" s="60" t="str">
        <f t="shared" si="5"/>
        <v/>
      </c>
      <c r="AA61" s="64" t="str">
        <f t="shared" si="6"/>
        <v/>
      </c>
      <c r="AB61" s="64" t="str">
        <f>IF(AND(AA61&lt;&gt;"",AA61&lt;&gt;0), IF(E61="Muni", AA61, IF(E61 = "Corp", (1-'Investor Input'!$C$4-'Investor Input'!$C$5)*AA61, (1-'Investor Input'!$C$4)*AA61)), AA61)</f>
        <v/>
      </c>
      <c r="AC61" s="94" t="str">
        <f t="shared" si="7"/>
        <v/>
      </c>
      <c r="AD61" s="60" t="str">
        <f>IF(AND(M61&lt;&gt;"", M61&lt;&gt;0), N61/$N$505*MATCH(AC61,'Misc Lists'!$K$2:$K$25,0), "")</f>
        <v/>
      </c>
      <c r="AE61" s="90" t="str">
        <f t="shared" si="8"/>
        <v/>
      </c>
      <c r="AF61" s="99" t="str">
        <f>IF(AND(M61&lt;&gt;"", M61&lt;&gt;0), N61/$N$505*MATCH(AE61,'Misc Lists'!$L$2:$L$25,0), "")</f>
        <v/>
      </c>
    </row>
    <row r="62" spans="2:32" hidden="1" outlineLevel="1" x14ac:dyDescent="0.5">
      <c r="B62" s="65" t="str">
        <f ca="1"/>
        <v>9128284N7</v>
      </c>
      <c r="C62" s="66" t="str">
        <f ca="1"/>
        <v>N/A</v>
      </c>
      <c r="D62" s="65" t="str">
        <f ca="1"/>
        <v>UNITED STATES TREAS SER C-2028          2.87500% 05/15/2028 NTS NOTE</v>
      </c>
      <c r="E62" s="66" t="str">
        <f ca="1"/>
        <v>Tres</v>
      </c>
      <c r="F62" s="67">
        <f ca="1"/>
        <v>2.875</v>
      </c>
      <c r="G62" s="68">
        <f ca="1"/>
        <v>46888</v>
      </c>
      <c r="H62" s="66" t="str">
        <f ca="1"/>
        <v>AAA</v>
      </c>
      <c r="I62" s="66" t="str">
        <f ca="1"/>
        <v>--</v>
      </c>
      <c r="J62" s="69">
        <f ca="1"/>
        <v>95.772000000000006</v>
      </c>
      <c r="K62" s="70">
        <f ca="1"/>
        <v>4.2859999999999996</v>
      </c>
      <c r="L62" s="71" t="str">
        <f ca="1"/>
        <v>1,000(200)</v>
      </c>
      <c r="M62" s="83"/>
      <c r="N62" s="84" t="str">
        <f t="shared" si="9"/>
        <v/>
      </c>
      <c r="O62" s="20" t="str">
        <f t="shared" si="10"/>
        <v/>
      </c>
      <c r="P62" s="64" t="str">
        <f t="shared" si="11"/>
        <v/>
      </c>
      <c r="Q62" s="85" t="str">
        <f t="shared" ca="1" si="12"/>
        <v/>
      </c>
      <c r="R62" s="86" t="str">
        <f t="shared" si="13"/>
        <v/>
      </c>
      <c r="S62" s="86" t="str">
        <f t="shared" si="14"/>
        <v/>
      </c>
      <c r="T62" s="104" t="str">
        <f t="shared" si="0"/>
        <v/>
      </c>
      <c r="U62" s="19" t="str">
        <f>IF(AND(M62&lt;&gt;"",M62&lt;&gt;0), IF(E62 = "Muni", T62, IF(E62="Corp", T62*(1 -'Investor Input'!$C$4-'Investor Input'!$C$5), T62*(1 -'Investor Input'!$C$4))), T62)</f>
        <v/>
      </c>
      <c r="V62" s="84" t="str">
        <f t="shared" si="1"/>
        <v/>
      </c>
      <c r="W62" s="84" t="str">
        <f t="shared" si="2"/>
        <v/>
      </c>
      <c r="X62" s="46" t="str">
        <f t="shared" si="3"/>
        <v/>
      </c>
      <c r="Y62" s="60" t="str">
        <f t="shared" si="4"/>
        <v/>
      </c>
      <c r="Z62" s="60" t="str">
        <f t="shared" si="5"/>
        <v/>
      </c>
      <c r="AA62" s="64" t="str">
        <f t="shared" si="6"/>
        <v/>
      </c>
      <c r="AB62" s="64" t="str">
        <f>IF(AND(AA62&lt;&gt;"",AA62&lt;&gt;0), IF(E62="Muni", AA62, IF(E62 = "Corp", (1-'Investor Input'!$C$4-'Investor Input'!$C$5)*AA62, (1-'Investor Input'!$C$4)*AA62)), AA62)</f>
        <v/>
      </c>
      <c r="AC62" s="94" t="str">
        <f t="shared" si="7"/>
        <v/>
      </c>
      <c r="AD62" s="60" t="str">
        <f>IF(AND(M62&lt;&gt;"", M62&lt;&gt;0), N62/$N$505*MATCH(AC62,'Misc Lists'!$K$2:$K$25,0), "")</f>
        <v/>
      </c>
      <c r="AE62" s="90" t="str">
        <f t="shared" si="8"/>
        <v/>
      </c>
      <c r="AF62" s="99" t="str">
        <f>IF(AND(M62&lt;&gt;"", M62&lt;&gt;0), N62/$N$505*MATCH(AE62,'Misc Lists'!$L$2:$L$25,0), "")</f>
        <v/>
      </c>
    </row>
    <row r="63" spans="2:32" hidden="1" outlineLevel="1" x14ac:dyDescent="0.5">
      <c r="B63" s="65" t="str">
        <f ca="1"/>
        <v>91282CCR0</v>
      </c>
      <c r="C63" s="66" t="str">
        <f ca="1"/>
        <v>N/A</v>
      </c>
      <c r="D63" s="65" t="str">
        <f ca="1"/>
        <v>UNITED STATES TREAS SER N-2028          1.00000% 07/31/2028 NTS NOTE</v>
      </c>
      <c r="E63" s="66" t="str">
        <f ca="1"/>
        <v>Tres</v>
      </c>
      <c r="F63" s="67">
        <f ca="1"/>
        <v>1</v>
      </c>
      <c r="G63" s="68">
        <f ca="1"/>
        <v>46965</v>
      </c>
      <c r="H63" s="66" t="str">
        <f ca="1"/>
        <v>AAA</v>
      </c>
      <c r="I63" s="66" t="str">
        <f ca="1"/>
        <v>--</v>
      </c>
      <c r="J63" s="69">
        <f ca="1"/>
        <v>89.566999999999993</v>
      </c>
      <c r="K63" s="70">
        <f ca="1"/>
        <v>4.2850000000000001</v>
      </c>
      <c r="L63" s="71" t="str">
        <f ca="1"/>
        <v>1,000(200)</v>
      </c>
      <c r="M63" s="83"/>
      <c r="N63" s="84" t="str">
        <f t="shared" si="9"/>
        <v/>
      </c>
      <c r="O63" s="20" t="str">
        <f t="shared" si="10"/>
        <v/>
      </c>
      <c r="P63" s="64" t="str">
        <f t="shared" si="11"/>
        <v/>
      </c>
      <c r="Q63" s="85" t="str">
        <f t="shared" ca="1" si="12"/>
        <v/>
      </c>
      <c r="R63" s="86" t="str">
        <f t="shared" si="13"/>
        <v/>
      </c>
      <c r="S63" s="86" t="str">
        <f t="shared" si="14"/>
        <v/>
      </c>
      <c r="T63" s="104" t="str">
        <f t="shared" si="0"/>
        <v/>
      </c>
      <c r="U63" s="19" t="str">
        <f>IF(AND(M63&lt;&gt;"",M63&lt;&gt;0), IF(E63 = "Muni", T63, IF(E63="Corp", T63*(1 -'Investor Input'!$C$4-'Investor Input'!$C$5), T63*(1 -'Investor Input'!$C$4))), T63)</f>
        <v/>
      </c>
      <c r="V63" s="84" t="str">
        <f t="shared" si="1"/>
        <v/>
      </c>
      <c r="W63" s="84" t="str">
        <f t="shared" si="2"/>
        <v/>
      </c>
      <c r="X63" s="46" t="str">
        <f t="shared" si="3"/>
        <v/>
      </c>
      <c r="Y63" s="60" t="str">
        <f t="shared" si="4"/>
        <v/>
      </c>
      <c r="Z63" s="60" t="str">
        <f t="shared" si="5"/>
        <v/>
      </c>
      <c r="AA63" s="64" t="str">
        <f t="shared" si="6"/>
        <v/>
      </c>
      <c r="AB63" s="64" t="str">
        <f>IF(AND(AA63&lt;&gt;"",AA63&lt;&gt;0), IF(E63="Muni", AA63, IF(E63 = "Corp", (1-'Investor Input'!$C$4-'Investor Input'!$C$5)*AA63, (1-'Investor Input'!$C$4)*AA63)), AA63)</f>
        <v/>
      </c>
      <c r="AC63" s="94" t="str">
        <f t="shared" si="7"/>
        <v/>
      </c>
      <c r="AD63" s="60" t="str">
        <f>IF(AND(M63&lt;&gt;"", M63&lt;&gt;0), N63/$N$505*MATCH(AC63,'Misc Lists'!$K$2:$K$25,0), "")</f>
        <v/>
      </c>
      <c r="AE63" s="90" t="str">
        <f t="shared" si="8"/>
        <v/>
      </c>
      <c r="AF63" s="99" t="str">
        <f>IF(AND(M63&lt;&gt;"", M63&lt;&gt;0), N63/$N$505*MATCH(AE63,'Misc Lists'!$L$2:$L$25,0), "")</f>
        <v/>
      </c>
    </row>
    <row r="64" spans="2:32" hidden="1" outlineLevel="1" x14ac:dyDescent="0.5">
      <c r="B64" s="65" t="str">
        <f ca="1"/>
        <v>91282CCE9</v>
      </c>
      <c r="C64" s="66" t="str">
        <f ca="1"/>
        <v>N/A</v>
      </c>
      <c r="D64" s="65" t="str">
        <f ca="1"/>
        <v>UNITED STATES TREAS SER L-2028          1.25000% 05/31/2028 NTS NOTE</v>
      </c>
      <c r="E64" s="66" t="str">
        <f ca="1"/>
        <v>Tres</v>
      </c>
      <c r="F64" s="67">
        <f ca="1"/>
        <v>1.25</v>
      </c>
      <c r="G64" s="68">
        <f ca="1"/>
        <v>46904</v>
      </c>
      <c r="H64" s="66" t="str">
        <f ca="1"/>
        <v>AAA</v>
      </c>
      <c r="I64" s="66" t="str">
        <f ca="1"/>
        <v>--</v>
      </c>
      <c r="J64" s="69">
        <f ca="1"/>
        <v>90.805000000000007</v>
      </c>
      <c r="K64" s="70">
        <f ca="1"/>
        <v>4.2839999999999998</v>
      </c>
      <c r="L64" s="71" t="str">
        <f ca="1"/>
        <v>65,000(400)</v>
      </c>
      <c r="M64" s="83"/>
      <c r="N64" s="84" t="str">
        <f t="shared" si="9"/>
        <v/>
      </c>
      <c r="O64" s="20" t="str">
        <f t="shared" si="10"/>
        <v/>
      </c>
      <c r="P64" s="64" t="str">
        <f t="shared" si="11"/>
        <v/>
      </c>
      <c r="Q64" s="85" t="str">
        <f t="shared" ca="1" si="12"/>
        <v/>
      </c>
      <c r="R64" s="86" t="str">
        <f t="shared" si="13"/>
        <v/>
      </c>
      <c r="S64" s="86" t="str">
        <f t="shared" si="14"/>
        <v/>
      </c>
      <c r="T64" s="104" t="str">
        <f t="shared" si="0"/>
        <v/>
      </c>
      <c r="U64" s="19" t="str">
        <f>IF(AND(M64&lt;&gt;"",M64&lt;&gt;0), IF(E64 = "Muni", T64, IF(E64="Corp", T64*(1 -'Investor Input'!$C$4-'Investor Input'!$C$5), T64*(1 -'Investor Input'!$C$4))), T64)</f>
        <v/>
      </c>
      <c r="V64" s="84" t="str">
        <f t="shared" si="1"/>
        <v/>
      </c>
      <c r="W64" s="84" t="str">
        <f t="shared" si="2"/>
        <v/>
      </c>
      <c r="X64" s="46" t="str">
        <f t="shared" si="3"/>
        <v/>
      </c>
      <c r="Y64" s="60" t="str">
        <f t="shared" si="4"/>
        <v/>
      </c>
      <c r="Z64" s="60" t="str">
        <f t="shared" si="5"/>
        <v/>
      </c>
      <c r="AA64" s="64" t="str">
        <f t="shared" si="6"/>
        <v/>
      </c>
      <c r="AB64" s="64" t="str">
        <f>IF(AND(AA64&lt;&gt;"",AA64&lt;&gt;0), IF(E64="Muni", AA64, IF(E64 = "Corp", (1-'Investor Input'!$C$4-'Investor Input'!$C$5)*AA64, (1-'Investor Input'!$C$4)*AA64)), AA64)</f>
        <v/>
      </c>
      <c r="AC64" s="94" t="str">
        <f t="shared" si="7"/>
        <v/>
      </c>
      <c r="AD64" s="60" t="str">
        <f>IF(AND(M64&lt;&gt;"", M64&lt;&gt;0), N64/$N$505*MATCH(AC64,'Misc Lists'!$K$2:$K$25,0), "")</f>
        <v/>
      </c>
      <c r="AE64" s="90" t="str">
        <f t="shared" si="8"/>
        <v/>
      </c>
      <c r="AF64" s="99" t="str">
        <f>IF(AND(M64&lt;&gt;"", M64&lt;&gt;0), N64/$N$505*MATCH(AE64,'Misc Lists'!$L$2:$L$25,0), "")</f>
        <v/>
      </c>
    </row>
    <row r="65" spans="2:32" hidden="1" outlineLevel="1" x14ac:dyDescent="0.5">
      <c r="B65" s="65" t="str">
        <f ca="1"/>
        <v>912828Y79</v>
      </c>
      <c r="C65" s="66" t="str">
        <f ca="1"/>
        <v>N/A</v>
      </c>
      <c r="D65" s="65" t="str">
        <f ca="1"/>
        <v>UNITED STATES TREAS SER N-2025          2.87500% 07/31/2025 NTS NOTE</v>
      </c>
      <c r="E65" s="66" t="str">
        <f ca="1"/>
        <v>Tres</v>
      </c>
      <c r="F65" s="67">
        <f ca="1"/>
        <v>2.875</v>
      </c>
      <c r="G65" s="68">
        <f ca="1"/>
        <v>45869</v>
      </c>
      <c r="H65" s="66" t="str">
        <f ca="1"/>
        <v>AAA</v>
      </c>
      <c r="I65" s="66" t="str">
        <f ca="1"/>
        <v>--</v>
      </c>
      <c r="J65" s="69">
        <f ca="1"/>
        <v>99.376000000000005</v>
      </c>
      <c r="K65" s="70">
        <f ca="1"/>
        <v>4.2830000000000004</v>
      </c>
      <c r="L65" s="71" t="str">
        <f ca="1"/>
        <v>30,000(600)</v>
      </c>
      <c r="M65" s="83"/>
      <c r="N65" s="84" t="str">
        <f t="shared" si="9"/>
        <v/>
      </c>
      <c r="O65" s="20" t="str">
        <f t="shared" si="10"/>
        <v/>
      </c>
      <c r="P65" s="64" t="str">
        <f t="shared" si="11"/>
        <v/>
      </c>
      <c r="Q65" s="85" t="str">
        <f t="shared" ca="1" si="12"/>
        <v/>
      </c>
      <c r="R65" s="86" t="str">
        <f t="shared" si="13"/>
        <v/>
      </c>
      <c r="S65" s="86" t="str">
        <f t="shared" si="14"/>
        <v/>
      </c>
      <c r="T65" s="104" t="str">
        <f t="shared" si="0"/>
        <v/>
      </c>
      <c r="U65" s="19" t="str">
        <f>IF(AND(M65&lt;&gt;"",M65&lt;&gt;0), IF(E65 = "Muni", T65, IF(E65="Corp", T65*(1 -'Investor Input'!$C$4-'Investor Input'!$C$5), T65*(1 -'Investor Input'!$C$4))), T65)</f>
        <v/>
      </c>
      <c r="V65" s="84" t="str">
        <f t="shared" si="1"/>
        <v/>
      </c>
      <c r="W65" s="84" t="str">
        <f t="shared" si="2"/>
        <v/>
      </c>
      <c r="X65" s="46" t="str">
        <f t="shared" si="3"/>
        <v/>
      </c>
      <c r="Y65" s="60" t="str">
        <f t="shared" si="4"/>
        <v/>
      </c>
      <c r="Z65" s="60" t="str">
        <f t="shared" si="5"/>
        <v/>
      </c>
      <c r="AA65" s="64" t="str">
        <f t="shared" si="6"/>
        <v/>
      </c>
      <c r="AB65" s="64" t="str">
        <f>IF(AND(AA65&lt;&gt;"",AA65&lt;&gt;0), IF(E65="Muni", AA65, IF(E65 = "Corp", (1-'Investor Input'!$C$4-'Investor Input'!$C$5)*AA65, (1-'Investor Input'!$C$4)*AA65)), AA65)</f>
        <v/>
      </c>
      <c r="AC65" s="94" t="str">
        <f t="shared" si="7"/>
        <v/>
      </c>
      <c r="AD65" s="60" t="str">
        <f>IF(AND(M65&lt;&gt;"", M65&lt;&gt;0), N65/$N$505*MATCH(AC65,'Misc Lists'!$K$2:$K$25,0), "")</f>
        <v/>
      </c>
      <c r="AE65" s="90" t="str">
        <f t="shared" si="8"/>
        <v/>
      </c>
      <c r="AF65" s="99" t="str">
        <f>IF(AND(M65&lt;&gt;"", M65&lt;&gt;0), N65/$N$505*MATCH(AE65,'Misc Lists'!$L$2:$L$25,0), "")</f>
        <v/>
      </c>
    </row>
    <row r="66" spans="2:32" hidden="1" outlineLevel="1" x14ac:dyDescent="0.5">
      <c r="B66" s="65" t="str">
        <f ca="1"/>
        <v>91282CFE6</v>
      </c>
      <c r="C66" s="66" t="str">
        <f ca="1"/>
        <v>N/A</v>
      </c>
      <c r="D66" s="65" t="str">
        <f ca="1"/>
        <v>UNITED STATES       TREASURY NOTE       3.12500% 08/15/2025</v>
      </c>
      <c r="E66" s="66" t="str">
        <f ca="1"/>
        <v>Tres</v>
      </c>
      <c r="F66" s="67">
        <f ca="1"/>
        <v>3.125</v>
      </c>
      <c r="G66" s="68">
        <f ca="1"/>
        <v>45884</v>
      </c>
      <c r="H66" s="66" t="str">
        <f ca="1"/>
        <v>--</v>
      </c>
      <c r="I66" s="66" t="str">
        <f ca="1"/>
        <v>--</v>
      </c>
      <c r="J66" s="69">
        <f ca="1"/>
        <v>99.441999999999993</v>
      </c>
      <c r="K66" s="70">
        <f ca="1"/>
        <v>4.2830000000000004</v>
      </c>
      <c r="L66" s="71" t="str">
        <f ca="1"/>
        <v>30,000(600)</v>
      </c>
      <c r="M66" s="83"/>
      <c r="N66" s="84" t="str">
        <f t="shared" si="9"/>
        <v/>
      </c>
      <c r="O66" s="20" t="str">
        <f t="shared" si="10"/>
        <v/>
      </c>
      <c r="P66" s="64" t="str">
        <f t="shared" si="11"/>
        <v/>
      </c>
      <c r="Q66" s="85" t="str">
        <f t="shared" ca="1" si="12"/>
        <v/>
      </c>
      <c r="R66" s="86" t="str">
        <f t="shared" si="13"/>
        <v/>
      </c>
      <c r="S66" s="86" t="str">
        <f t="shared" si="14"/>
        <v/>
      </c>
      <c r="T66" s="104" t="str">
        <f t="shared" si="0"/>
        <v/>
      </c>
      <c r="U66" s="19" t="str">
        <f>IF(AND(M66&lt;&gt;"",M66&lt;&gt;0), IF(E66 = "Muni", T66, IF(E66="Corp", T66*(1 -'Investor Input'!$C$4-'Investor Input'!$C$5), T66*(1 -'Investor Input'!$C$4))), T66)</f>
        <v/>
      </c>
      <c r="V66" s="84" t="str">
        <f t="shared" si="1"/>
        <v/>
      </c>
      <c r="W66" s="84" t="str">
        <f t="shared" si="2"/>
        <v/>
      </c>
      <c r="X66" s="46" t="str">
        <f t="shared" si="3"/>
        <v/>
      </c>
      <c r="Y66" s="60" t="str">
        <f t="shared" si="4"/>
        <v/>
      </c>
      <c r="Z66" s="60" t="str">
        <f t="shared" si="5"/>
        <v/>
      </c>
      <c r="AA66" s="64" t="str">
        <f t="shared" si="6"/>
        <v/>
      </c>
      <c r="AB66" s="64" t="str">
        <f>IF(AND(AA66&lt;&gt;"",AA66&lt;&gt;0), IF(E66="Muni", AA66, IF(E66 = "Corp", (1-'Investor Input'!$C$4-'Investor Input'!$C$5)*AA66, (1-'Investor Input'!$C$4)*AA66)), AA66)</f>
        <v/>
      </c>
      <c r="AC66" s="94" t="str">
        <f t="shared" si="7"/>
        <v/>
      </c>
      <c r="AD66" s="60" t="str">
        <f>IF(AND(M66&lt;&gt;"", M66&lt;&gt;0), N66/$N$505*MATCH(AC66,'Misc Lists'!$K$2:$K$25,0), "")</f>
        <v/>
      </c>
      <c r="AE66" s="90" t="str">
        <f t="shared" si="8"/>
        <v/>
      </c>
      <c r="AF66" s="99" t="str">
        <f>IF(AND(M66&lt;&gt;"", M66&lt;&gt;0), N66/$N$505*MATCH(AE66,'Misc Lists'!$L$2:$L$25,0), "")</f>
        <v/>
      </c>
    </row>
    <row r="67" spans="2:32" hidden="1" outlineLevel="1" x14ac:dyDescent="0.5">
      <c r="B67" s="65" t="str">
        <f ca="1"/>
        <v>91282CAT8</v>
      </c>
      <c r="C67" s="66" t="str">
        <f ca="1"/>
        <v>N/A</v>
      </c>
      <c r="D67" s="65" t="str">
        <f ca="1"/>
        <v>UNITED STATES TREAS 0.25000% 10/31/2025 NOTE</v>
      </c>
      <c r="E67" s="66" t="str">
        <f ca="1"/>
        <v>Tres</v>
      </c>
      <c r="F67" s="67">
        <f ca="1"/>
        <v>0.25</v>
      </c>
      <c r="G67" s="68">
        <f ca="1"/>
        <v>45961</v>
      </c>
      <c r="H67" s="66" t="str">
        <f ca="1"/>
        <v>AAA</v>
      </c>
      <c r="I67" s="66" t="str">
        <f ca="1"/>
        <v>--</v>
      </c>
      <c r="J67" s="69">
        <f ca="1"/>
        <v>97.263000000000005</v>
      </c>
      <c r="K67" s="70">
        <f ca="1"/>
        <v>4.2830000000000004</v>
      </c>
      <c r="L67" s="71" t="str">
        <f ca="1"/>
        <v>8,000(200)</v>
      </c>
      <c r="M67" s="83"/>
      <c r="N67" s="84" t="str">
        <f t="shared" si="9"/>
        <v/>
      </c>
      <c r="O67" s="20" t="str">
        <f t="shared" si="10"/>
        <v/>
      </c>
      <c r="P67" s="64" t="str">
        <f t="shared" si="11"/>
        <v/>
      </c>
      <c r="Q67" s="85" t="str">
        <f t="shared" ca="1" si="12"/>
        <v/>
      </c>
      <c r="R67" s="86" t="str">
        <f t="shared" si="13"/>
        <v/>
      </c>
      <c r="S67" s="86" t="str">
        <f t="shared" si="14"/>
        <v/>
      </c>
      <c r="T67" s="104" t="str">
        <f t="shared" si="0"/>
        <v/>
      </c>
      <c r="U67" s="19" t="str">
        <f>IF(AND(M67&lt;&gt;"",M67&lt;&gt;0), IF(E67 = "Muni", T67, IF(E67="Corp", T67*(1 -'Investor Input'!$C$4-'Investor Input'!$C$5), T67*(1 -'Investor Input'!$C$4))), T67)</f>
        <v/>
      </c>
      <c r="V67" s="84" t="str">
        <f t="shared" si="1"/>
        <v/>
      </c>
      <c r="W67" s="84" t="str">
        <f t="shared" si="2"/>
        <v/>
      </c>
      <c r="X67" s="46" t="str">
        <f t="shared" si="3"/>
        <v/>
      </c>
      <c r="Y67" s="60" t="str">
        <f t="shared" si="4"/>
        <v/>
      </c>
      <c r="Z67" s="60" t="str">
        <f t="shared" si="5"/>
        <v/>
      </c>
      <c r="AA67" s="64" t="str">
        <f t="shared" si="6"/>
        <v/>
      </c>
      <c r="AB67" s="64" t="str">
        <f>IF(AND(AA67&lt;&gt;"",AA67&lt;&gt;0), IF(E67="Muni", AA67, IF(E67 = "Corp", (1-'Investor Input'!$C$4-'Investor Input'!$C$5)*AA67, (1-'Investor Input'!$C$4)*AA67)), AA67)</f>
        <v/>
      </c>
      <c r="AC67" s="94" t="str">
        <f t="shared" si="7"/>
        <v/>
      </c>
      <c r="AD67" s="60" t="str">
        <f>IF(AND(M67&lt;&gt;"", M67&lt;&gt;0), N67/$N$505*MATCH(AC67,'Misc Lists'!$K$2:$K$25,0), "")</f>
        <v/>
      </c>
      <c r="AE67" s="90" t="str">
        <f t="shared" si="8"/>
        <v/>
      </c>
      <c r="AF67" s="99" t="str">
        <f>IF(AND(M67&lt;&gt;"", M67&lt;&gt;0), N67/$N$505*MATCH(AE67,'Misc Lists'!$L$2:$L$25,0), "")</f>
        <v/>
      </c>
    </row>
    <row r="68" spans="2:32" hidden="1" outlineLevel="1" x14ac:dyDescent="0.5">
      <c r="B68" s="65" t="str">
        <f ca="1"/>
        <v>91282CKS9</v>
      </c>
      <c r="C68" s="66" t="str">
        <f ca="1"/>
        <v>N/A</v>
      </c>
      <c r="D68" s="65" t="str">
        <f ca="1"/>
        <v>UNITED STATES TREAS SER BC-2026         4.87500% 05/31/2026 NTS NOTE</v>
      </c>
      <c r="E68" s="66" t="str">
        <f ca="1"/>
        <v>Tres</v>
      </c>
      <c r="F68" s="67">
        <f ca="1"/>
        <v>4.875</v>
      </c>
      <c r="G68" s="68">
        <f ca="1"/>
        <v>46173</v>
      </c>
      <c r="H68" s="66" t="str">
        <f ca="1"/>
        <v>AAA</v>
      </c>
      <c r="I68" s="66" t="str">
        <f ca="1"/>
        <v>--</v>
      </c>
      <c r="J68" s="69">
        <f ca="1"/>
        <v>100.723</v>
      </c>
      <c r="K68" s="70">
        <f ca="1"/>
        <v>4.2830000000000004</v>
      </c>
      <c r="L68" s="71" t="str">
        <f ca="1"/>
        <v>30,000(400)</v>
      </c>
      <c r="M68" s="83"/>
      <c r="N68" s="84" t="str">
        <f t="shared" si="9"/>
        <v/>
      </c>
      <c r="O68" s="20" t="str">
        <f t="shared" si="10"/>
        <v/>
      </c>
      <c r="P68" s="64" t="str">
        <f t="shared" si="11"/>
        <v/>
      </c>
      <c r="Q68" s="85" t="str">
        <f t="shared" ca="1" si="12"/>
        <v/>
      </c>
      <c r="R68" s="86" t="str">
        <f t="shared" si="13"/>
        <v/>
      </c>
      <c r="S68" s="86" t="str">
        <f t="shared" si="14"/>
        <v/>
      </c>
      <c r="T68" s="104" t="str">
        <f t="shared" ref="T68:T131" si="15">IF(AND(M68&lt;&gt;"",M68&lt;&gt;0),YIELD(Q68,G68,F68/100,N68/(M68*10),100,2),"")</f>
        <v/>
      </c>
      <c r="U68" s="19" t="str">
        <f>IF(AND(M68&lt;&gt;"",M68&lt;&gt;0), IF(E68 = "Muni", T68, IF(E68="Corp", T68*(1 -'Investor Input'!$C$4-'Investor Input'!$C$5), T68*(1 -'Investor Input'!$C$4))), T68)</f>
        <v/>
      </c>
      <c r="V68" s="84" t="str">
        <f t="shared" ref="V68:V131" si="16">IF(AND(M68&lt;&gt;"",M68&lt;&gt;0),(FV(K68/(2*100),(G68-Q68)*2/365, F68*1000/(2*100), -N68/M68))*M68, "")</f>
        <v/>
      </c>
      <c r="W68" s="84" t="str">
        <f t="shared" ref="W68:W131" si="17">IF(AND(M68&lt;&gt;"",M68&lt;&gt;0),V68-N68,"")</f>
        <v/>
      </c>
      <c r="X68" s="46" t="str">
        <f t="shared" ref="X68:X131" si="18">IF(AND(M68&lt;&gt;"",M68&lt;&gt;0),W68/N68,"")</f>
        <v/>
      </c>
      <c r="Y68" s="60" t="str">
        <f t="shared" ref="Y68:Y131" si="19">IF(AND(M68&lt;&gt;"", M68&lt;&gt;0), MONTH(G68), "")</f>
        <v/>
      </c>
      <c r="Z68" s="60" t="str">
        <f t="shared" ref="Z68:Z131" si="20">IF(AND(M68&lt;&gt;"", M68&lt;&gt;0), MONTH(EDATE(G68, 6)), "")</f>
        <v/>
      </c>
      <c r="AA68" s="64" t="str">
        <f t="shared" ref="AA68:AA131" si="21">IF(AND(M68&lt;&gt;"", M68&lt;&gt;0), F68*1000*M68/(100*2), "")</f>
        <v/>
      </c>
      <c r="AB68" s="64" t="str">
        <f>IF(AND(AA68&lt;&gt;"",AA68&lt;&gt;0), IF(E68="Muni", AA68, IF(E68 = "Corp", (1-'Investor Input'!$C$4-'Investor Input'!$C$5)*AA68, (1-'Investor Input'!$C$4)*AA68)), AA68)</f>
        <v/>
      </c>
      <c r="AC68" s="94" t="str">
        <f t="shared" ref="AC68:AC131" si="22">IF(AND(M68&lt;&gt;"", M68&lt;&gt;0), H68, "")</f>
        <v/>
      </c>
      <c r="AD68" s="60" t="str">
        <f>IF(AND(M68&lt;&gt;"", M68&lt;&gt;0), N68/$N$505*MATCH(AC68,'Misc Lists'!$K$2:$K$25,0), "")</f>
        <v/>
      </c>
      <c r="AE68" s="90" t="str">
        <f t="shared" ref="AE68:AE131" si="23">IF(AND(M68&lt;&gt;"", M68&lt;&gt;0), I68, "")</f>
        <v/>
      </c>
      <c r="AF68" s="99" t="str">
        <f>IF(AND(M68&lt;&gt;"", M68&lt;&gt;0), N68/$N$505*MATCH(AE68,'Misc Lists'!$L$2:$L$25,0), "")</f>
        <v/>
      </c>
    </row>
    <row r="69" spans="2:32" hidden="1" outlineLevel="1" x14ac:dyDescent="0.5">
      <c r="B69" s="65" t="str">
        <f ca="1"/>
        <v>91282CCH2</v>
      </c>
      <c r="C69" s="66" t="str">
        <f ca="1"/>
        <v>N/A</v>
      </c>
      <c r="D69" s="65" t="str">
        <f ca="1"/>
        <v>UNITED STATES TREAS SER M-2028          1.25000% 06/30/2028 NTS NOTE</v>
      </c>
      <c r="E69" s="66" t="str">
        <f ca="1"/>
        <v>Tres</v>
      </c>
      <c r="F69" s="67">
        <f ca="1"/>
        <v>1.25</v>
      </c>
      <c r="G69" s="68">
        <f ca="1"/>
        <v>46934</v>
      </c>
      <c r="H69" s="66" t="str">
        <f ca="1"/>
        <v>AAA</v>
      </c>
      <c r="I69" s="66" t="str">
        <f ca="1"/>
        <v>--</v>
      </c>
      <c r="J69" s="69">
        <f ca="1"/>
        <v>90.587000000000003</v>
      </c>
      <c r="K69" s="70">
        <f ca="1"/>
        <v>4.2830000000000004</v>
      </c>
      <c r="L69" s="71" t="str">
        <f ca="1"/>
        <v>4,988(1)</v>
      </c>
      <c r="M69" s="83"/>
      <c r="N69" s="84" t="str">
        <f t="shared" ref="N69:N132" si="24">IF(AND(M69&lt;&gt;"", M69&lt;&gt;0), IF(L69 &lt;&gt; "N/A", IF(M69&gt;=VALUE(LEFT(L69, FIND("(", L69)-1)), J69*10*M69, 1000*M69), 1000*M69), "")</f>
        <v/>
      </c>
      <c r="O69" s="20" t="str">
        <f t="shared" ref="O69:O132" si="25">IF(AND(M69&lt;&gt;"",M69&lt;&gt;0),N69/$N$505, "")</f>
        <v/>
      </c>
      <c r="P69" s="64" t="str">
        <f t="shared" ref="P69:P132" si="26">IF(AND(M69&lt;&gt;"", M69&lt;&gt;0), F69*1000/100, "")</f>
        <v/>
      </c>
      <c r="Q69" s="85" t="str">
        <f t="shared" ref="Q69:Q132" ca="1" si="27">IF(AND(M69&lt;&gt;"", M69&lt;&gt;0), NOW(), "")</f>
        <v/>
      </c>
      <c r="R69" s="86" t="str">
        <f t="shared" ref="R69:R132" si="28">IF(AND(M69&lt;&gt;"", M69&lt;&gt;0), ROUND((G69 - Q69)/365, 0), "")</f>
        <v/>
      </c>
      <c r="S69" s="86" t="str">
        <f t="shared" ref="S69:S132" si="29">IF(AND(M69&lt;&gt;"",M69&lt;&gt;0),MDURATION(Q69,G69,F69/100,K69/100,2), "")</f>
        <v/>
      </c>
      <c r="T69" s="104" t="str">
        <f t="shared" si="15"/>
        <v/>
      </c>
      <c r="U69" s="19" t="str">
        <f>IF(AND(M69&lt;&gt;"",M69&lt;&gt;0), IF(E69 = "Muni", T69, IF(E69="Corp", T69*(1 -'Investor Input'!$C$4-'Investor Input'!$C$5), T69*(1 -'Investor Input'!$C$4))), T69)</f>
        <v/>
      </c>
      <c r="V69" s="84" t="str">
        <f t="shared" si="16"/>
        <v/>
      </c>
      <c r="W69" s="84" t="str">
        <f t="shared" si="17"/>
        <v/>
      </c>
      <c r="X69" s="46" t="str">
        <f t="shared" si="18"/>
        <v/>
      </c>
      <c r="Y69" s="60" t="str">
        <f t="shared" si="19"/>
        <v/>
      </c>
      <c r="Z69" s="60" t="str">
        <f t="shared" si="20"/>
        <v/>
      </c>
      <c r="AA69" s="64" t="str">
        <f t="shared" si="21"/>
        <v/>
      </c>
      <c r="AB69" s="64" t="str">
        <f>IF(AND(AA69&lt;&gt;"",AA69&lt;&gt;0), IF(E69="Muni", AA69, IF(E69 = "Corp", (1-'Investor Input'!$C$4-'Investor Input'!$C$5)*AA69, (1-'Investor Input'!$C$4)*AA69)), AA69)</f>
        <v/>
      </c>
      <c r="AC69" s="94" t="str">
        <f t="shared" si="22"/>
        <v/>
      </c>
      <c r="AD69" s="60" t="str">
        <f>IF(AND(M69&lt;&gt;"", M69&lt;&gt;0), N69/$N$505*MATCH(AC69,'Misc Lists'!$K$2:$K$25,0), "")</f>
        <v/>
      </c>
      <c r="AE69" s="90" t="str">
        <f t="shared" si="23"/>
        <v/>
      </c>
      <c r="AF69" s="99" t="str">
        <f>IF(AND(M69&lt;&gt;"", M69&lt;&gt;0), N69/$N$505*MATCH(AE69,'Misc Lists'!$L$2:$L$25,0), "")</f>
        <v/>
      </c>
    </row>
    <row r="70" spans="2:32" hidden="1" outlineLevel="1" x14ac:dyDescent="0.5">
      <c r="B70" s="65" t="str">
        <f ca="1"/>
        <v>91282CEU1</v>
      </c>
      <c r="C70" s="66" t="str">
        <f ca="1"/>
        <v>N/A</v>
      </c>
      <c r="D70" s="65" t="str">
        <f ca="1"/>
        <v>UNITED STATES TREAS SER AP-2025         2.87500% 06/15/2025 NTS NOTE</v>
      </c>
      <c r="E70" s="66" t="str">
        <f ca="1"/>
        <v>Tres</v>
      </c>
      <c r="F70" s="67">
        <f ca="1"/>
        <v>2.875</v>
      </c>
      <c r="G70" s="68">
        <f ca="1"/>
        <v>45823</v>
      </c>
      <c r="H70" s="66" t="str">
        <f ca="1"/>
        <v>AAA</v>
      </c>
      <c r="I70" s="66" t="str">
        <f ca="1"/>
        <v>--</v>
      </c>
      <c r="J70" s="69">
        <f ca="1"/>
        <v>99.546999999999997</v>
      </c>
      <c r="K70" s="70">
        <f ca="1"/>
        <v>4.282</v>
      </c>
      <c r="L70" s="71" t="str">
        <f ca="1"/>
        <v>30,000(600)</v>
      </c>
      <c r="M70" s="83"/>
      <c r="N70" s="84" t="str">
        <f t="shared" si="24"/>
        <v/>
      </c>
      <c r="O70" s="20" t="str">
        <f t="shared" si="25"/>
        <v/>
      </c>
      <c r="P70" s="64" t="str">
        <f t="shared" si="26"/>
        <v/>
      </c>
      <c r="Q70" s="85" t="str">
        <f t="shared" ca="1" si="27"/>
        <v/>
      </c>
      <c r="R70" s="86" t="str">
        <f t="shared" si="28"/>
        <v/>
      </c>
      <c r="S70" s="86" t="str">
        <f t="shared" si="29"/>
        <v/>
      </c>
      <c r="T70" s="104" t="str">
        <f t="shared" si="15"/>
        <v/>
      </c>
      <c r="U70" s="19" t="str">
        <f>IF(AND(M70&lt;&gt;"",M70&lt;&gt;0), IF(E70 = "Muni", T70, IF(E70="Corp", T70*(1 -'Investor Input'!$C$4-'Investor Input'!$C$5), T70*(1 -'Investor Input'!$C$4))), T70)</f>
        <v/>
      </c>
      <c r="V70" s="84" t="str">
        <f t="shared" si="16"/>
        <v/>
      </c>
      <c r="W70" s="84" t="str">
        <f t="shared" si="17"/>
        <v/>
      </c>
      <c r="X70" s="46" t="str">
        <f t="shared" si="18"/>
        <v/>
      </c>
      <c r="Y70" s="60" t="str">
        <f t="shared" si="19"/>
        <v/>
      </c>
      <c r="Z70" s="60" t="str">
        <f t="shared" si="20"/>
        <v/>
      </c>
      <c r="AA70" s="64" t="str">
        <f t="shared" si="21"/>
        <v/>
      </c>
      <c r="AB70" s="64" t="str">
        <f>IF(AND(AA70&lt;&gt;"",AA70&lt;&gt;0), IF(E70="Muni", AA70, IF(E70 = "Corp", (1-'Investor Input'!$C$4-'Investor Input'!$C$5)*AA70, (1-'Investor Input'!$C$4)*AA70)), AA70)</f>
        <v/>
      </c>
      <c r="AC70" s="94" t="str">
        <f t="shared" si="22"/>
        <v/>
      </c>
      <c r="AD70" s="60" t="str">
        <f>IF(AND(M70&lt;&gt;"", M70&lt;&gt;0), N70/$N$505*MATCH(AC70,'Misc Lists'!$K$2:$K$25,0), "")</f>
        <v/>
      </c>
      <c r="AE70" s="90" t="str">
        <f t="shared" si="23"/>
        <v/>
      </c>
      <c r="AF70" s="99" t="str">
        <f>IF(AND(M70&lt;&gt;"", M70&lt;&gt;0), N70/$N$505*MATCH(AE70,'Misc Lists'!$L$2:$L$25,0), "")</f>
        <v/>
      </c>
    </row>
    <row r="71" spans="2:32" hidden="1" outlineLevel="1" x14ac:dyDescent="0.5">
      <c r="B71" s="65" t="str">
        <f ca="1"/>
        <v>91282CKB6</v>
      </c>
      <c r="C71" s="66" t="str">
        <f ca="1"/>
        <v>N/A</v>
      </c>
      <c r="D71" s="65" t="str">
        <f ca="1"/>
        <v>UNITED STATES TREAS SER AY-2026         4.62500% 02/28/2026 NTS NOTE</v>
      </c>
      <c r="E71" s="66" t="str">
        <f ca="1"/>
        <v>Tres</v>
      </c>
      <c r="F71" s="67">
        <f ca="1"/>
        <v>4.625</v>
      </c>
      <c r="G71" s="68">
        <f ca="1"/>
        <v>46081</v>
      </c>
      <c r="H71" s="66" t="str">
        <f ca="1"/>
        <v>AAA</v>
      </c>
      <c r="I71" s="66" t="str">
        <f ca="1"/>
        <v>--</v>
      </c>
      <c r="J71" s="69">
        <f ca="1"/>
        <v>100.34</v>
      </c>
      <c r="K71" s="70">
        <f ca="1"/>
        <v>4.282</v>
      </c>
      <c r="L71" s="71" t="str">
        <f ca="1"/>
        <v>29,024(400)</v>
      </c>
      <c r="M71" s="83"/>
      <c r="N71" s="84" t="str">
        <f t="shared" si="24"/>
        <v/>
      </c>
      <c r="O71" s="20" t="str">
        <f t="shared" si="25"/>
        <v/>
      </c>
      <c r="P71" s="64" t="str">
        <f t="shared" si="26"/>
        <v/>
      </c>
      <c r="Q71" s="85" t="str">
        <f t="shared" ca="1" si="27"/>
        <v/>
      </c>
      <c r="R71" s="86" t="str">
        <f t="shared" si="28"/>
        <v/>
      </c>
      <c r="S71" s="86" t="str">
        <f t="shared" si="29"/>
        <v/>
      </c>
      <c r="T71" s="104" t="str">
        <f t="shared" si="15"/>
        <v/>
      </c>
      <c r="U71" s="19" t="str">
        <f>IF(AND(M71&lt;&gt;"",M71&lt;&gt;0), IF(E71 = "Muni", T71, IF(E71="Corp", T71*(1 -'Investor Input'!$C$4-'Investor Input'!$C$5), T71*(1 -'Investor Input'!$C$4))), T71)</f>
        <v/>
      </c>
      <c r="V71" s="84" t="str">
        <f t="shared" si="16"/>
        <v/>
      </c>
      <c r="W71" s="84" t="str">
        <f t="shared" si="17"/>
        <v/>
      </c>
      <c r="X71" s="46" t="str">
        <f t="shared" si="18"/>
        <v/>
      </c>
      <c r="Y71" s="60" t="str">
        <f t="shared" si="19"/>
        <v/>
      </c>
      <c r="Z71" s="60" t="str">
        <f t="shared" si="20"/>
        <v/>
      </c>
      <c r="AA71" s="64" t="str">
        <f t="shared" si="21"/>
        <v/>
      </c>
      <c r="AB71" s="64" t="str">
        <f>IF(AND(AA71&lt;&gt;"",AA71&lt;&gt;0), IF(E71="Muni", AA71, IF(E71 = "Corp", (1-'Investor Input'!$C$4-'Investor Input'!$C$5)*AA71, (1-'Investor Input'!$C$4)*AA71)), AA71)</f>
        <v/>
      </c>
      <c r="AC71" s="94" t="str">
        <f t="shared" si="22"/>
        <v/>
      </c>
      <c r="AD71" s="60" t="str">
        <f>IF(AND(M71&lt;&gt;"", M71&lt;&gt;0), N71/$N$505*MATCH(AC71,'Misc Lists'!$K$2:$K$25,0), "")</f>
        <v/>
      </c>
      <c r="AE71" s="90" t="str">
        <f t="shared" si="23"/>
        <v/>
      </c>
      <c r="AF71" s="99" t="str">
        <f>IF(AND(M71&lt;&gt;"", M71&lt;&gt;0), N71/$N$505*MATCH(AE71,'Misc Lists'!$L$2:$L$25,0), "")</f>
        <v/>
      </c>
    </row>
    <row r="72" spans="2:32" outlineLevel="1" x14ac:dyDescent="0.5">
      <c r="B72" s="65" t="str">
        <f ca="1"/>
        <v>91282CHE4</v>
      </c>
      <c r="C72" s="66" t="str">
        <f ca="1"/>
        <v>N/A</v>
      </c>
      <c r="D72" s="65" t="str">
        <f ca="1"/>
        <v>UNITED STATES TREAS SER Z-2028          3.62500% 05/31/2028 NTS NOTE</v>
      </c>
      <c r="E72" s="66" t="str">
        <f ca="1"/>
        <v>Tres</v>
      </c>
      <c r="F72" s="67">
        <f ca="1"/>
        <v>3.625</v>
      </c>
      <c r="G72" s="68">
        <f ca="1"/>
        <v>46904</v>
      </c>
      <c r="H72" s="66" t="str">
        <f ca="1"/>
        <v>AAA</v>
      </c>
      <c r="I72" s="66" t="str">
        <f ca="1"/>
        <v>--</v>
      </c>
      <c r="J72" s="69">
        <f ca="1"/>
        <v>98.004999999999995</v>
      </c>
      <c r="K72" s="70">
        <f ca="1"/>
        <v>4.282</v>
      </c>
      <c r="L72" s="71" t="str">
        <f ca="1"/>
        <v>65,000(400)</v>
      </c>
      <c r="M72" s="83">
        <v>200</v>
      </c>
      <c r="N72" s="84">
        <f t="shared" ca="1" si="24"/>
        <v>200000</v>
      </c>
      <c r="O72" s="20">
        <f t="shared" ca="1" si="25"/>
        <v>0.1985062897958586</v>
      </c>
      <c r="P72" s="64">
        <f t="shared" ca="1" si="26"/>
        <v>36.25</v>
      </c>
      <c r="Q72" s="85">
        <f t="shared" ca="1" si="27"/>
        <v>45791.491364930553</v>
      </c>
      <c r="R72" s="86">
        <f t="shared" ca="1" si="28"/>
        <v>3</v>
      </c>
      <c r="S72" s="86">
        <f t="shared" ca="1" si="29"/>
        <v>2.8006464715069028</v>
      </c>
      <c r="T72" s="104">
        <f t="shared" ca="1" si="15"/>
        <v>3.6245376380193185E-2</v>
      </c>
      <c r="U72" s="19">
        <f ca="1">IF(AND(M72&lt;&gt;"",M72&lt;&gt;0), IF(E72 = "Muni", T72, IF(E72="Corp", T72*(1 -'Investor Input'!$C$4-'Investor Input'!$C$5), T72*(1 -'Investor Input'!$C$4))), T72)</f>
        <v>2.2834587119521708E-2</v>
      </c>
      <c r="V72" s="84">
        <f t="shared" ca="1" si="16"/>
        <v>204230.00691746155</v>
      </c>
      <c r="W72" s="84">
        <f t="shared" ca="1" si="17"/>
        <v>4230.0069174615492</v>
      </c>
      <c r="X72" s="46">
        <f t="shared" ca="1" si="18"/>
        <v>2.1150034587307746E-2</v>
      </c>
      <c r="Y72" s="60">
        <f t="shared" ca="1" si="19"/>
        <v>5</v>
      </c>
      <c r="Z72" s="60">
        <f t="shared" ca="1" si="20"/>
        <v>11</v>
      </c>
      <c r="AA72" s="64">
        <f t="shared" ca="1" si="21"/>
        <v>3625</v>
      </c>
      <c r="AB72" s="64">
        <f ca="1">IF(AND(AA72&lt;&gt;"",AA72&lt;&gt;0), IF(E72="Muni", AA72, IF(E72 = "Corp", (1-'Investor Input'!$C$4-'Investor Input'!$C$5)*AA72, (1-'Investor Input'!$C$4)*AA72)), AA72)</f>
        <v>2283.75</v>
      </c>
      <c r="AC72" s="94" t="str">
        <f t="shared" ca="1" si="22"/>
        <v>AAA</v>
      </c>
      <c r="AD72" s="60">
        <f ca="1">IF(AND(M72&lt;&gt;"", M72&lt;&gt;0), N72/$N$505*MATCH(AC72,'Misc Lists'!$K$2:$K$25,0), "")</f>
        <v>0.39701257959171721</v>
      </c>
      <c r="AE72" s="90" t="str">
        <f t="shared" ca="1" si="23"/>
        <v>--</v>
      </c>
      <c r="AF72" s="99">
        <f ca="1">IF(AND(M72&lt;&gt;"", M72&lt;&gt;0), N72/$N$505*MATCH(AE72,'Misc Lists'!$L$2:$L$25,0), "")</f>
        <v>4.565644665304748</v>
      </c>
    </row>
    <row r="73" spans="2:32" hidden="1" outlineLevel="1" x14ac:dyDescent="0.5">
      <c r="B73" s="65" t="str">
        <f ca="1"/>
        <v>9128283W8</v>
      </c>
      <c r="C73" s="66" t="str">
        <f ca="1"/>
        <v>N/A</v>
      </c>
      <c r="D73" s="65" t="str">
        <f ca="1"/>
        <v>UNITED STATES TREAS NOTES               2.75000% 02/15/2028</v>
      </c>
      <c r="E73" s="66" t="str">
        <f ca="1"/>
        <v>Tres</v>
      </c>
      <c r="F73" s="67">
        <f ca="1"/>
        <v>2.75</v>
      </c>
      <c r="G73" s="68">
        <f ca="1"/>
        <v>46798</v>
      </c>
      <c r="H73" s="66" t="str">
        <f ca="1"/>
        <v>AAA</v>
      </c>
      <c r="I73" s="66" t="str">
        <f ca="1"/>
        <v>--</v>
      </c>
      <c r="J73" s="69">
        <f ca="1"/>
        <v>95.742999999999995</v>
      </c>
      <c r="K73" s="70">
        <f ca="1"/>
        <v>4.2809999999999997</v>
      </c>
      <c r="L73" s="71" t="str">
        <f ca="1"/>
        <v>65,000(400)</v>
      </c>
      <c r="M73" s="83"/>
      <c r="N73" s="84" t="str">
        <f t="shared" si="24"/>
        <v/>
      </c>
      <c r="O73" s="20" t="str">
        <f t="shared" si="25"/>
        <v/>
      </c>
      <c r="P73" s="64" t="str">
        <f t="shared" si="26"/>
        <v/>
      </c>
      <c r="Q73" s="85" t="str">
        <f t="shared" ca="1" si="27"/>
        <v/>
      </c>
      <c r="R73" s="86" t="str">
        <f t="shared" si="28"/>
        <v/>
      </c>
      <c r="S73" s="86" t="str">
        <f t="shared" si="29"/>
        <v/>
      </c>
      <c r="T73" s="104" t="str">
        <f t="shared" si="15"/>
        <v/>
      </c>
      <c r="U73" s="19" t="str">
        <f>IF(AND(M73&lt;&gt;"",M73&lt;&gt;0), IF(E73 = "Muni", T73, IF(E73="Corp", T73*(1 -'Investor Input'!$C$4-'Investor Input'!$C$5), T73*(1 -'Investor Input'!$C$4))), T73)</f>
        <v/>
      </c>
      <c r="V73" s="84" t="str">
        <f t="shared" si="16"/>
        <v/>
      </c>
      <c r="W73" s="84" t="str">
        <f t="shared" si="17"/>
        <v/>
      </c>
      <c r="X73" s="46" t="str">
        <f t="shared" si="18"/>
        <v/>
      </c>
      <c r="Y73" s="60" t="str">
        <f t="shared" si="19"/>
        <v/>
      </c>
      <c r="Z73" s="60" t="str">
        <f t="shared" si="20"/>
        <v/>
      </c>
      <c r="AA73" s="64" t="str">
        <f t="shared" si="21"/>
        <v/>
      </c>
      <c r="AB73" s="64" t="str">
        <f>IF(AND(AA73&lt;&gt;"",AA73&lt;&gt;0), IF(E73="Muni", AA73, IF(E73 = "Corp", (1-'Investor Input'!$C$4-'Investor Input'!$C$5)*AA73, (1-'Investor Input'!$C$4)*AA73)), AA73)</f>
        <v/>
      </c>
      <c r="AC73" s="94" t="str">
        <f t="shared" si="22"/>
        <v/>
      </c>
      <c r="AD73" s="60" t="str">
        <f>IF(AND(M73&lt;&gt;"", M73&lt;&gt;0), N73/$N$505*MATCH(AC73,'Misc Lists'!$K$2:$K$25,0), "")</f>
        <v/>
      </c>
      <c r="AE73" s="90" t="str">
        <f t="shared" si="23"/>
        <v/>
      </c>
      <c r="AF73" s="99" t="str">
        <f>IF(AND(M73&lt;&gt;"", M73&lt;&gt;0), N73/$N$505*MATCH(AE73,'Misc Lists'!$L$2:$L$25,0), "")</f>
        <v/>
      </c>
    </row>
    <row r="74" spans="2:32" outlineLevel="1" x14ac:dyDescent="0.5">
      <c r="B74" s="65" t="str">
        <f ca="1"/>
        <v>912828YB0</v>
      </c>
      <c r="C74" s="66" t="str">
        <f ca="1"/>
        <v>N/A</v>
      </c>
      <c r="D74" s="65" t="str">
        <f ca="1"/>
        <v>UNITED STATES TREAS SER E-2029          1.62500% 08/15/2029 NTS NOTE</v>
      </c>
      <c r="E74" s="66" t="str">
        <f ca="1"/>
        <v>Tres</v>
      </c>
      <c r="F74" s="67">
        <f ca="1"/>
        <v>1.625</v>
      </c>
      <c r="G74" s="68">
        <f ca="1"/>
        <v>47345</v>
      </c>
      <c r="H74" s="66" t="str">
        <f ca="1"/>
        <v>AAA</v>
      </c>
      <c r="I74" s="66" t="str">
        <f ca="1"/>
        <v>--</v>
      </c>
      <c r="J74" s="69">
        <f ca="1"/>
        <v>89.248000000000005</v>
      </c>
      <c r="K74" s="70">
        <f ca="1"/>
        <v>4.2809999999999997</v>
      </c>
      <c r="L74" s="71" t="str">
        <f ca="1"/>
        <v>1,200(200)</v>
      </c>
      <c r="M74" s="83">
        <v>200</v>
      </c>
      <c r="N74" s="84">
        <f t="shared" ca="1" si="24"/>
        <v>200000</v>
      </c>
      <c r="O74" s="20">
        <f t="shared" ca="1" si="25"/>
        <v>0.1985062897958586</v>
      </c>
      <c r="P74" s="64">
        <f t="shared" ca="1" si="26"/>
        <v>16.25</v>
      </c>
      <c r="Q74" s="85">
        <f t="shared" ca="1" si="27"/>
        <v>45791.491364930553</v>
      </c>
      <c r="R74" s="86">
        <f t="shared" ca="1" si="28"/>
        <v>4</v>
      </c>
      <c r="S74" s="86">
        <f t="shared" ca="1" si="29"/>
        <v>4.0140005820808486</v>
      </c>
      <c r="T74" s="104">
        <f t="shared" ca="1" si="15"/>
        <v>1.62479926177364E-2</v>
      </c>
      <c r="U74" s="19">
        <f ca="1">IF(AND(M74&lt;&gt;"",M74&lt;&gt;0), IF(E74 = "Muni", T74, IF(E74="Corp", T74*(1 -'Investor Input'!$C$4-'Investor Input'!$C$5), T74*(1 -'Investor Input'!$C$4))), T74)</f>
        <v>1.0236235349173933E-2</v>
      </c>
      <c r="V74" s="84">
        <f t="shared" ca="1" si="16"/>
        <v>224513.65625186605</v>
      </c>
      <c r="W74" s="84">
        <f t="shared" ca="1" si="17"/>
        <v>24513.65625186605</v>
      </c>
      <c r="X74" s="46">
        <f t="shared" ca="1" si="18"/>
        <v>0.12256828125933025</v>
      </c>
      <c r="Y74" s="60">
        <f t="shared" ca="1" si="19"/>
        <v>8</v>
      </c>
      <c r="Z74" s="60">
        <f t="shared" ca="1" si="20"/>
        <v>2</v>
      </c>
      <c r="AA74" s="64">
        <f t="shared" ca="1" si="21"/>
        <v>1625</v>
      </c>
      <c r="AB74" s="64">
        <f ca="1">IF(AND(AA74&lt;&gt;"",AA74&lt;&gt;0), IF(E74="Muni", AA74, IF(E74 = "Corp", (1-'Investor Input'!$C$4-'Investor Input'!$C$5)*AA74, (1-'Investor Input'!$C$4)*AA74)), AA74)</f>
        <v>1023.75</v>
      </c>
      <c r="AC74" s="94" t="str">
        <f t="shared" ca="1" si="22"/>
        <v>AAA</v>
      </c>
      <c r="AD74" s="60">
        <f ca="1">IF(AND(M74&lt;&gt;"", M74&lt;&gt;0), N74/$N$505*MATCH(AC74,'Misc Lists'!$K$2:$K$25,0), "")</f>
        <v>0.39701257959171721</v>
      </c>
      <c r="AE74" s="90" t="str">
        <f t="shared" ca="1" si="23"/>
        <v>--</v>
      </c>
      <c r="AF74" s="99">
        <f ca="1">IF(AND(M74&lt;&gt;"", M74&lt;&gt;0), N74/$N$505*MATCH(AE74,'Misc Lists'!$L$2:$L$25,0), "")</f>
        <v>4.565644665304748</v>
      </c>
    </row>
    <row r="75" spans="2:32" hidden="1" outlineLevel="1" x14ac:dyDescent="0.5">
      <c r="B75" s="65" t="str">
        <f ca="1"/>
        <v>91282CHD6</v>
      </c>
      <c r="C75" s="66" t="str">
        <f ca="1"/>
        <v>N/A</v>
      </c>
      <c r="D75" s="65" t="str">
        <f ca="1"/>
        <v>UNITED STATES TREAS SER BC-2025         4.25000% 05/31/2025 NTS NOTE</v>
      </c>
      <c r="E75" s="66" t="str">
        <f ca="1"/>
        <v>Tres</v>
      </c>
      <c r="F75" s="67">
        <f ca="1"/>
        <v>4.25</v>
      </c>
      <c r="G75" s="68">
        <f ca="1"/>
        <v>45808</v>
      </c>
      <c r="H75" s="66" t="str">
        <f ca="1"/>
        <v>AAA</v>
      </c>
      <c r="I75" s="66" t="str">
        <f ca="1"/>
        <v>--</v>
      </c>
      <c r="J75" s="69">
        <f ca="1"/>
        <v>99.980999999999995</v>
      </c>
      <c r="K75" s="70">
        <f ca="1"/>
        <v>4.28</v>
      </c>
      <c r="L75" s="71" t="str">
        <f ca="1"/>
        <v>30,000(600)</v>
      </c>
      <c r="M75" s="83"/>
      <c r="N75" s="84" t="str">
        <f t="shared" si="24"/>
        <v/>
      </c>
      <c r="O75" s="20" t="str">
        <f t="shared" si="25"/>
        <v/>
      </c>
      <c r="P75" s="64" t="str">
        <f t="shared" si="26"/>
        <v/>
      </c>
      <c r="Q75" s="85" t="str">
        <f t="shared" ca="1" si="27"/>
        <v/>
      </c>
      <c r="R75" s="86" t="str">
        <f t="shared" si="28"/>
        <v/>
      </c>
      <c r="S75" s="86" t="str">
        <f t="shared" si="29"/>
        <v/>
      </c>
      <c r="T75" s="104" t="str">
        <f t="shared" si="15"/>
        <v/>
      </c>
      <c r="U75" s="19" t="str">
        <f>IF(AND(M75&lt;&gt;"",M75&lt;&gt;0), IF(E75 = "Muni", T75, IF(E75="Corp", T75*(1 -'Investor Input'!$C$4-'Investor Input'!$C$5), T75*(1 -'Investor Input'!$C$4))), T75)</f>
        <v/>
      </c>
      <c r="V75" s="84" t="str">
        <f t="shared" si="16"/>
        <v/>
      </c>
      <c r="W75" s="84" t="str">
        <f t="shared" si="17"/>
        <v/>
      </c>
      <c r="X75" s="46" t="str">
        <f t="shared" si="18"/>
        <v/>
      </c>
      <c r="Y75" s="60" t="str">
        <f t="shared" si="19"/>
        <v/>
      </c>
      <c r="Z75" s="60" t="str">
        <f t="shared" si="20"/>
        <v/>
      </c>
      <c r="AA75" s="64" t="str">
        <f t="shared" si="21"/>
        <v/>
      </c>
      <c r="AB75" s="64" t="str">
        <f>IF(AND(AA75&lt;&gt;"",AA75&lt;&gt;0), IF(E75="Muni", AA75, IF(E75 = "Corp", (1-'Investor Input'!$C$4-'Investor Input'!$C$5)*AA75, (1-'Investor Input'!$C$4)*AA75)), AA75)</f>
        <v/>
      </c>
      <c r="AC75" s="94" t="str">
        <f t="shared" si="22"/>
        <v/>
      </c>
      <c r="AD75" s="60" t="str">
        <f>IF(AND(M75&lt;&gt;"", M75&lt;&gt;0), N75/$N$505*MATCH(AC75,'Misc Lists'!$K$2:$K$25,0), "")</f>
        <v/>
      </c>
      <c r="AE75" s="90" t="str">
        <f t="shared" si="23"/>
        <v/>
      </c>
      <c r="AF75" s="99" t="str">
        <f>IF(AND(M75&lt;&gt;"", M75&lt;&gt;0), N75/$N$505*MATCH(AE75,'Misc Lists'!$L$2:$L$25,0), "")</f>
        <v/>
      </c>
    </row>
    <row r="76" spans="2:32" hidden="1" outlineLevel="1" x14ac:dyDescent="0.5">
      <c r="B76" s="65" t="str">
        <f ca="1"/>
        <v>912828P46</v>
      </c>
      <c r="C76" s="66" t="str">
        <f ca="1"/>
        <v>N/A</v>
      </c>
      <c r="D76" s="65" t="str">
        <f ca="1"/>
        <v>UNITED STATES TREAS SER B-2026          1.62500% 02/15/2026 NTS NOTE</v>
      </c>
      <c r="E76" s="66" t="str">
        <f ca="1"/>
        <v>Tres</v>
      </c>
      <c r="F76" s="67">
        <f ca="1"/>
        <v>1.625</v>
      </c>
      <c r="G76" s="68">
        <f ca="1"/>
        <v>46068</v>
      </c>
      <c r="H76" s="66" t="str">
        <f ca="1"/>
        <v>AAA</v>
      </c>
      <c r="I76" s="66" t="str">
        <f ca="1"/>
        <v>--</v>
      </c>
      <c r="J76" s="69">
        <f ca="1"/>
        <v>97.448999999999998</v>
      </c>
      <c r="K76" s="70">
        <f ca="1"/>
        <v>4.28</v>
      </c>
      <c r="L76" s="71" t="str">
        <f ca="1"/>
        <v>2,800(200)</v>
      </c>
      <c r="M76" s="83"/>
      <c r="N76" s="84" t="str">
        <f t="shared" si="24"/>
        <v/>
      </c>
      <c r="O76" s="20" t="str">
        <f t="shared" si="25"/>
        <v/>
      </c>
      <c r="P76" s="64" t="str">
        <f t="shared" si="26"/>
        <v/>
      </c>
      <c r="Q76" s="85" t="str">
        <f t="shared" ca="1" si="27"/>
        <v/>
      </c>
      <c r="R76" s="86" t="str">
        <f t="shared" si="28"/>
        <v/>
      </c>
      <c r="S76" s="86" t="str">
        <f t="shared" si="29"/>
        <v/>
      </c>
      <c r="T76" s="104" t="str">
        <f t="shared" si="15"/>
        <v/>
      </c>
      <c r="U76" s="19" t="str">
        <f>IF(AND(M76&lt;&gt;"",M76&lt;&gt;0), IF(E76 = "Muni", T76, IF(E76="Corp", T76*(1 -'Investor Input'!$C$4-'Investor Input'!$C$5), T76*(1 -'Investor Input'!$C$4))), T76)</f>
        <v/>
      </c>
      <c r="V76" s="84" t="str">
        <f t="shared" si="16"/>
        <v/>
      </c>
      <c r="W76" s="84" t="str">
        <f t="shared" si="17"/>
        <v/>
      </c>
      <c r="X76" s="46" t="str">
        <f t="shared" si="18"/>
        <v/>
      </c>
      <c r="Y76" s="60" t="str">
        <f t="shared" si="19"/>
        <v/>
      </c>
      <c r="Z76" s="60" t="str">
        <f t="shared" si="20"/>
        <v/>
      </c>
      <c r="AA76" s="64" t="str">
        <f t="shared" si="21"/>
        <v/>
      </c>
      <c r="AB76" s="64" t="str">
        <f>IF(AND(AA76&lt;&gt;"",AA76&lt;&gt;0), IF(E76="Muni", AA76, IF(E76 = "Corp", (1-'Investor Input'!$C$4-'Investor Input'!$C$5)*AA76, (1-'Investor Input'!$C$4)*AA76)), AA76)</f>
        <v/>
      </c>
      <c r="AC76" s="94" t="str">
        <f t="shared" si="22"/>
        <v/>
      </c>
      <c r="AD76" s="60" t="str">
        <f>IF(AND(M76&lt;&gt;"", M76&lt;&gt;0), N76/$N$505*MATCH(AC76,'Misc Lists'!$K$2:$K$25,0), "")</f>
        <v/>
      </c>
      <c r="AE76" s="90" t="str">
        <f t="shared" si="23"/>
        <v/>
      </c>
      <c r="AF76" s="99" t="str">
        <f>IF(AND(M76&lt;&gt;"", M76&lt;&gt;0), N76/$N$505*MATCH(AE76,'Misc Lists'!$L$2:$L$25,0), "")</f>
        <v/>
      </c>
    </row>
    <row r="77" spans="2:32" hidden="1" outlineLevel="1" x14ac:dyDescent="0.5">
      <c r="B77" s="65" t="str">
        <f ca="1"/>
        <v>91282CBZ3</v>
      </c>
      <c r="C77" s="66" t="str">
        <f ca="1"/>
        <v>N/A</v>
      </c>
      <c r="D77" s="65" t="str">
        <f ca="1"/>
        <v>UNITED STATES TREAS SER K-2028          1.25000% 04/30/2028 NTS NOTE</v>
      </c>
      <c r="E77" s="66" t="str">
        <f ca="1"/>
        <v>Tres</v>
      </c>
      <c r="F77" s="67">
        <f ca="1"/>
        <v>1.25</v>
      </c>
      <c r="G77" s="68">
        <f ca="1"/>
        <v>46873</v>
      </c>
      <c r="H77" s="66" t="str">
        <f ca="1"/>
        <v>AAA</v>
      </c>
      <c r="I77" s="66" t="str">
        <f ca="1"/>
        <v>--</v>
      </c>
      <c r="J77" s="69">
        <f ca="1"/>
        <v>91.036000000000001</v>
      </c>
      <c r="K77" s="70">
        <f ca="1"/>
        <v>4.28</v>
      </c>
      <c r="L77" s="71" t="str">
        <f ca="1"/>
        <v>1,000(200)</v>
      </c>
      <c r="M77" s="83"/>
      <c r="N77" s="84" t="str">
        <f t="shared" si="24"/>
        <v/>
      </c>
      <c r="O77" s="20" t="str">
        <f t="shared" si="25"/>
        <v/>
      </c>
      <c r="P77" s="64" t="str">
        <f t="shared" si="26"/>
        <v/>
      </c>
      <c r="Q77" s="85" t="str">
        <f t="shared" ca="1" si="27"/>
        <v/>
      </c>
      <c r="R77" s="86" t="str">
        <f t="shared" si="28"/>
        <v/>
      </c>
      <c r="S77" s="86" t="str">
        <f t="shared" si="29"/>
        <v/>
      </c>
      <c r="T77" s="104" t="str">
        <f t="shared" si="15"/>
        <v/>
      </c>
      <c r="U77" s="19" t="str">
        <f>IF(AND(M77&lt;&gt;"",M77&lt;&gt;0), IF(E77 = "Muni", T77, IF(E77="Corp", T77*(1 -'Investor Input'!$C$4-'Investor Input'!$C$5), T77*(1 -'Investor Input'!$C$4))), T77)</f>
        <v/>
      </c>
      <c r="V77" s="84" t="str">
        <f t="shared" si="16"/>
        <v/>
      </c>
      <c r="W77" s="84" t="str">
        <f t="shared" si="17"/>
        <v/>
      </c>
      <c r="X77" s="46" t="str">
        <f t="shared" si="18"/>
        <v/>
      </c>
      <c r="Y77" s="60" t="str">
        <f t="shared" si="19"/>
        <v/>
      </c>
      <c r="Z77" s="60" t="str">
        <f t="shared" si="20"/>
        <v/>
      </c>
      <c r="AA77" s="64" t="str">
        <f t="shared" si="21"/>
        <v/>
      </c>
      <c r="AB77" s="64" t="str">
        <f>IF(AND(AA77&lt;&gt;"",AA77&lt;&gt;0), IF(E77="Muni", AA77, IF(E77 = "Corp", (1-'Investor Input'!$C$4-'Investor Input'!$C$5)*AA77, (1-'Investor Input'!$C$4)*AA77)), AA77)</f>
        <v/>
      </c>
      <c r="AC77" s="94" t="str">
        <f t="shared" si="22"/>
        <v/>
      </c>
      <c r="AD77" s="60" t="str">
        <f>IF(AND(M77&lt;&gt;"", M77&lt;&gt;0), N77/$N$505*MATCH(AC77,'Misc Lists'!$K$2:$K$25,0), "")</f>
        <v/>
      </c>
      <c r="AE77" s="90" t="str">
        <f t="shared" si="23"/>
        <v/>
      </c>
      <c r="AF77" s="99" t="str">
        <f>IF(AND(M77&lt;&gt;"", M77&lt;&gt;0), N77/$N$505*MATCH(AE77,'Misc Lists'!$L$2:$L$25,0), "")</f>
        <v/>
      </c>
    </row>
    <row r="78" spans="2:32" hidden="1" outlineLevel="1" x14ac:dyDescent="0.5">
      <c r="B78" s="65" t="str">
        <f ca="1"/>
        <v>91282CHA2</v>
      </c>
      <c r="C78" s="66" t="str">
        <f ca="1"/>
        <v>N/A</v>
      </c>
      <c r="D78" s="65" t="str">
        <f ca="1"/>
        <v>UNITED STATES TREAS SER Y-2028          3.50000% 04/30/2028 NTS NOTE</v>
      </c>
      <c r="E78" s="66" t="str">
        <f ca="1"/>
        <v>Tres</v>
      </c>
      <c r="F78" s="67">
        <f ca="1"/>
        <v>3.5</v>
      </c>
      <c r="G78" s="68">
        <f ca="1"/>
        <v>46873</v>
      </c>
      <c r="H78" s="66" t="str">
        <f ca="1"/>
        <v>AAA</v>
      </c>
      <c r="I78" s="66" t="str">
        <f ca="1"/>
        <v>--</v>
      </c>
      <c r="J78" s="69">
        <f ca="1"/>
        <v>97.688000000000002</v>
      </c>
      <c r="K78" s="70">
        <f ca="1"/>
        <v>4.28</v>
      </c>
      <c r="L78" s="71" t="str">
        <f ca="1"/>
        <v>65,000(400)</v>
      </c>
      <c r="M78" s="83"/>
      <c r="N78" s="84" t="str">
        <f t="shared" si="24"/>
        <v/>
      </c>
      <c r="O78" s="20" t="str">
        <f t="shared" si="25"/>
        <v/>
      </c>
      <c r="P78" s="64" t="str">
        <f t="shared" si="26"/>
        <v/>
      </c>
      <c r="Q78" s="85" t="str">
        <f t="shared" ca="1" si="27"/>
        <v/>
      </c>
      <c r="R78" s="86" t="str">
        <f t="shared" si="28"/>
        <v/>
      </c>
      <c r="S78" s="86" t="str">
        <f t="shared" si="29"/>
        <v/>
      </c>
      <c r="T78" s="104" t="str">
        <f t="shared" si="15"/>
        <v/>
      </c>
      <c r="U78" s="19" t="str">
        <f>IF(AND(M78&lt;&gt;"",M78&lt;&gt;0), IF(E78 = "Muni", T78, IF(E78="Corp", T78*(1 -'Investor Input'!$C$4-'Investor Input'!$C$5), T78*(1 -'Investor Input'!$C$4))), T78)</f>
        <v/>
      </c>
      <c r="V78" s="84" t="str">
        <f t="shared" si="16"/>
        <v/>
      </c>
      <c r="W78" s="84" t="str">
        <f t="shared" si="17"/>
        <v/>
      </c>
      <c r="X78" s="46" t="str">
        <f t="shared" si="18"/>
        <v/>
      </c>
      <c r="Y78" s="60" t="str">
        <f t="shared" si="19"/>
        <v/>
      </c>
      <c r="Z78" s="60" t="str">
        <f t="shared" si="20"/>
        <v/>
      </c>
      <c r="AA78" s="64" t="str">
        <f t="shared" si="21"/>
        <v/>
      </c>
      <c r="AB78" s="64" t="str">
        <f>IF(AND(AA78&lt;&gt;"",AA78&lt;&gt;0), IF(E78="Muni", AA78, IF(E78 = "Corp", (1-'Investor Input'!$C$4-'Investor Input'!$C$5)*AA78, (1-'Investor Input'!$C$4)*AA78)), AA78)</f>
        <v/>
      </c>
      <c r="AC78" s="94" t="str">
        <f t="shared" si="22"/>
        <v/>
      </c>
      <c r="AD78" s="60" t="str">
        <f>IF(AND(M78&lt;&gt;"", M78&lt;&gt;0), N78/$N$505*MATCH(AC78,'Misc Lists'!$K$2:$K$25,0), "")</f>
        <v/>
      </c>
      <c r="AE78" s="90" t="str">
        <f t="shared" si="23"/>
        <v/>
      </c>
      <c r="AF78" s="99" t="str">
        <f>IF(AND(M78&lt;&gt;"", M78&lt;&gt;0), N78/$N$505*MATCH(AE78,'Misc Lists'!$L$2:$L$25,0), "")</f>
        <v/>
      </c>
    </row>
    <row r="79" spans="2:32" hidden="1" outlineLevel="1" x14ac:dyDescent="0.5">
      <c r="B79" s="65" t="str">
        <f ca="1"/>
        <v>91282CHK0</v>
      </c>
      <c r="C79" s="66" t="str">
        <f ca="1"/>
        <v>N/A</v>
      </c>
      <c r="D79" s="65" t="str">
        <f ca="1"/>
        <v>UNITED STATES TREAS SER AA-2028         4.00000% 06/30/2028 NTS NOTE</v>
      </c>
      <c r="E79" s="66" t="str">
        <f ca="1"/>
        <v>Tres</v>
      </c>
      <c r="F79" s="67">
        <f ca="1"/>
        <v>4</v>
      </c>
      <c r="G79" s="68">
        <f ca="1"/>
        <v>46934</v>
      </c>
      <c r="H79" s="66" t="str">
        <f ca="1"/>
        <v>AAA</v>
      </c>
      <c r="I79" s="66" t="str">
        <f ca="1"/>
        <v>--</v>
      </c>
      <c r="J79" s="69">
        <f ca="1"/>
        <v>99.13</v>
      </c>
      <c r="K79" s="70">
        <f ca="1"/>
        <v>4.2789999999999999</v>
      </c>
      <c r="L79" s="71" t="str">
        <f ca="1"/>
        <v>65,000(400)</v>
      </c>
      <c r="M79" s="83"/>
      <c r="N79" s="84" t="str">
        <f t="shared" si="24"/>
        <v/>
      </c>
      <c r="O79" s="20" t="str">
        <f t="shared" si="25"/>
        <v/>
      </c>
      <c r="P79" s="64" t="str">
        <f t="shared" si="26"/>
        <v/>
      </c>
      <c r="Q79" s="85" t="str">
        <f t="shared" ca="1" si="27"/>
        <v/>
      </c>
      <c r="R79" s="86" t="str">
        <f t="shared" si="28"/>
        <v/>
      </c>
      <c r="S79" s="86" t="str">
        <f t="shared" si="29"/>
        <v/>
      </c>
      <c r="T79" s="104" t="str">
        <f t="shared" si="15"/>
        <v/>
      </c>
      <c r="U79" s="19" t="str">
        <f>IF(AND(M79&lt;&gt;"",M79&lt;&gt;0), IF(E79 = "Muni", T79, IF(E79="Corp", T79*(1 -'Investor Input'!$C$4-'Investor Input'!$C$5), T79*(1 -'Investor Input'!$C$4))), T79)</f>
        <v/>
      </c>
      <c r="V79" s="84" t="str">
        <f t="shared" si="16"/>
        <v/>
      </c>
      <c r="W79" s="84" t="str">
        <f t="shared" si="17"/>
        <v/>
      </c>
      <c r="X79" s="46" t="str">
        <f t="shared" si="18"/>
        <v/>
      </c>
      <c r="Y79" s="60" t="str">
        <f t="shared" si="19"/>
        <v/>
      </c>
      <c r="Z79" s="60" t="str">
        <f t="shared" si="20"/>
        <v/>
      </c>
      <c r="AA79" s="64" t="str">
        <f t="shared" si="21"/>
        <v/>
      </c>
      <c r="AB79" s="64" t="str">
        <f>IF(AND(AA79&lt;&gt;"",AA79&lt;&gt;0), IF(E79="Muni", AA79, IF(E79 = "Corp", (1-'Investor Input'!$C$4-'Investor Input'!$C$5)*AA79, (1-'Investor Input'!$C$4)*AA79)), AA79)</f>
        <v/>
      </c>
      <c r="AC79" s="94" t="str">
        <f t="shared" si="22"/>
        <v/>
      </c>
      <c r="AD79" s="60" t="str">
        <f>IF(AND(M79&lt;&gt;"", M79&lt;&gt;0), N79/$N$505*MATCH(AC79,'Misc Lists'!$K$2:$K$25,0), "")</f>
        <v/>
      </c>
      <c r="AE79" s="90" t="str">
        <f t="shared" si="23"/>
        <v/>
      </c>
      <c r="AF79" s="99" t="str">
        <f>IF(AND(M79&lt;&gt;"", M79&lt;&gt;0), N79/$N$505*MATCH(AE79,'Misc Lists'!$L$2:$L$25,0), "")</f>
        <v/>
      </c>
    </row>
    <row r="80" spans="2:32" hidden="1" outlineLevel="1" x14ac:dyDescent="0.5">
      <c r="B80" s="65" t="str">
        <f ca="1"/>
        <v>91282CBH3</v>
      </c>
      <c r="C80" s="66" t="str">
        <f ca="1"/>
        <v>N/A</v>
      </c>
      <c r="D80" s="65" t="str">
        <f ca="1"/>
        <v>UNITED STATES TREAS SER U-2026          0.37500% 01/31/2026 NTS NOTE</v>
      </c>
      <c r="E80" s="66" t="str">
        <f ca="1"/>
        <v>Tres</v>
      </c>
      <c r="F80" s="67">
        <f ca="1"/>
        <v>0.375</v>
      </c>
      <c r="G80" s="68">
        <f ca="1"/>
        <v>46053</v>
      </c>
      <c r="H80" s="66" t="str">
        <f ca="1"/>
        <v>AAA</v>
      </c>
      <c r="I80" s="66" t="str">
        <f ca="1"/>
        <v>--</v>
      </c>
      <c r="J80" s="69">
        <f ca="1"/>
        <v>96.403000000000006</v>
      </c>
      <c r="K80" s="70">
        <f ca="1"/>
        <v>4.2779999999999996</v>
      </c>
      <c r="L80" s="71" t="str">
        <f ca="1"/>
        <v>30,000(400)</v>
      </c>
      <c r="M80" s="83"/>
      <c r="N80" s="84" t="str">
        <f t="shared" si="24"/>
        <v/>
      </c>
      <c r="O80" s="20" t="str">
        <f t="shared" si="25"/>
        <v/>
      </c>
      <c r="P80" s="64" t="str">
        <f t="shared" si="26"/>
        <v/>
      </c>
      <c r="Q80" s="85" t="str">
        <f t="shared" ca="1" si="27"/>
        <v/>
      </c>
      <c r="R80" s="86" t="str">
        <f t="shared" si="28"/>
        <v/>
      </c>
      <c r="S80" s="86" t="str">
        <f t="shared" si="29"/>
        <v/>
      </c>
      <c r="T80" s="104" t="str">
        <f t="shared" si="15"/>
        <v/>
      </c>
      <c r="U80" s="19" t="str">
        <f>IF(AND(M80&lt;&gt;"",M80&lt;&gt;0), IF(E80 = "Muni", T80, IF(E80="Corp", T80*(1 -'Investor Input'!$C$4-'Investor Input'!$C$5), T80*(1 -'Investor Input'!$C$4))), T80)</f>
        <v/>
      </c>
      <c r="V80" s="84" t="str">
        <f t="shared" si="16"/>
        <v/>
      </c>
      <c r="W80" s="84" t="str">
        <f t="shared" si="17"/>
        <v/>
      </c>
      <c r="X80" s="46" t="str">
        <f t="shared" si="18"/>
        <v/>
      </c>
      <c r="Y80" s="60" t="str">
        <f t="shared" si="19"/>
        <v/>
      </c>
      <c r="Z80" s="60" t="str">
        <f t="shared" si="20"/>
        <v/>
      </c>
      <c r="AA80" s="64" t="str">
        <f t="shared" si="21"/>
        <v/>
      </c>
      <c r="AB80" s="64" t="str">
        <f>IF(AND(AA80&lt;&gt;"",AA80&lt;&gt;0), IF(E80="Muni", AA80, IF(E80 = "Corp", (1-'Investor Input'!$C$4-'Investor Input'!$C$5)*AA80, (1-'Investor Input'!$C$4)*AA80)), AA80)</f>
        <v/>
      </c>
      <c r="AC80" s="94" t="str">
        <f t="shared" si="22"/>
        <v/>
      </c>
      <c r="AD80" s="60" t="str">
        <f>IF(AND(M80&lt;&gt;"", M80&lt;&gt;0), N80/$N$505*MATCH(AC80,'Misc Lists'!$K$2:$K$25,0), "")</f>
        <v/>
      </c>
      <c r="AE80" s="90" t="str">
        <f t="shared" si="23"/>
        <v/>
      </c>
      <c r="AF80" s="99" t="str">
        <f>IF(AND(M80&lt;&gt;"", M80&lt;&gt;0), N80/$N$505*MATCH(AE80,'Misc Lists'!$L$2:$L$25,0), "")</f>
        <v/>
      </c>
    </row>
    <row r="81" spans="2:32" hidden="1" outlineLevel="1" x14ac:dyDescent="0.5">
      <c r="B81" s="65" t="str">
        <f ca="1"/>
        <v>912828K74</v>
      </c>
      <c r="C81" s="66" t="str">
        <f ca="1"/>
        <v>N/A</v>
      </c>
      <c r="D81" s="65" t="str">
        <f ca="1"/>
        <v>UNITED STATES TREAS NTS NOTE            2.00000% 08/15/2025</v>
      </c>
      <c r="E81" s="66" t="str">
        <f ca="1"/>
        <v>Tres</v>
      </c>
      <c r="F81" s="67">
        <f ca="1"/>
        <v>2</v>
      </c>
      <c r="G81" s="68">
        <f ca="1"/>
        <v>45884</v>
      </c>
      <c r="H81" s="66" t="str">
        <f ca="1"/>
        <v>AAA</v>
      </c>
      <c r="I81" s="66" t="str">
        <f ca="1"/>
        <v>--</v>
      </c>
      <c r="J81" s="69">
        <f ca="1"/>
        <v>98.903000000000006</v>
      </c>
      <c r="K81" s="70">
        <f ca="1"/>
        <v>4.2770000000000001</v>
      </c>
      <c r="L81" s="71" t="str">
        <f ca="1"/>
        <v>5,600(200)</v>
      </c>
      <c r="M81" s="83"/>
      <c r="N81" s="84" t="str">
        <f t="shared" si="24"/>
        <v/>
      </c>
      <c r="O81" s="20" t="str">
        <f t="shared" si="25"/>
        <v/>
      </c>
      <c r="P81" s="64" t="str">
        <f t="shared" si="26"/>
        <v/>
      </c>
      <c r="Q81" s="85" t="str">
        <f t="shared" ca="1" si="27"/>
        <v/>
      </c>
      <c r="R81" s="86" t="str">
        <f t="shared" si="28"/>
        <v/>
      </c>
      <c r="S81" s="86" t="str">
        <f t="shared" si="29"/>
        <v/>
      </c>
      <c r="T81" s="104" t="str">
        <f t="shared" si="15"/>
        <v/>
      </c>
      <c r="U81" s="19" t="str">
        <f>IF(AND(M81&lt;&gt;"",M81&lt;&gt;0), IF(E81 = "Muni", T81, IF(E81="Corp", T81*(1 -'Investor Input'!$C$4-'Investor Input'!$C$5), T81*(1 -'Investor Input'!$C$4))), T81)</f>
        <v/>
      </c>
      <c r="V81" s="84" t="str">
        <f t="shared" si="16"/>
        <v/>
      </c>
      <c r="W81" s="84" t="str">
        <f t="shared" si="17"/>
        <v/>
      </c>
      <c r="X81" s="46" t="str">
        <f t="shared" si="18"/>
        <v/>
      </c>
      <c r="Y81" s="60" t="str">
        <f t="shared" si="19"/>
        <v/>
      </c>
      <c r="Z81" s="60" t="str">
        <f t="shared" si="20"/>
        <v/>
      </c>
      <c r="AA81" s="64" t="str">
        <f t="shared" si="21"/>
        <v/>
      </c>
      <c r="AB81" s="64" t="str">
        <f>IF(AND(AA81&lt;&gt;"",AA81&lt;&gt;0), IF(E81="Muni", AA81, IF(E81 = "Corp", (1-'Investor Input'!$C$4-'Investor Input'!$C$5)*AA81, (1-'Investor Input'!$C$4)*AA81)), AA81)</f>
        <v/>
      </c>
      <c r="AC81" s="94" t="str">
        <f t="shared" si="22"/>
        <v/>
      </c>
      <c r="AD81" s="60" t="str">
        <f>IF(AND(M81&lt;&gt;"", M81&lt;&gt;0), N81/$N$505*MATCH(AC81,'Misc Lists'!$K$2:$K$25,0), "")</f>
        <v/>
      </c>
      <c r="AE81" s="90" t="str">
        <f t="shared" si="23"/>
        <v/>
      </c>
      <c r="AF81" s="99" t="str">
        <f>IF(AND(M81&lt;&gt;"", M81&lt;&gt;0), N81/$N$505*MATCH(AE81,'Misc Lists'!$L$2:$L$25,0), "")</f>
        <v/>
      </c>
    </row>
    <row r="82" spans="2:32" hidden="1" outlineLevel="1" x14ac:dyDescent="0.5">
      <c r="B82" s="65" t="str">
        <f ca="1"/>
        <v>91282CLH2</v>
      </c>
      <c r="C82" s="66" t="str">
        <f ca="1"/>
        <v>N/A</v>
      </c>
      <c r="D82" s="65" t="str">
        <f ca="1"/>
        <v>UNITED STATES TREAS SER BG-2026         3.75000% 08/31/2026 NTS NOTE</v>
      </c>
      <c r="E82" s="66" t="str">
        <f ca="1"/>
        <v>Tres</v>
      </c>
      <c r="F82" s="67">
        <f ca="1"/>
        <v>3.75</v>
      </c>
      <c r="G82" s="68">
        <f ca="1"/>
        <v>46265</v>
      </c>
      <c r="H82" s="66" t="str">
        <f ca="1"/>
        <v>AAA</v>
      </c>
      <c r="I82" s="66" t="str">
        <f ca="1"/>
        <v>--</v>
      </c>
      <c r="J82" s="69">
        <f ca="1"/>
        <v>99.227000000000004</v>
      </c>
      <c r="K82" s="70">
        <f ca="1"/>
        <v>4.2770000000000001</v>
      </c>
      <c r="L82" s="71" t="str">
        <f ca="1"/>
        <v>80,000(400)</v>
      </c>
      <c r="M82" s="83"/>
      <c r="N82" s="84" t="str">
        <f t="shared" si="24"/>
        <v/>
      </c>
      <c r="O82" s="20" t="str">
        <f t="shared" si="25"/>
        <v/>
      </c>
      <c r="P82" s="64" t="str">
        <f t="shared" si="26"/>
        <v/>
      </c>
      <c r="Q82" s="85" t="str">
        <f t="shared" ca="1" si="27"/>
        <v/>
      </c>
      <c r="R82" s="86" t="str">
        <f t="shared" si="28"/>
        <v/>
      </c>
      <c r="S82" s="86" t="str">
        <f t="shared" si="29"/>
        <v/>
      </c>
      <c r="T82" s="104" t="str">
        <f t="shared" si="15"/>
        <v/>
      </c>
      <c r="U82" s="19" t="str">
        <f>IF(AND(M82&lt;&gt;"",M82&lt;&gt;0), IF(E82 = "Muni", T82, IF(E82="Corp", T82*(1 -'Investor Input'!$C$4-'Investor Input'!$C$5), T82*(1 -'Investor Input'!$C$4))), T82)</f>
        <v/>
      </c>
      <c r="V82" s="84" t="str">
        <f t="shared" si="16"/>
        <v/>
      </c>
      <c r="W82" s="84" t="str">
        <f t="shared" si="17"/>
        <v/>
      </c>
      <c r="X82" s="46" t="str">
        <f t="shared" si="18"/>
        <v/>
      </c>
      <c r="Y82" s="60" t="str">
        <f t="shared" si="19"/>
        <v/>
      </c>
      <c r="Z82" s="60" t="str">
        <f t="shared" si="20"/>
        <v/>
      </c>
      <c r="AA82" s="64" t="str">
        <f t="shared" si="21"/>
        <v/>
      </c>
      <c r="AB82" s="64" t="str">
        <f>IF(AND(AA82&lt;&gt;"",AA82&lt;&gt;0), IF(E82="Muni", AA82, IF(E82 = "Corp", (1-'Investor Input'!$C$4-'Investor Input'!$C$5)*AA82, (1-'Investor Input'!$C$4)*AA82)), AA82)</f>
        <v/>
      </c>
      <c r="AC82" s="94" t="str">
        <f t="shared" si="22"/>
        <v/>
      </c>
      <c r="AD82" s="60" t="str">
        <f>IF(AND(M82&lt;&gt;"", M82&lt;&gt;0), N82/$N$505*MATCH(AC82,'Misc Lists'!$K$2:$K$25,0), "")</f>
        <v/>
      </c>
      <c r="AE82" s="90" t="str">
        <f t="shared" si="23"/>
        <v/>
      </c>
      <c r="AF82" s="99" t="str">
        <f>IF(AND(M82&lt;&gt;"", M82&lt;&gt;0), N82/$N$505*MATCH(AE82,'Misc Lists'!$L$2:$L$25,0), "")</f>
        <v/>
      </c>
    </row>
    <row r="83" spans="2:32" hidden="1" outlineLevel="1" x14ac:dyDescent="0.5">
      <c r="B83" s="65" t="str">
        <f ca="1"/>
        <v>91282CMF5</v>
      </c>
      <c r="C83" s="66" t="str">
        <f ca="1"/>
        <v>N/A</v>
      </c>
      <c r="D83" s="65" t="str">
        <f ca="1"/>
        <v>UNITED STATES TREAS SER AJ-2028         4.25000% 01/15/2028 NTS NOTE</v>
      </c>
      <c r="E83" s="66" t="str">
        <f ca="1"/>
        <v>Tres</v>
      </c>
      <c r="F83" s="67">
        <f ca="1"/>
        <v>4.25</v>
      </c>
      <c r="G83" s="68">
        <f ca="1"/>
        <v>46767</v>
      </c>
      <c r="H83" s="66" t="str">
        <f ca="1"/>
        <v>AAA</v>
      </c>
      <c r="I83" s="66" t="str">
        <f ca="1"/>
        <v>--</v>
      </c>
      <c r="J83" s="69">
        <f ca="1"/>
        <v>99.921999999999997</v>
      </c>
      <c r="K83" s="70">
        <f ca="1"/>
        <v>4.2770000000000001</v>
      </c>
      <c r="L83" s="71" t="str">
        <f ca="1"/>
        <v>46,000(475)</v>
      </c>
      <c r="M83" s="83"/>
      <c r="N83" s="84" t="str">
        <f t="shared" si="24"/>
        <v/>
      </c>
      <c r="O83" s="20" t="str">
        <f t="shared" si="25"/>
        <v/>
      </c>
      <c r="P83" s="64" t="str">
        <f t="shared" si="26"/>
        <v/>
      </c>
      <c r="Q83" s="85" t="str">
        <f t="shared" ca="1" si="27"/>
        <v/>
      </c>
      <c r="R83" s="86" t="str">
        <f t="shared" si="28"/>
        <v/>
      </c>
      <c r="S83" s="86" t="str">
        <f t="shared" si="29"/>
        <v/>
      </c>
      <c r="T83" s="104" t="str">
        <f t="shared" si="15"/>
        <v/>
      </c>
      <c r="U83" s="19" t="str">
        <f>IF(AND(M83&lt;&gt;"",M83&lt;&gt;0), IF(E83 = "Muni", T83, IF(E83="Corp", T83*(1 -'Investor Input'!$C$4-'Investor Input'!$C$5), T83*(1 -'Investor Input'!$C$4))), T83)</f>
        <v/>
      </c>
      <c r="V83" s="84" t="str">
        <f t="shared" si="16"/>
        <v/>
      </c>
      <c r="W83" s="84" t="str">
        <f t="shared" si="17"/>
        <v/>
      </c>
      <c r="X83" s="46" t="str">
        <f t="shared" si="18"/>
        <v/>
      </c>
      <c r="Y83" s="60" t="str">
        <f t="shared" si="19"/>
        <v/>
      </c>
      <c r="Z83" s="60" t="str">
        <f t="shared" si="20"/>
        <v/>
      </c>
      <c r="AA83" s="64" t="str">
        <f t="shared" si="21"/>
        <v/>
      </c>
      <c r="AB83" s="64" t="str">
        <f>IF(AND(AA83&lt;&gt;"",AA83&lt;&gt;0), IF(E83="Muni", AA83, IF(E83 = "Corp", (1-'Investor Input'!$C$4-'Investor Input'!$C$5)*AA83, (1-'Investor Input'!$C$4)*AA83)), AA83)</f>
        <v/>
      </c>
      <c r="AC83" s="94" t="str">
        <f t="shared" si="22"/>
        <v/>
      </c>
      <c r="AD83" s="60" t="str">
        <f>IF(AND(M83&lt;&gt;"", M83&lt;&gt;0), N83/$N$505*MATCH(AC83,'Misc Lists'!$K$2:$K$25,0), "")</f>
        <v/>
      </c>
      <c r="AE83" s="90" t="str">
        <f t="shared" si="23"/>
        <v/>
      </c>
      <c r="AF83" s="99" t="str">
        <f>IF(AND(M83&lt;&gt;"", M83&lt;&gt;0), N83/$N$505*MATCH(AE83,'Misc Lists'!$L$2:$L$25,0), "")</f>
        <v/>
      </c>
    </row>
    <row r="84" spans="2:32" hidden="1" outlineLevel="1" x14ac:dyDescent="0.5">
      <c r="B84" s="65" t="str">
        <f ca="1"/>
        <v>91282CGP0</v>
      </c>
      <c r="C84" s="66" t="str">
        <f ca="1"/>
        <v>N/A</v>
      </c>
      <c r="D84" s="65" t="str">
        <f ca="1"/>
        <v>UNITED STATES TREAS SER V-2028          4.00000% 02/29/2028 NTS NOTE</v>
      </c>
      <c r="E84" s="66" t="str">
        <f ca="1"/>
        <v>Tres</v>
      </c>
      <c r="F84" s="67">
        <f ca="1"/>
        <v>4</v>
      </c>
      <c r="G84" s="68">
        <f ca="1"/>
        <v>46812</v>
      </c>
      <c r="H84" s="66" t="str">
        <f ca="1"/>
        <v>AAA</v>
      </c>
      <c r="I84" s="66" t="str">
        <f ca="1"/>
        <v>--</v>
      </c>
      <c r="J84" s="69">
        <f ca="1"/>
        <v>99.222999999999999</v>
      </c>
      <c r="K84" s="70">
        <f ca="1"/>
        <v>4.2759999999999998</v>
      </c>
      <c r="L84" s="71" t="str">
        <f ca="1"/>
        <v>65,000(400)</v>
      </c>
      <c r="M84" s="83"/>
      <c r="N84" s="84" t="str">
        <f t="shared" si="24"/>
        <v/>
      </c>
      <c r="O84" s="20" t="str">
        <f t="shared" si="25"/>
        <v/>
      </c>
      <c r="P84" s="64" t="str">
        <f t="shared" si="26"/>
        <v/>
      </c>
      <c r="Q84" s="85" t="str">
        <f t="shared" ca="1" si="27"/>
        <v/>
      </c>
      <c r="R84" s="86" t="str">
        <f t="shared" si="28"/>
        <v/>
      </c>
      <c r="S84" s="86" t="str">
        <f t="shared" si="29"/>
        <v/>
      </c>
      <c r="T84" s="104" t="str">
        <f t="shared" si="15"/>
        <v/>
      </c>
      <c r="U84" s="19" t="str">
        <f>IF(AND(M84&lt;&gt;"",M84&lt;&gt;0), IF(E84 = "Muni", T84, IF(E84="Corp", T84*(1 -'Investor Input'!$C$4-'Investor Input'!$C$5), T84*(1 -'Investor Input'!$C$4))), T84)</f>
        <v/>
      </c>
      <c r="V84" s="84" t="str">
        <f t="shared" si="16"/>
        <v/>
      </c>
      <c r="W84" s="84" t="str">
        <f t="shared" si="17"/>
        <v/>
      </c>
      <c r="X84" s="46" t="str">
        <f t="shared" si="18"/>
        <v/>
      </c>
      <c r="Y84" s="60" t="str">
        <f t="shared" si="19"/>
        <v/>
      </c>
      <c r="Z84" s="60" t="str">
        <f t="shared" si="20"/>
        <v/>
      </c>
      <c r="AA84" s="64" t="str">
        <f t="shared" si="21"/>
        <v/>
      </c>
      <c r="AB84" s="64" t="str">
        <f>IF(AND(AA84&lt;&gt;"",AA84&lt;&gt;0), IF(E84="Muni", AA84, IF(E84 = "Corp", (1-'Investor Input'!$C$4-'Investor Input'!$C$5)*AA84, (1-'Investor Input'!$C$4)*AA84)), AA84)</f>
        <v/>
      </c>
      <c r="AC84" s="94" t="str">
        <f t="shared" si="22"/>
        <v/>
      </c>
      <c r="AD84" s="60" t="str">
        <f>IF(AND(M84&lt;&gt;"", M84&lt;&gt;0), N84/$N$505*MATCH(AC84,'Misc Lists'!$K$2:$K$25,0), "")</f>
        <v/>
      </c>
      <c r="AE84" s="90" t="str">
        <f t="shared" si="23"/>
        <v/>
      </c>
      <c r="AF84" s="99" t="str">
        <f>IF(AND(M84&lt;&gt;"", M84&lt;&gt;0), N84/$N$505*MATCH(AE84,'Misc Lists'!$L$2:$L$25,0), "")</f>
        <v/>
      </c>
    </row>
    <row r="85" spans="2:32" hidden="1" outlineLevel="1" x14ac:dyDescent="0.5">
      <c r="B85" s="65" t="str">
        <f ca="1"/>
        <v>912828ZT0</v>
      </c>
      <c r="C85" s="66" t="str">
        <f ca="1"/>
        <v>N/A</v>
      </c>
      <c r="D85" s="65" t="str">
        <f ca="1"/>
        <v>UNITED STATES TREAS SER Z-2025          0.25000% 05/31/2025 NTS NOTE</v>
      </c>
      <c r="E85" s="66" t="str">
        <f ca="1"/>
        <v>Tres</v>
      </c>
      <c r="F85" s="67">
        <f ca="1"/>
        <v>0.25</v>
      </c>
      <c r="G85" s="68">
        <f ca="1"/>
        <v>45808</v>
      </c>
      <c r="H85" s="66" t="str">
        <f ca="1"/>
        <v>AAA</v>
      </c>
      <c r="I85" s="66" t="str">
        <f ca="1"/>
        <v>--</v>
      </c>
      <c r="J85" s="69">
        <f ca="1"/>
        <v>98.885000000000005</v>
      </c>
      <c r="K85" s="70">
        <f ca="1"/>
        <v>4.274</v>
      </c>
      <c r="L85" s="71" t="str">
        <f ca="1"/>
        <v>5,600(200)</v>
      </c>
      <c r="M85" s="83"/>
      <c r="N85" s="84" t="str">
        <f t="shared" si="24"/>
        <v/>
      </c>
      <c r="O85" s="20" t="str">
        <f t="shared" si="25"/>
        <v/>
      </c>
      <c r="P85" s="64" t="str">
        <f t="shared" si="26"/>
        <v/>
      </c>
      <c r="Q85" s="85" t="str">
        <f t="shared" ca="1" si="27"/>
        <v/>
      </c>
      <c r="R85" s="86" t="str">
        <f t="shared" si="28"/>
        <v/>
      </c>
      <c r="S85" s="86" t="str">
        <f t="shared" si="29"/>
        <v/>
      </c>
      <c r="T85" s="104" t="str">
        <f t="shared" si="15"/>
        <v/>
      </c>
      <c r="U85" s="19" t="str">
        <f>IF(AND(M85&lt;&gt;"",M85&lt;&gt;0), IF(E85 = "Muni", T85, IF(E85="Corp", T85*(1 -'Investor Input'!$C$4-'Investor Input'!$C$5), T85*(1 -'Investor Input'!$C$4))), T85)</f>
        <v/>
      </c>
      <c r="V85" s="84" t="str">
        <f t="shared" si="16"/>
        <v/>
      </c>
      <c r="W85" s="84" t="str">
        <f t="shared" si="17"/>
        <v/>
      </c>
      <c r="X85" s="46" t="str">
        <f t="shared" si="18"/>
        <v/>
      </c>
      <c r="Y85" s="60" t="str">
        <f t="shared" si="19"/>
        <v/>
      </c>
      <c r="Z85" s="60" t="str">
        <f t="shared" si="20"/>
        <v/>
      </c>
      <c r="AA85" s="64" t="str">
        <f t="shared" si="21"/>
        <v/>
      </c>
      <c r="AB85" s="64" t="str">
        <f>IF(AND(AA85&lt;&gt;"",AA85&lt;&gt;0), IF(E85="Muni", AA85, IF(E85 = "Corp", (1-'Investor Input'!$C$4-'Investor Input'!$C$5)*AA85, (1-'Investor Input'!$C$4)*AA85)), AA85)</f>
        <v/>
      </c>
      <c r="AC85" s="94" t="str">
        <f t="shared" si="22"/>
        <v/>
      </c>
      <c r="AD85" s="60" t="str">
        <f>IF(AND(M85&lt;&gt;"", M85&lt;&gt;0), N85/$N$505*MATCH(AC85,'Misc Lists'!$K$2:$K$25,0), "")</f>
        <v/>
      </c>
      <c r="AE85" s="90" t="str">
        <f t="shared" si="23"/>
        <v/>
      </c>
      <c r="AF85" s="99" t="str">
        <f>IF(AND(M85&lt;&gt;"", M85&lt;&gt;0), N85/$N$505*MATCH(AE85,'Misc Lists'!$L$2:$L$25,0), "")</f>
        <v/>
      </c>
    </row>
    <row r="86" spans="2:32" hidden="1" outlineLevel="1" x14ac:dyDescent="0.5">
      <c r="B86" s="65" t="str">
        <f ca="1"/>
        <v>912828M56</v>
      </c>
      <c r="C86" s="66" t="str">
        <f ca="1"/>
        <v>N/A</v>
      </c>
      <c r="D86" s="65" t="str">
        <f ca="1"/>
        <v>UNITED STATES TREAS SER F-2025          2.25000% 11/15/2025 NTS NOTE</v>
      </c>
      <c r="E86" s="66" t="str">
        <f ca="1"/>
        <v>Tres</v>
      </c>
      <c r="F86" s="67">
        <f ca="1"/>
        <v>2.25</v>
      </c>
      <c r="G86" s="68">
        <f ca="1"/>
        <v>45976</v>
      </c>
      <c r="H86" s="66" t="str">
        <f ca="1"/>
        <v>AAA</v>
      </c>
      <c r="I86" s="66" t="str">
        <f ca="1"/>
        <v>--</v>
      </c>
      <c r="J86" s="69">
        <f ca="1"/>
        <v>98.543999999999997</v>
      </c>
      <c r="K86" s="70">
        <f ca="1"/>
        <v>4.2729999999999997</v>
      </c>
      <c r="L86" s="71" t="str">
        <f ca="1"/>
        <v>30,000(600)</v>
      </c>
      <c r="M86" s="83"/>
      <c r="N86" s="84" t="str">
        <f t="shared" si="24"/>
        <v/>
      </c>
      <c r="O86" s="20" t="str">
        <f t="shared" si="25"/>
        <v/>
      </c>
      <c r="P86" s="64" t="str">
        <f t="shared" si="26"/>
        <v/>
      </c>
      <c r="Q86" s="85" t="str">
        <f t="shared" ca="1" si="27"/>
        <v/>
      </c>
      <c r="R86" s="86" t="str">
        <f t="shared" si="28"/>
        <v/>
      </c>
      <c r="S86" s="86" t="str">
        <f t="shared" si="29"/>
        <v/>
      </c>
      <c r="T86" s="104" t="str">
        <f t="shared" si="15"/>
        <v/>
      </c>
      <c r="U86" s="19" t="str">
        <f>IF(AND(M86&lt;&gt;"",M86&lt;&gt;0), IF(E86 = "Muni", T86, IF(E86="Corp", T86*(1 -'Investor Input'!$C$4-'Investor Input'!$C$5), T86*(1 -'Investor Input'!$C$4))), T86)</f>
        <v/>
      </c>
      <c r="V86" s="84" t="str">
        <f t="shared" si="16"/>
        <v/>
      </c>
      <c r="W86" s="84" t="str">
        <f t="shared" si="17"/>
        <v/>
      </c>
      <c r="X86" s="46" t="str">
        <f t="shared" si="18"/>
        <v/>
      </c>
      <c r="Y86" s="60" t="str">
        <f t="shared" si="19"/>
        <v/>
      </c>
      <c r="Z86" s="60" t="str">
        <f t="shared" si="20"/>
        <v/>
      </c>
      <c r="AA86" s="64" t="str">
        <f t="shared" si="21"/>
        <v/>
      </c>
      <c r="AB86" s="64" t="str">
        <f>IF(AND(AA86&lt;&gt;"",AA86&lt;&gt;0), IF(E86="Muni", AA86, IF(E86 = "Corp", (1-'Investor Input'!$C$4-'Investor Input'!$C$5)*AA86, (1-'Investor Input'!$C$4)*AA86)), AA86)</f>
        <v/>
      </c>
      <c r="AC86" s="94" t="str">
        <f t="shared" si="22"/>
        <v/>
      </c>
      <c r="AD86" s="60" t="str">
        <f>IF(AND(M86&lt;&gt;"", M86&lt;&gt;0), N86/$N$505*MATCH(AC86,'Misc Lists'!$K$2:$K$25,0), "")</f>
        <v/>
      </c>
      <c r="AE86" s="90" t="str">
        <f t="shared" si="23"/>
        <v/>
      </c>
      <c r="AF86" s="99" t="str">
        <f>IF(AND(M86&lt;&gt;"", M86&lt;&gt;0), N86/$N$505*MATCH(AE86,'Misc Lists'!$L$2:$L$25,0), "")</f>
        <v/>
      </c>
    </row>
    <row r="87" spans="2:32" hidden="1" outlineLevel="1" x14ac:dyDescent="0.5">
      <c r="B87" s="65" t="str">
        <f ca="1"/>
        <v>91282CJV4</v>
      </c>
      <c r="C87" s="66" t="str">
        <f ca="1"/>
        <v>N/A</v>
      </c>
      <c r="D87" s="65" t="str">
        <f ca="1"/>
        <v>UNITED STATES TREAS SER AW-2026         4.25000% 01/31/2026 NTS NOTE</v>
      </c>
      <c r="E87" s="66" t="str">
        <f ca="1"/>
        <v>Tres</v>
      </c>
      <c r="F87" s="67">
        <f ca="1"/>
        <v>4.25</v>
      </c>
      <c r="G87" s="68">
        <f ca="1"/>
        <v>46053</v>
      </c>
      <c r="H87" s="66" t="str">
        <f ca="1"/>
        <v>AAA</v>
      </c>
      <c r="I87" s="66" t="str">
        <f ca="1"/>
        <v>--</v>
      </c>
      <c r="J87" s="69">
        <f ca="1"/>
        <v>99.977000000000004</v>
      </c>
      <c r="K87" s="70">
        <f ca="1"/>
        <v>4.2729999999999997</v>
      </c>
      <c r="L87" s="71" t="str">
        <f ca="1"/>
        <v>30,000( 400)</v>
      </c>
      <c r="M87" s="83"/>
      <c r="N87" s="84" t="str">
        <f t="shared" si="24"/>
        <v/>
      </c>
      <c r="O87" s="20" t="str">
        <f t="shared" si="25"/>
        <v/>
      </c>
      <c r="P87" s="64" t="str">
        <f t="shared" si="26"/>
        <v/>
      </c>
      <c r="Q87" s="85" t="str">
        <f t="shared" ca="1" si="27"/>
        <v/>
      </c>
      <c r="R87" s="86" t="str">
        <f t="shared" si="28"/>
        <v/>
      </c>
      <c r="S87" s="86" t="str">
        <f t="shared" si="29"/>
        <v/>
      </c>
      <c r="T87" s="104" t="str">
        <f t="shared" si="15"/>
        <v/>
      </c>
      <c r="U87" s="19" t="str">
        <f>IF(AND(M87&lt;&gt;"",M87&lt;&gt;0), IF(E87 = "Muni", T87, IF(E87="Corp", T87*(1 -'Investor Input'!$C$4-'Investor Input'!$C$5), T87*(1 -'Investor Input'!$C$4))), T87)</f>
        <v/>
      </c>
      <c r="V87" s="84" t="str">
        <f t="shared" si="16"/>
        <v/>
      </c>
      <c r="W87" s="84" t="str">
        <f t="shared" si="17"/>
        <v/>
      </c>
      <c r="X87" s="46" t="str">
        <f t="shared" si="18"/>
        <v/>
      </c>
      <c r="Y87" s="60" t="str">
        <f t="shared" si="19"/>
        <v/>
      </c>
      <c r="Z87" s="60" t="str">
        <f t="shared" si="20"/>
        <v/>
      </c>
      <c r="AA87" s="64" t="str">
        <f t="shared" si="21"/>
        <v/>
      </c>
      <c r="AB87" s="64" t="str">
        <f>IF(AND(AA87&lt;&gt;"",AA87&lt;&gt;0), IF(E87="Muni", AA87, IF(E87 = "Corp", (1-'Investor Input'!$C$4-'Investor Input'!$C$5)*AA87, (1-'Investor Input'!$C$4)*AA87)), AA87)</f>
        <v/>
      </c>
      <c r="AC87" s="94" t="str">
        <f t="shared" si="22"/>
        <v/>
      </c>
      <c r="AD87" s="60" t="str">
        <f>IF(AND(M87&lt;&gt;"", M87&lt;&gt;0), N87/$N$505*MATCH(AC87,'Misc Lists'!$K$2:$K$25,0), "")</f>
        <v/>
      </c>
      <c r="AE87" s="90" t="str">
        <f t="shared" si="23"/>
        <v/>
      </c>
      <c r="AF87" s="99" t="str">
        <f>IF(AND(M87&lt;&gt;"", M87&lt;&gt;0), N87/$N$505*MATCH(AE87,'Misc Lists'!$L$2:$L$25,0), "")</f>
        <v/>
      </c>
    </row>
    <row r="88" spans="2:32" hidden="1" outlineLevel="1" x14ac:dyDescent="0.5">
      <c r="B88" s="65" t="str">
        <f ca="1"/>
        <v>91282CKK6</v>
      </c>
      <c r="C88" s="66" t="str">
        <f ca="1"/>
        <v>N/A</v>
      </c>
      <c r="D88" s="65" t="str">
        <f ca="1"/>
        <v>UNITED STATES TREAS SER BA-2026         4.87500% 04/30/2026 NTS NOTE</v>
      </c>
      <c r="E88" s="66" t="str">
        <f ca="1"/>
        <v>Tres</v>
      </c>
      <c r="F88" s="67">
        <f ca="1"/>
        <v>4.875</v>
      </c>
      <c r="G88" s="68">
        <f ca="1"/>
        <v>46142</v>
      </c>
      <c r="H88" s="66" t="str">
        <f ca="1"/>
        <v>AAA</v>
      </c>
      <c r="I88" s="66" t="str">
        <f ca="1"/>
        <v>--</v>
      </c>
      <c r="J88" s="69">
        <f ca="1"/>
        <v>100.688</v>
      </c>
      <c r="K88" s="70">
        <f ca="1"/>
        <v>4.2729999999999997</v>
      </c>
      <c r="L88" s="71" t="str">
        <f ca="1"/>
        <v>30,000(400)</v>
      </c>
      <c r="M88" s="83"/>
      <c r="N88" s="84" t="str">
        <f t="shared" si="24"/>
        <v/>
      </c>
      <c r="O88" s="20" t="str">
        <f t="shared" si="25"/>
        <v/>
      </c>
      <c r="P88" s="64" t="str">
        <f t="shared" si="26"/>
        <v/>
      </c>
      <c r="Q88" s="85" t="str">
        <f t="shared" ca="1" si="27"/>
        <v/>
      </c>
      <c r="R88" s="86" t="str">
        <f t="shared" si="28"/>
        <v/>
      </c>
      <c r="S88" s="86" t="str">
        <f t="shared" si="29"/>
        <v/>
      </c>
      <c r="T88" s="104" t="str">
        <f t="shared" si="15"/>
        <v/>
      </c>
      <c r="U88" s="19" t="str">
        <f>IF(AND(M88&lt;&gt;"",M88&lt;&gt;0), IF(E88 = "Muni", T88, IF(E88="Corp", T88*(1 -'Investor Input'!$C$4-'Investor Input'!$C$5), T88*(1 -'Investor Input'!$C$4))), T88)</f>
        <v/>
      </c>
      <c r="V88" s="84" t="str">
        <f t="shared" si="16"/>
        <v/>
      </c>
      <c r="W88" s="84" t="str">
        <f t="shared" si="17"/>
        <v/>
      </c>
      <c r="X88" s="46" t="str">
        <f t="shared" si="18"/>
        <v/>
      </c>
      <c r="Y88" s="60" t="str">
        <f t="shared" si="19"/>
        <v/>
      </c>
      <c r="Z88" s="60" t="str">
        <f t="shared" si="20"/>
        <v/>
      </c>
      <c r="AA88" s="64" t="str">
        <f t="shared" si="21"/>
        <v/>
      </c>
      <c r="AB88" s="64" t="str">
        <f>IF(AND(AA88&lt;&gt;"",AA88&lt;&gt;0), IF(E88="Muni", AA88, IF(E88 = "Corp", (1-'Investor Input'!$C$4-'Investor Input'!$C$5)*AA88, (1-'Investor Input'!$C$4)*AA88)), AA88)</f>
        <v/>
      </c>
      <c r="AC88" s="94" t="str">
        <f t="shared" si="22"/>
        <v/>
      </c>
      <c r="AD88" s="60" t="str">
        <f>IF(AND(M88&lt;&gt;"", M88&lt;&gt;0), N88/$N$505*MATCH(AC88,'Misc Lists'!$K$2:$K$25,0), "")</f>
        <v/>
      </c>
      <c r="AE88" s="90" t="str">
        <f t="shared" si="23"/>
        <v/>
      </c>
      <c r="AF88" s="99" t="str">
        <f>IF(AND(M88&lt;&gt;"", M88&lt;&gt;0), N88/$N$505*MATCH(AE88,'Misc Lists'!$L$2:$L$25,0), "")</f>
        <v/>
      </c>
    </row>
    <row r="89" spans="2:32" hidden="1" outlineLevel="1" x14ac:dyDescent="0.5">
      <c r="B89" s="65" t="str">
        <f ca="1"/>
        <v>91282CLB5</v>
      </c>
      <c r="C89" s="66" t="str">
        <f ca="1"/>
        <v>N/A</v>
      </c>
      <c r="D89" s="65" t="str">
        <f ca="1"/>
        <v>UNITED STATES TREAS SER BE-2026         4.37500% 07/31/2026 NTS NOTE</v>
      </c>
      <c r="E89" s="66" t="str">
        <f ca="1"/>
        <v>Tres</v>
      </c>
      <c r="F89" s="67">
        <f ca="1"/>
        <v>4.375</v>
      </c>
      <c r="G89" s="68">
        <f ca="1"/>
        <v>46234</v>
      </c>
      <c r="H89" s="66" t="str">
        <f ca="1"/>
        <v>AAA</v>
      </c>
      <c r="I89" s="66" t="str">
        <f ca="1"/>
        <v>--</v>
      </c>
      <c r="J89" s="69">
        <f ca="1"/>
        <v>100.14100000000001</v>
      </c>
      <c r="K89" s="70">
        <f ca="1"/>
        <v>4.2720000000000002</v>
      </c>
      <c r="L89" s="71" t="str">
        <f ca="1"/>
        <v>150,000(400)</v>
      </c>
      <c r="M89" s="83"/>
      <c r="N89" s="84" t="str">
        <f t="shared" si="24"/>
        <v/>
      </c>
      <c r="O89" s="20" t="str">
        <f t="shared" si="25"/>
        <v/>
      </c>
      <c r="P89" s="64" t="str">
        <f t="shared" si="26"/>
        <v/>
      </c>
      <c r="Q89" s="85" t="str">
        <f t="shared" ca="1" si="27"/>
        <v/>
      </c>
      <c r="R89" s="86" t="str">
        <f t="shared" si="28"/>
        <v/>
      </c>
      <c r="S89" s="86" t="str">
        <f t="shared" si="29"/>
        <v/>
      </c>
      <c r="T89" s="104" t="str">
        <f t="shared" si="15"/>
        <v/>
      </c>
      <c r="U89" s="19" t="str">
        <f>IF(AND(M89&lt;&gt;"",M89&lt;&gt;0), IF(E89 = "Muni", T89, IF(E89="Corp", T89*(1 -'Investor Input'!$C$4-'Investor Input'!$C$5), T89*(1 -'Investor Input'!$C$4))), T89)</f>
        <v/>
      </c>
      <c r="V89" s="84" t="str">
        <f t="shared" si="16"/>
        <v/>
      </c>
      <c r="W89" s="84" t="str">
        <f t="shared" si="17"/>
        <v/>
      </c>
      <c r="X89" s="46" t="str">
        <f t="shared" si="18"/>
        <v/>
      </c>
      <c r="Y89" s="60" t="str">
        <f t="shared" si="19"/>
        <v/>
      </c>
      <c r="Z89" s="60" t="str">
        <f t="shared" si="20"/>
        <v/>
      </c>
      <c r="AA89" s="64" t="str">
        <f t="shared" si="21"/>
        <v/>
      </c>
      <c r="AB89" s="64" t="str">
        <f>IF(AND(AA89&lt;&gt;"",AA89&lt;&gt;0), IF(E89="Muni", AA89, IF(E89 = "Corp", (1-'Investor Input'!$C$4-'Investor Input'!$C$5)*AA89, (1-'Investor Input'!$C$4)*AA89)), AA89)</f>
        <v/>
      </c>
      <c r="AC89" s="94" t="str">
        <f t="shared" si="22"/>
        <v/>
      </c>
      <c r="AD89" s="60" t="str">
        <f>IF(AND(M89&lt;&gt;"", M89&lt;&gt;0), N89/$N$505*MATCH(AC89,'Misc Lists'!$K$2:$K$25,0), "")</f>
        <v/>
      </c>
      <c r="AE89" s="90" t="str">
        <f t="shared" si="23"/>
        <v/>
      </c>
      <c r="AF89" s="99" t="str">
        <f>IF(AND(M89&lt;&gt;"", M89&lt;&gt;0), N89/$N$505*MATCH(AE89,'Misc Lists'!$L$2:$L$25,0), "")</f>
        <v/>
      </c>
    </row>
    <row r="90" spans="2:32" hidden="1" outlineLevel="1" x14ac:dyDescent="0.5">
      <c r="B90" s="65" t="str">
        <f ca="1"/>
        <v>91282CGL9</v>
      </c>
      <c r="C90" s="66" t="str">
        <f ca="1"/>
        <v>N/A</v>
      </c>
      <c r="D90" s="65" t="str">
        <f ca="1"/>
        <v>UNITED STATES TREAS SER AK-2026         4.00000% 02/15/2026 NTS NOTE</v>
      </c>
      <c r="E90" s="66" t="str">
        <f ca="1"/>
        <v>Tres</v>
      </c>
      <c r="F90" s="67">
        <f ca="1"/>
        <v>4</v>
      </c>
      <c r="G90" s="68">
        <f ca="1"/>
        <v>46068</v>
      </c>
      <c r="H90" s="66" t="str">
        <f ca="1"/>
        <v>AAA</v>
      </c>
      <c r="I90" s="66" t="str">
        <f ca="1"/>
        <v>--</v>
      </c>
      <c r="J90" s="69">
        <f ca="1"/>
        <v>99.739000000000004</v>
      </c>
      <c r="K90" s="70">
        <f ca="1"/>
        <v>4.2709999999999999</v>
      </c>
      <c r="L90" s="71" t="str">
        <f ca="1"/>
        <v>30,000(400)</v>
      </c>
      <c r="M90" s="83"/>
      <c r="N90" s="84" t="str">
        <f t="shared" si="24"/>
        <v/>
      </c>
      <c r="O90" s="20" t="str">
        <f t="shared" si="25"/>
        <v/>
      </c>
      <c r="P90" s="64" t="str">
        <f t="shared" si="26"/>
        <v/>
      </c>
      <c r="Q90" s="85" t="str">
        <f t="shared" ca="1" si="27"/>
        <v/>
      </c>
      <c r="R90" s="86" t="str">
        <f t="shared" si="28"/>
        <v/>
      </c>
      <c r="S90" s="86" t="str">
        <f t="shared" si="29"/>
        <v/>
      </c>
      <c r="T90" s="104" t="str">
        <f t="shared" si="15"/>
        <v/>
      </c>
      <c r="U90" s="19" t="str">
        <f>IF(AND(M90&lt;&gt;"",M90&lt;&gt;0), IF(E90 = "Muni", T90, IF(E90="Corp", T90*(1 -'Investor Input'!$C$4-'Investor Input'!$C$5), T90*(1 -'Investor Input'!$C$4))), T90)</f>
        <v/>
      </c>
      <c r="V90" s="84" t="str">
        <f t="shared" si="16"/>
        <v/>
      </c>
      <c r="W90" s="84" t="str">
        <f t="shared" si="17"/>
        <v/>
      </c>
      <c r="X90" s="46" t="str">
        <f t="shared" si="18"/>
        <v/>
      </c>
      <c r="Y90" s="60" t="str">
        <f t="shared" si="19"/>
        <v/>
      </c>
      <c r="Z90" s="60" t="str">
        <f t="shared" si="20"/>
        <v/>
      </c>
      <c r="AA90" s="64" t="str">
        <f t="shared" si="21"/>
        <v/>
      </c>
      <c r="AB90" s="64" t="str">
        <f>IF(AND(AA90&lt;&gt;"",AA90&lt;&gt;0), IF(E90="Muni", AA90, IF(E90 = "Corp", (1-'Investor Input'!$C$4-'Investor Input'!$C$5)*AA90, (1-'Investor Input'!$C$4)*AA90)), AA90)</f>
        <v/>
      </c>
      <c r="AC90" s="94" t="str">
        <f t="shared" si="22"/>
        <v/>
      </c>
      <c r="AD90" s="60" t="str">
        <f>IF(AND(M90&lt;&gt;"", M90&lt;&gt;0), N90/$N$505*MATCH(AC90,'Misc Lists'!$K$2:$K$25,0), "")</f>
        <v/>
      </c>
      <c r="AE90" s="90" t="str">
        <f t="shared" si="23"/>
        <v/>
      </c>
      <c r="AF90" s="99" t="str">
        <f>IF(AND(M90&lt;&gt;"", M90&lt;&gt;0), N90/$N$505*MATCH(AE90,'Misc Lists'!$L$2:$L$25,0), "")</f>
        <v/>
      </c>
    </row>
    <row r="91" spans="2:32" hidden="1" outlineLevel="1" x14ac:dyDescent="0.5">
      <c r="B91" s="65" t="str">
        <f ca="1"/>
        <v>91282CBQ3</v>
      </c>
      <c r="C91" s="66" t="str">
        <f ca="1"/>
        <v>N/A</v>
      </c>
      <c r="D91" s="65" t="str">
        <f ca="1"/>
        <v>UNITED STATES TREAS SER V-2026          0.50000% 02/28/2026 NTS NOTE</v>
      </c>
      <c r="E91" s="66" t="str">
        <f ca="1"/>
        <v>Tres</v>
      </c>
      <c r="F91" s="67">
        <f ca="1"/>
        <v>0.5</v>
      </c>
      <c r="G91" s="68">
        <f ca="1"/>
        <v>46081</v>
      </c>
      <c r="H91" s="66" t="str">
        <f ca="1"/>
        <v>AAA</v>
      </c>
      <c r="I91" s="66" t="str">
        <f ca="1"/>
        <v>--</v>
      </c>
      <c r="J91" s="69">
        <f ca="1"/>
        <v>96.248000000000005</v>
      </c>
      <c r="K91" s="70">
        <f ca="1"/>
        <v>4.2709999999999999</v>
      </c>
      <c r="L91" s="71" t="str">
        <f ca="1"/>
        <v>2,800(200)</v>
      </c>
      <c r="M91" s="83"/>
      <c r="N91" s="84" t="str">
        <f t="shared" si="24"/>
        <v/>
      </c>
      <c r="O91" s="20" t="str">
        <f t="shared" si="25"/>
        <v/>
      </c>
      <c r="P91" s="64" t="str">
        <f t="shared" si="26"/>
        <v/>
      </c>
      <c r="Q91" s="85" t="str">
        <f t="shared" ca="1" si="27"/>
        <v/>
      </c>
      <c r="R91" s="86" t="str">
        <f t="shared" si="28"/>
        <v/>
      </c>
      <c r="S91" s="86" t="str">
        <f t="shared" si="29"/>
        <v/>
      </c>
      <c r="T91" s="104" t="str">
        <f t="shared" si="15"/>
        <v/>
      </c>
      <c r="U91" s="19" t="str">
        <f>IF(AND(M91&lt;&gt;"",M91&lt;&gt;0), IF(E91 = "Muni", T91, IF(E91="Corp", T91*(1 -'Investor Input'!$C$4-'Investor Input'!$C$5), T91*(1 -'Investor Input'!$C$4))), T91)</f>
        <v/>
      </c>
      <c r="V91" s="84" t="str">
        <f t="shared" si="16"/>
        <v/>
      </c>
      <c r="W91" s="84" t="str">
        <f t="shared" si="17"/>
        <v/>
      </c>
      <c r="X91" s="46" t="str">
        <f t="shared" si="18"/>
        <v/>
      </c>
      <c r="Y91" s="60" t="str">
        <f t="shared" si="19"/>
        <v/>
      </c>
      <c r="Z91" s="60" t="str">
        <f t="shared" si="20"/>
        <v/>
      </c>
      <c r="AA91" s="64" t="str">
        <f t="shared" si="21"/>
        <v/>
      </c>
      <c r="AB91" s="64" t="str">
        <f>IF(AND(AA91&lt;&gt;"",AA91&lt;&gt;0), IF(E91="Muni", AA91, IF(E91 = "Corp", (1-'Investor Input'!$C$4-'Investor Input'!$C$5)*AA91, (1-'Investor Input'!$C$4)*AA91)), AA91)</f>
        <v/>
      </c>
      <c r="AC91" s="94" t="str">
        <f t="shared" si="22"/>
        <v/>
      </c>
      <c r="AD91" s="60" t="str">
        <f>IF(AND(M91&lt;&gt;"", M91&lt;&gt;0), N91/$N$505*MATCH(AC91,'Misc Lists'!$K$2:$K$25,0), "")</f>
        <v/>
      </c>
      <c r="AE91" s="90" t="str">
        <f t="shared" si="23"/>
        <v/>
      </c>
      <c r="AF91" s="99" t="str">
        <f>IF(AND(M91&lt;&gt;"", M91&lt;&gt;0), N91/$N$505*MATCH(AE91,'Misc Lists'!$L$2:$L$25,0), "")</f>
        <v/>
      </c>
    </row>
    <row r="92" spans="2:32" hidden="1" outlineLevel="1" x14ac:dyDescent="0.5">
      <c r="B92" s="65" t="str">
        <f ca="1"/>
        <v>91282CCF6</v>
      </c>
      <c r="C92" s="66" t="str">
        <f ca="1"/>
        <v>N/A</v>
      </c>
      <c r="D92" s="65" t="str">
        <f ca="1"/>
        <v>UNITED STATES TREAS SER Z-2026          0.75000% 05/31/2026 NTS NOTE</v>
      </c>
      <c r="E92" s="66" t="str">
        <f ca="1"/>
        <v>Tres</v>
      </c>
      <c r="F92" s="67">
        <f ca="1"/>
        <v>0.75</v>
      </c>
      <c r="G92" s="68">
        <f ca="1"/>
        <v>46173</v>
      </c>
      <c r="H92" s="66" t="str">
        <f ca="1"/>
        <v>AAA</v>
      </c>
      <c r="I92" s="66" t="str">
        <f ca="1"/>
        <v>--</v>
      </c>
      <c r="J92" s="69">
        <f ca="1"/>
        <v>95.656999999999996</v>
      </c>
      <c r="K92" s="70">
        <f ca="1"/>
        <v>4.2709999999999999</v>
      </c>
      <c r="L92" s="71" t="str">
        <f ca="1"/>
        <v>30,000(400)</v>
      </c>
      <c r="M92" s="83"/>
      <c r="N92" s="84" t="str">
        <f t="shared" si="24"/>
        <v/>
      </c>
      <c r="O92" s="20" t="str">
        <f t="shared" si="25"/>
        <v/>
      </c>
      <c r="P92" s="64" t="str">
        <f t="shared" si="26"/>
        <v/>
      </c>
      <c r="Q92" s="85" t="str">
        <f t="shared" ca="1" si="27"/>
        <v/>
      </c>
      <c r="R92" s="86" t="str">
        <f t="shared" si="28"/>
        <v/>
      </c>
      <c r="S92" s="86" t="str">
        <f t="shared" si="29"/>
        <v/>
      </c>
      <c r="T92" s="104" t="str">
        <f t="shared" si="15"/>
        <v/>
      </c>
      <c r="U92" s="19" t="str">
        <f>IF(AND(M92&lt;&gt;"",M92&lt;&gt;0), IF(E92 = "Muni", T92, IF(E92="Corp", T92*(1 -'Investor Input'!$C$4-'Investor Input'!$C$5), T92*(1 -'Investor Input'!$C$4))), T92)</f>
        <v/>
      </c>
      <c r="V92" s="84" t="str">
        <f t="shared" si="16"/>
        <v/>
      </c>
      <c r="W92" s="84" t="str">
        <f t="shared" si="17"/>
        <v/>
      </c>
      <c r="X92" s="46" t="str">
        <f t="shared" si="18"/>
        <v/>
      </c>
      <c r="Y92" s="60" t="str">
        <f t="shared" si="19"/>
        <v/>
      </c>
      <c r="Z92" s="60" t="str">
        <f t="shared" si="20"/>
        <v/>
      </c>
      <c r="AA92" s="64" t="str">
        <f t="shared" si="21"/>
        <v/>
      </c>
      <c r="AB92" s="64" t="str">
        <f>IF(AND(AA92&lt;&gt;"",AA92&lt;&gt;0), IF(E92="Muni", AA92, IF(E92 = "Corp", (1-'Investor Input'!$C$4-'Investor Input'!$C$5)*AA92, (1-'Investor Input'!$C$4)*AA92)), AA92)</f>
        <v/>
      </c>
      <c r="AC92" s="94" t="str">
        <f t="shared" si="22"/>
        <v/>
      </c>
      <c r="AD92" s="60" t="str">
        <f>IF(AND(M92&lt;&gt;"", M92&lt;&gt;0), N92/$N$505*MATCH(AC92,'Misc Lists'!$K$2:$K$25,0), "")</f>
        <v/>
      </c>
      <c r="AE92" s="90" t="str">
        <f t="shared" si="23"/>
        <v/>
      </c>
      <c r="AF92" s="99" t="str">
        <f>IF(AND(M92&lt;&gt;"", M92&lt;&gt;0), N92/$N$505*MATCH(AE92,'Misc Lists'!$L$2:$L$25,0), "")</f>
        <v/>
      </c>
    </row>
    <row r="93" spans="2:32" hidden="1" outlineLevel="1" x14ac:dyDescent="0.5">
      <c r="B93" s="65" t="str">
        <f ca="1"/>
        <v>91282CLS8</v>
      </c>
      <c r="C93" s="66" t="str">
        <f ca="1"/>
        <v>N/A</v>
      </c>
      <c r="D93" s="65" t="str">
        <f ca="1"/>
        <v>UNITED STATES TREAS SER BJ-2026         4.12500% 10/31/2026 NTS NOTE</v>
      </c>
      <c r="E93" s="66" t="str">
        <f ca="1"/>
        <v>Tres</v>
      </c>
      <c r="F93" s="67">
        <f ca="1"/>
        <v>4.125</v>
      </c>
      <c r="G93" s="68">
        <f ca="1"/>
        <v>46326</v>
      </c>
      <c r="H93" s="66" t="str">
        <f ca="1"/>
        <v>AAA</v>
      </c>
      <c r="I93" s="66" t="str">
        <f ca="1"/>
        <v>--</v>
      </c>
      <c r="J93" s="69">
        <f ca="1"/>
        <v>99.757999999999996</v>
      </c>
      <c r="K93" s="70">
        <f ca="1"/>
        <v>4.2709999999999999</v>
      </c>
      <c r="L93" s="71" t="str">
        <f ca="1"/>
        <v>70,000(400)</v>
      </c>
      <c r="M93" s="83"/>
      <c r="N93" s="84" t="str">
        <f t="shared" si="24"/>
        <v/>
      </c>
      <c r="O93" s="20" t="str">
        <f t="shared" si="25"/>
        <v/>
      </c>
      <c r="P93" s="64" t="str">
        <f t="shared" si="26"/>
        <v/>
      </c>
      <c r="Q93" s="85" t="str">
        <f t="shared" ca="1" si="27"/>
        <v/>
      </c>
      <c r="R93" s="86" t="str">
        <f t="shared" si="28"/>
        <v/>
      </c>
      <c r="S93" s="86" t="str">
        <f t="shared" si="29"/>
        <v/>
      </c>
      <c r="T93" s="104" t="str">
        <f t="shared" si="15"/>
        <v/>
      </c>
      <c r="U93" s="19" t="str">
        <f>IF(AND(M93&lt;&gt;"",M93&lt;&gt;0), IF(E93 = "Muni", T93, IF(E93="Corp", T93*(1 -'Investor Input'!$C$4-'Investor Input'!$C$5), T93*(1 -'Investor Input'!$C$4))), T93)</f>
        <v/>
      </c>
      <c r="V93" s="84" t="str">
        <f t="shared" si="16"/>
        <v/>
      </c>
      <c r="W93" s="84" t="str">
        <f t="shared" si="17"/>
        <v/>
      </c>
      <c r="X93" s="46" t="str">
        <f t="shared" si="18"/>
        <v/>
      </c>
      <c r="Y93" s="60" t="str">
        <f t="shared" si="19"/>
        <v/>
      </c>
      <c r="Z93" s="60" t="str">
        <f t="shared" si="20"/>
        <v/>
      </c>
      <c r="AA93" s="64" t="str">
        <f t="shared" si="21"/>
        <v/>
      </c>
      <c r="AB93" s="64" t="str">
        <f>IF(AND(AA93&lt;&gt;"",AA93&lt;&gt;0), IF(E93="Muni", AA93, IF(E93 = "Corp", (1-'Investor Input'!$C$4-'Investor Input'!$C$5)*AA93, (1-'Investor Input'!$C$4)*AA93)), AA93)</f>
        <v/>
      </c>
      <c r="AC93" s="94" t="str">
        <f t="shared" si="22"/>
        <v/>
      </c>
      <c r="AD93" s="60" t="str">
        <f>IF(AND(M93&lt;&gt;"", M93&lt;&gt;0), N93/$N$505*MATCH(AC93,'Misc Lists'!$K$2:$K$25,0), "")</f>
        <v/>
      </c>
      <c r="AE93" s="90" t="str">
        <f t="shared" si="23"/>
        <v/>
      </c>
      <c r="AF93" s="99" t="str">
        <f>IF(AND(M93&lt;&gt;"", M93&lt;&gt;0), N93/$N$505*MATCH(AE93,'Misc Lists'!$L$2:$L$25,0), "")</f>
        <v/>
      </c>
    </row>
    <row r="94" spans="2:32" hidden="1" outlineLevel="1" x14ac:dyDescent="0.5">
      <c r="B94" s="65" t="str">
        <f ca="1"/>
        <v>91282CLX7</v>
      </c>
      <c r="C94" s="66" t="str">
        <f ca="1"/>
        <v>N/A</v>
      </c>
      <c r="D94" s="65" t="str">
        <f ca="1"/>
        <v>UNITED STATES TREAS SER AU-2027         4.12500% 11/15/2027 NTS NOTE</v>
      </c>
      <c r="E94" s="66" t="str">
        <f ca="1"/>
        <v>Tres</v>
      </c>
      <c r="F94" s="67">
        <f ca="1"/>
        <v>4.125</v>
      </c>
      <c r="G94" s="68">
        <f ca="1"/>
        <v>46706</v>
      </c>
      <c r="H94" s="66" t="str">
        <f ca="1"/>
        <v>AAA</v>
      </c>
      <c r="I94" s="66" t="str">
        <f ca="1"/>
        <v>--</v>
      </c>
      <c r="J94" s="69">
        <f ca="1"/>
        <v>99.622</v>
      </c>
      <c r="K94" s="70">
        <f ca="1"/>
        <v>4.2709999999999999</v>
      </c>
      <c r="L94" s="71" t="str">
        <f ca="1"/>
        <v>125,000(400)</v>
      </c>
      <c r="M94" s="83"/>
      <c r="N94" s="84" t="str">
        <f t="shared" si="24"/>
        <v/>
      </c>
      <c r="O94" s="20" t="str">
        <f t="shared" si="25"/>
        <v/>
      </c>
      <c r="P94" s="64" t="str">
        <f t="shared" si="26"/>
        <v/>
      </c>
      <c r="Q94" s="85" t="str">
        <f t="shared" ca="1" si="27"/>
        <v/>
      </c>
      <c r="R94" s="86" t="str">
        <f t="shared" si="28"/>
        <v/>
      </c>
      <c r="S94" s="86" t="str">
        <f t="shared" si="29"/>
        <v/>
      </c>
      <c r="T94" s="104" t="str">
        <f t="shared" si="15"/>
        <v/>
      </c>
      <c r="U94" s="19" t="str">
        <f>IF(AND(M94&lt;&gt;"",M94&lt;&gt;0), IF(E94 = "Muni", T94, IF(E94="Corp", T94*(1 -'Investor Input'!$C$4-'Investor Input'!$C$5), T94*(1 -'Investor Input'!$C$4))), T94)</f>
        <v/>
      </c>
      <c r="V94" s="84" t="str">
        <f t="shared" si="16"/>
        <v/>
      </c>
      <c r="W94" s="84" t="str">
        <f t="shared" si="17"/>
        <v/>
      </c>
      <c r="X94" s="46" t="str">
        <f t="shared" si="18"/>
        <v/>
      </c>
      <c r="Y94" s="60" t="str">
        <f t="shared" si="19"/>
        <v/>
      </c>
      <c r="Z94" s="60" t="str">
        <f t="shared" si="20"/>
        <v/>
      </c>
      <c r="AA94" s="64" t="str">
        <f t="shared" si="21"/>
        <v/>
      </c>
      <c r="AB94" s="64" t="str">
        <f>IF(AND(AA94&lt;&gt;"",AA94&lt;&gt;0), IF(E94="Muni", AA94, IF(E94 = "Corp", (1-'Investor Input'!$C$4-'Investor Input'!$C$5)*AA94, (1-'Investor Input'!$C$4)*AA94)), AA94)</f>
        <v/>
      </c>
      <c r="AC94" s="94" t="str">
        <f t="shared" si="22"/>
        <v/>
      </c>
      <c r="AD94" s="60" t="str">
        <f>IF(AND(M94&lt;&gt;"", M94&lt;&gt;0), N94/$N$505*MATCH(AC94,'Misc Lists'!$K$2:$K$25,0), "")</f>
        <v/>
      </c>
      <c r="AE94" s="90" t="str">
        <f t="shared" si="23"/>
        <v/>
      </c>
      <c r="AF94" s="99" t="str">
        <f>IF(AND(M94&lt;&gt;"", M94&lt;&gt;0), N94/$N$505*MATCH(AE94,'Misc Lists'!$L$2:$L$25,0), "")</f>
        <v/>
      </c>
    </row>
    <row r="95" spans="2:32" hidden="1" outlineLevel="1" x14ac:dyDescent="0.5">
      <c r="B95" s="65" t="str">
        <f ca="1"/>
        <v>91282CHN4</v>
      </c>
      <c r="C95" s="66" t="str">
        <f ca="1"/>
        <v>N/A</v>
      </c>
      <c r="D95" s="65" t="str">
        <f ca="1"/>
        <v>UNITED STATES TREAS SER BE-2025         4.75000% 07/31/2025 NTS NOTE</v>
      </c>
      <c r="E95" s="66" t="str">
        <f ca="1"/>
        <v>Tres</v>
      </c>
      <c r="F95" s="67">
        <f ca="1"/>
        <v>4.75</v>
      </c>
      <c r="G95" s="68">
        <f ca="1"/>
        <v>45869</v>
      </c>
      <c r="H95" s="66" t="str">
        <f ca="1"/>
        <v>AAA</v>
      </c>
      <c r="I95" s="66" t="str">
        <f ca="1"/>
        <v>--</v>
      </c>
      <c r="J95" s="69">
        <f ca="1"/>
        <v>100.208</v>
      </c>
      <c r="K95" s="70">
        <f ca="1"/>
        <v>4.2699999999999996</v>
      </c>
      <c r="L95" s="71" t="str">
        <f ca="1"/>
        <v>8,000(200)</v>
      </c>
      <c r="M95" s="83"/>
      <c r="N95" s="84" t="str">
        <f t="shared" si="24"/>
        <v/>
      </c>
      <c r="O95" s="20" t="str">
        <f t="shared" si="25"/>
        <v/>
      </c>
      <c r="P95" s="64" t="str">
        <f t="shared" si="26"/>
        <v/>
      </c>
      <c r="Q95" s="85" t="str">
        <f t="shared" ca="1" si="27"/>
        <v/>
      </c>
      <c r="R95" s="86" t="str">
        <f t="shared" si="28"/>
        <v/>
      </c>
      <c r="S95" s="86" t="str">
        <f t="shared" si="29"/>
        <v/>
      </c>
      <c r="T95" s="104" t="str">
        <f t="shared" si="15"/>
        <v/>
      </c>
      <c r="U95" s="19" t="str">
        <f>IF(AND(M95&lt;&gt;"",M95&lt;&gt;0), IF(E95 = "Muni", T95, IF(E95="Corp", T95*(1 -'Investor Input'!$C$4-'Investor Input'!$C$5), T95*(1 -'Investor Input'!$C$4))), T95)</f>
        <v/>
      </c>
      <c r="V95" s="84" t="str">
        <f t="shared" si="16"/>
        <v/>
      </c>
      <c r="W95" s="84" t="str">
        <f t="shared" si="17"/>
        <v/>
      </c>
      <c r="X95" s="46" t="str">
        <f t="shared" si="18"/>
        <v/>
      </c>
      <c r="Y95" s="60" t="str">
        <f t="shared" si="19"/>
        <v/>
      </c>
      <c r="Z95" s="60" t="str">
        <f t="shared" si="20"/>
        <v/>
      </c>
      <c r="AA95" s="64" t="str">
        <f t="shared" si="21"/>
        <v/>
      </c>
      <c r="AB95" s="64" t="str">
        <f>IF(AND(AA95&lt;&gt;"",AA95&lt;&gt;0), IF(E95="Muni", AA95, IF(E95 = "Corp", (1-'Investor Input'!$C$4-'Investor Input'!$C$5)*AA95, (1-'Investor Input'!$C$4)*AA95)), AA95)</f>
        <v/>
      </c>
      <c r="AC95" s="94" t="str">
        <f t="shared" si="22"/>
        <v/>
      </c>
      <c r="AD95" s="60" t="str">
        <f>IF(AND(M95&lt;&gt;"", M95&lt;&gt;0), N95/$N$505*MATCH(AC95,'Misc Lists'!$K$2:$K$25,0), "")</f>
        <v/>
      </c>
      <c r="AE95" s="90" t="str">
        <f t="shared" si="23"/>
        <v/>
      </c>
      <c r="AF95" s="99" t="str">
        <f>IF(AND(M95&lt;&gt;"", M95&lt;&gt;0), N95/$N$505*MATCH(AE95,'Misc Lists'!$L$2:$L$25,0), "")</f>
        <v/>
      </c>
    </row>
    <row r="96" spans="2:32" hidden="1" outlineLevel="1" x14ac:dyDescent="0.5">
      <c r="B96" s="65" t="str">
        <f ca="1"/>
        <v>91282CKH3</v>
      </c>
      <c r="C96" s="66" t="str">
        <f ca="1"/>
        <v>N/A</v>
      </c>
      <c r="D96" s="65" t="str">
        <f ca="1"/>
        <v>UNITED STATES TREAS SER AZ-2026         4.50000% 03/31/2026 NTS NOTE</v>
      </c>
      <c r="E96" s="66" t="str">
        <f ca="1"/>
        <v>Tres</v>
      </c>
      <c r="F96" s="67">
        <f ca="1"/>
        <v>4.5</v>
      </c>
      <c r="G96" s="68">
        <f ca="1"/>
        <v>46112</v>
      </c>
      <c r="H96" s="66" t="str">
        <f ca="1"/>
        <v>AAA</v>
      </c>
      <c r="I96" s="66" t="str">
        <f ca="1"/>
        <v>--</v>
      </c>
      <c r="J96" s="69">
        <f ca="1"/>
        <v>100.24299999999999</v>
      </c>
      <c r="K96" s="70">
        <f ca="1"/>
        <v>4.2699999999999996</v>
      </c>
      <c r="L96" s="71" t="str">
        <f ca="1"/>
        <v>30,000(400)</v>
      </c>
      <c r="M96" s="83"/>
      <c r="N96" s="84" t="str">
        <f t="shared" si="24"/>
        <v/>
      </c>
      <c r="O96" s="20" t="str">
        <f t="shared" si="25"/>
        <v/>
      </c>
      <c r="P96" s="64" t="str">
        <f t="shared" si="26"/>
        <v/>
      </c>
      <c r="Q96" s="85" t="str">
        <f t="shared" ca="1" si="27"/>
        <v/>
      </c>
      <c r="R96" s="86" t="str">
        <f t="shared" si="28"/>
        <v/>
      </c>
      <c r="S96" s="86" t="str">
        <f t="shared" si="29"/>
        <v/>
      </c>
      <c r="T96" s="104" t="str">
        <f t="shared" si="15"/>
        <v/>
      </c>
      <c r="U96" s="19" t="str">
        <f>IF(AND(M96&lt;&gt;"",M96&lt;&gt;0), IF(E96 = "Muni", T96, IF(E96="Corp", T96*(1 -'Investor Input'!$C$4-'Investor Input'!$C$5), T96*(1 -'Investor Input'!$C$4))), T96)</f>
        <v/>
      </c>
      <c r="V96" s="84" t="str">
        <f t="shared" si="16"/>
        <v/>
      </c>
      <c r="W96" s="84" t="str">
        <f t="shared" si="17"/>
        <v/>
      </c>
      <c r="X96" s="46" t="str">
        <f t="shared" si="18"/>
        <v/>
      </c>
      <c r="Y96" s="60" t="str">
        <f t="shared" si="19"/>
        <v/>
      </c>
      <c r="Z96" s="60" t="str">
        <f t="shared" si="20"/>
        <v/>
      </c>
      <c r="AA96" s="64" t="str">
        <f t="shared" si="21"/>
        <v/>
      </c>
      <c r="AB96" s="64" t="str">
        <f>IF(AND(AA96&lt;&gt;"",AA96&lt;&gt;0), IF(E96="Muni", AA96, IF(E96 = "Corp", (1-'Investor Input'!$C$4-'Investor Input'!$C$5)*AA96, (1-'Investor Input'!$C$4)*AA96)), AA96)</f>
        <v/>
      </c>
      <c r="AC96" s="94" t="str">
        <f t="shared" si="22"/>
        <v/>
      </c>
      <c r="AD96" s="60" t="str">
        <f>IF(AND(M96&lt;&gt;"", M96&lt;&gt;0), N96/$N$505*MATCH(AC96,'Misc Lists'!$K$2:$K$25,0), "")</f>
        <v/>
      </c>
      <c r="AE96" s="90" t="str">
        <f t="shared" si="23"/>
        <v/>
      </c>
      <c r="AF96" s="99" t="str">
        <f>IF(AND(M96&lt;&gt;"", M96&lt;&gt;0), N96/$N$505*MATCH(AE96,'Misc Lists'!$L$2:$L$25,0), "")</f>
        <v/>
      </c>
    </row>
    <row r="97" spans="2:32" hidden="1" outlineLevel="1" x14ac:dyDescent="0.5">
      <c r="B97" s="65" t="str">
        <f ca="1"/>
        <v>91282CCZ2</v>
      </c>
      <c r="C97" s="66" t="str">
        <f ca="1"/>
        <v>N/A</v>
      </c>
      <c r="D97" s="65" t="str">
        <f ca="1"/>
        <v>UNITED STATES TREAS SER AD-2026         0.87500% 09/30/2026 NTS NOTE</v>
      </c>
      <c r="E97" s="66" t="str">
        <f ca="1"/>
        <v>Tres</v>
      </c>
      <c r="F97" s="67">
        <f ca="1"/>
        <v>0.875</v>
      </c>
      <c r="G97" s="68">
        <f ca="1"/>
        <v>46295</v>
      </c>
      <c r="H97" s="66" t="str">
        <f ca="1"/>
        <v>AAA</v>
      </c>
      <c r="I97" s="66" t="str">
        <f ca="1"/>
        <v>--</v>
      </c>
      <c r="J97" s="69">
        <f ca="1"/>
        <v>94.762</v>
      </c>
      <c r="K97" s="70">
        <f ca="1"/>
        <v>4.2699999999999996</v>
      </c>
      <c r="L97" s="71" t="str">
        <f ca="1"/>
        <v>70,000(400)</v>
      </c>
      <c r="M97" s="83"/>
      <c r="N97" s="84" t="str">
        <f t="shared" si="24"/>
        <v/>
      </c>
      <c r="O97" s="20" t="str">
        <f t="shared" si="25"/>
        <v/>
      </c>
      <c r="P97" s="64" t="str">
        <f t="shared" si="26"/>
        <v/>
      </c>
      <c r="Q97" s="85" t="str">
        <f t="shared" ca="1" si="27"/>
        <v/>
      </c>
      <c r="R97" s="86" t="str">
        <f t="shared" si="28"/>
        <v/>
      </c>
      <c r="S97" s="86" t="str">
        <f t="shared" si="29"/>
        <v/>
      </c>
      <c r="T97" s="104" t="str">
        <f t="shared" si="15"/>
        <v/>
      </c>
      <c r="U97" s="19" t="str">
        <f>IF(AND(M97&lt;&gt;"",M97&lt;&gt;0), IF(E97 = "Muni", T97, IF(E97="Corp", T97*(1 -'Investor Input'!$C$4-'Investor Input'!$C$5), T97*(1 -'Investor Input'!$C$4))), T97)</f>
        <v/>
      </c>
      <c r="V97" s="84" t="str">
        <f t="shared" si="16"/>
        <v/>
      </c>
      <c r="W97" s="84" t="str">
        <f t="shared" si="17"/>
        <v/>
      </c>
      <c r="X97" s="46" t="str">
        <f t="shared" si="18"/>
        <v/>
      </c>
      <c r="Y97" s="60" t="str">
        <f t="shared" si="19"/>
        <v/>
      </c>
      <c r="Z97" s="60" t="str">
        <f t="shared" si="20"/>
        <v/>
      </c>
      <c r="AA97" s="64" t="str">
        <f t="shared" si="21"/>
        <v/>
      </c>
      <c r="AB97" s="64" t="str">
        <f>IF(AND(AA97&lt;&gt;"",AA97&lt;&gt;0), IF(E97="Muni", AA97, IF(E97 = "Corp", (1-'Investor Input'!$C$4-'Investor Input'!$C$5)*AA97, (1-'Investor Input'!$C$4)*AA97)), AA97)</f>
        <v/>
      </c>
      <c r="AC97" s="94" t="str">
        <f t="shared" si="22"/>
        <v/>
      </c>
      <c r="AD97" s="60" t="str">
        <f>IF(AND(M97&lt;&gt;"", M97&lt;&gt;0), N97/$N$505*MATCH(AC97,'Misc Lists'!$K$2:$K$25,0), "")</f>
        <v/>
      </c>
      <c r="AE97" s="90" t="str">
        <f t="shared" si="23"/>
        <v/>
      </c>
      <c r="AF97" s="99" t="str">
        <f>IF(AND(M97&lt;&gt;"", M97&lt;&gt;0), N97/$N$505*MATCH(AE97,'Misc Lists'!$L$2:$L$25,0), "")</f>
        <v/>
      </c>
    </row>
    <row r="98" spans="2:32" hidden="1" outlineLevel="1" x14ac:dyDescent="0.5">
      <c r="B98" s="65" t="str">
        <f ca="1"/>
        <v>912828U24</v>
      </c>
      <c r="C98" s="66" t="str">
        <f ca="1"/>
        <v>N/A</v>
      </c>
      <c r="D98" s="65" t="str">
        <f ca="1"/>
        <v>UNITED STATES TREAS SER F-2026          2.00000% 11/15/2026 NTS NOTE</v>
      </c>
      <c r="E98" s="66" t="str">
        <f ca="1"/>
        <v>Tres</v>
      </c>
      <c r="F98" s="67">
        <f ca="1"/>
        <v>2</v>
      </c>
      <c r="G98" s="68">
        <f ca="1"/>
        <v>46341</v>
      </c>
      <c r="H98" s="66" t="str">
        <f ca="1"/>
        <v>AAA</v>
      </c>
      <c r="I98" s="66" t="str">
        <f ca="1"/>
        <v>--</v>
      </c>
      <c r="J98" s="69">
        <f ca="1"/>
        <v>96.234999999999999</v>
      </c>
      <c r="K98" s="70">
        <f ca="1"/>
        <v>4.2699999999999996</v>
      </c>
      <c r="L98" s="71" t="str">
        <f ca="1"/>
        <v>70,000(400)</v>
      </c>
      <c r="M98" s="83"/>
      <c r="N98" s="84" t="str">
        <f t="shared" si="24"/>
        <v/>
      </c>
      <c r="O98" s="20" t="str">
        <f t="shared" si="25"/>
        <v/>
      </c>
      <c r="P98" s="64" t="str">
        <f t="shared" si="26"/>
        <v/>
      </c>
      <c r="Q98" s="85" t="str">
        <f t="shared" ca="1" si="27"/>
        <v/>
      </c>
      <c r="R98" s="86" t="str">
        <f t="shared" si="28"/>
        <v/>
      </c>
      <c r="S98" s="86" t="str">
        <f t="shared" si="29"/>
        <v/>
      </c>
      <c r="T98" s="104" t="str">
        <f t="shared" si="15"/>
        <v/>
      </c>
      <c r="U98" s="19" t="str">
        <f>IF(AND(M98&lt;&gt;"",M98&lt;&gt;0), IF(E98 = "Muni", T98, IF(E98="Corp", T98*(1 -'Investor Input'!$C$4-'Investor Input'!$C$5), T98*(1 -'Investor Input'!$C$4))), T98)</f>
        <v/>
      </c>
      <c r="V98" s="84" t="str">
        <f t="shared" si="16"/>
        <v/>
      </c>
      <c r="W98" s="84" t="str">
        <f t="shared" si="17"/>
        <v/>
      </c>
      <c r="X98" s="46" t="str">
        <f t="shared" si="18"/>
        <v/>
      </c>
      <c r="Y98" s="60" t="str">
        <f t="shared" si="19"/>
        <v/>
      </c>
      <c r="Z98" s="60" t="str">
        <f t="shared" si="20"/>
        <v/>
      </c>
      <c r="AA98" s="64" t="str">
        <f t="shared" si="21"/>
        <v/>
      </c>
      <c r="AB98" s="64" t="str">
        <f>IF(AND(AA98&lt;&gt;"",AA98&lt;&gt;0), IF(E98="Muni", AA98, IF(E98 = "Corp", (1-'Investor Input'!$C$4-'Investor Input'!$C$5)*AA98, (1-'Investor Input'!$C$4)*AA98)), AA98)</f>
        <v/>
      </c>
      <c r="AC98" s="94" t="str">
        <f t="shared" si="22"/>
        <v/>
      </c>
      <c r="AD98" s="60" t="str">
        <f>IF(AND(M98&lt;&gt;"", M98&lt;&gt;0), N98/$N$505*MATCH(AC98,'Misc Lists'!$K$2:$K$25,0), "")</f>
        <v/>
      </c>
      <c r="AE98" s="90" t="str">
        <f t="shared" si="23"/>
        <v/>
      </c>
      <c r="AF98" s="99" t="str">
        <f>IF(AND(M98&lt;&gt;"", M98&lt;&gt;0), N98/$N$505*MATCH(AE98,'Misc Lists'!$L$2:$L$25,0), "")</f>
        <v/>
      </c>
    </row>
    <row r="99" spans="2:32" hidden="1" outlineLevel="1" x14ac:dyDescent="0.5">
      <c r="B99" s="65" t="str">
        <f ca="1"/>
        <v>91282CEY3</v>
      </c>
      <c r="C99" s="66" t="str">
        <f ca="1"/>
        <v>N/A</v>
      </c>
      <c r="D99" s="65" t="str">
        <f ca="1"/>
        <v>UNITED STATES TREAS SER AQ-2025         3.00000% 07/15/2025 NTS NOTE</v>
      </c>
      <c r="E99" s="66" t="str">
        <f ca="1"/>
        <v>Tres</v>
      </c>
      <c r="F99" s="67">
        <f ca="1"/>
        <v>3</v>
      </c>
      <c r="G99" s="68">
        <f ca="1"/>
        <v>45853</v>
      </c>
      <c r="H99" s="66" t="str">
        <f ca="1"/>
        <v>AAA</v>
      </c>
      <c r="I99" s="66" t="str">
        <f ca="1"/>
        <v>--</v>
      </c>
      <c r="J99" s="69">
        <f ca="1"/>
        <v>99.489000000000004</v>
      </c>
      <c r="K99" s="70">
        <f ca="1"/>
        <v>4.2690000000000001</v>
      </c>
      <c r="L99" s="71" t="str">
        <f ca="1"/>
        <v>30,000(600)</v>
      </c>
      <c r="M99" s="83"/>
      <c r="N99" s="84" t="str">
        <f t="shared" si="24"/>
        <v/>
      </c>
      <c r="O99" s="20" t="str">
        <f t="shared" si="25"/>
        <v/>
      </c>
      <c r="P99" s="64" t="str">
        <f t="shared" si="26"/>
        <v/>
      </c>
      <c r="Q99" s="85" t="str">
        <f t="shared" ca="1" si="27"/>
        <v/>
      </c>
      <c r="R99" s="86" t="str">
        <f t="shared" si="28"/>
        <v/>
      </c>
      <c r="S99" s="86" t="str">
        <f t="shared" si="29"/>
        <v/>
      </c>
      <c r="T99" s="104" t="str">
        <f t="shared" si="15"/>
        <v/>
      </c>
      <c r="U99" s="19" t="str">
        <f>IF(AND(M99&lt;&gt;"",M99&lt;&gt;0), IF(E99 = "Muni", T99, IF(E99="Corp", T99*(1 -'Investor Input'!$C$4-'Investor Input'!$C$5), T99*(1 -'Investor Input'!$C$4))), T99)</f>
        <v/>
      </c>
      <c r="V99" s="84" t="str">
        <f t="shared" si="16"/>
        <v/>
      </c>
      <c r="W99" s="84" t="str">
        <f t="shared" si="17"/>
        <v/>
      </c>
      <c r="X99" s="46" t="str">
        <f t="shared" si="18"/>
        <v/>
      </c>
      <c r="Y99" s="60" t="str">
        <f t="shared" si="19"/>
        <v/>
      </c>
      <c r="Z99" s="60" t="str">
        <f t="shared" si="20"/>
        <v/>
      </c>
      <c r="AA99" s="64" t="str">
        <f t="shared" si="21"/>
        <v/>
      </c>
      <c r="AB99" s="64" t="str">
        <f>IF(AND(AA99&lt;&gt;"",AA99&lt;&gt;0), IF(E99="Muni", AA99, IF(E99 = "Corp", (1-'Investor Input'!$C$4-'Investor Input'!$C$5)*AA99, (1-'Investor Input'!$C$4)*AA99)), AA99)</f>
        <v/>
      </c>
      <c r="AC99" s="94" t="str">
        <f t="shared" si="22"/>
        <v/>
      </c>
      <c r="AD99" s="60" t="str">
        <f>IF(AND(M99&lt;&gt;"", M99&lt;&gt;0), N99/$N$505*MATCH(AC99,'Misc Lists'!$K$2:$K$25,0), "")</f>
        <v/>
      </c>
      <c r="AE99" s="90" t="str">
        <f t="shared" si="23"/>
        <v/>
      </c>
      <c r="AF99" s="99" t="str">
        <f>IF(AND(M99&lt;&gt;"", M99&lt;&gt;0), N99/$N$505*MATCH(AE99,'Misc Lists'!$L$2:$L$25,0), "")</f>
        <v/>
      </c>
    </row>
    <row r="100" spans="2:32" hidden="1" outlineLevel="1" x14ac:dyDescent="0.5">
      <c r="B100" s="65" t="str">
        <f ca="1"/>
        <v>91282CBS9</v>
      </c>
      <c r="C100" s="66" t="str">
        <f ca="1"/>
        <v>N/A</v>
      </c>
      <c r="D100" s="65" t="str">
        <f ca="1"/>
        <v>UNITED STATES TREAS SER J-2028          1.25000% 03/31/2028 NTS NOTE</v>
      </c>
      <c r="E100" s="66" t="str">
        <f ca="1"/>
        <v>Tres</v>
      </c>
      <c r="F100" s="67">
        <f ca="1"/>
        <v>1.25</v>
      </c>
      <c r="G100" s="68">
        <f ca="1"/>
        <v>46843</v>
      </c>
      <c r="H100" s="66" t="str">
        <f ca="1"/>
        <v>AAA</v>
      </c>
      <c r="I100" s="66" t="str">
        <f ca="1"/>
        <v>--</v>
      </c>
      <c r="J100" s="69">
        <f ca="1"/>
        <v>91.286000000000001</v>
      </c>
      <c r="K100" s="70">
        <f ca="1"/>
        <v>4.2690000000000001</v>
      </c>
      <c r="L100" s="71" t="str">
        <f ca="1"/>
        <v>65,000(400)</v>
      </c>
      <c r="M100" s="83"/>
      <c r="N100" s="84" t="str">
        <f t="shared" si="24"/>
        <v/>
      </c>
      <c r="O100" s="20" t="str">
        <f t="shared" si="25"/>
        <v/>
      </c>
      <c r="P100" s="64" t="str">
        <f t="shared" si="26"/>
        <v/>
      </c>
      <c r="Q100" s="85" t="str">
        <f t="shared" ca="1" si="27"/>
        <v/>
      </c>
      <c r="R100" s="86" t="str">
        <f t="shared" si="28"/>
        <v/>
      </c>
      <c r="S100" s="86" t="str">
        <f t="shared" si="29"/>
        <v/>
      </c>
      <c r="T100" s="104" t="str">
        <f t="shared" si="15"/>
        <v/>
      </c>
      <c r="U100" s="19" t="str">
        <f>IF(AND(M100&lt;&gt;"",M100&lt;&gt;0), IF(E100 = "Muni", T100, IF(E100="Corp", T100*(1 -'Investor Input'!$C$4-'Investor Input'!$C$5), T100*(1 -'Investor Input'!$C$4))), T100)</f>
        <v/>
      </c>
      <c r="V100" s="84" t="str">
        <f t="shared" si="16"/>
        <v/>
      </c>
      <c r="W100" s="84" t="str">
        <f t="shared" si="17"/>
        <v/>
      </c>
      <c r="X100" s="46" t="str">
        <f t="shared" si="18"/>
        <v/>
      </c>
      <c r="Y100" s="60" t="str">
        <f t="shared" si="19"/>
        <v/>
      </c>
      <c r="Z100" s="60" t="str">
        <f t="shared" si="20"/>
        <v/>
      </c>
      <c r="AA100" s="64" t="str">
        <f t="shared" si="21"/>
        <v/>
      </c>
      <c r="AB100" s="64" t="str">
        <f>IF(AND(AA100&lt;&gt;"",AA100&lt;&gt;0), IF(E100="Muni", AA100, IF(E100 = "Corp", (1-'Investor Input'!$C$4-'Investor Input'!$C$5)*AA100, (1-'Investor Input'!$C$4)*AA100)), AA100)</f>
        <v/>
      </c>
      <c r="AC100" s="94" t="str">
        <f t="shared" si="22"/>
        <v/>
      </c>
      <c r="AD100" s="60" t="str">
        <f>IF(AND(M100&lt;&gt;"", M100&lt;&gt;0), N100/$N$505*MATCH(AC100,'Misc Lists'!$K$2:$K$25,0), "")</f>
        <v/>
      </c>
      <c r="AE100" s="90" t="str">
        <f t="shared" si="23"/>
        <v/>
      </c>
      <c r="AF100" s="99" t="str">
        <f>IF(AND(M100&lt;&gt;"", M100&lt;&gt;0), N100/$N$505*MATCH(AE100,'Misc Lists'!$L$2:$L$25,0), "")</f>
        <v/>
      </c>
    </row>
    <row r="101" spans="2:32" hidden="1" outlineLevel="1" x14ac:dyDescent="0.5">
      <c r="B101" s="65" t="str">
        <f ca="1"/>
        <v>91282CGT2</v>
      </c>
      <c r="C101" s="66" t="str">
        <f ca="1"/>
        <v>N/A</v>
      </c>
      <c r="D101" s="65" t="str">
        <f ca="1"/>
        <v>UNITED STATES TREAS SER W-2028          3.62500% 03/31/2028 NTS NOTE</v>
      </c>
      <c r="E101" s="66" t="str">
        <f ca="1"/>
        <v>Tres</v>
      </c>
      <c r="F101" s="67">
        <f ca="1"/>
        <v>3.625</v>
      </c>
      <c r="G101" s="68">
        <f ca="1"/>
        <v>46843</v>
      </c>
      <c r="H101" s="66" t="str">
        <f ca="1"/>
        <v>AAA</v>
      </c>
      <c r="I101" s="66" t="str">
        <f ca="1"/>
        <v>--</v>
      </c>
      <c r="J101" s="69">
        <f ca="1"/>
        <v>98.137</v>
      </c>
      <c r="K101" s="70">
        <f ca="1"/>
        <v>4.2690000000000001</v>
      </c>
      <c r="L101" s="71" t="str">
        <f ca="1"/>
        <v>65,000(400)</v>
      </c>
      <c r="M101" s="83"/>
      <c r="N101" s="84" t="str">
        <f t="shared" si="24"/>
        <v/>
      </c>
      <c r="O101" s="20" t="str">
        <f t="shared" si="25"/>
        <v/>
      </c>
      <c r="P101" s="64" t="str">
        <f t="shared" si="26"/>
        <v/>
      </c>
      <c r="Q101" s="85" t="str">
        <f t="shared" ca="1" si="27"/>
        <v/>
      </c>
      <c r="R101" s="86" t="str">
        <f t="shared" si="28"/>
        <v/>
      </c>
      <c r="S101" s="86" t="str">
        <f t="shared" si="29"/>
        <v/>
      </c>
      <c r="T101" s="104" t="str">
        <f t="shared" si="15"/>
        <v/>
      </c>
      <c r="U101" s="19" t="str">
        <f>IF(AND(M101&lt;&gt;"",M101&lt;&gt;0), IF(E101 = "Muni", T101, IF(E101="Corp", T101*(1 -'Investor Input'!$C$4-'Investor Input'!$C$5), T101*(1 -'Investor Input'!$C$4))), T101)</f>
        <v/>
      </c>
      <c r="V101" s="84" t="str">
        <f t="shared" si="16"/>
        <v/>
      </c>
      <c r="W101" s="84" t="str">
        <f t="shared" si="17"/>
        <v/>
      </c>
      <c r="X101" s="46" t="str">
        <f t="shared" si="18"/>
        <v/>
      </c>
      <c r="Y101" s="60" t="str">
        <f t="shared" si="19"/>
        <v/>
      </c>
      <c r="Z101" s="60" t="str">
        <f t="shared" si="20"/>
        <v/>
      </c>
      <c r="AA101" s="64" t="str">
        <f t="shared" si="21"/>
        <v/>
      </c>
      <c r="AB101" s="64" t="str">
        <f>IF(AND(AA101&lt;&gt;"",AA101&lt;&gt;0), IF(E101="Muni", AA101, IF(E101 = "Corp", (1-'Investor Input'!$C$4-'Investor Input'!$C$5)*AA101, (1-'Investor Input'!$C$4)*AA101)), AA101)</f>
        <v/>
      </c>
      <c r="AC101" s="94" t="str">
        <f t="shared" si="22"/>
        <v/>
      </c>
      <c r="AD101" s="60" t="str">
        <f>IF(AND(M101&lt;&gt;"", M101&lt;&gt;0), N101/$N$505*MATCH(AC101,'Misc Lists'!$K$2:$K$25,0), "")</f>
        <v/>
      </c>
      <c r="AE101" s="90" t="str">
        <f t="shared" si="23"/>
        <v/>
      </c>
      <c r="AF101" s="99" t="str">
        <f>IF(AND(M101&lt;&gt;"", M101&lt;&gt;0), N101/$N$505*MATCH(AE101,'Misc Lists'!$L$2:$L$25,0), "")</f>
        <v/>
      </c>
    </row>
    <row r="102" spans="2:32" hidden="1" outlineLevel="1" x14ac:dyDescent="0.5">
      <c r="B102" s="65" t="str">
        <f ca="1"/>
        <v>9128286A3</v>
      </c>
      <c r="C102" s="66" t="str">
        <f ca="1"/>
        <v>N/A</v>
      </c>
      <c r="D102" s="65" t="str">
        <f ca="1"/>
        <v>UNITED STATES TREAS SER G-2026          2.62500% 01/31/2026 NTS NOTE</v>
      </c>
      <c r="E102" s="66" t="str">
        <f ca="1"/>
        <v>Tres</v>
      </c>
      <c r="F102" s="67">
        <f ca="1"/>
        <v>2.625</v>
      </c>
      <c r="G102" s="68">
        <f ca="1"/>
        <v>46053</v>
      </c>
      <c r="H102" s="66" t="str">
        <f ca="1"/>
        <v>AAA</v>
      </c>
      <c r="I102" s="66" t="str">
        <f ca="1"/>
        <v>--</v>
      </c>
      <c r="J102" s="69">
        <f ca="1"/>
        <v>98.484999999999999</v>
      </c>
      <c r="K102" s="70">
        <f ca="1"/>
        <v>4.2679999999999998</v>
      </c>
      <c r="L102" s="71" t="str">
        <f ca="1"/>
        <v>30,000(400)</v>
      </c>
      <c r="M102" s="83"/>
      <c r="N102" s="84" t="str">
        <f t="shared" si="24"/>
        <v/>
      </c>
      <c r="O102" s="20" t="str">
        <f t="shared" si="25"/>
        <v/>
      </c>
      <c r="P102" s="64" t="str">
        <f t="shared" si="26"/>
        <v/>
      </c>
      <c r="Q102" s="85" t="str">
        <f t="shared" ca="1" si="27"/>
        <v/>
      </c>
      <c r="R102" s="86" t="str">
        <f t="shared" si="28"/>
        <v/>
      </c>
      <c r="S102" s="86" t="str">
        <f t="shared" si="29"/>
        <v/>
      </c>
      <c r="T102" s="104" t="str">
        <f t="shared" si="15"/>
        <v/>
      </c>
      <c r="U102" s="19" t="str">
        <f>IF(AND(M102&lt;&gt;"",M102&lt;&gt;0), IF(E102 = "Muni", T102, IF(E102="Corp", T102*(1 -'Investor Input'!$C$4-'Investor Input'!$C$5), T102*(1 -'Investor Input'!$C$4))), T102)</f>
        <v/>
      </c>
      <c r="V102" s="84" t="str">
        <f t="shared" si="16"/>
        <v/>
      </c>
      <c r="W102" s="84" t="str">
        <f t="shared" si="17"/>
        <v/>
      </c>
      <c r="X102" s="46" t="str">
        <f t="shared" si="18"/>
        <v/>
      </c>
      <c r="Y102" s="60" t="str">
        <f t="shared" si="19"/>
        <v/>
      </c>
      <c r="Z102" s="60" t="str">
        <f t="shared" si="20"/>
        <v/>
      </c>
      <c r="AA102" s="64" t="str">
        <f t="shared" si="21"/>
        <v/>
      </c>
      <c r="AB102" s="64" t="str">
        <f>IF(AND(AA102&lt;&gt;"",AA102&lt;&gt;0), IF(E102="Muni", AA102, IF(E102 = "Corp", (1-'Investor Input'!$C$4-'Investor Input'!$C$5)*AA102, (1-'Investor Input'!$C$4)*AA102)), AA102)</f>
        <v/>
      </c>
      <c r="AC102" s="94" t="str">
        <f t="shared" si="22"/>
        <v/>
      </c>
      <c r="AD102" s="60" t="str">
        <f>IF(AND(M102&lt;&gt;"", M102&lt;&gt;0), N102/$N$505*MATCH(AC102,'Misc Lists'!$K$2:$K$25,0), "")</f>
        <v/>
      </c>
      <c r="AE102" s="90" t="str">
        <f t="shared" si="23"/>
        <v/>
      </c>
      <c r="AF102" s="99" t="str">
        <f>IF(AND(M102&lt;&gt;"", M102&lt;&gt;0), N102/$N$505*MATCH(AE102,'Misc Lists'!$L$2:$L$25,0), "")</f>
        <v/>
      </c>
    </row>
    <row r="103" spans="2:32" hidden="1" outlineLevel="1" x14ac:dyDescent="0.5">
      <c r="B103" s="65" t="str">
        <f ca="1"/>
        <v>91282CBT7</v>
      </c>
      <c r="C103" s="66" t="str">
        <f ca="1"/>
        <v>N/A</v>
      </c>
      <c r="D103" s="65" t="str">
        <f ca="1"/>
        <v>UNITED STATES TREAS SER W-2026          0.75000% 03/31/2026 NTS NOTE</v>
      </c>
      <c r="E103" s="66" t="str">
        <f ca="1"/>
        <v>Tres</v>
      </c>
      <c r="F103" s="67">
        <f ca="1"/>
        <v>0.75</v>
      </c>
      <c r="G103" s="68">
        <f ca="1"/>
        <v>46112</v>
      </c>
      <c r="H103" s="66" t="str">
        <f ca="1"/>
        <v>AAA</v>
      </c>
      <c r="I103" s="66" t="str">
        <f ca="1"/>
        <v>--</v>
      </c>
      <c r="J103" s="69">
        <f ca="1"/>
        <v>96.215000000000003</v>
      </c>
      <c r="K103" s="70">
        <f ca="1"/>
        <v>4.2679999999999998</v>
      </c>
      <c r="L103" s="71" t="str">
        <f ca="1"/>
        <v>30,000(400)</v>
      </c>
      <c r="M103" s="83"/>
      <c r="N103" s="84" t="str">
        <f t="shared" si="24"/>
        <v/>
      </c>
      <c r="O103" s="20" t="str">
        <f t="shared" si="25"/>
        <v/>
      </c>
      <c r="P103" s="64" t="str">
        <f t="shared" si="26"/>
        <v/>
      </c>
      <c r="Q103" s="85" t="str">
        <f t="shared" ca="1" si="27"/>
        <v/>
      </c>
      <c r="R103" s="86" t="str">
        <f t="shared" si="28"/>
        <v/>
      </c>
      <c r="S103" s="86" t="str">
        <f t="shared" si="29"/>
        <v/>
      </c>
      <c r="T103" s="104" t="str">
        <f t="shared" si="15"/>
        <v/>
      </c>
      <c r="U103" s="19" t="str">
        <f>IF(AND(M103&lt;&gt;"",M103&lt;&gt;0), IF(E103 = "Muni", T103, IF(E103="Corp", T103*(1 -'Investor Input'!$C$4-'Investor Input'!$C$5), T103*(1 -'Investor Input'!$C$4))), T103)</f>
        <v/>
      </c>
      <c r="V103" s="84" t="str">
        <f t="shared" si="16"/>
        <v/>
      </c>
      <c r="W103" s="84" t="str">
        <f t="shared" si="17"/>
        <v/>
      </c>
      <c r="X103" s="46" t="str">
        <f t="shared" si="18"/>
        <v/>
      </c>
      <c r="Y103" s="60" t="str">
        <f t="shared" si="19"/>
        <v/>
      </c>
      <c r="Z103" s="60" t="str">
        <f t="shared" si="20"/>
        <v/>
      </c>
      <c r="AA103" s="64" t="str">
        <f t="shared" si="21"/>
        <v/>
      </c>
      <c r="AB103" s="64" t="str">
        <f>IF(AND(AA103&lt;&gt;"",AA103&lt;&gt;0), IF(E103="Muni", AA103, IF(E103 = "Corp", (1-'Investor Input'!$C$4-'Investor Input'!$C$5)*AA103, (1-'Investor Input'!$C$4)*AA103)), AA103)</f>
        <v/>
      </c>
      <c r="AC103" s="94" t="str">
        <f t="shared" si="22"/>
        <v/>
      </c>
      <c r="AD103" s="60" t="str">
        <f>IF(AND(M103&lt;&gt;"", M103&lt;&gt;0), N103/$N$505*MATCH(AC103,'Misc Lists'!$K$2:$K$25,0), "")</f>
        <v/>
      </c>
      <c r="AE103" s="90" t="str">
        <f t="shared" si="23"/>
        <v/>
      </c>
      <c r="AF103" s="99" t="str">
        <f>IF(AND(M103&lt;&gt;"", M103&lt;&gt;0), N103/$N$505*MATCH(AE103,'Misc Lists'!$L$2:$L$25,0), "")</f>
        <v/>
      </c>
    </row>
    <row r="104" spans="2:32" hidden="1" outlineLevel="1" x14ac:dyDescent="0.5">
      <c r="B104" s="65" t="str">
        <f ca="1"/>
        <v>91282CAU5</v>
      </c>
      <c r="C104" s="66" t="str">
        <f ca="1"/>
        <v>N/A</v>
      </c>
      <c r="D104" s="65" t="str">
        <f ca="1"/>
        <v>UNITED STATES TREAS SER R-2027          0.50000% 10/31/2027 NTS NOTE</v>
      </c>
      <c r="E104" s="66" t="str">
        <f ca="1"/>
        <v>Tres</v>
      </c>
      <c r="F104" s="67">
        <f ca="1"/>
        <v>0.5</v>
      </c>
      <c r="G104" s="68">
        <f ca="1"/>
        <v>46691</v>
      </c>
      <c r="H104" s="66" t="str">
        <f ca="1"/>
        <v>AAA</v>
      </c>
      <c r="I104" s="66" t="str">
        <f ca="1"/>
        <v>--</v>
      </c>
      <c r="J104" s="69">
        <f ca="1"/>
        <v>90.497</v>
      </c>
      <c r="K104" s="70">
        <f ca="1"/>
        <v>4.2679999999999998</v>
      </c>
      <c r="L104" s="71" t="str">
        <f ca="1"/>
        <v>1,000(200)</v>
      </c>
      <c r="M104" s="83"/>
      <c r="N104" s="84" t="str">
        <f t="shared" si="24"/>
        <v/>
      </c>
      <c r="O104" s="20" t="str">
        <f t="shared" si="25"/>
        <v/>
      </c>
      <c r="P104" s="64" t="str">
        <f t="shared" si="26"/>
        <v/>
      </c>
      <c r="Q104" s="85" t="str">
        <f t="shared" ca="1" si="27"/>
        <v/>
      </c>
      <c r="R104" s="86" t="str">
        <f t="shared" si="28"/>
        <v/>
      </c>
      <c r="S104" s="86" t="str">
        <f t="shared" si="29"/>
        <v/>
      </c>
      <c r="T104" s="104" t="str">
        <f t="shared" si="15"/>
        <v/>
      </c>
      <c r="U104" s="19" t="str">
        <f>IF(AND(M104&lt;&gt;"",M104&lt;&gt;0), IF(E104 = "Muni", T104, IF(E104="Corp", T104*(1 -'Investor Input'!$C$4-'Investor Input'!$C$5), T104*(1 -'Investor Input'!$C$4))), T104)</f>
        <v/>
      </c>
      <c r="V104" s="84" t="str">
        <f t="shared" si="16"/>
        <v/>
      </c>
      <c r="W104" s="84" t="str">
        <f t="shared" si="17"/>
        <v/>
      </c>
      <c r="X104" s="46" t="str">
        <f t="shared" si="18"/>
        <v/>
      </c>
      <c r="Y104" s="60" t="str">
        <f t="shared" si="19"/>
        <v/>
      </c>
      <c r="Z104" s="60" t="str">
        <f t="shared" si="20"/>
        <v/>
      </c>
      <c r="AA104" s="64" t="str">
        <f t="shared" si="21"/>
        <v/>
      </c>
      <c r="AB104" s="64" t="str">
        <f>IF(AND(AA104&lt;&gt;"",AA104&lt;&gt;0), IF(E104="Muni", AA104, IF(E104 = "Corp", (1-'Investor Input'!$C$4-'Investor Input'!$C$5)*AA104, (1-'Investor Input'!$C$4)*AA104)), AA104)</f>
        <v/>
      </c>
      <c r="AC104" s="94" t="str">
        <f t="shared" si="22"/>
        <v/>
      </c>
      <c r="AD104" s="60" t="str">
        <f>IF(AND(M104&lt;&gt;"", M104&lt;&gt;0), N104/$N$505*MATCH(AC104,'Misc Lists'!$K$2:$K$25,0), "")</f>
        <v/>
      </c>
      <c r="AE104" s="90" t="str">
        <f t="shared" si="23"/>
        <v/>
      </c>
      <c r="AF104" s="99" t="str">
        <f>IF(AND(M104&lt;&gt;"", M104&lt;&gt;0), N104/$N$505*MATCH(AE104,'Misc Lists'!$L$2:$L$25,0), "")</f>
        <v/>
      </c>
    </row>
    <row r="105" spans="2:32" hidden="1" outlineLevel="1" x14ac:dyDescent="0.5">
      <c r="B105" s="65" t="str">
        <f ca="1"/>
        <v>91282CBJ9</v>
      </c>
      <c r="C105" s="66" t="str">
        <f ca="1"/>
        <v>N/A</v>
      </c>
      <c r="D105" s="65" t="str">
        <f ca="1"/>
        <v>UNITED STATES TREAS SER G-2028          0.75000% 01/31/2028 NTS NOTE</v>
      </c>
      <c r="E105" s="66" t="str">
        <f ca="1"/>
        <v>Tres</v>
      </c>
      <c r="F105" s="67">
        <f ca="1"/>
        <v>0.75</v>
      </c>
      <c r="G105" s="68">
        <f ca="1"/>
        <v>46783</v>
      </c>
      <c r="H105" s="66" t="str">
        <f ca="1"/>
        <v>AAA</v>
      </c>
      <c r="I105" s="66" t="str">
        <f ca="1"/>
        <v>--</v>
      </c>
      <c r="J105" s="69">
        <f ca="1"/>
        <v>90.343999999999994</v>
      </c>
      <c r="K105" s="70">
        <f ca="1"/>
        <v>4.2679999999999998</v>
      </c>
      <c r="L105" s="71" t="str">
        <f ca="1"/>
        <v>65,000(400)</v>
      </c>
      <c r="M105" s="83"/>
      <c r="N105" s="84" t="str">
        <f t="shared" si="24"/>
        <v/>
      </c>
      <c r="O105" s="20" t="str">
        <f t="shared" si="25"/>
        <v/>
      </c>
      <c r="P105" s="64" t="str">
        <f t="shared" si="26"/>
        <v/>
      </c>
      <c r="Q105" s="85" t="str">
        <f t="shared" ca="1" si="27"/>
        <v/>
      </c>
      <c r="R105" s="86" t="str">
        <f t="shared" si="28"/>
        <v/>
      </c>
      <c r="S105" s="86" t="str">
        <f t="shared" si="29"/>
        <v/>
      </c>
      <c r="T105" s="104" t="str">
        <f t="shared" si="15"/>
        <v/>
      </c>
      <c r="U105" s="19" t="str">
        <f>IF(AND(M105&lt;&gt;"",M105&lt;&gt;0), IF(E105 = "Muni", T105, IF(E105="Corp", T105*(1 -'Investor Input'!$C$4-'Investor Input'!$C$5), T105*(1 -'Investor Input'!$C$4))), T105)</f>
        <v/>
      </c>
      <c r="V105" s="84" t="str">
        <f t="shared" si="16"/>
        <v/>
      </c>
      <c r="W105" s="84" t="str">
        <f t="shared" si="17"/>
        <v/>
      </c>
      <c r="X105" s="46" t="str">
        <f t="shared" si="18"/>
        <v/>
      </c>
      <c r="Y105" s="60" t="str">
        <f t="shared" si="19"/>
        <v/>
      </c>
      <c r="Z105" s="60" t="str">
        <f t="shared" si="20"/>
        <v/>
      </c>
      <c r="AA105" s="64" t="str">
        <f t="shared" si="21"/>
        <v/>
      </c>
      <c r="AB105" s="64" t="str">
        <f>IF(AND(AA105&lt;&gt;"",AA105&lt;&gt;0), IF(E105="Muni", AA105, IF(E105 = "Corp", (1-'Investor Input'!$C$4-'Investor Input'!$C$5)*AA105, (1-'Investor Input'!$C$4)*AA105)), AA105)</f>
        <v/>
      </c>
      <c r="AC105" s="94" t="str">
        <f t="shared" si="22"/>
        <v/>
      </c>
      <c r="AD105" s="60" t="str">
        <f>IF(AND(M105&lt;&gt;"", M105&lt;&gt;0), N105/$N$505*MATCH(AC105,'Misc Lists'!$K$2:$K$25,0), "")</f>
        <v/>
      </c>
      <c r="AE105" s="90" t="str">
        <f t="shared" si="23"/>
        <v/>
      </c>
      <c r="AF105" s="99" t="str">
        <f>IF(AND(M105&lt;&gt;"", M105&lt;&gt;0), N105/$N$505*MATCH(AE105,'Misc Lists'!$L$2:$L$25,0), "")</f>
        <v/>
      </c>
    </row>
    <row r="106" spans="2:32" hidden="1" outlineLevel="1" x14ac:dyDescent="0.5">
      <c r="B106" s="65" t="str">
        <f ca="1"/>
        <v>91282CBP5</v>
      </c>
      <c r="C106" s="66" t="str">
        <f ca="1"/>
        <v>N/A</v>
      </c>
      <c r="D106" s="65" t="str">
        <f ca="1"/>
        <v>UNITED STATES TREAS SER H-2028          1.12500% 02/29/2028 NTS</v>
      </c>
      <c r="E106" s="66" t="str">
        <f ca="1"/>
        <v>Tres</v>
      </c>
      <c r="F106" s="67">
        <f ca="1"/>
        <v>1.125</v>
      </c>
      <c r="G106" s="68">
        <f ca="1"/>
        <v>46812</v>
      </c>
      <c r="H106" s="66" t="str">
        <f ca="1"/>
        <v>AAA</v>
      </c>
      <c r="I106" s="66" t="str">
        <f ca="1"/>
        <v>--</v>
      </c>
      <c r="J106" s="69">
        <f ca="1"/>
        <v>91.161000000000001</v>
      </c>
      <c r="K106" s="70">
        <f ca="1"/>
        <v>4.2679999999999998</v>
      </c>
      <c r="L106" s="71" t="str">
        <f ca="1"/>
        <v>65,000(400)</v>
      </c>
      <c r="M106" s="83"/>
      <c r="N106" s="84" t="str">
        <f t="shared" si="24"/>
        <v/>
      </c>
      <c r="O106" s="20" t="str">
        <f t="shared" si="25"/>
        <v/>
      </c>
      <c r="P106" s="64" t="str">
        <f t="shared" si="26"/>
        <v/>
      </c>
      <c r="Q106" s="85" t="str">
        <f t="shared" ca="1" si="27"/>
        <v/>
      </c>
      <c r="R106" s="86" t="str">
        <f t="shared" si="28"/>
        <v/>
      </c>
      <c r="S106" s="86" t="str">
        <f t="shared" si="29"/>
        <v/>
      </c>
      <c r="T106" s="104" t="str">
        <f t="shared" si="15"/>
        <v/>
      </c>
      <c r="U106" s="19" t="str">
        <f>IF(AND(M106&lt;&gt;"",M106&lt;&gt;0), IF(E106 = "Muni", T106, IF(E106="Corp", T106*(1 -'Investor Input'!$C$4-'Investor Input'!$C$5), T106*(1 -'Investor Input'!$C$4))), T106)</f>
        <v/>
      </c>
      <c r="V106" s="84" t="str">
        <f t="shared" si="16"/>
        <v/>
      </c>
      <c r="W106" s="84" t="str">
        <f t="shared" si="17"/>
        <v/>
      </c>
      <c r="X106" s="46" t="str">
        <f t="shared" si="18"/>
        <v/>
      </c>
      <c r="Y106" s="60" t="str">
        <f t="shared" si="19"/>
        <v/>
      </c>
      <c r="Z106" s="60" t="str">
        <f t="shared" si="20"/>
        <v/>
      </c>
      <c r="AA106" s="64" t="str">
        <f t="shared" si="21"/>
        <v/>
      </c>
      <c r="AB106" s="64" t="str">
        <f>IF(AND(AA106&lt;&gt;"",AA106&lt;&gt;0), IF(E106="Muni", AA106, IF(E106 = "Corp", (1-'Investor Input'!$C$4-'Investor Input'!$C$5)*AA106, (1-'Investor Input'!$C$4)*AA106)), AA106)</f>
        <v/>
      </c>
      <c r="AC106" s="94" t="str">
        <f t="shared" si="22"/>
        <v/>
      </c>
      <c r="AD106" s="60" t="str">
        <f>IF(AND(M106&lt;&gt;"", M106&lt;&gt;0), N106/$N$505*MATCH(AC106,'Misc Lists'!$K$2:$K$25,0), "")</f>
        <v/>
      </c>
      <c r="AE106" s="90" t="str">
        <f t="shared" si="23"/>
        <v/>
      </c>
      <c r="AF106" s="99" t="str">
        <f>IF(AND(M106&lt;&gt;"", M106&lt;&gt;0), N106/$N$505*MATCH(AE106,'Misc Lists'!$L$2:$L$25,0), "")</f>
        <v/>
      </c>
    </row>
    <row r="107" spans="2:32" hidden="1" outlineLevel="1" x14ac:dyDescent="0.5">
      <c r="B107" s="65" t="str">
        <f ca="1"/>
        <v>9128286X3</v>
      </c>
      <c r="C107" s="66" t="str">
        <f ca="1"/>
        <v>N/A</v>
      </c>
      <c r="D107" s="65" t="str">
        <f ca="1"/>
        <v>UNITED STATES TREAS SER L-2026          2.12500% 05/31/2026 NTS NOTE</v>
      </c>
      <c r="E107" s="66" t="str">
        <f ca="1"/>
        <v>Tres</v>
      </c>
      <c r="F107" s="67">
        <f ca="1"/>
        <v>2.125</v>
      </c>
      <c r="G107" s="68">
        <f ca="1"/>
        <v>46173</v>
      </c>
      <c r="H107" s="66" t="str">
        <f ca="1"/>
        <v>AAA</v>
      </c>
      <c r="I107" s="66" t="str">
        <f ca="1"/>
        <v>--</v>
      </c>
      <c r="J107" s="69">
        <f ca="1"/>
        <v>97.355999999999995</v>
      </c>
      <c r="K107" s="70">
        <f ca="1"/>
        <v>4.2670000000000003</v>
      </c>
      <c r="L107" s="71" t="str">
        <f ca="1"/>
        <v>30,000(400)</v>
      </c>
      <c r="M107" s="83"/>
      <c r="N107" s="84" t="str">
        <f t="shared" si="24"/>
        <v/>
      </c>
      <c r="O107" s="20" t="str">
        <f t="shared" si="25"/>
        <v/>
      </c>
      <c r="P107" s="64" t="str">
        <f t="shared" si="26"/>
        <v/>
      </c>
      <c r="Q107" s="85" t="str">
        <f t="shared" ca="1" si="27"/>
        <v/>
      </c>
      <c r="R107" s="86" t="str">
        <f t="shared" si="28"/>
        <v/>
      </c>
      <c r="S107" s="86" t="str">
        <f t="shared" si="29"/>
        <v/>
      </c>
      <c r="T107" s="104" t="str">
        <f t="shared" si="15"/>
        <v/>
      </c>
      <c r="U107" s="19" t="str">
        <f>IF(AND(M107&lt;&gt;"",M107&lt;&gt;0), IF(E107 = "Muni", T107, IF(E107="Corp", T107*(1 -'Investor Input'!$C$4-'Investor Input'!$C$5), T107*(1 -'Investor Input'!$C$4))), T107)</f>
        <v/>
      </c>
      <c r="V107" s="84" t="str">
        <f t="shared" si="16"/>
        <v/>
      </c>
      <c r="W107" s="84" t="str">
        <f t="shared" si="17"/>
        <v/>
      </c>
      <c r="X107" s="46" t="str">
        <f t="shared" si="18"/>
        <v/>
      </c>
      <c r="Y107" s="60" t="str">
        <f t="shared" si="19"/>
        <v/>
      </c>
      <c r="Z107" s="60" t="str">
        <f t="shared" si="20"/>
        <v/>
      </c>
      <c r="AA107" s="64" t="str">
        <f t="shared" si="21"/>
        <v/>
      </c>
      <c r="AB107" s="64" t="str">
        <f>IF(AND(AA107&lt;&gt;"",AA107&lt;&gt;0), IF(E107="Muni", AA107, IF(E107 = "Corp", (1-'Investor Input'!$C$4-'Investor Input'!$C$5)*AA107, (1-'Investor Input'!$C$4)*AA107)), AA107)</f>
        <v/>
      </c>
      <c r="AC107" s="94" t="str">
        <f t="shared" si="22"/>
        <v/>
      </c>
      <c r="AD107" s="60" t="str">
        <f>IF(AND(M107&lt;&gt;"", M107&lt;&gt;0), N107/$N$505*MATCH(AC107,'Misc Lists'!$K$2:$K$25,0), "")</f>
        <v/>
      </c>
      <c r="AE107" s="90" t="str">
        <f t="shared" si="23"/>
        <v/>
      </c>
      <c r="AF107" s="99" t="str">
        <f>IF(AND(M107&lt;&gt;"", M107&lt;&gt;0), N107/$N$505*MATCH(AE107,'Misc Lists'!$L$2:$L$25,0), "")</f>
        <v/>
      </c>
    </row>
    <row r="108" spans="2:32" hidden="1" outlineLevel="1" x14ac:dyDescent="0.5">
      <c r="B108" s="65" t="str">
        <f ca="1"/>
        <v>91282CCW9</v>
      </c>
      <c r="C108" s="66" t="str">
        <f ca="1"/>
        <v>N/A</v>
      </c>
      <c r="D108" s="65" t="str">
        <f ca="1"/>
        <v>UNITED STATES TREAS SER AC-2026         0.75000% 08/31/2026 NTS NOTE</v>
      </c>
      <c r="E108" s="66" t="str">
        <f ca="1"/>
        <v>Tres</v>
      </c>
      <c r="F108" s="67">
        <f ca="1"/>
        <v>0.75</v>
      </c>
      <c r="G108" s="68">
        <f ca="1"/>
        <v>46265</v>
      </c>
      <c r="H108" s="66" t="str">
        <f ca="1"/>
        <v>AAA</v>
      </c>
      <c r="I108" s="66" t="str">
        <f ca="1"/>
        <v>--</v>
      </c>
      <c r="J108" s="69">
        <f ca="1"/>
        <v>94.850999999999999</v>
      </c>
      <c r="K108" s="70">
        <f ca="1"/>
        <v>4.2670000000000003</v>
      </c>
      <c r="L108" s="71" t="str">
        <f ca="1"/>
        <v>1,000(200)</v>
      </c>
      <c r="M108" s="83"/>
      <c r="N108" s="84" t="str">
        <f t="shared" si="24"/>
        <v/>
      </c>
      <c r="O108" s="20" t="str">
        <f t="shared" si="25"/>
        <v/>
      </c>
      <c r="P108" s="64" t="str">
        <f t="shared" si="26"/>
        <v/>
      </c>
      <c r="Q108" s="85" t="str">
        <f t="shared" ca="1" si="27"/>
        <v/>
      </c>
      <c r="R108" s="86" t="str">
        <f t="shared" si="28"/>
        <v/>
      </c>
      <c r="S108" s="86" t="str">
        <f t="shared" si="29"/>
        <v/>
      </c>
      <c r="T108" s="104" t="str">
        <f t="shared" si="15"/>
        <v/>
      </c>
      <c r="U108" s="19" t="str">
        <f>IF(AND(M108&lt;&gt;"",M108&lt;&gt;0), IF(E108 = "Muni", T108, IF(E108="Corp", T108*(1 -'Investor Input'!$C$4-'Investor Input'!$C$5), T108*(1 -'Investor Input'!$C$4))), T108)</f>
        <v/>
      </c>
      <c r="V108" s="84" t="str">
        <f t="shared" si="16"/>
        <v/>
      </c>
      <c r="W108" s="84" t="str">
        <f t="shared" si="17"/>
        <v/>
      </c>
      <c r="X108" s="46" t="str">
        <f t="shared" si="18"/>
        <v/>
      </c>
      <c r="Y108" s="60" t="str">
        <f t="shared" si="19"/>
        <v/>
      </c>
      <c r="Z108" s="60" t="str">
        <f t="shared" si="20"/>
        <v/>
      </c>
      <c r="AA108" s="64" t="str">
        <f t="shared" si="21"/>
        <v/>
      </c>
      <c r="AB108" s="64" t="str">
        <f>IF(AND(AA108&lt;&gt;"",AA108&lt;&gt;0), IF(E108="Muni", AA108, IF(E108 = "Corp", (1-'Investor Input'!$C$4-'Investor Input'!$C$5)*AA108, (1-'Investor Input'!$C$4)*AA108)), AA108)</f>
        <v/>
      </c>
      <c r="AC108" s="94" t="str">
        <f t="shared" si="22"/>
        <v/>
      </c>
      <c r="AD108" s="60" t="str">
        <f>IF(AND(M108&lt;&gt;"", M108&lt;&gt;0), N108/$N$505*MATCH(AC108,'Misc Lists'!$K$2:$K$25,0), "")</f>
        <v/>
      </c>
      <c r="AE108" s="90" t="str">
        <f t="shared" si="23"/>
        <v/>
      </c>
      <c r="AF108" s="99" t="str">
        <f>IF(AND(M108&lt;&gt;"", M108&lt;&gt;0), N108/$N$505*MATCH(AE108,'Misc Lists'!$L$2:$L$25,0), "")</f>
        <v/>
      </c>
    </row>
    <row r="109" spans="2:32" hidden="1" outlineLevel="1" x14ac:dyDescent="0.5">
      <c r="B109" s="65" t="str">
        <f ca="1"/>
        <v>91282CFH9</v>
      </c>
      <c r="C109" s="66" t="str">
        <f ca="1"/>
        <v>N/A</v>
      </c>
      <c r="D109" s="65" t="str">
        <f ca="1"/>
        <v>UNITED STATES TREAS SER AC-2027         3.12500% 08/31/2027 NTS NOTE</v>
      </c>
      <c r="E109" s="66" t="str">
        <f ca="1"/>
        <v>Tres</v>
      </c>
      <c r="F109" s="67">
        <f ca="1"/>
        <v>3.125</v>
      </c>
      <c r="G109" s="68">
        <f ca="1"/>
        <v>46630</v>
      </c>
      <c r="H109" s="66" t="str">
        <f ca="1"/>
        <v>AAA</v>
      </c>
      <c r="I109" s="66" t="str">
        <f ca="1"/>
        <v>--</v>
      </c>
      <c r="J109" s="69">
        <f ca="1"/>
        <v>97.289000000000001</v>
      </c>
      <c r="K109" s="70">
        <f ca="1"/>
        <v>4.2670000000000003</v>
      </c>
      <c r="L109" s="71" t="str">
        <f ca="1"/>
        <v>1,000(200)</v>
      </c>
      <c r="M109" s="83"/>
      <c r="N109" s="84" t="str">
        <f t="shared" si="24"/>
        <v/>
      </c>
      <c r="O109" s="20" t="str">
        <f t="shared" si="25"/>
        <v/>
      </c>
      <c r="P109" s="64" t="str">
        <f t="shared" si="26"/>
        <v/>
      </c>
      <c r="Q109" s="85" t="str">
        <f t="shared" ca="1" si="27"/>
        <v/>
      </c>
      <c r="R109" s="86" t="str">
        <f t="shared" si="28"/>
        <v/>
      </c>
      <c r="S109" s="86" t="str">
        <f t="shared" si="29"/>
        <v/>
      </c>
      <c r="T109" s="104" t="str">
        <f t="shared" si="15"/>
        <v/>
      </c>
      <c r="U109" s="19" t="str">
        <f>IF(AND(M109&lt;&gt;"",M109&lt;&gt;0), IF(E109 = "Muni", T109, IF(E109="Corp", T109*(1 -'Investor Input'!$C$4-'Investor Input'!$C$5), T109*(1 -'Investor Input'!$C$4))), T109)</f>
        <v/>
      </c>
      <c r="V109" s="84" t="str">
        <f t="shared" si="16"/>
        <v/>
      </c>
      <c r="W109" s="84" t="str">
        <f t="shared" si="17"/>
        <v/>
      </c>
      <c r="X109" s="46" t="str">
        <f t="shared" si="18"/>
        <v/>
      </c>
      <c r="Y109" s="60" t="str">
        <f t="shared" si="19"/>
        <v/>
      </c>
      <c r="Z109" s="60" t="str">
        <f t="shared" si="20"/>
        <v/>
      </c>
      <c r="AA109" s="64" t="str">
        <f t="shared" si="21"/>
        <v/>
      </c>
      <c r="AB109" s="64" t="str">
        <f>IF(AND(AA109&lt;&gt;"",AA109&lt;&gt;0), IF(E109="Muni", AA109, IF(E109 = "Corp", (1-'Investor Input'!$C$4-'Investor Input'!$C$5)*AA109, (1-'Investor Input'!$C$4)*AA109)), AA109)</f>
        <v/>
      </c>
      <c r="AC109" s="94" t="str">
        <f t="shared" si="22"/>
        <v/>
      </c>
      <c r="AD109" s="60" t="str">
        <f>IF(AND(M109&lt;&gt;"", M109&lt;&gt;0), N109/$N$505*MATCH(AC109,'Misc Lists'!$K$2:$K$25,0), "")</f>
        <v/>
      </c>
      <c r="AE109" s="90" t="str">
        <f t="shared" si="23"/>
        <v/>
      </c>
      <c r="AF109" s="99" t="str">
        <f>IF(AND(M109&lt;&gt;"", M109&lt;&gt;0), N109/$N$505*MATCH(AE109,'Misc Lists'!$L$2:$L$25,0), "")</f>
        <v/>
      </c>
    </row>
    <row r="110" spans="2:32" hidden="1" outlineLevel="1" x14ac:dyDescent="0.5">
      <c r="B110" s="65" t="str">
        <f ca="1"/>
        <v>9128283F5</v>
      </c>
      <c r="C110" s="66" t="str">
        <f ca="1"/>
        <v>N/A</v>
      </c>
      <c r="D110" s="65" t="str">
        <f ca="1"/>
        <v>UNITED STATES TREAS SER F-2027          2.25000% 11/15/2027 NTS NOTE</v>
      </c>
      <c r="E110" s="66" t="str">
        <f ca="1"/>
        <v>Tres</v>
      </c>
      <c r="F110" s="67">
        <f ca="1"/>
        <v>2.25</v>
      </c>
      <c r="G110" s="68">
        <f ca="1"/>
        <v>46706</v>
      </c>
      <c r="H110" s="66" t="str">
        <f ca="1"/>
        <v>AAA</v>
      </c>
      <c r="I110" s="66" t="str">
        <f ca="1"/>
        <v>--</v>
      </c>
      <c r="J110" s="69">
        <f ca="1"/>
        <v>94.835999999999999</v>
      </c>
      <c r="K110" s="70">
        <f ca="1"/>
        <v>4.2670000000000003</v>
      </c>
      <c r="L110" s="71" t="str">
        <f ca="1"/>
        <v>1,000(200)</v>
      </c>
      <c r="M110" s="83"/>
      <c r="N110" s="84" t="str">
        <f t="shared" si="24"/>
        <v/>
      </c>
      <c r="O110" s="20" t="str">
        <f t="shared" si="25"/>
        <v/>
      </c>
      <c r="P110" s="64" t="str">
        <f t="shared" si="26"/>
        <v/>
      </c>
      <c r="Q110" s="85" t="str">
        <f t="shared" ca="1" si="27"/>
        <v/>
      </c>
      <c r="R110" s="86" t="str">
        <f t="shared" si="28"/>
        <v/>
      </c>
      <c r="S110" s="86" t="str">
        <f t="shared" si="29"/>
        <v/>
      </c>
      <c r="T110" s="104" t="str">
        <f t="shared" si="15"/>
        <v/>
      </c>
      <c r="U110" s="19" t="str">
        <f>IF(AND(M110&lt;&gt;"",M110&lt;&gt;0), IF(E110 = "Muni", T110, IF(E110="Corp", T110*(1 -'Investor Input'!$C$4-'Investor Input'!$C$5), T110*(1 -'Investor Input'!$C$4))), T110)</f>
        <v/>
      </c>
      <c r="V110" s="84" t="str">
        <f t="shared" si="16"/>
        <v/>
      </c>
      <c r="W110" s="84" t="str">
        <f t="shared" si="17"/>
        <v/>
      </c>
      <c r="X110" s="46" t="str">
        <f t="shared" si="18"/>
        <v/>
      </c>
      <c r="Y110" s="60" t="str">
        <f t="shared" si="19"/>
        <v/>
      </c>
      <c r="Z110" s="60" t="str">
        <f t="shared" si="20"/>
        <v/>
      </c>
      <c r="AA110" s="64" t="str">
        <f t="shared" si="21"/>
        <v/>
      </c>
      <c r="AB110" s="64" t="str">
        <f>IF(AND(AA110&lt;&gt;"",AA110&lt;&gt;0), IF(E110="Muni", AA110, IF(E110 = "Corp", (1-'Investor Input'!$C$4-'Investor Input'!$C$5)*AA110, (1-'Investor Input'!$C$4)*AA110)), AA110)</f>
        <v/>
      </c>
      <c r="AC110" s="94" t="str">
        <f t="shared" si="22"/>
        <v/>
      </c>
      <c r="AD110" s="60" t="str">
        <f>IF(AND(M110&lt;&gt;"", M110&lt;&gt;0), N110/$N$505*MATCH(AC110,'Misc Lists'!$K$2:$K$25,0), "")</f>
        <v/>
      </c>
      <c r="AE110" s="90" t="str">
        <f t="shared" si="23"/>
        <v/>
      </c>
      <c r="AF110" s="99" t="str">
        <f>IF(AND(M110&lt;&gt;"", M110&lt;&gt;0), N110/$N$505*MATCH(AE110,'Misc Lists'!$L$2:$L$25,0), "")</f>
        <v/>
      </c>
    </row>
    <row r="111" spans="2:32" hidden="1" outlineLevel="1" x14ac:dyDescent="0.5">
      <c r="B111" s="65" t="str">
        <f ca="1"/>
        <v>91282CFZ9</v>
      </c>
      <c r="C111" s="66" t="str">
        <f ca="1"/>
        <v>N/A</v>
      </c>
      <c r="D111" s="65" t="str">
        <f ca="1"/>
        <v>UNITED STATES TREAS SER AG-2027         3.87500% 11/30/2027 NTS NOTE</v>
      </c>
      <c r="E111" s="66" t="str">
        <f ca="1"/>
        <v>Tres</v>
      </c>
      <c r="F111" s="67">
        <f ca="1"/>
        <v>3.875</v>
      </c>
      <c r="G111" s="68">
        <f ca="1"/>
        <v>46721</v>
      </c>
      <c r="H111" s="66" t="str">
        <f ca="1"/>
        <v>AAA</v>
      </c>
      <c r="I111" s="66" t="str">
        <f ca="1"/>
        <v>--</v>
      </c>
      <c r="J111" s="69">
        <f ca="1"/>
        <v>98.977000000000004</v>
      </c>
      <c r="K111" s="70">
        <f ca="1"/>
        <v>4.2670000000000003</v>
      </c>
      <c r="L111" s="71" t="str">
        <f ca="1"/>
        <v>65,000(400)</v>
      </c>
      <c r="M111" s="83"/>
      <c r="N111" s="84" t="str">
        <f t="shared" si="24"/>
        <v/>
      </c>
      <c r="O111" s="20" t="str">
        <f t="shared" si="25"/>
        <v/>
      </c>
      <c r="P111" s="64" t="str">
        <f t="shared" si="26"/>
        <v/>
      </c>
      <c r="Q111" s="85" t="str">
        <f t="shared" ca="1" si="27"/>
        <v/>
      </c>
      <c r="R111" s="86" t="str">
        <f t="shared" si="28"/>
        <v/>
      </c>
      <c r="S111" s="86" t="str">
        <f t="shared" si="29"/>
        <v/>
      </c>
      <c r="T111" s="104" t="str">
        <f t="shared" si="15"/>
        <v/>
      </c>
      <c r="U111" s="19" t="str">
        <f>IF(AND(M111&lt;&gt;"",M111&lt;&gt;0), IF(E111 = "Muni", T111, IF(E111="Corp", T111*(1 -'Investor Input'!$C$4-'Investor Input'!$C$5), T111*(1 -'Investor Input'!$C$4))), T111)</f>
        <v/>
      </c>
      <c r="V111" s="84" t="str">
        <f t="shared" si="16"/>
        <v/>
      </c>
      <c r="W111" s="84" t="str">
        <f t="shared" si="17"/>
        <v/>
      </c>
      <c r="X111" s="46" t="str">
        <f t="shared" si="18"/>
        <v/>
      </c>
      <c r="Y111" s="60" t="str">
        <f t="shared" si="19"/>
        <v/>
      </c>
      <c r="Z111" s="60" t="str">
        <f t="shared" si="20"/>
        <v/>
      </c>
      <c r="AA111" s="64" t="str">
        <f t="shared" si="21"/>
        <v/>
      </c>
      <c r="AB111" s="64" t="str">
        <f>IF(AND(AA111&lt;&gt;"",AA111&lt;&gt;0), IF(E111="Muni", AA111, IF(E111 = "Corp", (1-'Investor Input'!$C$4-'Investor Input'!$C$5)*AA111, (1-'Investor Input'!$C$4)*AA111)), AA111)</f>
        <v/>
      </c>
      <c r="AC111" s="94" t="str">
        <f t="shared" si="22"/>
        <v/>
      </c>
      <c r="AD111" s="60" t="str">
        <f>IF(AND(M111&lt;&gt;"", M111&lt;&gt;0), N111/$N$505*MATCH(AC111,'Misc Lists'!$K$2:$K$25,0), "")</f>
        <v/>
      </c>
      <c r="AE111" s="90" t="str">
        <f t="shared" si="23"/>
        <v/>
      </c>
      <c r="AF111" s="99" t="str">
        <f>IF(AND(M111&lt;&gt;"", M111&lt;&gt;0), N111/$N$505*MATCH(AE111,'Misc Lists'!$L$2:$L$25,0), "")</f>
        <v/>
      </c>
    </row>
    <row r="112" spans="2:32" hidden="1" outlineLevel="1" x14ac:dyDescent="0.5">
      <c r="B112" s="65" t="str">
        <f ca="1"/>
        <v>91282CBB6</v>
      </c>
      <c r="C112" s="66" t="str">
        <f ca="1"/>
        <v>N/A</v>
      </c>
      <c r="D112" s="65" t="str">
        <f ca="1"/>
        <v>UNITED STATES TREAS SER T-2027          0.62500% 12/31/2027 NTS NOTE</v>
      </c>
      <c r="E112" s="66" t="str">
        <f ca="1"/>
        <v>Tres</v>
      </c>
      <c r="F112" s="67">
        <f ca="1"/>
        <v>0.625</v>
      </c>
      <c r="G112" s="68">
        <f ca="1"/>
        <v>46752</v>
      </c>
      <c r="H112" s="66" t="str">
        <f ca="1"/>
        <v>AAA</v>
      </c>
      <c r="I112" s="66" t="str">
        <f ca="1"/>
        <v>--</v>
      </c>
      <c r="J112" s="69">
        <f ca="1"/>
        <v>90.274000000000001</v>
      </c>
      <c r="K112" s="70">
        <f ca="1"/>
        <v>4.2670000000000003</v>
      </c>
      <c r="L112" s="71" t="str">
        <f ca="1"/>
        <v>65,000(400)</v>
      </c>
      <c r="M112" s="83"/>
      <c r="N112" s="84" t="str">
        <f t="shared" si="24"/>
        <v/>
      </c>
      <c r="O112" s="20" t="str">
        <f t="shared" si="25"/>
        <v/>
      </c>
      <c r="P112" s="64" t="str">
        <f t="shared" si="26"/>
        <v/>
      </c>
      <c r="Q112" s="85" t="str">
        <f t="shared" ca="1" si="27"/>
        <v/>
      </c>
      <c r="R112" s="86" t="str">
        <f t="shared" si="28"/>
        <v/>
      </c>
      <c r="S112" s="86" t="str">
        <f t="shared" si="29"/>
        <v/>
      </c>
      <c r="T112" s="104" t="str">
        <f t="shared" si="15"/>
        <v/>
      </c>
      <c r="U112" s="19" t="str">
        <f>IF(AND(M112&lt;&gt;"",M112&lt;&gt;0), IF(E112 = "Muni", T112, IF(E112="Corp", T112*(1 -'Investor Input'!$C$4-'Investor Input'!$C$5), T112*(1 -'Investor Input'!$C$4))), T112)</f>
        <v/>
      </c>
      <c r="V112" s="84" t="str">
        <f t="shared" si="16"/>
        <v/>
      </c>
      <c r="W112" s="84" t="str">
        <f t="shared" si="17"/>
        <v/>
      </c>
      <c r="X112" s="46" t="str">
        <f t="shared" si="18"/>
        <v/>
      </c>
      <c r="Y112" s="60" t="str">
        <f t="shared" si="19"/>
        <v/>
      </c>
      <c r="Z112" s="60" t="str">
        <f t="shared" si="20"/>
        <v/>
      </c>
      <c r="AA112" s="64" t="str">
        <f t="shared" si="21"/>
        <v/>
      </c>
      <c r="AB112" s="64" t="str">
        <f>IF(AND(AA112&lt;&gt;"",AA112&lt;&gt;0), IF(E112="Muni", AA112, IF(E112 = "Corp", (1-'Investor Input'!$C$4-'Investor Input'!$C$5)*AA112, (1-'Investor Input'!$C$4)*AA112)), AA112)</f>
        <v/>
      </c>
      <c r="AC112" s="94" t="str">
        <f t="shared" si="22"/>
        <v/>
      </c>
      <c r="AD112" s="60" t="str">
        <f>IF(AND(M112&lt;&gt;"", M112&lt;&gt;0), N112/$N$505*MATCH(AC112,'Misc Lists'!$K$2:$K$25,0), "")</f>
        <v/>
      </c>
      <c r="AE112" s="90" t="str">
        <f t="shared" si="23"/>
        <v/>
      </c>
      <c r="AF112" s="99" t="str">
        <f>IF(AND(M112&lt;&gt;"", M112&lt;&gt;0), N112/$N$505*MATCH(AE112,'Misc Lists'!$L$2:$L$25,0), "")</f>
        <v/>
      </c>
    </row>
    <row r="113" spans="2:32" hidden="1" outlineLevel="1" x14ac:dyDescent="0.5">
      <c r="B113" s="65" t="str">
        <f ca="1"/>
        <v>91282CGH8</v>
      </c>
      <c r="C113" s="66" t="str">
        <f ca="1"/>
        <v>N/A</v>
      </c>
      <c r="D113" s="65" t="str">
        <f ca="1"/>
        <v>UNITED STATES TREAS SER U-2028          3.50000% 01/31/2028 NTS NOTE</v>
      </c>
      <c r="E113" s="66" t="str">
        <f ca="1"/>
        <v>Tres</v>
      </c>
      <c r="F113" s="67">
        <f ca="1"/>
        <v>3.5</v>
      </c>
      <c r="G113" s="68">
        <f ca="1"/>
        <v>46783</v>
      </c>
      <c r="H113" s="66" t="str">
        <f ca="1"/>
        <v>AAA</v>
      </c>
      <c r="I113" s="66" t="str">
        <f ca="1"/>
        <v>--</v>
      </c>
      <c r="J113" s="69">
        <f ca="1"/>
        <v>97.891000000000005</v>
      </c>
      <c r="K113" s="70">
        <f ca="1"/>
        <v>4.2670000000000003</v>
      </c>
      <c r="L113" s="71" t="str">
        <f ca="1"/>
        <v>65,000(400)</v>
      </c>
      <c r="M113" s="83"/>
      <c r="N113" s="84" t="str">
        <f t="shared" si="24"/>
        <v/>
      </c>
      <c r="O113" s="20" t="str">
        <f t="shared" si="25"/>
        <v/>
      </c>
      <c r="P113" s="64" t="str">
        <f t="shared" si="26"/>
        <v/>
      </c>
      <c r="Q113" s="85" t="str">
        <f t="shared" ca="1" si="27"/>
        <v/>
      </c>
      <c r="R113" s="86" t="str">
        <f t="shared" si="28"/>
        <v/>
      </c>
      <c r="S113" s="86" t="str">
        <f t="shared" si="29"/>
        <v/>
      </c>
      <c r="T113" s="104" t="str">
        <f t="shared" si="15"/>
        <v/>
      </c>
      <c r="U113" s="19" t="str">
        <f>IF(AND(M113&lt;&gt;"",M113&lt;&gt;0), IF(E113 = "Muni", T113, IF(E113="Corp", T113*(1 -'Investor Input'!$C$4-'Investor Input'!$C$5), T113*(1 -'Investor Input'!$C$4))), T113)</f>
        <v/>
      </c>
      <c r="V113" s="84" t="str">
        <f t="shared" si="16"/>
        <v/>
      </c>
      <c r="W113" s="84" t="str">
        <f t="shared" si="17"/>
        <v/>
      </c>
      <c r="X113" s="46" t="str">
        <f t="shared" si="18"/>
        <v/>
      </c>
      <c r="Y113" s="60" t="str">
        <f t="shared" si="19"/>
        <v/>
      </c>
      <c r="Z113" s="60" t="str">
        <f t="shared" si="20"/>
        <v/>
      </c>
      <c r="AA113" s="64" t="str">
        <f t="shared" si="21"/>
        <v/>
      </c>
      <c r="AB113" s="64" t="str">
        <f>IF(AND(AA113&lt;&gt;"",AA113&lt;&gt;0), IF(E113="Muni", AA113, IF(E113 = "Corp", (1-'Investor Input'!$C$4-'Investor Input'!$C$5)*AA113, (1-'Investor Input'!$C$4)*AA113)), AA113)</f>
        <v/>
      </c>
      <c r="AC113" s="94" t="str">
        <f t="shared" si="22"/>
        <v/>
      </c>
      <c r="AD113" s="60" t="str">
        <f>IF(AND(M113&lt;&gt;"", M113&lt;&gt;0), N113/$N$505*MATCH(AC113,'Misc Lists'!$K$2:$K$25,0), "")</f>
        <v/>
      </c>
      <c r="AE113" s="90" t="str">
        <f t="shared" si="23"/>
        <v/>
      </c>
      <c r="AF113" s="99" t="str">
        <f>IF(AND(M113&lt;&gt;"", M113&lt;&gt;0), N113/$N$505*MATCH(AE113,'Misc Lists'!$L$2:$L$25,0), "")</f>
        <v/>
      </c>
    </row>
    <row r="114" spans="2:32" hidden="1" outlineLevel="1" x14ac:dyDescent="0.5">
      <c r="B114" s="65" t="str">
        <f ca="1"/>
        <v>91282CFP1</v>
      </c>
      <c r="C114" s="66" t="str">
        <f ca="1"/>
        <v>N/A</v>
      </c>
      <c r="D114" s="65" t="str">
        <f ca="1"/>
        <v>UNITED STATES TREAS SER AT-2025         4.25000% 10/15/2025 NTS NOTE</v>
      </c>
      <c r="E114" s="66" t="str">
        <f ca="1"/>
        <v>Tres</v>
      </c>
      <c r="F114" s="67">
        <f ca="1"/>
        <v>4.25</v>
      </c>
      <c r="G114" s="68">
        <f ca="1"/>
        <v>45945</v>
      </c>
      <c r="H114" s="66" t="str">
        <f ca="1"/>
        <v>AAA</v>
      </c>
      <c r="I114" s="66" t="str">
        <f ca="1"/>
        <v>--</v>
      </c>
      <c r="J114" s="69">
        <f ca="1"/>
        <v>99.984999999999999</v>
      </c>
      <c r="K114" s="70">
        <f ca="1"/>
        <v>4.266</v>
      </c>
      <c r="L114" s="71" t="str">
        <f ca="1"/>
        <v>5,600(200)</v>
      </c>
      <c r="M114" s="83"/>
      <c r="N114" s="84" t="str">
        <f t="shared" si="24"/>
        <v/>
      </c>
      <c r="O114" s="20" t="str">
        <f t="shared" si="25"/>
        <v/>
      </c>
      <c r="P114" s="64" t="str">
        <f t="shared" si="26"/>
        <v/>
      </c>
      <c r="Q114" s="85" t="str">
        <f t="shared" ca="1" si="27"/>
        <v/>
      </c>
      <c r="R114" s="86" t="str">
        <f t="shared" si="28"/>
        <v/>
      </c>
      <c r="S114" s="86" t="str">
        <f t="shared" si="29"/>
        <v/>
      </c>
      <c r="T114" s="104" t="str">
        <f t="shared" si="15"/>
        <v/>
      </c>
      <c r="U114" s="19" t="str">
        <f>IF(AND(M114&lt;&gt;"",M114&lt;&gt;0), IF(E114 = "Muni", T114, IF(E114="Corp", T114*(1 -'Investor Input'!$C$4-'Investor Input'!$C$5), T114*(1 -'Investor Input'!$C$4))), T114)</f>
        <v/>
      </c>
      <c r="V114" s="84" t="str">
        <f t="shared" si="16"/>
        <v/>
      </c>
      <c r="W114" s="84" t="str">
        <f t="shared" si="17"/>
        <v/>
      </c>
      <c r="X114" s="46" t="str">
        <f t="shared" si="18"/>
        <v/>
      </c>
      <c r="Y114" s="60" t="str">
        <f t="shared" si="19"/>
        <v/>
      </c>
      <c r="Z114" s="60" t="str">
        <f t="shared" si="20"/>
        <v/>
      </c>
      <c r="AA114" s="64" t="str">
        <f t="shared" si="21"/>
        <v/>
      </c>
      <c r="AB114" s="64" t="str">
        <f>IF(AND(AA114&lt;&gt;"",AA114&lt;&gt;0), IF(E114="Muni", AA114, IF(E114 = "Corp", (1-'Investor Input'!$C$4-'Investor Input'!$C$5)*AA114, (1-'Investor Input'!$C$4)*AA114)), AA114)</f>
        <v/>
      </c>
      <c r="AC114" s="94" t="str">
        <f t="shared" si="22"/>
        <v/>
      </c>
      <c r="AD114" s="60" t="str">
        <f>IF(AND(M114&lt;&gt;"", M114&lt;&gt;0), N114/$N$505*MATCH(AC114,'Misc Lists'!$K$2:$K$25,0), "")</f>
        <v/>
      </c>
      <c r="AE114" s="90" t="str">
        <f t="shared" si="23"/>
        <v/>
      </c>
      <c r="AF114" s="99" t="str">
        <f>IF(AND(M114&lt;&gt;"", M114&lt;&gt;0), N114/$N$505*MATCH(AE114,'Misc Lists'!$L$2:$L$25,0), "")</f>
        <v/>
      </c>
    </row>
    <row r="115" spans="2:32" hidden="1" outlineLevel="1" x14ac:dyDescent="0.5">
      <c r="B115" s="65" t="str">
        <f ca="1"/>
        <v>91282CJP7</v>
      </c>
      <c r="C115" s="66" t="str">
        <f ca="1"/>
        <v>N/A</v>
      </c>
      <c r="D115" s="65" t="str">
        <f ca="1"/>
        <v>UNITED STATES TREAS SER AV-2026         4.37500% 12/15/2026 NTS NOTE</v>
      </c>
      <c r="E115" s="66" t="str">
        <f ca="1"/>
        <v>Tres</v>
      </c>
      <c r="F115" s="67">
        <f ca="1"/>
        <v>4.375</v>
      </c>
      <c r="G115" s="68">
        <f ca="1"/>
        <v>46371</v>
      </c>
      <c r="H115" s="66" t="str">
        <f ca="1"/>
        <v>AAA</v>
      </c>
      <c r="I115" s="66" t="str">
        <f ca="1"/>
        <v>--</v>
      </c>
      <c r="J115" s="69">
        <f ca="1"/>
        <v>100.184</v>
      </c>
      <c r="K115" s="70">
        <f ca="1"/>
        <v>4.266</v>
      </c>
      <c r="L115" s="71" t="str">
        <f ca="1"/>
        <v>70,000(400)</v>
      </c>
      <c r="M115" s="83"/>
      <c r="N115" s="84" t="str">
        <f t="shared" si="24"/>
        <v/>
      </c>
      <c r="O115" s="20" t="str">
        <f t="shared" si="25"/>
        <v/>
      </c>
      <c r="P115" s="64" t="str">
        <f t="shared" si="26"/>
        <v/>
      </c>
      <c r="Q115" s="85" t="str">
        <f t="shared" ca="1" si="27"/>
        <v/>
      </c>
      <c r="R115" s="86" t="str">
        <f t="shared" si="28"/>
        <v/>
      </c>
      <c r="S115" s="86" t="str">
        <f t="shared" si="29"/>
        <v/>
      </c>
      <c r="T115" s="104" t="str">
        <f t="shared" si="15"/>
        <v/>
      </c>
      <c r="U115" s="19" t="str">
        <f>IF(AND(M115&lt;&gt;"",M115&lt;&gt;0), IF(E115 = "Muni", T115, IF(E115="Corp", T115*(1 -'Investor Input'!$C$4-'Investor Input'!$C$5), T115*(1 -'Investor Input'!$C$4))), T115)</f>
        <v/>
      </c>
      <c r="V115" s="84" t="str">
        <f t="shared" si="16"/>
        <v/>
      </c>
      <c r="W115" s="84" t="str">
        <f t="shared" si="17"/>
        <v/>
      </c>
      <c r="X115" s="46" t="str">
        <f t="shared" si="18"/>
        <v/>
      </c>
      <c r="Y115" s="60" t="str">
        <f t="shared" si="19"/>
        <v/>
      </c>
      <c r="Z115" s="60" t="str">
        <f t="shared" si="20"/>
        <v/>
      </c>
      <c r="AA115" s="64" t="str">
        <f t="shared" si="21"/>
        <v/>
      </c>
      <c r="AB115" s="64" t="str">
        <f>IF(AND(AA115&lt;&gt;"",AA115&lt;&gt;0), IF(E115="Muni", AA115, IF(E115 = "Corp", (1-'Investor Input'!$C$4-'Investor Input'!$C$5)*AA115, (1-'Investor Input'!$C$4)*AA115)), AA115)</f>
        <v/>
      </c>
      <c r="AC115" s="94" t="str">
        <f t="shared" si="22"/>
        <v/>
      </c>
      <c r="AD115" s="60" t="str">
        <f>IF(AND(M115&lt;&gt;"", M115&lt;&gt;0), N115/$N$505*MATCH(AC115,'Misc Lists'!$K$2:$K$25,0), "")</f>
        <v/>
      </c>
      <c r="AE115" s="90" t="str">
        <f t="shared" si="23"/>
        <v/>
      </c>
      <c r="AF115" s="99" t="str">
        <f>IF(AND(M115&lt;&gt;"", M115&lt;&gt;0), N115/$N$505*MATCH(AE115,'Misc Lists'!$L$2:$L$25,0), "")</f>
        <v/>
      </c>
    </row>
    <row r="116" spans="2:32" hidden="1" outlineLevel="1" x14ac:dyDescent="0.5">
      <c r="B116" s="65" t="str">
        <f ca="1"/>
        <v>91282CAY7</v>
      </c>
      <c r="C116" s="66" t="str">
        <f ca="1"/>
        <v>N/A</v>
      </c>
      <c r="D116" s="65" t="str">
        <f ca="1"/>
        <v>UNITED STATES TREAS SER S-2027          0.62500% 11/30/2027 NTS NOTE</v>
      </c>
      <c r="E116" s="66" t="str">
        <f ca="1"/>
        <v>Tres</v>
      </c>
      <c r="F116" s="67">
        <f ca="1"/>
        <v>0.625</v>
      </c>
      <c r="G116" s="68">
        <f ca="1"/>
        <v>46721</v>
      </c>
      <c r="H116" s="66" t="str">
        <f ca="1"/>
        <v>AAA</v>
      </c>
      <c r="I116" s="66" t="str">
        <f ca="1"/>
        <v>--</v>
      </c>
      <c r="J116" s="69">
        <f ca="1"/>
        <v>90.546999999999997</v>
      </c>
      <c r="K116" s="70">
        <f ca="1"/>
        <v>4.266</v>
      </c>
      <c r="L116" s="71" t="str">
        <f ca="1"/>
        <v>65,000(400)</v>
      </c>
      <c r="M116" s="83"/>
      <c r="N116" s="84" t="str">
        <f t="shared" si="24"/>
        <v/>
      </c>
      <c r="O116" s="20" t="str">
        <f t="shared" si="25"/>
        <v/>
      </c>
      <c r="P116" s="64" t="str">
        <f t="shared" si="26"/>
        <v/>
      </c>
      <c r="Q116" s="85" t="str">
        <f t="shared" ca="1" si="27"/>
        <v/>
      </c>
      <c r="R116" s="86" t="str">
        <f t="shared" si="28"/>
        <v/>
      </c>
      <c r="S116" s="86" t="str">
        <f t="shared" si="29"/>
        <v/>
      </c>
      <c r="T116" s="104" t="str">
        <f t="shared" si="15"/>
        <v/>
      </c>
      <c r="U116" s="19" t="str">
        <f>IF(AND(M116&lt;&gt;"",M116&lt;&gt;0), IF(E116 = "Muni", T116, IF(E116="Corp", T116*(1 -'Investor Input'!$C$4-'Investor Input'!$C$5), T116*(1 -'Investor Input'!$C$4))), T116)</f>
        <v/>
      </c>
      <c r="V116" s="84" t="str">
        <f t="shared" si="16"/>
        <v/>
      </c>
      <c r="W116" s="84" t="str">
        <f t="shared" si="17"/>
        <v/>
      </c>
      <c r="X116" s="46" t="str">
        <f t="shared" si="18"/>
        <v/>
      </c>
      <c r="Y116" s="60" t="str">
        <f t="shared" si="19"/>
        <v/>
      </c>
      <c r="Z116" s="60" t="str">
        <f t="shared" si="20"/>
        <v/>
      </c>
      <c r="AA116" s="64" t="str">
        <f t="shared" si="21"/>
        <v/>
      </c>
      <c r="AB116" s="64" t="str">
        <f>IF(AND(AA116&lt;&gt;"",AA116&lt;&gt;0), IF(E116="Muni", AA116, IF(E116 = "Corp", (1-'Investor Input'!$C$4-'Investor Input'!$C$5)*AA116, (1-'Investor Input'!$C$4)*AA116)), AA116)</f>
        <v/>
      </c>
      <c r="AC116" s="94" t="str">
        <f t="shared" si="22"/>
        <v/>
      </c>
      <c r="AD116" s="60" t="str">
        <f>IF(AND(M116&lt;&gt;"", M116&lt;&gt;0), N116/$N$505*MATCH(AC116,'Misc Lists'!$K$2:$K$25,0), "")</f>
        <v/>
      </c>
      <c r="AE116" s="90" t="str">
        <f t="shared" si="23"/>
        <v/>
      </c>
      <c r="AF116" s="99" t="str">
        <f>IF(AND(M116&lt;&gt;"", M116&lt;&gt;0), N116/$N$505*MATCH(AE116,'Misc Lists'!$L$2:$L$25,0), "")</f>
        <v/>
      </c>
    </row>
    <row r="117" spans="2:32" hidden="1" outlineLevel="1" x14ac:dyDescent="0.5">
      <c r="B117" s="65" t="str">
        <f ca="1"/>
        <v>9128285J5</v>
      </c>
      <c r="C117" s="66" t="str">
        <f ca="1"/>
        <v>N/A</v>
      </c>
      <c r="D117" s="65" t="str">
        <f ca="1"/>
        <v>UNITED STATES TREAS SER R-2025          3.00000% 10/31/2025 NTS NOTE</v>
      </c>
      <c r="E117" s="66" t="str">
        <f ca="1"/>
        <v>Tres</v>
      </c>
      <c r="F117" s="67">
        <f ca="1"/>
        <v>3</v>
      </c>
      <c r="G117" s="68">
        <f ca="1"/>
        <v>45961</v>
      </c>
      <c r="H117" s="66" t="str">
        <f ca="1"/>
        <v>AAA</v>
      </c>
      <c r="I117" s="66" t="str">
        <f ca="1"/>
        <v>--</v>
      </c>
      <c r="J117" s="69">
        <f ca="1"/>
        <v>99.138000000000005</v>
      </c>
      <c r="K117" s="70">
        <f ca="1"/>
        <v>4.2649999999999997</v>
      </c>
      <c r="L117" s="71" t="str">
        <f ca="1"/>
        <v>8,000(200)</v>
      </c>
      <c r="M117" s="83"/>
      <c r="N117" s="84" t="str">
        <f t="shared" si="24"/>
        <v/>
      </c>
      <c r="O117" s="20" t="str">
        <f t="shared" si="25"/>
        <v/>
      </c>
      <c r="P117" s="64" t="str">
        <f t="shared" si="26"/>
        <v/>
      </c>
      <c r="Q117" s="85" t="str">
        <f t="shared" ca="1" si="27"/>
        <v/>
      </c>
      <c r="R117" s="86" t="str">
        <f t="shared" si="28"/>
        <v/>
      </c>
      <c r="S117" s="86" t="str">
        <f t="shared" si="29"/>
        <v/>
      </c>
      <c r="T117" s="104" t="str">
        <f t="shared" si="15"/>
        <v/>
      </c>
      <c r="U117" s="19" t="str">
        <f>IF(AND(M117&lt;&gt;"",M117&lt;&gt;0), IF(E117 = "Muni", T117, IF(E117="Corp", T117*(1 -'Investor Input'!$C$4-'Investor Input'!$C$5), T117*(1 -'Investor Input'!$C$4))), T117)</f>
        <v/>
      </c>
      <c r="V117" s="84" t="str">
        <f t="shared" si="16"/>
        <v/>
      </c>
      <c r="W117" s="84" t="str">
        <f t="shared" si="17"/>
        <v/>
      </c>
      <c r="X117" s="46" t="str">
        <f t="shared" si="18"/>
        <v/>
      </c>
      <c r="Y117" s="60" t="str">
        <f t="shared" si="19"/>
        <v/>
      </c>
      <c r="Z117" s="60" t="str">
        <f t="shared" si="20"/>
        <v/>
      </c>
      <c r="AA117" s="64" t="str">
        <f t="shared" si="21"/>
        <v/>
      </c>
      <c r="AB117" s="64" t="str">
        <f>IF(AND(AA117&lt;&gt;"",AA117&lt;&gt;0), IF(E117="Muni", AA117, IF(E117 = "Corp", (1-'Investor Input'!$C$4-'Investor Input'!$C$5)*AA117, (1-'Investor Input'!$C$4)*AA117)), AA117)</f>
        <v/>
      </c>
      <c r="AC117" s="94" t="str">
        <f t="shared" si="22"/>
        <v/>
      </c>
      <c r="AD117" s="60" t="str">
        <f>IF(AND(M117&lt;&gt;"", M117&lt;&gt;0), N117/$N$505*MATCH(AC117,'Misc Lists'!$K$2:$K$25,0), "")</f>
        <v/>
      </c>
      <c r="AE117" s="90" t="str">
        <f t="shared" si="23"/>
        <v/>
      </c>
      <c r="AF117" s="99" t="str">
        <f>IF(AND(M117&lt;&gt;"", M117&lt;&gt;0), N117/$N$505*MATCH(AE117,'Misc Lists'!$L$2:$L$25,0), "")</f>
        <v/>
      </c>
    </row>
    <row r="118" spans="2:32" hidden="1" outlineLevel="1" x14ac:dyDescent="0.5">
      <c r="B118" s="65" t="str">
        <f ca="1"/>
        <v>91282CBW0</v>
      </c>
      <c r="C118" s="66" t="str">
        <f ca="1"/>
        <v>N/A</v>
      </c>
      <c r="D118" s="65" t="str">
        <f ca="1"/>
        <v>UNITED STATES TREAS SER Y-2026          0.75000% 04/30/2026 NTS NOTE</v>
      </c>
      <c r="E118" s="66" t="str">
        <f ca="1"/>
        <v>Tres</v>
      </c>
      <c r="F118" s="67">
        <f ca="1"/>
        <v>0.75</v>
      </c>
      <c r="G118" s="68">
        <f ca="1"/>
        <v>46142</v>
      </c>
      <c r="H118" s="66" t="str">
        <f ca="1"/>
        <v>AAA</v>
      </c>
      <c r="I118" s="66" t="str">
        <f ca="1"/>
        <v>--</v>
      </c>
      <c r="J118" s="69">
        <f ca="1"/>
        <v>95.941999999999993</v>
      </c>
      <c r="K118" s="70">
        <f ca="1"/>
        <v>4.2649999999999997</v>
      </c>
      <c r="L118" s="71" t="str">
        <f ca="1"/>
        <v>30,000(400)</v>
      </c>
      <c r="M118" s="83"/>
      <c r="N118" s="84" t="str">
        <f t="shared" si="24"/>
        <v/>
      </c>
      <c r="O118" s="20" t="str">
        <f t="shared" si="25"/>
        <v/>
      </c>
      <c r="P118" s="64" t="str">
        <f t="shared" si="26"/>
        <v/>
      </c>
      <c r="Q118" s="85" t="str">
        <f t="shared" ca="1" si="27"/>
        <v/>
      </c>
      <c r="R118" s="86" t="str">
        <f t="shared" si="28"/>
        <v/>
      </c>
      <c r="S118" s="86" t="str">
        <f t="shared" si="29"/>
        <v/>
      </c>
      <c r="T118" s="104" t="str">
        <f t="shared" si="15"/>
        <v/>
      </c>
      <c r="U118" s="19" t="str">
        <f>IF(AND(M118&lt;&gt;"",M118&lt;&gt;0), IF(E118 = "Muni", T118, IF(E118="Corp", T118*(1 -'Investor Input'!$C$4-'Investor Input'!$C$5), T118*(1 -'Investor Input'!$C$4))), T118)</f>
        <v/>
      </c>
      <c r="V118" s="84" t="str">
        <f t="shared" si="16"/>
        <v/>
      </c>
      <c r="W118" s="84" t="str">
        <f t="shared" si="17"/>
        <v/>
      </c>
      <c r="X118" s="46" t="str">
        <f t="shared" si="18"/>
        <v/>
      </c>
      <c r="Y118" s="60" t="str">
        <f t="shared" si="19"/>
        <v/>
      </c>
      <c r="Z118" s="60" t="str">
        <f t="shared" si="20"/>
        <v/>
      </c>
      <c r="AA118" s="64" t="str">
        <f t="shared" si="21"/>
        <v/>
      </c>
      <c r="AB118" s="64" t="str">
        <f>IF(AND(AA118&lt;&gt;"",AA118&lt;&gt;0), IF(E118="Muni", AA118, IF(E118 = "Corp", (1-'Investor Input'!$C$4-'Investor Input'!$C$5)*AA118, (1-'Investor Input'!$C$4)*AA118)), AA118)</f>
        <v/>
      </c>
      <c r="AC118" s="94" t="str">
        <f t="shared" si="22"/>
        <v/>
      </c>
      <c r="AD118" s="60" t="str">
        <f>IF(AND(M118&lt;&gt;"", M118&lt;&gt;0), N118/$N$505*MATCH(AC118,'Misc Lists'!$K$2:$K$25,0), "")</f>
        <v/>
      </c>
      <c r="AE118" s="90" t="str">
        <f t="shared" si="23"/>
        <v/>
      </c>
      <c r="AF118" s="99" t="str">
        <f>IF(AND(M118&lt;&gt;"", M118&lt;&gt;0), N118/$N$505*MATCH(AE118,'Misc Lists'!$L$2:$L$25,0), "")</f>
        <v/>
      </c>
    </row>
    <row r="119" spans="2:32" hidden="1" outlineLevel="1" x14ac:dyDescent="0.5">
      <c r="B119" s="65" t="str">
        <f ca="1"/>
        <v>91282CLP4</v>
      </c>
      <c r="C119" s="66" t="str">
        <f ca="1"/>
        <v>N/A</v>
      </c>
      <c r="D119" s="65" t="str">
        <f ca="1"/>
        <v>UNITED STATES TREAS SER BH-2026         3.50000% 09/30/2026 NTS NOTE</v>
      </c>
      <c r="E119" s="66" t="str">
        <f ca="1"/>
        <v>Tres</v>
      </c>
      <c r="F119" s="67">
        <f ca="1"/>
        <v>3.5</v>
      </c>
      <c r="G119" s="68">
        <f ca="1"/>
        <v>46295</v>
      </c>
      <c r="H119" s="66" t="str">
        <f ca="1"/>
        <v>AAA</v>
      </c>
      <c r="I119" s="66" t="str">
        <f ca="1"/>
        <v>--</v>
      </c>
      <c r="J119" s="69">
        <f ca="1"/>
        <v>98.816999999999993</v>
      </c>
      <c r="K119" s="70">
        <f ca="1"/>
        <v>4.2649999999999997</v>
      </c>
      <c r="L119" s="71" t="str">
        <f ca="1"/>
        <v>150,000(400)</v>
      </c>
      <c r="M119" s="83"/>
      <c r="N119" s="84" t="str">
        <f t="shared" si="24"/>
        <v/>
      </c>
      <c r="O119" s="20" t="str">
        <f t="shared" si="25"/>
        <v/>
      </c>
      <c r="P119" s="64" t="str">
        <f t="shared" si="26"/>
        <v/>
      </c>
      <c r="Q119" s="85" t="str">
        <f t="shared" ca="1" si="27"/>
        <v/>
      </c>
      <c r="R119" s="86" t="str">
        <f t="shared" si="28"/>
        <v/>
      </c>
      <c r="S119" s="86" t="str">
        <f t="shared" si="29"/>
        <v/>
      </c>
      <c r="T119" s="104" t="str">
        <f t="shared" si="15"/>
        <v/>
      </c>
      <c r="U119" s="19" t="str">
        <f>IF(AND(M119&lt;&gt;"",M119&lt;&gt;0), IF(E119 = "Muni", T119, IF(E119="Corp", T119*(1 -'Investor Input'!$C$4-'Investor Input'!$C$5), T119*(1 -'Investor Input'!$C$4))), T119)</f>
        <v/>
      </c>
      <c r="V119" s="84" t="str">
        <f t="shared" si="16"/>
        <v/>
      </c>
      <c r="W119" s="84" t="str">
        <f t="shared" si="17"/>
        <v/>
      </c>
      <c r="X119" s="46" t="str">
        <f t="shared" si="18"/>
        <v/>
      </c>
      <c r="Y119" s="60" t="str">
        <f t="shared" si="19"/>
        <v/>
      </c>
      <c r="Z119" s="60" t="str">
        <f t="shared" si="20"/>
        <v/>
      </c>
      <c r="AA119" s="64" t="str">
        <f t="shared" si="21"/>
        <v/>
      </c>
      <c r="AB119" s="64" t="str">
        <f>IF(AND(AA119&lt;&gt;"",AA119&lt;&gt;0), IF(E119="Muni", AA119, IF(E119 = "Corp", (1-'Investor Input'!$C$4-'Investor Input'!$C$5)*AA119, (1-'Investor Input'!$C$4)*AA119)), AA119)</f>
        <v/>
      </c>
      <c r="AC119" s="94" t="str">
        <f t="shared" si="22"/>
        <v/>
      </c>
      <c r="AD119" s="60" t="str">
        <f>IF(AND(M119&lt;&gt;"", M119&lt;&gt;0), N119/$N$505*MATCH(AC119,'Misc Lists'!$K$2:$K$25,0), "")</f>
        <v/>
      </c>
      <c r="AE119" s="90" t="str">
        <f t="shared" si="23"/>
        <v/>
      </c>
      <c r="AF119" s="99" t="str">
        <f>IF(AND(M119&lt;&gt;"", M119&lt;&gt;0), N119/$N$505*MATCH(AE119,'Misc Lists'!$L$2:$L$25,0), "")</f>
        <v/>
      </c>
    </row>
    <row r="120" spans="2:32" hidden="1" outlineLevel="1" x14ac:dyDescent="0.5">
      <c r="B120" s="65" t="str">
        <f ca="1"/>
        <v>91282CLY5</v>
      </c>
      <c r="C120" s="66" t="str">
        <f ca="1"/>
        <v>N/A</v>
      </c>
      <c r="D120" s="65" t="str">
        <f ca="1"/>
        <v>UNITED STATES TREAS SER BL-2026         4.25000% 11/30/2026 NTS NOTE</v>
      </c>
      <c r="E120" s="66" t="str">
        <f ca="1"/>
        <v>Tres</v>
      </c>
      <c r="F120" s="67">
        <f ca="1"/>
        <v>4.25</v>
      </c>
      <c r="G120" s="68">
        <f ca="1"/>
        <v>46356</v>
      </c>
      <c r="H120" s="66" t="str">
        <f ca="1"/>
        <v>AAA</v>
      </c>
      <c r="I120" s="66" t="str">
        <f ca="1"/>
        <v>--</v>
      </c>
      <c r="J120" s="69">
        <f ca="1"/>
        <v>99.968999999999994</v>
      </c>
      <c r="K120" s="70">
        <f ca="1"/>
        <v>4.2649999999999997</v>
      </c>
      <c r="L120" s="71" t="str">
        <f ca="1"/>
        <v>57,000(525)</v>
      </c>
      <c r="M120" s="83"/>
      <c r="N120" s="84" t="str">
        <f t="shared" si="24"/>
        <v/>
      </c>
      <c r="O120" s="20" t="str">
        <f t="shared" si="25"/>
        <v/>
      </c>
      <c r="P120" s="64" t="str">
        <f t="shared" si="26"/>
        <v/>
      </c>
      <c r="Q120" s="85" t="str">
        <f t="shared" ca="1" si="27"/>
        <v/>
      </c>
      <c r="R120" s="86" t="str">
        <f t="shared" si="28"/>
        <v/>
      </c>
      <c r="S120" s="86" t="str">
        <f t="shared" si="29"/>
        <v/>
      </c>
      <c r="T120" s="104" t="str">
        <f t="shared" si="15"/>
        <v/>
      </c>
      <c r="U120" s="19" t="str">
        <f>IF(AND(M120&lt;&gt;"",M120&lt;&gt;0), IF(E120 = "Muni", T120, IF(E120="Corp", T120*(1 -'Investor Input'!$C$4-'Investor Input'!$C$5), T120*(1 -'Investor Input'!$C$4))), T120)</f>
        <v/>
      </c>
      <c r="V120" s="84" t="str">
        <f t="shared" si="16"/>
        <v/>
      </c>
      <c r="W120" s="84" t="str">
        <f t="shared" si="17"/>
        <v/>
      </c>
      <c r="X120" s="46" t="str">
        <f t="shared" si="18"/>
        <v/>
      </c>
      <c r="Y120" s="60" t="str">
        <f t="shared" si="19"/>
        <v/>
      </c>
      <c r="Z120" s="60" t="str">
        <f t="shared" si="20"/>
        <v/>
      </c>
      <c r="AA120" s="64" t="str">
        <f t="shared" si="21"/>
        <v/>
      </c>
      <c r="AB120" s="64" t="str">
        <f>IF(AND(AA120&lt;&gt;"",AA120&lt;&gt;0), IF(E120="Muni", AA120, IF(E120 = "Corp", (1-'Investor Input'!$C$4-'Investor Input'!$C$5)*AA120, (1-'Investor Input'!$C$4)*AA120)), AA120)</f>
        <v/>
      </c>
      <c r="AC120" s="94" t="str">
        <f t="shared" si="22"/>
        <v/>
      </c>
      <c r="AD120" s="60" t="str">
        <f>IF(AND(M120&lt;&gt;"", M120&lt;&gt;0), N120/$N$505*MATCH(AC120,'Misc Lists'!$K$2:$K$25,0), "")</f>
        <v/>
      </c>
      <c r="AE120" s="90" t="str">
        <f t="shared" si="23"/>
        <v/>
      </c>
      <c r="AF120" s="99" t="str">
        <f>IF(AND(M120&lt;&gt;"", M120&lt;&gt;0), N120/$N$505*MATCH(AE120,'Misc Lists'!$L$2:$L$25,0), "")</f>
        <v/>
      </c>
    </row>
    <row r="121" spans="2:32" hidden="1" outlineLevel="1" x14ac:dyDescent="0.5">
      <c r="B121" s="65" t="str">
        <f ca="1"/>
        <v>91282CME8</v>
      </c>
      <c r="C121" s="66" t="str">
        <f ca="1"/>
        <v>N/A</v>
      </c>
      <c r="D121" s="65" t="str">
        <f ca="1"/>
        <v>UNITED STATES TREAS SER BM-2026         4.25000% 12/31/2026 NTS NOTE</v>
      </c>
      <c r="E121" s="66" t="str">
        <f ca="1"/>
        <v>Tres</v>
      </c>
      <c r="F121" s="67">
        <f ca="1"/>
        <v>4.25</v>
      </c>
      <c r="G121" s="68">
        <f ca="1"/>
        <v>46387</v>
      </c>
      <c r="H121" s="66" t="str">
        <f ca="1"/>
        <v>AAA</v>
      </c>
      <c r="I121" s="66" t="str">
        <f ca="1"/>
        <v>--</v>
      </c>
      <c r="J121" s="69">
        <f ca="1"/>
        <v>99.968999999999994</v>
      </c>
      <c r="K121" s="70">
        <f ca="1"/>
        <v>4.2649999999999997</v>
      </c>
      <c r="L121" s="71" t="str">
        <f ca="1"/>
        <v>70,000(400)</v>
      </c>
      <c r="M121" s="83"/>
      <c r="N121" s="84" t="str">
        <f t="shared" si="24"/>
        <v/>
      </c>
      <c r="O121" s="20" t="str">
        <f t="shared" si="25"/>
        <v/>
      </c>
      <c r="P121" s="64" t="str">
        <f t="shared" si="26"/>
        <v/>
      </c>
      <c r="Q121" s="85" t="str">
        <f t="shared" ca="1" si="27"/>
        <v/>
      </c>
      <c r="R121" s="86" t="str">
        <f t="shared" si="28"/>
        <v/>
      </c>
      <c r="S121" s="86" t="str">
        <f t="shared" si="29"/>
        <v/>
      </c>
      <c r="T121" s="104" t="str">
        <f t="shared" si="15"/>
        <v/>
      </c>
      <c r="U121" s="19" t="str">
        <f>IF(AND(M121&lt;&gt;"",M121&lt;&gt;0), IF(E121 = "Muni", T121, IF(E121="Corp", T121*(1 -'Investor Input'!$C$4-'Investor Input'!$C$5), T121*(1 -'Investor Input'!$C$4))), T121)</f>
        <v/>
      </c>
      <c r="V121" s="84" t="str">
        <f t="shared" si="16"/>
        <v/>
      </c>
      <c r="W121" s="84" t="str">
        <f t="shared" si="17"/>
        <v/>
      </c>
      <c r="X121" s="46" t="str">
        <f t="shared" si="18"/>
        <v/>
      </c>
      <c r="Y121" s="60" t="str">
        <f t="shared" si="19"/>
        <v/>
      </c>
      <c r="Z121" s="60" t="str">
        <f t="shared" si="20"/>
        <v/>
      </c>
      <c r="AA121" s="64" t="str">
        <f t="shared" si="21"/>
        <v/>
      </c>
      <c r="AB121" s="64" t="str">
        <f>IF(AND(AA121&lt;&gt;"",AA121&lt;&gt;0), IF(E121="Muni", AA121, IF(E121 = "Corp", (1-'Investor Input'!$C$4-'Investor Input'!$C$5)*AA121, (1-'Investor Input'!$C$4)*AA121)), AA121)</f>
        <v/>
      </c>
      <c r="AC121" s="94" t="str">
        <f t="shared" si="22"/>
        <v/>
      </c>
      <c r="AD121" s="60" t="str">
        <f>IF(AND(M121&lt;&gt;"", M121&lt;&gt;0), N121/$N$505*MATCH(AC121,'Misc Lists'!$K$2:$K$25,0), "")</f>
        <v/>
      </c>
      <c r="AE121" s="90" t="str">
        <f t="shared" si="23"/>
        <v/>
      </c>
      <c r="AF121" s="99" t="str">
        <f>IF(AND(M121&lt;&gt;"", M121&lt;&gt;0), N121/$N$505*MATCH(AE121,'Misc Lists'!$L$2:$L$25,0), "")</f>
        <v/>
      </c>
    </row>
    <row r="122" spans="2:32" hidden="1" outlineLevel="1" x14ac:dyDescent="0.5">
      <c r="B122" s="65" t="str">
        <f ca="1"/>
        <v>91282CET4</v>
      </c>
      <c r="C122" s="66" t="str">
        <f ca="1"/>
        <v>N/A</v>
      </c>
      <c r="D122" s="65" t="str">
        <f ca="1"/>
        <v>UNITED STATES TREAS SER Z-2027          2.62500% 05/31/2027 NTS NOTE</v>
      </c>
      <c r="E122" s="66" t="str">
        <f ca="1"/>
        <v>Tres</v>
      </c>
      <c r="F122" s="67">
        <f ca="1"/>
        <v>2.625</v>
      </c>
      <c r="G122" s="68">
        <f ca="1"/>
        <v>46538</v>
      </c>
      <c r="H122" s="66" t="str">
        <f ca="1"/>
        <v>AAA</v>
      </c>
      <c r="I122" s="66" t="str">
        <f ca="1"/>
        <v>--</v>
      </c>
      <c r="J122" s="69">
        <f ca="1"/>
        <v>96.468999999999994</v>
      </c>
      <c r="K122" s="70">
        <f ca="1"/>
        <v>4.2649999999999997</v>
      </c>
      <c r="L122" s="71" t="str">
        <f ca="1"/>
        <v>70,000(400)</v>
      </c>
      <c r="M122" s="83"/>
      <c r="N122" s="84" t="str">
        <f t="shared" si="24"/>
        <v/>
      </c>
      <c r="O122" s="20" t="str">
        <f t="shared" si="25"/>
        <v/>
      </c>
      <c r="P122" s="64" t="str">
        <f t="shared" si="26"/>
        <v/>
      </c>
      <c r="Q122" s="85" t="str">
        <f t="shared" ca="1" si="27"/>
        <v/>
      </c>
      <c r="R122" s="86" t="str">
        <f t="shared" si="28"/>
        <v/>
      </c>
      <c r="S122" s="86" t="str">
        <f t="shared" si="29"/>
        <v/>
      </c>
      <c r="T122" s="104" t="str">
        <f t="shared" si="15"/>
        <v/>
      </c>
      <c r="U122" s="19" t="str">
        <f>IF(AND(M122&lt;&gt;"",M122&lt;&gt;0), IF(E122 = "Muni", T122, IF(E122="Corp", T122*(1 -'Investor Input'!$C$4-'Investor Input'!$C$5), T122*(1 -'Investor Input'!$C$4))), T122)</f>
        <v/>
      </c>
      <c r="V122" s="84" t="str">
        <f t="shared" si="16"/>
        <v/>
      </c>
      <c r="W122" s="84" t="str">
        <f t="shared" si="17"/>
        <v/>
      </c>
      <c r="X122" s="46" t="str">
        <f t="shared" si="18"/>
        <v/>
      </c>
      <c r="Y122" s="60" t="str">
        <f t="shared" si="19"/>
        <v/>
      </c>
      <c r="Z122" s="60" t="str">
        <f t="shared" si="20"/>
        <v/>
      </c>
      <c r="AA122" s="64" t="str">
        <f t="shared" si="21"/>
        <v/>
      </c>
      <c r="AB122" s="64" t="str">
        <f>IF(AND(AA122&lt;&gt;"",AA122&lt;&gt;0), IF(E122="Muni", AA122, IF(E122 = "Corp", (1-'Investor Input'!$C$4-'Investor Input'!$C$5)*AA122, (1-'Investor Input'!$C$4)*AA122)), AA122)</f>
        <v/>
      </c>
      <c r="AC122" s="94" t="str">
        <f t="shared" si="22"/>
        <v/>
      </c>
      <c r="AD122" s="60" t="str">
        <f>IF(AND(M122&lt;&gt;"", M122&lt;&gt;0), N122/$N$505*MATCH(AC122,'Misc Lists'!$K$2:$K$25,0), "")</f>
        <v/>
      </c>
      <c r="AE122" s="90" t="str">
        <f t="shared" si="23"/>
        <v/>
      </c>
      <c r="AF122" s="99" t="str">
        <f>IF(AND(M122&lt;&gt;"", M122&lt;&gt;0), N122/$N$505*MATCH(AE122,'Misc Lists'!$L$2:$L$25,0), "")</f>
        <v/>
      </c>
    </row>
    <row r="123" spans="2:32" hidden="1" outlineLevel="1" x14ac:dyDescent="0.5">
      <c r="B123" s="65" t="str">
        <f ca="1"/>
        <v>91282CMB4</v>
      </c>
      <c r="C123" s="66" t="str">
        <f ca="1"/>
        <v>N/A</v>
      </c>
      <c r="D123" s="65" t="str">
        <f ca="1"/>
        <v>UNITED STATES TREAS SER AV-2027         4.00000% 12/15/2027 NTS NOTE</v>
      </c>
      <c r="E123" s="66" t="str">
        <f ca="1"/>
        <v>Tres</v>
      </c>
      <c r="F123" s="67">
        <f ca="1"/>
        <v>4</v>
      </c>
      <c r="G123" s="68">
        <f ca="1"/>
        <v>46736</v>
      </c>
      <c r="H123" s="66" t="str">
        <f ca="1"/>
        <v>AAA</v>
      </c>
      <c r="I123" s="66" t="str">
        <f ca="1"/>
        <v>--</v>
      </c>
      <c r="J123" s="69">
        <f ca="1"/>
        <v>99.296999999999997</v>
      </c>
      <c r="K123" s="70">
        <f ca="1"/>
        <v>4.2649999999999997</v>
      </c>
      <c r="L123" s="71" t="str">
        <f ca="1"/>
        <v>35,000(450)</v>
      </c>
      <c r="M123" s="83"/>
      <c r="N123" s="84" t="str">
        <f t="shared" si="24"/>
        <v/>
      </c>
      <c r="O123" s="20" t="str">
        <f t="shared" si="25"/>
        <v/>
      </c>
      <c r="P123" s="64" t="str">
        <f t="shared" si="26"/>
        <v/>
      </c>
      <c r="Q123" s="85" t="str">
        <f t="shared" ca="1" si="27"/>
        <v/>
      </c>
      <c r="R123" s="86" t="str">
        <f t="shared" si="28"/>
        <v/>
      </c>
      <c r="S123" s="86" t="str">
        <f t="shared" si="29"/>
        <v/>
      </c>
      <c r="T123" s="104" t="str">
        <f t="shared" si="15"/>
        <v/>
      </c>
      <c r="U123" s="19" t="str">
        <f>IF(AND(M123&lt;&gt;"",M123&lt;&gt;0), IF(E123 = "Muni", T123, IF(E123="Corp", T123*(1 -'Investor Input'!$C$4-'Investor Input'!$C$5), T123*(1 -'Investor Input'!$C$4))), T123)</f>
        <v/>
      </c>
      <c r="V123" s="84" t="str">
        <f t="shared" si="16"/>
        <v/>
      </c>
      <c r="W123" s="84" t="str">
        <f t="shared" si="17"/>
        <v/>
      </c>
      <c r="X123" s="46" t="str">
        <f t="shared" si="18"/>
        <v/>
      </c>
      <c r="Y123" s="60" t="str">
        <f t="shared" si="19"/>
        <v/>
      </c>
      <c r="Z123" s="60" t="str">
        <f t="shared" si="20"/>
        <v/>
      </c>
      <c r="AA123" s="64" t="str">
        <f t="shared" si="21"/>
        <v/>
      </c>
      <c r="AB123" s="64" t="str">
        <f>IF(AND(AA123&lt;&gt;"",AA123&lt;&gt;0), IF(E123="Muni", AA123, IF(E123 = "Corp", (1-'Investor Input'!$C$4-'Investor Input'!$C$5)*AA123, (1-'Investor Input'!$C$4)*AA123)), AA123)</f>
        <v/>
      </c>
      <c r="AC123" s="94" t="str">
        <f t="shared" si="22"/>
        <v/>
      </c>
      <c r="AD123" s="60" t="str">
        <f>IF(AND(M123&lt;&gt;"", M123&lt;&gt;0), N123/$N$505*MATCH(AC123,'Misc Lists'!$K$2:$K$25,0), "")</f>
        <v/>
      </c>
      <c r="AE123" s="90" t="str">
        <f t="shared" si="23"/>
        <v/>
      </c>
      <c r="AF123" s="99" t="str">
        <f>IF(AND(M123&lt;&gt;"", M123&lt;&gt;0), N123/$N$505*MATCH(AE123,'Misc Lists'!$L$2:$L$25,0), "")</f>
        <v/>
      </c>
    </row>
    <row r="124" spans="2:32" hidden="1" outlineLevel="1" x14ac:dyDescent="0.5">
      <c r="B124" s="65" t="str">
        <f ca="1"/>
        <v>9128286F2</v>
      </c>
      <c r="C124" s="66" t="str">
        <f ca="1"/>
        <v>N/A</v>
      </c>
      <c r="D124" s="65" t="str">
        <f ca="1"/>
        <v>UNITED STATES TREAS SER H-2026          2.50000% 02/28/2026 NTS NOTE</v>
      </c>
      <c r="E124" s="66" t="str">
        <f ca="1"/>
        <v>Tres</v>
      </c>
      <c r="F124" s="67">
        <f ca="1"/>
        <v>2.5</v>
      </c>
      <c r="G124" s="68">
        <f ca="1"/>
        <v>46081</v>
      </c>
      <c r="H124" s="66" t="str">
        <f ca="1"/>
        <v>AAA</v>
      </c>
      <c r="I124" s="66" t="str">
        <f ca="1"/>
        <v>--</v>
      </c>
      <c r="J124" s="69">
        <f ca="1"/>
        <v>98.244</v>
      </c>
      <c r="K124" s="70">
        <f ca="1"/>
        <v>4.2640000000000002</v>
      </c>
      <c r="L124" s="71" t="str">
        <f ca="1"/>
        <v>8,000(200)</v>
      </c>
      <c r="M124" s="83"/>
      <c r="N124" s="84" t="str">
        <f t="shared" si="24"/>
        <v/>
      </c>
      <c r="O124" s="20" t="str">
        <f t="shared" si="25"/>
        <v/>
      </c>
      <c r="P124" s="64" t="str">
        <f t="shared" si="26"/>
        <v/>
      </c>
      <c r="Q124" s="85" t="str">
        <f t="shared" ca="1" si="27"/>
        <v/>
      </c>
      <c r="R124" s="86" t="str">
        <f t="shared" si="28"/>
        <v/>
      </c>
      <c r="S124" s="86" t="str">
        <f t="shared" si="29"/>
        <v/>
      </c>
      <c r="T124" s="104" t="str">
        <f t="shared" si="15"/>
        <v/>
      </c>
      <c r="U124" s="19" t="str">
        <f>IF(AND(M124&lt;&gt;"",M124&lt;&gt;0), IF(E124 = "Muni", T124, IF(E124="Corp", T124*(1 -'Investor Input'!$C$4-'Investor Input'!$C$5), T124*(1 -'Investor Input'!$C$4))), T124)</f>
        <v/>
      </c>
      <c r="V124" s="84" t="str">
        <f t="shared" si="16"/>
        <v/>
      </c>
      <c r="W124" s="84" t="str">
        <f t="shared" si="17"/>
        <v/>
      </c>
      <c r="X124" s="46" t="str">
        <f t="shared" si="18"/>
        <v/>
      </c>
      <c r="Y124" s="60" t="str">
        <f t="shared" si="19"/>
        <v/>
      </c>
      <c r="Z124" s="60" t="str">
        <f t="shared" si="20"/>
        <v/>
      </c>
      <c r="AA124" s="64" t="str">
        <f t="shared" si="21"/>
        <v/>
      </c>
      <c r="AB124" s="64" t="str">
        <f>IF(AND(AA124&lt;&gt;"",AA124&lt;&gt;0), IF(E124="Muni", AA124, IF(E124 = "Corp", (1-'Investor Input'!$C$4-'Investor Input'!$C$5)*AA124, (1-'Investor Input'!$C$4)*AA124)), AA124)</f>
        <v/>
      </c>
      <c r="AC124" s="94" t="str">
        <f t="shared" si="22"/>
        <v/>
      </c>
      <c r="AD124" s="60" t="str">
        <f>IF(AND(M124&lt;&gt;"", M124&lt;&gt;0), N124/$N$505*MATCH(AC124,'Misc Lists'!$K$2:$K$25,0), "")</f>
        <v/>
      </c>
      <c r="AE124" s="90" t="str">
        <f t="shared" si="23"/>
        <v/>
      </c>
      <c r="AF124" s="99" t="str">
        <f>IF(AND(M124&lt;&gt;"", M124&lt;&gt;0), N124/$N$505*MATCH(AE124,'Misc Lists'!$L$2:$L$25,0), "")</f>
        <v/>
      </c>
    </row>
    <row r="125" spans="2:32" hidden="1" outlineLevel="1" x14ac:dyDescent="0.5">
      <c r="B125" s="65" t="str">
        <f ca="1"/>
        <v>91282CHB0</v>
      </c>
      <c r="C125" s="66" t="str">
        <f ca="1"/>
        <v>N/A</v>
      </c>
      <c r="D125" s="65" t="str">
        <f ca="1"/>
        <v>UNITED STATES TREAS SER AN-2026         3.62500% 05/15/2026 NTS NOTE</v>
      </c>
      <c r="E125" s="66" t="str">
        <f ca="1"/>
        <v>Tres</v>
      </c>
      <c r="F125" s="67">
        <f ca="1"/>
        <v>3.625</v>
      </c>
      <c r="G125" s="68">
        <f ca="1"/>
        <v>46157</v>
      </c>
      <c r="H125" s="66" t="str">
        <f ca="1"/>
        <v>AAA</v>
      </c>
      <c r="I125" s="66" t="str">
        <f ca="1"/>
        <v>--</v>
      </c>
      <c r="J125" s="69">
        <f ca="1"/>
        <v>99.233000000000004</v>
      </c>
      <c r="K125" s="70">
        <f ca="1"/>
        <v>4.2640000000000002</v>
      </c>
      <c r="L125" s="71" t="str">
        <f ca="1"/>
        <v>2,800(200)</v>
      </c>
      <c r="M125" s="83"/>
      <c r="N125" s="84" t="str">
        <f t="shared" si="24"/>
        <v/>
      </c>
      <c r="O125" s="20" t="str">
        <f t="shared" si="25"/>
        <v/>
      </c>
      <c r="P125" s="64" t="str">
        <f t="shared" si="26"/>
        <v/>
      </c>
      <c r="Q125" s="85" t="str">
        <f t="shared" ca="1" si="27"/>
        <v/>
      </c>
      <c r="R125" s="86" t="str">
        <f t="shared" si="28"/>
        <v/>
      </c>
      <c r="S125" s="86" t="str">
        <f t="shared" si="29"/>
        <v/>
      </c>
      <c r="T125" s="104" t="str">
        <f t="shared" si="15"/>
        <v/>
      </c>
      <c r="U125" s="19" t="str">
        <f>IF(AND(M125&lt;&gt;"",M125&lt;&gt;0), IF(E125 = "Muni", T125, IF(E125="Corp", T125*(1 -'Investor Input'!$C$4-'Investor Input'!$C$5), T125*(1 -'Investor Input'!$C$4))), T125)</f>
        <v/>
      </c>
      <c r="V125" s="84" t="str">
        <f t="shared" si="16"/>
        <v/>
      </c>
      <c r="W125" s="84" t="str">
        <f t="shared" si="17"/>
        <v/>
      </c>
      <c r="X125" s="46" t="str">
        <f t="shared" si="18"/>
        <v/>
      </c>
      <c r="Y125" s="60" t="str">
        <f t="shared" si="19"/>
        <v/>
      </c>
      <c r="Z125" s="60" t="str">
        <f t="shared" si="20"/>
        <v/>
      </c>
      <c r="AA125" s="64" t="str">
        <f t="shared" si="21"/>
        <v/>
      </c>
      <c r="AB125" s="64" t="str">
        <f>IF(AND(AA125&lt;&gt;"",AA125&lt;&gt;0), IF(E125="Muni", AA125, IF(E125 = "Corp", (1-'Investor Input'!$C$4-'Investor Input'!$C$5)*AA125, (1-'Investor Input'!$C$4)*AA125)), AA125)</f>
        <v/>
      </c>
      <c r="AC125" s="94" t="str">
        <f t="shared" si="22"/>
        <v/>
      </c>
      <c r="AD125" s="60" t="str">
        <f>IF(AND(M125&lt;&gt;"", M125&lt;&gt;0), N125/$N$505*MATCH(AC125,'Misc Lists'!$K$2:$K$25,0), "")</f>
        <v/>
      </c>
      <c r="AE125" s="90" t="str">
        <f t="shared" si="23"/>
        <v/>
      </c>
      <c r="AF125" s="99" t="str">
        <f>IF(AND(M125&lt;&gt;"", M125&lt;&gt;0), N125/$N$505*MATCH(AE125,'Misc Lists'!$L$2:$L$25,0), "")</f>
        <v/>
      </c>
    </row>
    <row r="126" spans="2:32" hidden="1" outlineLevel="1" x14ac:dyDescent="0.5">
      <c r="B126" s="65" t="str">
        <f ca="1"/>
        <v>91282CLQ2</v>
      </c>
      <c r="C126" s="66" t="str">
        <f ca="1"/>
        <v>N/A</v>
      </c>
      <c r="D126" s="65" t="str">
        <f ca="1"/>
        <v>UNITED STATES TREAS SER AT-2027         3.87500% 10/15/2027 NTS NOTE</v>
      </c>
      <c r="E126" s="66" t="str">
        <f ca="1"/>
        <v>Tres</v>
      </c>
      <c r="F126" s="67">
        <f ca="1"/>
        <v>3.875</v>
      </c>
      <c r="G126" s="68">
        <f ca="1"/>
        <v>46675</v>
      </c>
      <c r="H126" s="66" t="str">
        <f ca="1"/>
        <v>AAA</v>
      </c>
      <c r="I126" s="66" t="str">
        <f ca="1"/>
        <v>--</v>
      </c>
      <c r="J126" s="69">
        <f ca="1"/>
        <v>99.028000000000006</v>
      </c>
      <c r="K126" s="70">
        <f ca="1"/>
        <v>4.2640000000000002</v>
      </c>
      <c r="L126" s="71" t="str">
        <f ca="1"/>
        <v>65,000(400)</v>
      </c>
      <c r="M126" s="83"/>
      <c r="N126" s="84" t="str">
        <f t="shared" si="24"/>
        <v/>
      </c>
      <c r="O126" s="20" t="str">
        <f t="shared" si="25"/>
        <v/>
      </c>
      <c r="P126" s="64" t="str">
        <f t="shared" si="26"/>
        <v/>
      </c>
      <c r="Q126" s="85" t="str">
        <f t="shared" ca="1" si="27"/>
        <v/>
      </c>
      <c r="R126" s="86" t="str">
        <f t="shared" si="28"/>
        <v/>
      </c>
      <c r="S126" s="86" t="str">
        <f t="shared" si="29"/>
        <v/>
      </c>
      <c r="T126" s="104" t="str">
        <f t="shared" si="15"/>
        <v/>
      </c>
      <c r="U126" s="19" t="str">
        <f>IF(AND(M126&lt;&gt;"",M126&lt;&gt;0), IF(E126 = "Muni", T126, IF(E126="Corp", T126*(1 -'Investor Input'!$C$4-'Investor Input'!$C$5), T126*(1 -'Investor Input'!$C$4))), T126)</f>
        <v/>
      </c>
      <c r="V126" s="84" t="str">
        <f t="shared" si="16"/>
        <v/>
      </c>
      <c r="W126" s="84" t="str">
        <f t="shared" si="17"/>
        <v/>
      </c>
      <c r="X126" s="46" t="str">
        <f t="shared" si="18"/>
        <v/>
      </c>
      <c r="Y126" s="60" t="str">
        <f t="shared" si="19"/>
        <v/>
      </c>
      <c r="Z126" s="60" t="str">
        <f t="shared" si="20"/>
        <v/>
      </c>
      <c r="AA126" s="64" t="str">
        <f t="shared" si="21"/>
        <v/>
      </c>
      <c r="AB126" s="64" t="str">
        <f>IF(AND(AA126&lt;&gt;"",AA126&lt;&gt;0), IF(E126="Muni", AA126, IF(E126 = "Corp", (1-'Investor Input'!$C$4-'Investor Input'!$C$5)*AA126, (1-'Investor Input'!$C$4)*AA126)), AA126)</f>
        <v/>
      </c>
      <c r="AC126" s="94" t="str">
        <f t="shared" si="22"/>
        <v/>
      </c>
      <c r="AD126" s="60" t="str">
        <f>IF(AND(M126&lt;&gt;"", M126&lt;&gt;0), N126/$N$505*MATCH(AC126,'Misc Lists'!$K$2:$K$25,0), "")</f>
        <v/>
      </c>
      <c r="AE126" s="90" t="str">
        <f t="shared" si="23"/>
        <v/>
      </c>
      <c r="AF126" s="99" t="str">
        <f>IF(AND(M126&lt;&gt;"", M126&lt;&gt;0), N126/$N$505*MATCH(AE126,'Misc Lists'!$L$2:$L$25,0), "")</f>
        <v/>
      </c>
    </row>
    <row r="127" spans="2:32" hidden="1" outlineLevel="1" x14ac:dyDescent="0.5">
      <c r="B127" s="65" t="str">
        <f ca="1"/>
        <v>91282CJS1</v>
      </c>
      <c r="C127" s="66" t="str">
        <f ca="1"/>
        <v>N/A</v>
      </c>
      <c r="D127" s="65" t="str">
        <f ca="1"/>
        <v>UNITED STATES TREAS SER BM-2025         4.25000% 12/31/2025 NTS NOTE</v>
      </c>
      <c r="E127" s="66" t="str">
        <f ca="1"/>
        <v>Tres</v>
      </c>
      <c r="F127" s="67">
        <f ca="1"/>
        <v>4.25</v>
      </c>
      <c r="G127" s="68">
        <f ca="1"/>
        <v>46022</v>
      </c>
      <c r="H127" s="66" t="str">
        <f ca="1"/>
        <v>AAA</v>
      </c>
      <c r="I127" s="66" t="str">
        <f ca="1"/>
        <v>--</v>
      </c>
      <c r="J127" s="69">
        <f ca="1"/>
        <v>99.984999999999999</v>
      </c>
      <c r="K127" s="70">
        <f ca="1"/>
        <v>4.2629999999999999</v>
      </c>
      <c r="L127" s="71" t="str">
        <f ca="1"/>
        <v>30,000(400)</v>
      </c>
      <c r="M127" s="83"/>
      <c r="N127" s="84" t="str">
        <f t="shared" si="24"/>
        <v/>
      </c>
      <c r="O127" s="20" t="str">
        <f t="shared" si="25"/>
        <v/>
      </c>
      <c r="P127" s="64" t="str">
        <f t="shared" si="26"/>
        <v/>
      </c>
      <c r="Q127" s="85" t="str">
        <f t="shared" ca="1" si="27"/>
        <v/>
      </c>
      <c r="R127" s="86" t="str">
        <f t="shared" si="28"/>
        <v/>
      </c>
      <c r="S127" s="86" t="str">
        <f t="shared" si="29"/>
        <v/>
      </c>
      <c r="T127" s="104" t="str">
        <f t="shared" si="15"/>
        <v/>
      </c>
      <c r="U127" s="19" t="str">
        <f>IF(AND(M127&lt;&gt;"",M127&lt;&gt;0), IF(E127 = "Muni", T127, IF(E127="Corp", T127*(1 -'Investor Input'!$C$4-'Investor Input'!$C$5), T127*(1 -'Investor Input'!$C$4))), T127)</f>
        <v/>
      </c>
      <c r="V127" s="84" t="str">
        <f t="shared" si="16"/>
        <v/>
      </c>
      <c r="W127" s="84" t="str">
        <f t="shared" si="17"/>
        <v/>
      </c>
      <c r="X127" s="46" t="str">
        <f t="shared" si="18"/>
        <v/>
      </c>
      <c r="Y127" s="60" t="str">
        <f t="shared" si="19"/>
        <v/>
      </c>
      <c r="Z127" s="60" t="str">
        <f t="shared" si="20"/>
        <v/>
      </c>
      <c r="AA127" s="64" t="str">
        <f t="shared" si="21"/>
        <v/>
      </c>
      <c r="AB127" s="64" t="str">
        <f>IF(AND(AA127&lt;&gt;"",AA127&lt;&gt;0), IF(E127="Muni", AA127, IF(E127 = "Corp", (1-'Investor Input'!$C$4-'Investor Input'!$C$5)*AA127, (1-'Investor Input'!$C$4)*AA127)), AA127)</f>
        <v/>
      </c>
      <c r="AC127" s="94" t="str">
        <f t="shared" si="22"/>
        <v/>
      </c>
      <c r="AD127" s="60" t="str">
        <f>IF(AND(M127&lt;&gt;"", M127&lt;&gt;0), N127/$N$505*MATCH(AC127,'Misc Lists'!$K$2:$K$25,0), "")</f>
        <v/>
      </c>
      <c r="AE127" s="90" t="str">
        <f t="shared" si="23"/>
        <v/>
      </c>
      <c r="AF127" s="99" t="str">
        <f>IF(AND(M127&lt;&gt;"", M127&lt;&gt;0), N127/$N$505*MATCH(AE127,'Misc Lists'!$L$2:$L$25,0), "")</f>
        <v/>
      </c>
    </row>
    <row r="128" spans="2:32" hidden="1" outlineLevel="1" x14ac:dyDescent="0.5">
      <c r="B128" s="65" t="str">
        <f ca="1"/>
        <v>91282CAB7</v>
      </c>
      <c r="C128" s="66" t="str">
        <f ca="1"/>
        <v>N/A</v>
      </c>
      <c r="D128" s="65" t="str">
        <f ca="1"/>
        <v>UNITED STATES TREAS SER AB-2025         0.25000% 07/31/2025 NTS</v>
      </c>
      <c r="E128" s="66" t="str">
        <f ca="1"/>
        <v>Tres</v>
      </c>
      <c r="F128" s="67">
        <f ca="1"/>
        <v>0.25</v>
      </c>
      <c r="G128" s="68">
        <f ca="1"/>
        <v>45869</v>
      </c>
      <c r="H128" s="66" t="str">
        <f ca="1"/>
        <v>AAA</v>
      </c>
      <c r="I128" s="66" t="str">
        <f ca="1"/>
        <v>--</v>
      </c>
      <c r="J128" s="69">
        <f ca="1"/>
        <v>98.227999999999994</v>
      </c>
      <c r="K128" s="70">
        <f ca="1"/>
        <v>4.2619999999999996</v>
      </c>
      <c r="L128" s="71" t="str">
        <f ca="1"/>
        <v>8,000(200)</v>
      </c>
      <c r="M128" s="83"/>
      <c r="N128" s="84" t="str">
        <f t="shared" si="24"/>
        <v/>
      </c>
      <c r="O128" s="20" t="str">
        <f t="shared" si="25"/>
        <v/>
      </c>
      <c r="P128" s="64" t="str">
        <f t="shared" si="26"/>
        <v/>
      </c>
      <c r="Q128" s="85" t="str">
        <f t="shared" ca="1" si="27"/>
        <v/>
      </c>
      <c r="R128" s="86" t="str">
        <f t="shared" si="28"/>
        <v/>
      </c>
      <c r="S128" s="86" t="str">
        <f t="shared" si="29"/>
        <v/>
      </c>
      <c r="T128" s="104" t="str">
        <f t="shared" si="15"/>
        <v/>
      </c>
      <c r="U128" s="19" t="str">
        <f>IF(AND(M128&lt;&gt;"",M128&lt;&gt;0), IF(E128 = "Muni", T128, IF(E128="Corp", T128*(1 -'Investor Input'!$C$4-'Investor Input'!$C$5), T128*(1 -'Investor Input'!$C$4))), T128)</f>
        <v/>
      </c>
      <c r="V128" s="84" t="str">
        <f t="shared" si="16"/>
        <v/>
      </c>
      <c r="W128" s="84" t="str">
        <f t="shared" si="17"/>
        <v/>
      </c>
      <c r="X128" s="46" t="str">
        <f t="shared" si="18"/>
        <v/>
      </c>
      <c r="Y128" s="60" t="str">
        <f t="shared" si="19"/>
        <v/>
      </c>
      <c r="Z128" s="60" t="str">
        <f t="shared" si="20"/>
        <v/>
      </c>
      <c r="AA128" s="64" t="str">
        <f t="shared" si="21"/>
        <v/>
      </c>
      <c r="AB128" s="64" t="str">
        <f>IF(AND(AA128&lt;&gt;"",AA128&lt;&gt;0), IF(E128="Muni", AA128, IF(E128 = "Corp", (1-'Investor Input'!$C$4-'Investor Input'!$C$5)*AA128, (1-'Investor Input'!$C$4)*AA128)), AA128)</f>
        <v/>
      </c>
      <c r="AC128" s="94" t="str">
        <f t="shared" si="22"/>
        <v/>
      </c>
      <c r="AD128" s="60" t="str">
        <f>IF(AND(M128&lt;&gt;"", M128&lt;&gt;0), N128/$N$505*MATCH(AC128,'Misc Lists'!$K$2:$K$25,0), "")</f>
        <v/>
      </c>
      <c r="AE128" s="90" t="str">
        <f t="shared" si="23"/>
        <v/>
      </c>
      <c r="AF128" s="99" t="str">
        <f>IF(AND(M128&lt;&gt;"", M128&lt;&gt;0), N128/$N$505*MATCH(AE128,'Misc Lists'!$L$2:$L$25,0), "")</f>
        <v/>
      </c>
    </row>
    <row r="129" spans="2:32" hidden="1" outlineLevel="1" x14ac:dyDescent="0.5">
      <c r="B129" s="65" t="str">
        <f ca="1"/>
        <v>91282CCJ8</v>
      </c>
      <c r="C129" s="66" t="str">
        <f ca="1"/>
        <v>N/A</v>
      </c>
      <c r="D129" s="65" t="str">
        <f ca="1"/>
        <v>UNITED STATES TREAS SER AA-2026         0.87500% 06/30/2026 NTS NOTE</v>
      </c>
      <c r="E129" s="66" t="str">
        <f ca="1"/>
        <v>Tres</v>
      </c>
      <c r="F129" s="67">
        <f ca="1"/>
        <v>0.875</v>
      </c>
      <c r="G129" s="68">
        <f ca="1"/>
        <v>46203</v>
      </c>
      <c r="H129" s="66" t="str">
        <f ca="1"/>
        <v>AAA</v>
      </c>
      <c r="I129" s="66" t="str">
        <f ca="1"/>
        <v>--</v>
      </c>
      <c r="J129" s="69">
        <f ca="1"/>
        <v>95.555000000000007</v>
      </c>
      <c r="K129" s="70">
        <f ca="1"/>
        <v>4.2619999999999996</v>
      </c>
      <c r="L129" s="71" t="str">
        <f ca="1"/>
        <v>80,000(400)</v>
      </c>
      <c r="M129" s="83"/>
      <c r="N129" s="84" t="str">
        <f t="shared" si="24"/>
        <v/>
      </c>
      <c r="O129" s="20" t="str">
        <f t="shared" si="25"/>
        <v/>
      </c>
      <c r="P129" s="64" t="str">
        <f t="shared" si="26"/>
        <v/>
      </c>
      <c r="Q129" s="85" t="str">
        <f t="shared" ca="1" si="27"/>
        <v/>
      </c>
      <c r="R129" s="86" t="str">
        <f t="shared" si="28"/>
        <v/>
      </c>
      <c r="S129" s="86" t="str">
        <f t="shared" si="29"/>
        <v/>
      </c>
      <c r="T129" s="104" t="str">
        <f t="shared" si="15"/>
        <v/>
      </c>
      <c r="U129" s="19" t="str">
        <f>IF(AND(M129&lt;&gt;"",M129&lt;&gt;0), IF(E129 = "Muni", T129, IF(E129="Corp", T129*(1 -'Investor Input'!$C$4-'Investor Input'!$C$5), T129*(1 -'Investor Input'!$C$4))), T129)</f>
        <v/>
      </c>
      <c r="V129" s="84" t="str">
        <f t="shared" si="16"/>
        <v/>
      </c>
      <c r="W129" s="84" t="str">
        <f t="shared" si="17"/>
        <v/>
      </c>
      <c r="X129" s="46" t="str">
        <f t="shared" si="18"/>
        <v/>
      </c>
      <c r="Y129" s="60" t="str">
        <f t="shared" si="19"/>
        <v/>
      </c>
      <c r="Z129" s="60" t="str">
        <f t="shared" si="20"/>
        <v/>
      </c>
      <c r="AA129" s="64" t="str">
        <f t="shared" si="21"/>
        <v/>
      </c>
      <c r="AB129" s="64" t="str">
        <f>IF(AND(AA129&lt;&gt;"",AA129&lt;&gt;0), IF(E129="Muni", AA129, IF(E129 = "Corp", (1-'Investor Input'!$C$4-'Investor Input'!$C$5)*AA129, (1-'Investor Input'!$C$4)*AA129)), AA129)</f>
        <v/>
      </c>
      <c r="AC129" s="94" t="str">
        <f t="shared" si="22"/>
        <v/>
      </c>
      <c r="AD129" s="60" t="str">
        <f>IF(AND(M129&lt;&gt;"", M129&lt;&gt;0), N129/$N$505*MATCH(AC129,'Misc Lists'!$K$2:$K$25,0), "")</f>
        <v/>
      </c>
      <c r="AE129" s="90" t="str">
        <f t="shared" si="23"/>
        <v/>
      </c>
      <c r="AF129" s="99" t="str">
        <f>IF(AND(M129&lt;&gt;"", M129&lt;&gt;0), N129/$N$505*MATCH(AE129,'Misc Lists'!$L$2:$L$25,0), "")</f>
        <v/>
      </c>
    </row>
    <row r="130" spans="2:32" hidden="1" outlineLevel="1" x14ac:dyDescent="0.5">
      <c r="B130" s="65" t="str">
        <f ca="1"/>
        <v>91282CDG3</v>
      </c>
      <c r="C130" s="66" t="str">
        <f ca="1"/>
        <v>N/A</v>
      </c>
      <c r="D130" s="65" t="str">
        <f ca="1"/>
        <v>UNITED STATES TREAS SER AF-2026         1.12500% 10/31/2026 NTS NOTE</v>
      </c>
      <c r="E130" s="66" t="str">
        <f ca="1"/>
        <v>Tres</v>
      </c>
      <c r="F130" s="67">
        <f ca="1"/>
        <v>1.125</v>
      </c>
      <c r="G130" s="68">
        <f ca="1"/>
        <v>46326</v>
      </c>
      <c r="H130" s="66" t="str">
        <f ca="1"/>
        <v>--</v>
      </c>
      <c r="I130" s="66" t="str">
        <f ca="1"/>
        <v>--</v>
      </c>
      <c r="J130" s="69">
        <f ca="1"/>
        <v>94.917000000000002</v>
      </c>
      <c r="K130" s="70">
        <f ca="1"/>
        <v>4.2619999999999996</v>
      </c>
      <c r="L130" s="71" t="str">
        <f ca="1"/>
        <v>1,000(200)</v>
      </c>
      <c r="M130" s="83"/>
      <c r="N130" s="84" t="str">
        <f t="shared" si="24"/>
        <v/>
      </c>
      <c r="O130" s="20" t="str">
        <f t="shared" si="25"/>
        <v/>
      </c>
      <c r="P130" s="64" t="str">
        <f t="shared" si="26"/>
        <v/>
      </c>
      <c r="Q130" s="85" t="str">
        <f t="shared" ca="1" si="27"/>
        <v/>
      </c>
      <c r="R130" s="86" t="str">
        <f t="shared" si="28"/>
        <v/>
      </c>
      <c r="S130" s="86" t="str">
        <f t="shared" si="29"/>
        <v/>
      </c>
      <c r="T130" s="104" t="str">
        <f t="shared" si="15"/>
        <v/>
      </c>
      <c r="U130" s="19" t="str">
        <f>IF(AND(M130&lt;&gt;"",M130&lt;&gt;0), IF(E130 = "Muni", T130, IF(E130="Corp", T130*(1 -'Investor Input'!$C$4-'Investor Input'!$C$5), T130*(1 -'Investor Input'!$C$4))), T130)</f>
        <v/>
      </c>
      <c r="V130" s="84" t="str">
        <f t="shared" si="16"/>
        <v/>
      </c>
      <c r="W130" s="84" t="str">
        <f t="shared" si="17"/>
        <v/>
      </c>
      <c r="X130" s="46" t="str">
        <f t="shared" si="18"/>
        <v/>
      </c>
      <c r="Y130" s="60" t="str">
        <f t="shared" si="19"/>
        <v/>
      </c>
      <c r="Z130" s="60" t="str">
        <f t="shared" si="20"/>
        <v/>
      </c>
      <c r="AA130" s="64" t="str">
        <f t="shared" si="21"/>
        <v/>
      </c>
      <c r="AB130" s="64" t="str">
        <f>IF(AND(AA130&lt;&gt;"",AA130&lt;&gt;0), IF(E130="Muni", AA130, IF(E130 = "Corp", (1-'Investor Input'!$C$4-'Investor Input'!$C$5)*AA130, (1-'Investor Input'!$C$4)*AA130)), AA130)</f>
        <v/>
      </c>
      <c r="AC130" s="94" t="str">
        <f t="shared" si="22"/>
        <v/>
      </c>
      <c r="AD130" s="60" t="str">
        <f>IF(AND(M130&lt;&gt;"", M130&lt;&gt;0), N130/$N$505*MATCH(AC130,'Misc Lists'!$K$2:$K$25,0), "")</f>
        <v/>
      </c>
      <c r="AE130" s="90" t="str">
        <f t="shared" si="23"/>
        <v/>
      </c>
      <c r="AF130" s="99" t="str">
        <f>IF(AND(M130&lt;&gt;"", M130&lt;&gt;0), N130/$N$505*MATCH(AE130,'Misc Lists'!$L$2:$L$25,0), "")</f>
        <v/>
      </c>
    </row>
    <row r="131" spans="2:32" hidden="1" outlineLevel="1" x14ac:dyDescent="0.5">
      <c r="B131" s="65" t="str">
        <f ca="1"/>
        <v>91282CAH4</v>
      </c>
      <c r="C131" s="66" t="str">
        <f ca="1"/>
        <v>N/A</v>
      </c>
      <c r="D131" s="65" t="str">
        <f ca="1"/>
        <v>UNITED STATES TREAS SER P-2027          0.50000% 08/31/2027 NTS NOTE</v>
      </c>
      <c r="E131" s="66" t="str">
        <f ca="1"/>
        <v>Tres</v>
      </c>
      <c r="F131" s="67">
        <f ca="1"/>
        <v>0.5</v>
      </c>
      <c r="G131" s="68">
        <f ca="1"/>
        <v>46630</v>
      </c>
      <c r="H131" s="66" t="str">
        <f ca="1"/>
        <v>AAA</v>
      </c>
      <c r="I131" s="66" t="str">
        <f ca="1"/>
        <v>--</v>
      </c>
      <c r="J131" s="69">
        <f ca="1"/>
        <v>91.073999999999998</v>
      </c>
      <c r="K131" s="70">
        <f ca="1"/>
        <v>4.2619999999999996</v>
      </c>
      <c r="L131" s="71" t="str">
        <f ca="1"/>
        <v>1,000(200)</v>
      </c>
      <c r="M131" s="83"/>
      <c r="N131" s="84" t="str">
        <f t="shared" si="24"/>
        <v/>
      </c>
      <c r="O131" s="20" t="str">
        <f t="shared" si="25"/>
        <v/>
      </c>
      <c r="P131" s="64" t="str">
        <f t="shared" si="26"/>
        <v/>
      </c>
      <c r="Q131" s="85" t="str">
        <f t="shared" ca="1" si="27"/>
        <v/>
      </c>
      <c r="R131" s="86" t="str">
        <f t="shared" si="28"/>
        <v/>
      </c>
      <c r="S131" s="86" t="str">
        <f t="shared" si="29"/>
        <v/>
      </c>
      <c r="T131" s="104" t="str">
        <f t="shared" si="15"/>
        <v/>
      </c>
      <c r="U131" s="19" t="str">
        <f>IF(AND(M131&lt;&gt;"",M131&lt;&gt;0), IF(E131 = "Muni", T131, IF(E131="Corp", T131*(1 -'Investor Input'!$C$4-'Investor Input'!$C$5), T131*(1 -'Investor Input'!$C$4))), T131)</f>
        <v/>
      </c>
      <c r="V131" s="84" t="str">
        <f t="shared" si="16"/>
        <v/>
      </c>
      <c r="W131" s="84" t="str">
        <f t="shared" si="17"/>
        <v/>
      </c>
      <c r="X131" s="46" t="str">
        <f t="shared" si="18"/>
        <v/>
      </c>
      <c r="Y131" s="60" t="str">
        <f t="shared" si="19"/>
        <v/>
      </c>
      <c r="Z131" s="60" t="str">
        <f t="shared" si="20"/>
        <v/>
      </c>
      <c r="AA131" s="64" t="str">
        <f t="shared" si="21"/>
        <v/>
      </c>
      <c r="AB131" s="64" t="str">
        <f>IF(AND(AA131&lt;&gt;"",AA131&lt;&gt;0), IF(E131="Muni", AA131, IF(E131 = "Corp", (1-'Investor Input'!$C$4-'Investor Input'!$C$5)*AA131, (1-'Investor Input'!$C$4)*AA131)), AA131)</f>
        <v/>
      </c>
      <c r="AC131" s="94" t="str">
        <f t="shared" si="22"/>
        <v/>
      </c>
      <c r="AD131" s="60" t="str">
        <f>IF(AND(M131&lt;&gt;"", M131&lt;&gt;0), N131/$N$505*MATCH(AC131,'Misc Lists'!$K$2:$K$25,0), "")</f>
        <v/>
      </c>
      <c r="AE131" s="90" t="str">
        <f t="shared" si="23"/>
        <v/>
      </c>
      <c r="AF131" s="99" t="str">
        <f>IF(AND(M131&lt;&gt;"", M131&lt;&gt;0), N131/$N$505*MATCH(AE131,'Misc Lists'!$L$2:$L$25,0), "")</f>
        <v/>
      </c>
    </row>
    <row r="132" spans="2:32" hidden="1" outlineLevel="1" x14ac:dyDescent="0.5">
      <c r="B132" s="65" t="str">
        <f ca="1"/>
        <v>91282CLL3</v>
      </c>
      <c r="C132" s="66" t="str">
        <f ca="1"/>
        <v>N/A</v>
      </c>
      <c r="D132" s="65" t="str">
        <f ca="1"/>
        <v>UNITED STATES TREAS SER AS-2027         3.37500% 09/15/2027 NTS NOTE</v>
      </c>
      <c r="E132" s="66" t="str">
        <f ca="1"/>
        <v>Tres</v>
      </c>
      <c r="F132" s="67">
        <f ca="1"/>
        <v>3.375</v>
      </c>
      <c r="G132" s="68">
        <f ca="1"/>
        <v>46645</v>
      </c>
      <c r="H132" s="66" t="str">
        <f ca="1"/>
        <v>AAA</v>
      </c>
      <c r="I132" s="66" t="str">
        <f ca="1"/>
        <v>--</v>
      </c>
      <c r="J132" s="69">
        <f ca="1"/>
        <v>97.86</v>
      </c>
      <c r="K132" s="70">
        <f ca="1"/>
        <v>4.2619999999999996</v>
      </c>
      <c r="L132" s="71" t="str">
        <f ca="1"/>
        <v>65,000(400)</v>
      </c>
      <c r="M132" s="83"/>
      <c r="N132" s="84" t="str">
        <f t="shared" si="24"/>
        <v/>
      </c>
      <c r="O132" s="20" t="str">
        <f t="shared" si="25"/>
        <v/>
      </c>
      <c r="P132" s="64" t="str">
        <f t="shared" si="26"/>
        <v/>
      </c>
      <c r="Q132" s="85" t="str">
        <f t="shared" ca="1" si="27"/>
        <v/>
      </c>
      <c r="R132" s="86" t="str">
        <f t="shared" si="28"/>
        <v/>
      </c>
      <c r="S132" s="86" t="str">
        <f t="shared" si="29"/>
        <v/>
      </c>
      <c r="T132" s="104" t="str">
        <f t="shared" ref="T132:T195" si="30">IF(AND(M132&lt;&gt;"",M132&lt;&gt;0),YIELD(Q132,G132,F132/100,N132/(M132*10),100,2),"")</f>
        <v/>
      </c>
      <c r="U132" s="19" t="str">
        <f>IF(AND(M132&lt;&gt;"",M132&lt;&gt;0), IF(E132 = "Muni", T132, IF(E132="Corp", T132*(1 -'Investor Input'!$C$4-'Investor Input'!$C$5), T132*(1 -'Investor Input'!$C$4))), T132)</f>
        <v/>
      </c>
      <c r="V132" s="84" t="str">
        <f t="shared" ref="V132:V195" si="31">IF(AND(M132&lt;&gt;"",M132&lt;&gt;0),(FV(K132/(2*100),(G132-Q132)*2/365, F132*1000/(2*100), -N132/M132))*M132, "")</f>
        <v/>
      </c>
      <c r="W132" s="84" t="str">
        <f t="shared" ref="W132:W195" si="32">IF(AND(M132&lt;&gt;"",M132&lt;&gt;0),V132-N132,"")</f>
        <v/>
      </c>
      <c r="X132" s="46" t="str">
        <f t="shared" ref="X132:X195" si="33">IF(AND(M132&lt;&gt;"",M132&lt;&gt;0),W132/N132,"")</f>
        <v/>
      </c>
      <c r="Y132" s="60" t="str">
        <f t="shared" ref="Y132:Y195" si="34">IF(AND(M132&lt;&gt;"", M132&lt;&gt;0), MONTH(G132), "")</f>
        <v/>
      </c>
      <c r="Z132" s="60" t="str">
        <f t="shared" ref="Z132:Z195" si="35">IF(AND(M132&lt;&gt;"", M132&lt;&gt;0), MONTH(EDATE(G132, 6)), "")</f>
        <v/>
      </c>
      <c r="AA132" s="64" t="str">
        <f t="shared" ref="AA132:AA195" si="36">IF(AND(M132&lt;&gt;"", M132&lt;&gt;0), F132*1000*M132/(100*2), "")</f>
        <v/>
      </c>
      <c r="AB132" s="64" t="str">
        <f>IF(AND(AA132&lt;&gt;"",AA132&lt;&gt;0), IF(E132="Muni", AA132, IF(E132 = "Corp", (1-'Investor Input'!$C$4-'Investor Input'!$C$5)*AA132, (1-'Investor Input'!$C$4)*AA132)), AA132)</f>
        <v/>
      </c>
      <c r="AC132" s="94" t="str">
        <f t="shared" ref="AC132:AC195" si="37">IF(AND(M132&lt;&gt;"", M132&lt;&gt;0), H132, "")</f>
        <v/>
      </c>
      <c r="AD132" s="60" t="str">
        <f>IF(AND(M132&lt;&gt;"", M132&lt;&gt;0), N132/$N$505*MATCH(AC132,'Misc Lists'!$K$2:$K$25,0), "")</f>
        <v/>
      </c>
      <c r="AE132" s="90" t="str">
        <f t="shared" ref="AE132:AE195" si="38">IF(AND(M132&lt;&gt;"", M132&lt;&gt;0), I132, "")</f>
        <v/>
      </c>
      <c r="AF132" s="99" t="str">
        <f>IF(AND(M132&lt;&gt;"", M132&lt;&gt;0), N132/$N$505*MATCH(AE132,'Misc Lists'!$L$2:$L$25,0), "")</f>
        <v/>
      </c>
    </row>
    <row r="133" spans="2:32" hidden="1" outlineLevel="1" x14ac:dyDescent="0.5">
      <c r="B133" s="65" t="str">
        <f ca="1"/>
        <v>912810FJ2</v>
      </c>
      <c r="C133" s="66" t="str">
        <f ca="1"/>
        <v>N/A</v>
      </c>
      <c r="D133" s="65" t="str">
        <f ca="1"/>
        <v>UNITED STATES TREAS BDS                 6.12500% 08/15/2029</v>
      </c>
      <c r="E133" s="66" t="str">
        <f ca="1"/>
        <v>Tres</v>
      </c>
      <c r="F133" s="67">
        <f ca="1"/>
        <v>6.125</v>
      </c>
      <c r="G133" s="68">
        <f ca="1"/>
        <v>47345</v>
      </c>
      <c r="H133" s="66" t="str">
        <f ca="1"/>
        <v>AAA</v>
      </c>
      <c r="I133" s="66" t="str">
        <f ca="1"/>
        <v>--</v>
      </c>
      <c r="J133" s="69">
        <f ca="1"/>
        <v>107.54</v>
      </c>
      <c r="K133" s="70">
        <f ca="1"/>
        <v>4.2619999999999996</v>
      </c>
      <c r="L133" s="71" t="str">
        <f ca="1"/>
        <v>10,000(200)</v>
      </c>
      <c r="M133" s="83"/>
      <c r="N133" s="84" t="str">
        <f t="shared" ref="N133:N196" si="39">IF(AND(M133&lt;&gt;"", M133&lt;&gt;0), IF(L133 &lt;&gt; "N/A", IF(M133&gt;=VALUE(LEFT(L133, FIND("(", L133)-1)), J133*10*M133, 1000*M133), 1000*M133), "")</f>
        <v/>
      </c>
      <c r="O133" s="20" t="str">
        <f t="shared" ref="O133:O196" si="40">IF(AND(M133&lt;&gt;"",M133&lt;&gt;0),N133/$N$505, "")</f>
        <v/>
      </c>
      <c r="P133" s="64" t="str">
        <f t="shared" ref="P133:P196" si="41">IF(AND(M133&lt;&gt;"", M133&lt;&gt;0), F133*1000/100, "")</f>
        <v/>
      </c>
      <c r="Q133" s="85" t="str">
        <f t="shared" ref="Q133:Q196" ca="1" si="42">IF(AND(M133&lt;&gt;"", M133&lt;&gt;0), NOW(), "")</f>
        <v/>
      </c>
      <c r="R133" s="86" t="str">
        <f t="shared" ref="R133:R196" si="43">IF(AND(M133&lt;&gt;"", M133&lt;&gt;0), ROUND((G133 - Q133)/365, 0), "")</f>
        <v/>
      </c>
      <c r="S133" s="86" t="str">
        <f t="shared" ref="S133:S196" si="44">IF(AND(M133&lt;&gt;"",M133&lt;&gt;0),MDURATION(Q133,G133,F133/100,K133/100,2), "")</f>
        <v/>
      </c>
      <c r="T133" s="104" t="str">
        <f t="shared" si="30"/>
        <v/>
      </c>
      <c r="U133" s="19" t="str">
        <f>IF(AND(M133&lt;&gt;"",M133&lt;&gt;0), IF(E133 = "Muni", T133, IF(E133="Corp", T133*(1 -'Investor Input'!$C$4-'Investor Input'!$C$5), T133*(1 -'Investor Input'!$C$4))), T133)</f>
        <v/>
      </c>
      <c r="V133" s="84" t="str">
        <f t="shared" si="31"/>
        <v/>
      </c>
      <c r="W133" s="84" t="str">
        <f t="shared" si="32"/>
        <v/>
      </c>
      <c r="X133" s="46" t="str">
        <f t="shared" si="33"/>
        <v/>
      </c>
      <c r="Y133" s="60" t="str">
        <f t="shared" si="34"/>
        <v/>
      </c>
      <c r="Z133" s="60" t="str">
        <f t="shared" si="35"/>
        <v/>
      </c>
      <c r="AA133" s="64" t="str">
        <f t="shared" si="36"/>
        <v/>
      </c>
      <c r="AB133" s="64" t="str">
        <f>IF(AND(AA133&lt;&gt;"",AA133&lt;&gt;0), IF(E133="Muni", AA133, IF(E133 = "Corp", (1-'Investor Input'!$C$4-'Investor Input'!$C$5)*AA133, (1-'Investor Input'!$C$4)*AA133)), AA133)</f>
        <v/>
      </c>
      <c r="AC133" s="94" t="str">
        <f t="shared" si="37"/>
        <v/>
      </c>
      <c r="AD133" s="60" t="str">
        <f>IF(AND(M133&lt;&gt;"", M133&lt;&gt;0), N133/$N$505*MATCH(AC133,'Misc Lists'!$K$2:$K$25,0), "")</f>
        <v/>
      </c>
      <c r="AE133" s="90" t="str">
        <f t="shared" si="38"/>
        <v/>
      </c>
      <c r="AF133" s="99" t="str">
        <f>IF(AND(M133&lt;&gt;"", M133&lt;&gt;0), N133/$N$505*MATCH(AE133,'Misc Lists'!$L$2:$L$25,0), "")</f>
        <v/>
      </c>
    </row>
    <row r="134" spans="2:32" hidden="1" outlineLevel="1" x14ac:dyDescent="0.5">
      <c r="B134" s="65" t="str">
        <f ca="1"/>
        <v>91282CHL8</v>
      </c>
      <c r="C134" s="66" t="str">
        <f ca="1"/>
        <v>N/A</v>
      </c>
      <c r="D134" s="65" t="str">
        <f ca="1"/>
        <v>UNITED STATES TREAS SER BD-2025         4.62500% 06/30/2025 NTS NOTE</v>
      </c>
      <c r="E134" s="66" t="str">
        <f ca="1"/>
        <v>Tres</v>
      </c>
      <c r="F134" s="67">
        <f ca="1"/>
        <v>4.625</v>
      </c>
      <c r="G134" s="68">
        <f ca="1"/>
        <v>45838</v>
      </c>
      <c r="H134" s="66" t="str">
        <f ca="1"/>
        <v>AAA</v>
      </c>
      <c r="I134" s="66" t="str">
        <f ca="1"/>
        <v>--</v>
      </c>
      <c r="J134" s="69">
        <f ca="1"/>
        <v>100.122</v>
      </c>
      <c r="K134" s="70">
        <f ca="1"/>
        <v>4.2610000000000001</v>
      </c>
      <c r="L134" s="71" t="str">
        <f ca="1"/>
        <v>30,000(600)</v>
      </c>
      <c r="M134" s="83"/>
      <c r="N134" s="84" t="str">
        <f t="shared" si="39"/>
        <v/>
      </c>
      <c r="O134" s="20" t="str">
        <f t="shared" si="40"/>
        <v/>
      </c>
      <c r="P134" s="64" t="str">
        <f t="shared" si="41"/>
        <v/>
      </c>
      <c r="Q134" s="85" t="str">
        <f t="shared" ca="1" si="42"/>
        <v/>
      </c>
      <c r="R134" s="86" t="str">
        <f t="shared" si="43"/>
        <v/>
      </c>
      <c r="S134" s="86" t="str">
        <f t="shared" si="44"/>
        <v/>
      </c>
      <c r="T134" s="104" t="str">
        <f t="shared" si="30"/>
        <v/>
      </c>
      <c r="U134" s="19" t="str">
        <f>IF(AND(M134&lt;&gt;"",M134&lt;&gt;0), IF(E134 = "Muni", T134, IF(E134="Corp", T134*(1 -'Investor Input'!$C$4-'Investor Input'!$C$5), T134*(1 -'Investor Input'!$C$4))), T134)</f>
        <v/>
      </c>
      <c r="V134" s="84" t="str">
        <f t="shared" si="31"/>
        <v/>
      </c>
      <c r="W134" s="84" t="str">
        <f t="shared" si="32"/>
        <v/>
      </c>
      <c r="X134" s="46" t="str">
        <f t="shared" si="33"/>
        <v/>
      </c>
      <c r="Y134" s="60" t="str">
        <f t="shared" si="34"/>
        <v/>
      </c>
      <c r="Z134" s="60" t="str">
        <f t="shared" si="35"/>
        <v/>
      </c>
      <c r="AA134" s="64" t="str">
        <f t="shared" si="36"/>
        <v/>
      </c>
      <c r="AB134" s="64" t="str">
        <f>IF(AND(AA134&lt;&gt;"",AA134&lt;&gt;0), IF(E134="Muni", AA134, IF(E134 = "Corp", (1-'Investor Input'!$C$4-'Investor Input'!$C$5)*AA134, (1-'Investor Input'!$C$4)*AA134)), AA134)</f>
        <v/>
      </c>
      <c r="AC134" s="94" t="str">
        <f t="shared" si="37"/>
        <v/>
      </c>
      <c r="AD134" s="60" t="str">
        <f>IF(AND(M134&lt;&gt;"", M134&lt;&gt;0), N134/$N$505*MATCH(AC134,'Misc Lists'!$K$2:$K$25,0), "")</f>
        <v/>
      </c>
      <c r="AE134" s="90" t="str">
        <f t="shared" si="38"/>
        <v/>
      </c>
      <c r="AF134" s="99" t="str">
        <f>IF(AND(M134&lt;&gt;"", M134&lt;&gt;0), N134/$N$505*MATCH(AE134,'Misc Lists'!$L$2:$L$25,0), "")</f>
        <v/>
      </c>
    </row>
    <row r="135" spans="2:32" hidden="1" outlineLevel="1" x14ac:dyDescent="0.5">
      <c r="B135" s="65" t="str">
        <f ca="1"/>
        <v>91282CGV7</v>
      </c>
      <c r="C135" s="66" t="str">
        <f ca="1"/>
        <v>N/A</v>
      </c>
      <c r="D135" s="65" t="str">
        <f ca="1"/>
        <v>UNITED STATES TREAS SER AM-2026         3.75000% 04/15/2026 NTS NOTE</v>
      </c>
      <c r="E135" s="66" t="str">
        <f ca="1"/>
        <v>Tres</v>
      </c>
      <c r="F135" s="67">
        <f ca="1"/>
        <v>3.75</v>
      </c>
      <c r="G135" s="68">
        <f ca="1"/>
        <v>46127</v>
      </c>
      <c r="H135" s="66" t="str">
        <f ca="1"/>
        <v>AAA</v>
      </c>
      <c r="I135" s="66" t="str">
        <f ca="1"/>
        <v>--</v>
      </c>
      <c r="J135" s="69">
        <f ca="1"/>
        <v>99.426000000000002</v>
      </c>
      <c r="K135" s="70">
        <f ca="1"/>
        <v>4.2610000000000001</v>
      </c>
      <c r="L135" s="71" t="str">
        <f ca="1"/>
        <v>30,000(400)</v>
      </c>
      <c r="M135" s="83"/>
      <c r="N135" s="84" t="str">
        <f t="shared" si="39"/>
        <v/>
      </c>
      <c r="O135" s="20" t="str">
        <f t="shared" si="40"/>
        <v/>
      </c>
      <c r="P135" s="64" t="str">
        <f t="shared" si="41"/>
        <v/>
      </c>
      <c r="Q135" s="85" t="str">
        <f t="shared" ca="1" si="42"/>
        <v/>
      </c>
      <c r="R135" s="86" t="str">
        <f t="shared" si="43"/>
        <v/>
      </c>
      <c r="S135" s="86" t="str">
        <f t="shared" si="44"/>
        <v/>
      </c>
      <c r="T135" s="104" t="str">
        <f t="shared" si="30"/>
        <v/>
      </c>
      <c r="U135" s="19" t="str">
        <f>IF(AND(M135&lt;&gt;"",M135&lt;&gt;0), IF(E135 = "Muni", T135, IF(E135="Corp", T135*(1 -'Investor Input'!$C$4-'Investor Input'!$C$5), T135*(1 -'Investor Input'!$C$4))), T135)</f>
        <v/>
      </c>
      <c r="V135" s="84" t="str">
        <f t="shared" si="31"/>
        <v/>
      </c>
      <c r="W135" s="84" t="str">
        <f t="shared" si="32"/>
        <v/>
      </c>
      <c r="X135" s="46" t="str">
        <f t="shared" si="33"/>
        <v/>
      </c>
      <c r="Y135" s="60" t="str">
        <f t="shared" si="34"/>
        <v/>
      </c>
      <c r="Z135" s="60" t="str">
        <f t="shared" si="35"/>
        <v/>
      </c>
      <c r="AA135" s="64" t="str">
        <f t="shared" si="36"/>
        <v/>
      </c>
      <c r="AB135" s="64" t="str">
        <f>IF(AND(AA135&lt;&gt;"",AA135&lt;&gt;0), IF(E135="Muni", AA135, IF(E135 = "Corp", (1-'Investor Input'!$C$4-'Investor Input'!$C$5)*AA135, (1-'Investor Input'!$C$4)*AA135)), AA135)</f>
        <v/>
      </c>
      <c r="AC135" s="94" t="str">
        <f t="shared" si="37"/>
        <v/>
      </c>
      <c r="AD135" s="60" t="str">
        <f>IF(AND(M135&lt;&gt;"", M135&lt;&gt;0), N135/$N$505*MATCH(AC135,'Misc Lists'!$K$2:$K$25,0), "")</f>
        <v/>
      </c>
      <c r="AE135" s="90" t="str">
        <f t="shared" si="38"/>
        <v/>
      </c>
      <c r="AF135" s="99" t="str">
        <f>IF(AND(M135&lt;&gt;"", M135&lt;&gt;0), N135/$N$505*MATCH(AE135,'Misc Lists'!$L$2:$L$25,0), "")</f>
        <v/>
      </c>
    </row>
    <row r="136" spans="2:32" hidden="1" outlineLevel="1" x14ac:dyDescent="0.5">
      <c r="B136" s="65" t="str">
        <f ca="1"/>
        <v>91282CMH1</v>
      </c>
      <c r="C136" s="66" t="str">
        <f ca="1"/>
        <v>N/A</v>
      </c>
      <c r="D136" s="65" t="str">
        <f ca="1"/>
        <v>UNITED STATES TREAS SER AW-2027         4.12500% 01/31/2027 NTS NOTE</v>
      </c>
      <c r="E136" s="66" t="str">
        <f ca="1"/>
        <v>Tres</v>
      </c>
      <c r="F136" s="67">
        <f ca="1"/>
        <v>4.125</v>
      </c>
      <c r="G136" s="68">
        <f ca="1"/>
        <v>46418</v>
      </c>
      <c r="H136" s="66" t="str">
        <f ca="1"/>
        <v>AAA</v>
      </c>
      <c r="I136" s="66" t="str">
        <f ca="1"/>
        <v>--</v>
      </c>
      <c r="J136" s="69">
        <f ca="1"/>
        <v>99.747</v>
      </c>
      <c r="K136" s="70">
        <f ca="1"/>
        <v>4.2610000000000001</v>
      </c>
      <c r="L136" s="71" t="str">
        <f ca="1"/>
        <v>150,000(400)</v>
      </c>
      <c r="M136" s="83"/>
      <c r="N136" s="84" t="str">
        <f t="shared" si="39"/>
        <v/>
      </c>
      <c r="O136" s="20" t="str">
        <f t="shared" si="40"/>
        <v/>
      </c>
      <c r="P136" s="64" t="str">
        <f t="shared" si="41"/>
        <v/>
      </c>
      <c r="Q136" s="85" t="str">
        <f t="shared" ca="1" si="42"/>
        <v/>
      </c>
      <c r="R136" s="86" t="str">
        <f t="shared" si="43"/>
        <v/>
      </c>
      <c r="S136" s="86" t="str">
        <f t="shared" si="44"/>
        <v/>
      </c>
      <c r="T136" s="104" t="str">
        <f t="shared" si="30"/>
        <v/>
      </c>
      <c r="U136" s="19" t="str">
        <f>IF(AND(M136&lt;&gt;"",M136&lt;&gt;0), IF(E136 = "Muni", T136, IF(E136="Corp", T136*(1 -'Investor Input'!$C$4-'Investor Input'!$C$5), T136*(1 -'Investor Input'!$C$4))), T136)</f>
        <v/>
      </c>
      <c r="V136" s="84" t="str">
        <f t="shared" si="31"/>
        <v/>
      </c>
      <c r="W136" s="84" t="str">
        <f t="shared" si="32"/>
        <v/>
      </c>
      <c r="X136" s="46" t="str">
        <f t="shared" si="33"/>
        <v/>
      </c>
      <c r="Y136" s="60" t="str">
        <f t="shared" si="34"/>
        <v/>
      </c>
      <c r="Z136" s="60" t="str">
        <f t="shared" si="35"/>
        <v/>
      </c>
      <c r="AA136" s="64" t="str">
        <f t="shared" si="36"/>
        <v/>
      </c>
      <c r="AB136" s="64" t="str">
        <f>IF(AND(AA136&lt;&gt;"",AA136&lt;&gt;0), IF(E136="Muni", AA136, IF(E136 = "Corp", (1-'Investor Input'!$C$4-'Investor Input'!$C$5)*AA136, (1-'Investor Input'!$C$4)*AA136)), AA136)</f>
        <v/>
      </c>
      <c r="AC136" s="94" t="str">
        <f t="shared" si="37"/>
        <v/>
      </c>
      <c r="AD136" s="60" t="str">
        <f>IF(AND(M136&lt;&gt;"", M136&lt;&gt;0), N136/$N$505*MATCH(AC136,'Misc Lists'!$K$2:$K$25,0), "")</f>
        <v/>
      </c>
      <c r="AE136" s="90" t="str">
        <f t="shared" si="38"/>
        <v/>
      </c>
      <c r="AF136" s="99" t="str">
        <f>IF(AND(M136&lt;&gt;"", M136&lt;&gt;0), N136/$N$505*MATCH(AE136,'Misc Lists'!$L$2:$L$25,0), "")</f>
        <v/>
      </c>
    </row>
    <row r="137" spans="2:32" hidden="1" outlineLevel="1" x14ac:dyDescent="0.5">
      <c r="B137" s="65" t="str">
        <f ca="1"/>
        <v>912828Z78</v>
      </c>
      <c r="C137" s="66" t="str">
        <f ca="1"/>
        <v>N/A</v>
      </c>
      <c r="D137" s="65" t="str">
        <f ca="1"/>
        <v>UNITED STATES TREAS SER G-2027          1.50000% 01/31/2027 NTS NOTE</v>
      </c>
      <c r="E137" s="66" t="str">
        <f ca="1"/>
        <v>Tres</v>
      </c>
      <c r="F137" s="67">
        <f ca="1"/>
        <v>1.5</v>
      </c>
      <c r="G137" s="68">
        <f ca="1"/>
        <v>46418</v>
      </c>
      <c r="H137" s="66" t="str">
        <f ca="1"/>
        <v>AAA</v>
      </c>
      <c r="I137" s="66" t="str">
        <f ca="1"/>
        <v>--</v>
      </c>
      <c r="J137" s="69">
        <f ca="1"/>
        <v>94.882999999999996</v>
      </c>
      <c r="K137" s="70">
        <f ca="1"/>
        <v>4.2610000000000001</v>
      </c>
      <c r="L137" s="71" t="str">
        <f ca="1"/>
        <v>12,000(275)</v>
      </c>
      <c r="M137" s="83"/>
      <c r="N137" s="84" t="str">
        <f t="shared" si="39"/>
        <v/>
      </c>
      <c r="O137" s="20" t="str">
        <f t="shared" si="40"/>
        <v/>
      </c>
      <c r="P137" s="64" t="str">
        <f t="shared" si="41"/>
        <v/>
      </c>
      <c r="Q137" s="85" t="str">
        <f t="shared" ca="1" si="42"/>
        <v/>
      </c>
      <c r="R137" s="86" t="str">
        <f t="shared" si="43"/>
        <v/>
      </c>
      <c r="S137" s="86" t="str">
        <f t="shared" si="44"/>
        <v/>
      </c>
      <c r="T137" s="104" t="str">
        <f t="shared" si="30"/>
        <v/>
      </c>
      <c r="U137" s="19" t="str">
        <f>IF(AND(M137&lt;&gt;"",M137&lt;&gt;0), IF(E137 = "Muni", T137, IF(E137="Corp", T137*(1 -'Investor Input'!$C$4-'Investor Input'!$C$5), T137*(1 -'Investor Input'!$C$4))), T137)</f>
        <v/>
      </c>
      <c r="V137" s="84" t="str">
        <f t="shared" si="31"/>
        <v/>
      </c>
      <c r="W137" s="84" t="str">
        <f t="shared" si="32"/>
        <v/>
      </c>
      <c r="X137" s="46" t="str">
        <f t="shared" si="33"/>
        <v/>
      </c>
      <c r="Y137" s="60" t="str">
        <f t="shared" si="34"/>
        <v/>
      </c>
      <c r="Z137" s="60" t="str">
        <f t="shared" si="35"/>
        <v/>
      </c>
      <c r="AA137" s="64" t="str">
        <f t="shared" si="36"/>
        <v/>
      </c>
      <c r="AB137" s="64" t="str">
        <f>IF(AND(AA137&lt;&gt;"",AA137&lt;&gt;0), IF(E137="Muni", AA137, IF(E137 = "Corp", (1-'Investor Input'!$C$4-'Investor Input'!$C$5)*AA137, (1-'Investor Input'!$C$4)*AA137)), AA137)</f>
        <v/>
      </c>
      <c r="AC137" s="94" t="str">
        <f t="shared" si="37"/>
        <v/>
      </c>
      <c r="AD137" s="60" t="str">
        <f>IF(AND(M137&lt;&gt;"", M137&lt;&gt;0), N137/$N$505*MATCH(AC137,'Misc Lists'!$K$2:$K$25,0), "")</f>
        <v/>
      </c>
      <c r="AE137" s="90" t="str">
        <f t="shared" si="38"/>
        <v/>
      </c>
      <c r="AF137" s="99" t="str">
        <f>IF(AND(M137&lt;&gt;"", M137&lt;&gt;0), N137/$N$505*MATCH(AE137,'Misc Lists'!$L$2:$L$25,0), "")</f>
        <v/>
      </c>
    </row>
    <row r="138" spans="2:32" hidden="1" outlineLevel="1" x14ac:dyDescent="0.5">
      <c r="B138" s="65" t="str">
        <f ca="1"/>
        <v>91282CJK8</v>
      </c>
      <c r="C138" s="66" t="str">
        <f ca="1"/>
        <v>N/A</v>
      </c>
      <c r="D138" s="65" t="str">
        <f ca="1"/>
        <v>UNITED STATES TREAS SER AU-2026         4.62500% 11/15/2026 NTS NOTE</v>
      </c>
      <c r="E138" s="66" t="str">
        <f ca="1"/>
        <v>Tres</v>
      </c>
      <c r="F138" s="67">
        <f ca="1"/>
        <v>4.625</v>
      </c>
      <c r="G138" s="68">
        <f ca="1"/>
        <v>46341</v>
      </c>
      <c r="H138" s="66" t="str">
        <f ca="1"/>
        <v>AAA</v>
      </c>
      <c r="I138" s="66" t="str">
        <f ca="1"/>
        <v>--</v>
      </c>
      <c r="J138" s="69">
        <f ca="1"/>
        <v>100.598</v>
      </c>
      <c r="K138" s="70">
        <f ca="1"/>
        <v>4.26</v>
      </c>
      <c r="L138" s="71" t="str">
        <f ca="1"/>
        <v>70,000(400)</v>
      </c>
      <c r="M138" s="83"/>
      <c r="N138" s="84" t="str">
        <f t="shared" si="39"/>
        <v/>
      </c>
      <c r="O138" s="20" t="str">
        <f t="shared" si="40"/>
        <v/>
      </c>
      <c r="P138" s="64" t="str">
        <f t="shared" si="41"/>
        <v/>
      </c>
      <c r="Q138" s="85" t="str">
        <f t="shared" ca="1" si="42"/>
        <v/>
      </c>
      <c r="R138" s="86" t="str">
        <f t="shared" si="43"/>
        <v/>
      </c>
      <c r="S138" s="86" t="str">
        <f t="shared" si="44"/>
        <v/>
      </c>
      <c r="T138" s="104" t="str">
        <f t="shared" si="30"/>
        <v/>
      </c>
      <c r="U138" s="19" t="str">
        <f>IF(AND(M138&lt;&gt;"",M138&lt;&gt;0), IF(E138 = "Muni", T138, IF(E138="Corp", T138*(1 -'Investor Input'!$C$4-'Investor Input'!$C$5), T138*(1 -'Investor Input'!$C$4))), T138)</f>
        <v/>
      </c>
      <c r="V138" s="84" t="str">
        <f t="shared" si="31"/>
        <v/>
      </c>
      <c r="W138" s="84" t="str">
        <f t="shared" si="32"/>
        <v/>
      </c>
      <c r="X138" s="46" t="str">
        <f t="shared" si="33"/>
        <v/>
      </c>
      <c r="Y138" s="60" t="str">
        <f t="shared" si="34"/>
        <v/>
      </c>
      <c r="Z138" s="60" t="str">
        <f t="shared" si="35"/>
        <v/>
      </c>
      <c r="AA138" s="64" t="str">
        <f t="shared" si="36"/>
        <v/>
      </c>
      <c r="AB138" s="64" t="str">
        <f>IF(AND(AA138&lt;&gt;"",AA138&lt;&gt;0), IF(E138="Muni", AA138, IF(E138 = "Corp", (1-'Investor Input'!$C$4-'Investor Input'!$C$5)*AA138, (1-'Investor Input'!$C$4)*AA138)), AA138)</f>
        <v/>
      </c>
      <c r="AC138" s="94" t="str">
        <f t="shared" si="37"/>
        <v/>
      </c>
      <c r="AD138" s="60" t="str">
        <f>IF(AND(M138&lt;&gt;"", M138&lt;&gt;0), N138/$N$505*MATCH(AC138,'Misc Lists'!$K$2:$K$25,0), "")</f>
        <v/>
      </c>
      <c r="AE138" s="90" t="str">
        <f t="shared" si="38"/>
        <v/>
      </c>
      <c r="AF138" s="99" t="str">
        <f>IF(AND(M138&lt;&gt;"", M138&lt;&gt;0), N138/$N$505*MATCH(AE138,'Misc Lists'!$L$2:$L$25,0), "")</f>
        <v/>
      </c>
    </row>
    <row r="139" spans="2:32" hidden="1" outlineLevel="1" x14ac:dyDescent="0.5">
      <c r="B139" s="65" t="str">
        <f ca="1"/>
        <v>91282CDQ1</v>
      </c>
      <c r="C139" s="66" t="str">
        <f ca="1"/>
        <v>N/A</v>
      </c>
      <c r="D139" s="65" t="str">
        <f ca="1"/>
        <v>UNITED STATES TREAS SER AH-2026         1.25000% 12/31/2026 NTS NOTE</v>
      </c>
      <c r="E139" s="66" t="str">
        <f ca="1"/>
        <v>Tres</v>
      </c>
      <c r="F139" s="67">
        <f ca="1"/>
        <v>1.25</v>
      </c>
      <c r="G139" s="68">
        <f ca="1"/>
        <v>46387</v>
      </c>
      <c r="H139" s="66" t="str">
        <f ca="1"/>
        <v>AAA</v>
      </c>
      <c r="I139" s="66" t="str">
        <f ca="1"/>
        <v>--</v>
      </c>
      <c r="J139" s="69">
        <f ca="1"/>
        <v>94.656999999999996</v>
      </c>
      <c r="K139" s="70">
        <f ca="1"/>
        <v>4.26</v>
      </c>
      <c r="L139" s="71" t="str">
        <f ca="1"/>
        <v>70,000(400)</v>
      </c>
      <c r="M139" s="83"/>
      <c r="N139" s="84" t="str">
        <f t="shared" si="39"/>
        <v/>
      </c>
      <c r="O139" s="20" t="str">
        <f t="shared" si="40"/>
        <v/>
      </c>
      <c r="P139" s="64" t="str">
        <f t="shared" si="41"/>
        <v/>
      </c>
      <c r="Q139" s="85" t="str">
        <f t="shared" ca="1" si="42"/>
        <v/>
      </c>
      <c r="R139" s="86" t="str">
        <f t="shared" si="43"/>
        <v/>
      </c>
      <c r="S139" s="86" t="str">
        <f t="shared" si="44"/>
        <v/>
      </c>
      <c r="T139" s="104" t="str">
        <f t="shared" si="30"/>
        <v/>
      </c>
      <c r="U139" s="19" t="str">
        <f>IF(AND(M139&lt;&gt;"",M139&lt;&gt;0), IF(E139 = "Muni", T139, IF(E139="Corp", T139*(1 -'Investor Input'!$C$4-'Investor Input'!$C$5), T139*(1 -'Investor Input'!$C$4))), T139)</f>
        <v/>
      </c>
      <c r="V139" s="84" t="str">
        <f t="shared" si="31"/>
        <v/>
      </c>
      <c r="W139" s="84" t="str">
        <f t="shared" si="32"/>
        <v/>
      </c>
      <c r="X139" s="46" t="str">
        <f t="shared" si="33"/>
        <v/>
      </c>
      <c r="Y139" s="60" t="str">
        <f t="shared" si="34"/>
        <v/>
      </c>
      <c r="Z139" s="60" t="str">
        <f t="shared" si="35"/>
        <v/>
      </c>
      <c r="AA139" s="64" t="str">
        <f t="shared" si="36"/>
        <v/>
      </c>
      <c r="AB139" s="64" t="str">
        <f>IF(AND(AA139&lt;&gt;"",AA139&lt;&gt;0), IF(E139="Muni", AA139, IF(E139 = "Corp", (1-'Investor Input'!$C$4-'Investor Input'!$C$5)*AA139, (1-'Investor Input'!$C$4)*AA139)), AA139)</f>
        <v/>
      </c>
      <c r="AC139" s="94" t="str">
        <f t="shared" si="37"/>
        <v/>
      </c>
      <c r="AD139" s="60" t="str">
        <f>IF(AND(M139&lt;&gt;"", M139&lt;&gt;0), N139/$N$505*MATCH(AC139,'Misc Lists'!$K$2:$K$25,0), "")</f>
        <v/>
      </c>
      <c r="AE139" s="90" t="str">
        <f t="shared" si="38"/>
        <v/>
      </c>
      <c r="AF139" s="99" t="str">
        <f>IF(AND(M139&lt;&gt;"", M139&lt;&gt;0), N139/$N$505*MATCH(AE139,'Misc Lists'!$L$2:$L$25,0), "")</f>
        <v/>
      </c>
    </row>
    <row r="140" spans="2:32" hidden="1" outlineLevel="1" x14ac:dyDescent="0.5">
      <c r="B140" s="65" t="str">
        <f ca="1"/>
        <v>91282CKR1</v>
      </c>
      <c r="C140" s="66" t="str">
        <f ca="1"/>
        <v>N/A</v>
      </c>
      <c r="D140" s="65" t="str">
        <f ca="1"/>
        <v>UNITED STATES TREAS SER AN-2027         4.50000% 05/15/2027 NTS NOTE</v>
      </c>
      <c r="E140" s="66" t="str">
        <f ca="1"/>
        <v>Tres</v>
      </c>
      <c r="F140" s="67">
        <f ca="1"/>
        <v>4.5</v>
      </c>
      <c r="G140" s="68">
        <f ca="1"/>
        <v>46522</v>
      </c>
      <c r="H140" s="66" t="str">
        <f ca="1"/>
        <v>AAA</v>
      </c>
      <c r="I140" s="66" t="str">
        <f ca="1"/>
        <v>--</v>
      </c>
      <c r="J140" s="69">
        <f ca="1"/>
        <v>100.501</v>
      </c>
      <c r="K140" s="70">
        <f ca="1"/>
        <v>4.26</v>
      </c>
      <c r="L140" s="71" t="str">
        <f ca="1"/>
        <v>70,000(400)</v>
      </c>
      <c r="M140" s="83"/>
      <c r="N140" s="84" t="str">
        <f t="shared" si="39"/>
        <v/>
      </c>
      <c r="O140" s="20" t="str">
        <f t="shared" si="40"/>
        <v/>
      </c>
      <c r="P140" s="64" t="str">
        <f t="shared" si="41"/>
        <v/>
      </c>
      <c r="Q140" s="85" t="str">
        <f t="shared" ca="1" si="42"/>
        <v/>
      </c>
      <c r="R140" s="86" t="str">
        <f t="shared" si="43"/>
        <v/>
      </c>
      <c r="S140" s="86" t="str">
        <f t="shared" si="44"/>
        <v/>
      </c>
      <c r="T140" s="104" t="str">
        <f t="shared" si="30"/>
        <v/>
      </c>
      <c r="U140" s="19" t="str">
        <f>IF(AND(M140&lt;&gt;"",M140&lt;&gt;0), IF(E140 = "Muni", T140, IF(E140="Corp", T140*(1 -'Investor Input'!$C$4-'Investor Input'!$C$5), T140*(1 -'Investor Input'!$C$4))), T140)</f>
        <v/>
      </c>
      <c r="V140" s="84" t="str">
        <f t="shared" si="31"/>
        <v/>
      </c>
      <c r="W140" s="84" t="str">
        <f t="shared" si="32"/>
        <v/>
      </c>
      <c r="X140" s="46" t="str">
        <f t="shared" si="33"/>
        <v/>
      </c>
      <c r="Y140" s="60" t="str">
        <f t="shared" si="34"/>
        <v/>
      </c>
      <c r="Z140" s="60" t="str">
        <f t="shared" si="35"/>
        <v/>
      </c>
      <c r="AA140" s="64" t="str">
        <f t="shared" si="36"/>
        <v/>
      </c>
      <c r="AB140" s="64" t="str">
        <f>IF(AND(AA140&lt;&gt;"",AA140&lt;&gt;0), IF(E140="Muni", AA140, IF(E140 = "Corp", (1-'Investor Input'!$C$4-'Investor Input'!$C$5)*AA140, (1-'Investor Input'!$C$4)*AA140)), AA140)</f>
        <v/>
      </c>
      <c r="AC140" s="94" t="str">
        <f t="shared" si="37"/>
        <v/>
      </c>
      <c r="AD140" s="60" t="str">
        <f>IF(AND(M140&lt;&gt;"", M140&lt;&gt;0), N140/$N$505*MATCH(AC140,'Misc Lists'!$K$2:$K$25,0), "")</f>
        <v/>
      </c>
      <c r="AE140" s="90" t="str">
        <f t="shared" si="38"/>
        <v/>
      </c>
      <c r="AF140" s="99" t="str">
        <f>IF(AND(M140&lt;&gt;"", M140&lt;&gt;0), N140/$N$505*MATCH(AE140,'Misc Lists'!$L$2:$L$25,0), "")</f>
        <v/>
      </c>
    </row>
    <row r="141" spans="2:32" hidden="1" outlineLevel="1" x14ac:dyDescent="0.5">
      <c r="B141" s="65" t="str">
        <f ca="1"/>
        <v>912828X88</v>
      </c>
      <c r="C141" s="66" t="str">
        <f ca="1"/>
        <v>N/A</v>
      </c>
      <c r="D141" s="65" t="str">
        <f ca="1"/>
        <v>UNITED STATES TREAS SER C-2027          2.37500% 05/15/2027 NTS NOTE</v>
      </c>
      <c r="E141" s="66" t="str">
        <f ca="1"/>
        <v>Tres</v>
      </c>
      <c r="F141" s="67">
        <f ca="1"/>
        <v>2.375</v>
      </c>
      <c r="G141" s="68">
        <f ca="1"/>
        <v>46522</v>
      </c>
      <c r="H141" s="66" t="str">
        <f ca="1"/>
        <v>AAA</v>
      </c>
      <c r="I141" s="66" t="str">
        <f ca="1"/>
        <v>--</v>
      </c>
      <c r="J141" s="69">
        <f ca="1"/>
        <v>96.013000000000005</v>
      </c>
      <c r="K141" s="70">
        <f ca="1"/>
        <v>4.26</v>
      </c>
      <c r="L141" s="71" t="str">
        <f ca="1"/>
        <v>1,000(200)</v>
      </c>
      <c r="M141" s="83"/>
      <c r="N141" s="84" t="str">
        <f t="shared" si="39"/>
        <v/>
      </c>
      <c r="O141" s="20" t="str">
        <f t="shared" si="40"/>
        <v/>
      </c>
      <c r="P141" s="64" t="str">
        <f t="shared" si="41"/>
        <v/>
      </c>
      <c r="Q141" s="85" t="str">
        <f t="shared" ca="1" si="42"/>
        <v/>
      </c>
      <c r="R141" s="86" t="str">
        <f t="shared" si="43"/>
        <v/>
      </c>
      <c r="S141" s="86" t="str">
        <f t="shared" si="44"/>
        <v/>
      </c>
      <c r="T141" s="104" t="str">
        <f t="shared" si="30"/>
        <v/>
      </c>
      <c r="U141" s="19" t="str">
        <f>IF(AND(M141&lt;&gt;"",M141&lt;&gt;0), IF(E141 = "Muni", T141, IF(E141="Corp", T141*(1 -'Investor Input'!$C$4-'Investor Input'!$C$5), T141*(1 -'Investor Input'!$C$4))), T141)</f>
        <v/>
      </c>
      <c r="V141" s="84" t="str">
        <f t="shared" si="31"/>
        <v/>
      </c>
      <c r="W141" s="84" t="str">
        <f t="shared" si="32"/>
        <v/>
      </c>
      <c r="X141" s="46" t="str">
        <f t="shared" si="33"/>
        <v/>
      </c>
      <c r="Y141" s="60" t="str">
        <f t="shared" si="34"/>
        <v/>
      </c>
      <c r="Z141" s="60" t="str">
        <f t="shared" si="35"/>
        <v/>
      </c>
      <c r="AA141" s="64" t="str">
        <f t="shared" si="36"/>
        <v/>
      </c>
      <c r="AB141" s="64" t="str">
        <f>IF(AND(AA141&lt;&gt;"",AA141&lt;&gt;0), IF(E141="Muni", AA141, IF(E141 = "Corp", (1-'Investor Input'!$C$4-'Investor Input'!$C$5)*AA141, (1-'Investor Input'!$C$4)*AA141)), AA141)</f>
        <v/>
      </c>
      <c r="AC141" s="94" t="str">
        <f t="shared" si="37"/>
        <v/>
      </c>
      <c r="AD141" s="60" t="str">
        <f>IF(AND(M141&lt;&gt;"", M141&lt;&gt;0), N141/$N$505*MATCH(AC141,'Misc Lists'!$K$2:$K$25,0), "")</f>
        <v/>
      </c>
      <c r="AE141" s="90" t="str">
        <f t="shared" si="38"/>
        <v/>
      </c>
      <c r="AF141" s="99" t="str">
        <f>IF(AND(M141&lt;&gt;"", M141&lt;&gt;0), N141/$N$505*MATCH(AE141,'Misc Lists'!$L$2:$L$25,0), "")</f>
        <v/>
      </c>
    </row>
    <row r="142" spans="2:32" hidden="1" outlineLevel="1" x14ac:dyDescent="0.5">
      <c r="B142" s="65" t="str">
        <f ca="1"/>
        <v>91282CAD3</v>
      </c>
      <c r="C142" s="66" t="str">
        <f ca="1"/>
        <v>N/A</v>
      </c>
      <c r="D142" s="65" t="str">
        <f ca="1"/>
        <v>UNITED STATES TREAS SER N-2027          0.37500% 07/31/2027 NTS</v>
      </c>
      <c r="E142" s="66" t="str">
        <f ca="1"/>
        <v>Tres</v>
      </c>
      <c r="F142" s="67">
        <f ca="1"/>
        <v>0.375</v>
      </c>
      <c r="G142" s="68">
        <f ca="1"/>
        <v>46599</v>
      </c>
      <c r="H142" s="66" t="str">
        <f ca="1"/>
        <v>AAA</v>
      </c>
      <c r="I142" s="66" t="str">
        <f ca="1"/>
        <v>--</v>
      </c>
      <c r="J142" s="69">
        <f ca="1"/>
        <v>91.051000000000002</v>
      </c>
      <c r="K142" s="70">
        <f ca="1"/>
        <v>4.26</v>
      </c>
      <c r="L142" s="71" t="str">
        <f ca="1"/>
        <v>1,000(200)</v>
      </c>
      <c r="M142" s="83"/>
      <c r="N142" s="84" t="str">
        <f t="shared" si="39"/>
        <v/>
      </c>
      <c r="O142" s="20" t="str">
        <f t="shared" si="40"/>
        <v/>
      </c>
      <c r="P142" s="64" t="str">
        <f t="shared" si="41"/>
        <v/>
      </c>
      <c r="Q142" s="85" t="str">
        <f t="shared" ca="1" si="42"/>
        <v/>
      </c>
      <c r="R142" s="86" t="str">
        <f t="shared" si="43"/>
        <v/>
      </c>
      <c r="S142" s="86" t="str">
        <f t="shared" si="44"/>
        <v/>
      </c>
      <c r="T142" s="104" t="str">
        <f t="shared" si="30"/>
        <v/>
      </c>
      <c r="U142" s="19" t="str">
        <f>IF(AND(M142&lt;&gt;"",M142&lt;&gt;0), IF(E142 = "Muni", T142, IF(E142="Corp", T142*(1 -'Investor Input'!$C$4-'Investor Input'!$C$5), T142*(1 -'Investor Input'!$C$4))), T142)</f>
        <v/>
      </c>
      <c r="V142" s="84" t="str">
        <f t="shared" si="31"/>
        <v/>
      </c>
      <c r="W142" s="84" t="str">
        <f t="shared" si="32"/>
        <v/>
      </c>
      <c r="X142" s="46" t="str">
        <f t="shared" si="33"/>
        <v/>
      </c>
      <c r="Y142" s="60" t="str">
        <f t="shared" si="34"/>
        <v/>
      </c>
      <c r="Z142" s="60" t="str">
        <f t="shared" si="35"/>
        <v/>
      </c>
      <c r="AA142" s="64" t="str">
        <f t="shared" si="36"/>
        <v/>
      </c>
      <c r="AB142" s="64" t="str">
        <f>IF(AND(AA142&lt;&gt;"",AA142&lt;&gt;0), IF(E142="Muni", AA142, IF(E142 = "Corp", (1-'Investor Input'!$C$4-'Investor Input'!$C$5)*AA142, (1-'Investor Input'!$C$4)*AA142)), AA142)</f>
        <v/>
      </c>
      <c r="AC142" s="94" t="str">
        <f t="shared" si="37"/>
        <v/>
      </c>
      <c r="AD142" s="60" t="str">
        <f>IF(AND(M142&lt;&gt;"", M142&lt;&gt;0), N142/$N$505*MATCH(AC142,'Misc Lists'!$K$2:$K$25,0), "")</f>
        <v/>
      </c>
      <c r="AE142" s="90" t="str">
        <f t="shared" si="38"/>
        <v/>
      </c>
      <c r="AF142" s="99" t="str">
        <f>IF(AND(M142&lt;&gt;"", M142&lt;&gt;0), N142/$N$505*MATCH(AE142,'Misc Lists'!$L$2:$L$25,0), "")</f>
        <v/>
      </c>
    </row>
    <row r="143" spans="2:32" hidden="1" outlineLevel="1" x14ac:dyDescent="0.5">
      <c r="B143" s="65" t="str">
        <f ca="1"/>
        <v>91282CFB2</v>
      </c>
      <c r="C143" s="66" t="str">
        <f ca="1"/>
        <v>N/A</v>
      </c>
      <c r="D143" s="65" t="str">
        <f ca="1"/>
        <v>UNITED STATES TREAS SER AB-2027         2.75000% 07/31/2027 NTS NOTE</v>
      </c>
      <c r="E143" s="66" t="str">
        <f ca="1"/>
        <v>Tres</v>
      </c>
      <c r="F143" s="67">
        <f ca="1"/>
        <v>2.75</v>
      </c>
      <c r="G143" s="68">
        <f ca="1"/>
        <v>46599</v>
      </c>
      <c r="H143" s="66" t="str">
        <f ca="1"/>
        <v>AAA</v>
      </c>
      <c r="I143" s="66" t="str">
        <f ca="1"/>
        <v>--</v>
      </c>
      <c r="J143" s="69">
        <f ca="1"/>
        <v>96.52</v>
      </c>
      <c r="K143" s="70">
        <f ca="1"/>
        <v>4.26</v>
      </c>
      <c r="L143" s="71" t="str">
        <f ca="1"/>
        <v>65,000(400)</v>
      </c>
      <c r="M143" s="83"/>
      <c r="N143" s="84" t="str">
        <f t="shared" si="39"/>
        <v/>
      </c>
      <c r="O143" s="20" t="str">
        <f t="shared" si="40"/>
        <v/>
      </c>
      <c r="P143" s="64" t="str">
        <f t="shared" si="41"/>
        <v/>
      </c>
      <c r="Q143" s="85" t="str">
        <f t="shared" ca="1" si="42"/>
        <v/>
      </c>
      <c r="R143" s="86" t="str">
        <f t="shared" si="43"/>
        <v/>
      </c>
      <c r="S143" s="86" t="str">
        <f t="shared" si="44"/>
        <v/>
      </c>
      <c r="T143" s="104" t="str">
        <f t="shared" si="30"/>
        <v/>
      </c>
      <c r="U143" s="19" t="str">
        <f>IF(AND(M143&lt;&gt;"",M143&lt;&gt;0), IF(E143 = "Muni", T143, IF(E143="Corp", T143*(1 -'Investor Input'!$C$4-'Investor Input'!$C$5), T143*(1 -'Investor Input'!$C$4))), T143)</f>
        <v/>
      </c>
      <c r="V143" s="84" t="str">
        <f t="shared" si="31"/>
        <v/>
      </c>
      <c r="W143" s="84" t="str">
        <f t="shared" si="32"/>
        <v/>
      </c>
      <c r="X143" s="46" t="str">
        <f t="shared" si="33"/>
        <v/>
      </c>
      <c r="Y143" s="60" t="str">
        <f t="shared" si="34"/>
        <v/>
      </c>
      <c r="Z143" s="60" t="str">
        <f t="shared" si="35"/>
        <v/>
      </c>
      <c r="AA143" s="64" t="str">
        <f t="shared" si="36"/>
        <v/>
      </c>
      <c r="AB143" s="64" t="str">
        <f>IF(AND(AA143&lt;&gt;"",AA143&lt;&gt;0), IF(E143="Muni", AA143, IF(E143 = "Corp", (1-'Investor Input'!$C$4-'Investor Input'!$C$5)*AA143, (1-'Investor Input'!$C$4)*AA143)), AA143)</f>
        <v/>
      </c>
      <c r="AC143" s="94" t="str">
        <f t="shared" si="37"/>
        <v/>
      </c>
      <c r="AD143" s="60" t="str">
        <f>IF(AND(M143&lt;&gt;"", M143&lt;&gt;0), N143/$N$505*MATCH(AC143,'Misc Lists'!$K$2:$K$25,0), "")</f>
        <v/>
      </c>
      <c r="AE143" s="90" t="str">
        <f t="shared" si="38"/>
        <v/>
      </c>
      <c r="AF143" s="99" t="str">
        <f>IF(AND(M143&lt;&gt;"", M143&lt;&gt;0), N143/$N$505*MATCH(AE143,'Misc Lists'!$L$2:$L$25,0), "")</f>
        <v/>
      </c>
    </row>
    <row r="144" spans="2:32" hidden="1" outlineLevel="1" x14ac:dyDescent="0.5">
      <c r="B144" s="65" t="str">
        <f ca="1"/>
        <v>91282CGR6</v>
      </c>
      <c r="C144" s="66" t="str">
        <f ca="1"/>
        <v>N/A</v>
      </c>
      <c r="D144" s="65" t="str">
        <f ca="1"/>
        <v>UNITED STATES TREAS SER AL-2026         4.62500% 03/15/2026 NTS NOTE</v>
      </c>
      <c r="E144" s="66" t="str">
        <f ca="1"/>
        <v>Tres</v>
      </c>
      <c r="F144" s="67">
        <f ca="1"/>
        <v>4.625</v>
      </c>
      <c r="G144" s="68">
        <f ca="1"/>
        <v>46096</v>
      </c>
      <c r="H144" s="66" t="str">
        <f ca="1"/>
        <v>AAA</v>
      </c>
      <c r="I144" s="66" t="str">
        <f ca="1"/>
        <v>--</v>
      </c>
      <c r="J144" s="69">
        <f ca="1"/>
        <v>100.376</v>
      </c>
      <c r="K144" s="70">
        <f ca="1"/>
        <v>4.2590000000000003</v>
      </c>
      <c r="L144" s="71" t="str">
        <f ca="1"/>
        <v>30,000(400)</v>
      </c>
      <c r="M144" s="83"/>
      <c r="N144" s="84" t="str">
        <f t="shared" si="39"/>
        <v/>
      </c>
      <c r="O144" s="20" t="str">
        <f t="shared" si="40"/>
        <v/>
      </c>
      <c r="P144" s="64" t="str">
        <f t="shared" si="41"/>
        <v/>
      </c>
      <c r="Q144" s="85" t="str">
        <f t="shared" ca="1" si="42"/>
        <v/>
      </c>
      <c r="R144" s="86" t="str">
        <f t="shared" si="43"/>
        <v/>
      </c>
      <c r="S144" s="86" t="str">
        <f t="shared" si="44"/>
        <v/>
      </c>
      <c r="T144" s="104" t="str">
        <f t="shared" si="30"/>
        <v/>
      </c>
      <c r="U144" s="19" t="str">
        <f>IF(AND(M144&lt;&gt;"",M144&lt;&gt;0), IF(E144 = "Muni", T144, IF(E144="Corp", T144*(1 -'Investor Input'!$C$4-'Investor Input'!$C$5), T144*(1 -'Investor Input'!$C$4))), T144)</f>
        <v/>
      </c>
      <c r="V144" s="84" t="str">
        <f t="shared" si="31"/>
        <v/>
      </c>
      <c r="W144" s="84" t="str">
        <f t="shared" si="32"/>
        <v/>
      </c>
      <c r="X144" s="46" t="str">
        <f t="shared" si="33"/>
        <v/>
      </c>
      <c r="Y144" s="60" t="str">
        <f t="shared" si="34"/>
        <v/>
      </c>
      <c r="Z144" s="60" t="str">
        <f t="shared" si="35"/>
        <v/>
      </c>
      <c r="AA144" s="64" t="str">
        <f t="shared" si="36"/>
        <v/>
      </c>
      <c r="AB144" s="64" t="str">
        <f>IF(AND(AA144&lt;&gt;"",AA144&lt;&gt;0), IF(E144="Muni", AA144, IF(E144 = "Corp", (1-'Investor Input'!$C$4-'Investor Input'!$C$5)*AA144, (1-'Investor Input'!$C$4)*AA144)), AA144)</f>
        <v/>
      </c>
      <c r="AC144" s="94" t="str">
        <f t="shared" si="37"/>
        <v/>
      </c>
      <c r="AD144" s="60" t="str">
        <f>IF(AND(M144&lt;&gt;"", M144&lt;&gt;0), N144/$N$505*MATCH(AC144,'Misc Lists'!$K$2:$K$25,0), "")</f>
        <v/>
      </c>
      <c r="AE144" s="90" t="str">
        <f t="shared" si="38"/>
        <v/>
      </c>
      <c r="AF144" s="99" t="str">
        <f>IF(AND(M144&lt;&gt;"", M144&lt;&gt;0), N144/$N$505*MATCH(AE144,'Misc Lists'!$L$2:$L$25,0), "")</f>
        <v/>
      </c>
    </row>
    <row r="145" spans="2:32" hidden="1" outlineLevel="1" x14ac:dyDescent="0.5">
      <c r="B145" s="65" t="str">
        <f ca="1"/>
        <v>91282CKJ9</v>
      </c>
      <c r="C145" s="66" t="str">
        <f ca="1"/>
        <v>N/A</v>
      </c>
      <c r="D145" s="65" t="str">
        <f ca="1"/>
        <v>UNITED STATES TREAS SER AM-2027         4.50000% 04/15/2027 NTS NOTE</v>
      </c>
      <c r="E145" s="66" t="str">
        <f ca="1"/>
        <v>Tres</v>
      </c>
      <c r="F145" s="67">
        <f ca="1"/>
        <v>4.5</v>
      </c>
      <c r="G145" s="68">
        <f ca="1"/>
        <v>46492</v>
      </c>
      <c r="H145" s="66" t="str">
        <f ca="1"/>
        <v>AAA</v>
      </c>
      <c r="I145" s="66" t="str">
        <f ca="1"/>
        <v>--</v>
      </c>
      <c r="J145" s="69">
        <f ca="1"/>
        <v>100.485</v>
      </c>
      <c r="K145" s="70">
        <f ca="1"/>
        <v>4.2590000000000003</v>
      </c>
      <c r="L145" s="71" t="str">
        <f ca="1"/>
        <v>1,000(200)</v>
      </c>
      <c r="M145" s="83"/>
      <c r="N145" s="84" t="str">
        <f t="shared" si="39"/>
        <v/>
      </c>
      <c r="O145" s="20" t="str">
        <f t="shared" si="40"/>
        <v/>
      </c>
      <c r="P145" s="64" t="str">
        <f t="shared" si="41"/>
        <v/>
      </c>
      <c r="Q145" s="85" t="str">
        <f t="shared" ca="1" si="42"/>
        <v/>
      </c>
      <c r="R145" s="86" t="str">
        <f t="shared" si="43"/>
        <v/>
      </c>
      <c r="S145" s="86" t="str">
        <f t="shared" si="44"/>
        <v/>
      </c>
      <c r="T145" s="104" t="str">
        <f t="shared" si="30"/>
        <v/>
      </c>
      <c r="U145" s="19" t="str">
        <f>IF(AND(M145&lt;&gt;"",M145&lt;&gt;0), IF(E145 = "Muni", T145, IF(E145="Corp", T145*(1 -'Investor Input'!$C$4-'Investor Input'!$C$5), T145*(1 -'Investor Input'!$C$4))), T145)</f>
        <v/>
      </c>
      <c r="V145" s="84" t="str">
        <f t="shared" si="31"/>
        <v/>
      </c>
      <c r="W145" s="84" t="str">
        <f t="shared" si="32"/>
        <v/>
      </c>
      <c r="X145" s="46" t="str">
        <f t="shared" si="33"/>
        <v/>
      </c>
      <c r="Y145" s="60" t="str">
        <f t="shared" si="34"/>
        <v/>
      </c>
      <c r="Z145" s="60" t="str">
        <f t="shared" si="35"/>
        <v/>
      </c>
      <c r="AA145" s="64" t="str">
        <f t="shared" si="36"/>
        <v/>
      </c>
      <c r="AB145" s="64" t="str">
        <f>IF(AND(AA145&lt;&gt;"",AA145&lt;&gt;0), IF(E145="Muni", AA145, IF(E145 = "Corp", (1-'Investor Input'!$C$4-'Investor Input'!$C$5)*AA145, (1-'Investor Input'!$C$4)*AA145)), AA145)</f>
        <v/>
      </c>
      <c r="AC145" s="94" t="str">
        <f t="shared" si="37"/>
        <v/>
      </c>
      <c r="AD145" s="60" t="str">
        <f>IF(AND(M145&lt;&gt;"", M145&lt;&gt;0), N145/$N$505*MATCH(AC145,'Misc Lists'!$K$2:$K$25,0), "")</f>
        <v/>
      </c>
      <c r="AE145" s="90" t="str">
        <f t="shared" si="38"/>
        <v/>
      </c>
      <c r="AF145" s="99" t="str">
        <f>IF(AND(M145&lt;&gt;"", M145&lt;&gt;0), N145/$N$505*MATCH(AE145,'Misc Lists'!$L$2:$L$25,0), "")</f>
        <v/>
      </c>
    </row>
    <row r="146" spans="2:32" hidden="1" outlineLevel="1" x14ac:dyDescent="0.5">
      <c r="B146" s="65" t="str">
        <f ca="1"/>
        <v>91282CGC9</v>
      </c>
      <c r="C146" s="66" t="str">
        <f ca="1"/>
        <v>N/A</v>
      </c>
      <c r="D146" s="65" t="str">
        <f ca="1"/>
        <v>UNITED STATES TREAS SER AH-2027         3.87500% 12/31/2027 NTS NOTE</v>
      </c>
      <c r="E146" s="66" t="str">
        <f ca="1"/>
        <v>Tres</v>
      </c>
      <c r="F146" s="67">
        <f ca="1"/>
        <v>3.875</v>
      </c>
      <c r="G146" s="68">
        <f ca="1"/>
        <v>46752</v>
      </c>
      <c r="H146" s="66" t="str">
        <f ca="1"/>
        <v>AAA</v>
      </c>
      <c r="I146" s="66" t="str">
        <f ca="1"/>
        <v>--</v>
      </c>
      <c r="J146" s="69">
        <f ca="1"/>
        <v>98.968999999999994</v>
      </c>
      <c r="K146" s="70">
        <f ca="1"/>
        <v>4.2590000000000003</v>
      </c>
      <c r="L146" s="71" t="str">
        <f ca="1"/>
        <v>65,000(400)</v>
      </c>
      <c r="M146" s="83"/>
      <c r="N146" s="84" t="str">
        <f t="shared" si="39"/>
        <v/>
      </c>
      <c r="O146" s="20" t="str">
        <f t="shared" si="40"/>
        <v/>
      </c>
      <c r="P146" s="64" t="str">
        <f t="shared" si="41"/>
        <v/>
      </c>
      <c r="Q146" s="85" t="str">
        <f t="shared" ca="1" si="42"/>
        <v/>
      </c>
      <c r="R146" s="86" t="str">
        <f t="shared" si="43"/>
        <v/>
      </c>
      <c r="S146" s="86" t="str">
        <f t="shared" si="44"/>
        <v/>
      </c>
      <c r="T146" s="104" t="str">
        <f t="shared" si="30"/>
        <v/>
      </c>
      <c r="U146" s="19" t="str">
        <f>IF(AND(M146&lt;&gt;"",M146&lt;&gt;0), IF(E146 = "Muni", T146, IF(E146="Corp", T146*(1 -'Investor Input'!$C$4-'Investor Input'!$C$5), T146*(1 -'Investor Input'!$C$4))), T146)</f>
        <v/>
      </c>
      <c r="V146" s="84" t="str">
        <f t="shared" si="31"/>
        <v/>
      </c>
      <c r="W146" s="84" t="str">
        <f t="shared" si="32"/>
        <v/>
      </c>
      <c r="X146" s="46" t="str">
        <f t="shared" si="33"/>
        <v/>
      </c>
      <c r="Y146" s="60" t="str">
        <f t="shared" si="34"/>
        <v/>
      </c>
      <c r="Z146" s="60" t="str">
        <f t="shared" si="35"/>
        <v/>
      </c>
      <c r="AA146" s="64" t="str">
        <f t="shared" si="36"/>
        <v/>
      </c>
      <c r="AB146" s="64" t="str">
        <f>IF(AND(AA146&lt;&gt;"",AA146&lt;&gt;0), IF(E146="Muni", AA146, IF(E146 = "Corp", (1-'Investor Input'!$C$4-'Investor Input'!$C$5)*AA146, (1-'Investor Input'!$C$4)*AA146)), AA146)</f>
        <v/>
      </c>
      <c r="AC146" s="94" t="str">
        <f t="shared" si="37"/>
        <v/>
      </c>
      <c r="AD146" s="60" t="str">
        <f>IF(AND(M146&lt;&gt;"", M146&lt;&gt;0), N146/$N$505*MATCH(AC146,'Misc Lists'!$K$2:$K$25,0), "")</f>
        <v/>
      </c>
      <c r="AE146" s="90" t="str">
        <f t="shared" si="38"/>
        <v/>
      </c>
      <c r="AF146" s="99" t="str">
        <f>IF(AND(M146&lt;&gt;"", M146&lt;&gt;0), N146/$N$505*MATCH(AE146,'Misc Lists'!$L$2:$L$25,0), "")</f>
        <v/>
      </c>
    </row>
    <row r="147" spans="2:32" hidden="1" outlineLevel="1" x14ac:dyDescent="0.5">
      <c r="B147" s="65" t="str">
        <f ca="1"/>
        <v>912828R36</v>
      </c>
      <c r="C147" s="66" t="str">
        <f ca="1"/>
        <v>N/A</v>
      </c>
      <c r="D147" s="65" t="str">
        <f ca="1"/>
        <v>UNITED STATES TREAS SER C-2026          1.62500% 05/15/2026 NTS NOTE</v>
      </c>
      <c r="E147" s="66" t="str">
        <f ca="1"/>
        <v>Tres</v>
      </c>
      <c r="F147" s="67">
        <f ca="1"/>
        <v>1.625</v>
      </c>
      <c r="G147" s="68">
        <f ca="1"/>
        <v>46157</v>
      </c>
      <c r="H147" s="66" t="str">
        <f ca="1"/>
        <v>AAA</v>
      </c>
      <c r="I147" s="66" t="str">
        <f ca="1"/>
        <v>--</v>
      </c>
      <c r="J147" s="69">
        <f ca="1"/>
        <v>96.855999999999995</v>
      </c>
      <c r="K147" s="70">
        <f ca="1"/>
        <v>4.258</v>
      </c>
      <c r="L147" s="71" t="str">
        <f ca="1"/>
        <v>30,000(400)</v>
      </c>
      <c r="M147" s="83"/>
      <c r="N147" s="84" t="str">
        <f t="shared" si="39"/>
        <v/>
      </c>
      <c r="O147" s="20" t="str">
        <f t="shared" si="40"/>
        <v/>
      </c>
      <c r="P147" s="64" t="str">
        <f t="shared" si="41"/>
        <v/>
      </c>
      <c r="Q147" s="85" t="str">
        <f t="shared" ca="1" si="42"/>
        <v/>
      </c>
      <c r="R147" s="86" t="str">
        <f t="shared" si="43"/>
        <v/>
      </c>
      <c r="S147" s="86" t="str">
        <f t="shared" si="44"/>
        <v/>
      </c>
      <c r="T147" s="104" t="str">
        <f t="shared" si="30"/>
        <v/>
      </c>
      <c r="U147" s="19" t="str">
        <f>IF(AND(M147&lt;&gt;"",M147&lt;&gt;0), IF(E147 = "Muni", T147, IF(E147="Corp", T147*(1 -'Investor Input'!$C$4-'Investor Input'!$C$5), T147*(1 -'Investor Input'!$C$4))), T147)</f>
        <v/>
      </c>
      <c r="V147" s="84" t="str">
        <f t="shared" si="31"/>
        <v/>
      </c>
      <c r="W147" s="84" t="str">
        <f t="shared" si="32"/>
        <v/>
      </c>
      <c r="X147" s="46" t="str">
        <f t="shared" si="33"/>
        <v/>
      </c>
      <c r="Y147" s="60" t="str">
        <f t="shared" si="34"/>
        <v/>
      </c>
      <c r="Z147" s="60" t="str">
        <f t="shared" si="35"/>
        <v/>
      </c>
      <c r="AA147" s="64" t="str">
        <f t="shared" si="36"/>
        <v/>
      </c>
      <c r="AB147" s="64" t="str">
        <f>IF(AND(AA147&lt;&gt;"",AA147&lt;&gt;0), IF(E147="Muni", AA147, IF(E147 = "Corp", (1-'Investor Input'!$C$4-'Investor Input'!$C$5)*AA147, (1-'Investor Input'!$C$4)*AA147)), AA147)</f>
        <v/>
      </c>
      <c r="AC147" s="94" t="str">
        <f t="shared" si="37"/>
        <v/>
      </c>
      <c r="AD147" s="60" t="str">
        <f>IF(AND(M147&lt;&gt;"", M147&lt;&gt;0), N147/$N$505*MATCH(AC147,'Misc Lists'!$K$2:$K$25,0), "")</f>
        <v/>
      </c>
      <c r="AE147" s="90" t="str">
        <f t="shared" si="38"/>
        <v/>
      </c>
      <c r="AF147" s="99" t="str">
        <f>IF(AND(M147&lt;&gt;"", M147&lt;&gt;0), N147/$N$505*MATCH(AE147,'Misc Lists'!$L$2:$L$25,0), "")</f>
        <v/>
      </c>
    </row>
    <row r="148" spans="2:32" hidden="1" outlineLevel="1" x14ac:dyDescent="0.5">
      <c r="B148" s="65" t="str">
        <f ca="1"/>
        <v>91282CKY6</v>
      </c>
      <c r="C148" s="66" t="str">
        <f ca="1"/>
        <v>N/A</v>
      </c>
      <c r="D148" s="65" t="str">
        <f ca="1"/>
        <v>UNITED STATES TREAS SER BD-2026         4.62500% 06/30/2026 NTS NOTE</v>
      </c>
      <c r="E148" s="66" t="str">
        <f ca="1"/>
        <v>Tres</v>
      </c>
      <c r="F148" s="67">
        <f ca="1"/>
        <v>4.625</v>
      </c>
      <c r="G148" s="68">
        <f ca="1"/>
        <v>46203</v>
      </c>
      <c r="H148" s="66" t="str">
        <f ca="1"/>
        <v>--</v>
      </c>
      <c r="I148" s="66" t="str">
        <f ca="1"/>
        <v>--</v>
      </c>
      <c r="J148" s="69">
        <f ca="1"/>
        <v>100.477</v>
      </c>
      <c r="K148" s="70">
        <f ca="1"/>
        <v>4.258</v>
      </c>
      <c r="L148" s="71" t="str">
        <f ca="1"/>
        <v>80,000(400)</v>
      </c>
      <c r="M148" s="83"/>
      <c r="N148" s="84" t="str">
        <f t="shared" si="39"/>
        <v/>
      </c>
      <c r="O148" s="20" t="str">
        <f t="shared" si="40"/>
        <v/>
      </c>
      <c r="P148" s="64" t="str">
        <f t="shared" si="41"/>
        <v/>
      </c>
      <c r="Q148" s="85" t="str">
        <f t="shared" ca="1" si="42"/>
        <v/>
      </c>
      <c r="R148" s="86" t="str">
        <f t="shared" si="43"/>
        <v/>
      </c>
      <c r="S148" s="86" t="str">
        <f t="shared" si="44"/>
        <v/>
      </c>
      <c r="T148" s="104" t="str">
        <f t="shared" si="30"/>
        <v/>
      </c>
      <c r="U148" s="19" t="str">
        <f>IF(AND(M148&lt;&gt;"",M148&lt;&gt;0), IF(E148 = "Muni", T148, IF(E148="Corp", T148*(1 -'Investor Input'!$C$4-'Investor Input'!$C$5), T148*(1 -'Investor Input'!$C$4))), T148)</f>
        <v/>
      </c>
      <c r="V148" s="84" t="str">
        <f t="shared" si="31"/>
        <v/>
      </c>
      <c r="W148" s="84" t="str">
        <f t="shared" si="32"/>
        <v/>
      </c>
      <c r="X148" s="46" t="str">
        <f t="shared" si="33"/>
        <v/>
      </c>
      <c r="Y148" s="60" t="str">
        <f t="shared" si="34"/>
        <v/>
      </c>
      <c r="Z148" s="60" t="str">
        <f t="shared" si="35"/>
        <v/>
      </c>
      <c r="AA148" s="64" t="str">
        <f t="shared" si="36"/>
        <v/>
      </c>
      <c r="AB148" s="64" t="str">
        <f>IF(AND(AA148&lt;&gt;"",AA148&lt;&gt;0), IF(E148="Muni", AA148, IF(E148 = "Corp", (1-'Investor Input'!$C$4-'Investor Input'!$C$5)*AA148, (1-'Investor Input'!$C$4)*AA148)), AA148)</f>
        <v/>
      </c>
      <c r="AC148" s="94" t="str">
        <f t="shared" si="37"/>
        <v/>
      </c>
      <c r="AD148" s="60" t="str">
        <f>IF(AND(M148&lt;&gt;"", M148&lt;&gt;0), N148/$N$505*MATCH(AC148,'Misc Lists'!$K$2:$K$25,0), "")</f>
        <v/>
      </c>
      <c r="AE148" s="90" t="str">
        <f t="shared" si="38"/>
        <v/>
      </c>
      <c r="AF148" s="99" t="str">
        <f>IF(AND(M148&lt;&gt;"", M148&lt;&gt;0), N148/$N$505*MATCH(AE148,'Misc Lists'!$L$2:$L$25,0), "")</f>
        <v/>
      </c>
    </row>
    <row r="149" spans="2:32" hidden="1" outlineLevel="1" x14ac:dyDescent="0.5">
      <c r="B149" s="65" t="str">
        <f ca="1"/>
        <v>91282CCP4</v>
      </c>
      <c r="C149" s="66" t="str">
        <f ca="1"/>
        <v>N/A</v>
      </c>
      <c r="D149" s="65" t="str">
        <f ca="1"/>
        <v>UNITED STATES TREAS SER AB-2026         0.62500% 07/31/2026 NTS NOTE</v>
      </c>
      <c r="E149" s="66" t="str">
        <f ca="1"/>
        <v>Tres</v>
      </c>
      <c r="F149" s="67">
        <f ca="1"/>
        <v>0.625</v>
      </c>
      <c r="G149" s="68">
        <f ca="1"/>
        <v>46234</v>
      </c>
      <c r="H149" s="66" t="str">
        <f ca="1"/>
        <v>AAA</v>
      </c>
      <c r="I149" s="66" t="str">
        <f ca="1"/>
        <v>--</v>
      </c>
      <c r="J149" s="69">
        <f ca="1"/>
        <v>94.941999999999993</v>
      </c>
      <c r="K149" s="70">
        <f ca="1"/>
        <v>4.258</v>
      </c>
      <c r="L149" s="71" t="str">
        <f ca="1"/>
        <v>70,000(400)</v>
      </c>
      <c r="M149" s="83"/>
      <c r="N149" s="84" t="str">
        <f t="shared" si="39"/>
        <v/>
      </c>
      <c r="O149" s="20" t="str">
        <f t="shared" si="40"/>
        <v/>
      </c>
      <c r="P149" s="64" t="str">
        <f t="shared" si="41"/>
        <v/>
      </c>
      <c r="Q149" s="85" t="str">
        <f t="shared" ca="1" si="42"/>
        <v/>
      </c>
      <c r="R149" s="86" t="str">
        <f t="shared" si="43"/>
        <v/>
      </c>
      <c r="S149" s="86" t="str">
        <f t="shared" si="44"/>
        <v/>
      </c>
      <c r="T149" s="104" t="str">
        <f t="shared" si="30"/>
        <v/>
      </c>
      <c r="U149" s="19" t="str">
        <f>IF(AND(M149&lt;&gt;"",M149&lt;&gt;0), IF(E149 = "Muni", T149, IF(E149="Corp", T149*(1 -'Investor Input'!$C$4-'Investor Input'!$C$5), T149*(1 -'Investor Input'!$C$4))), T149)</f>
        <v/>
      </c>
      <c r="V149" s="84" t="str">
        <f t="shared" si="31"/>
        <v/>
      </c>
      <c r="W149" s="84" t="str">
        <f t="shared" si="32"/>
        <v/>
      </c>
      <c r="X149" s="46" t="str">
        <f t="shared" si="33"/>
        <v/>
      </c>
      <c r="Y149" s="60" t="str">
        <f t="shared" si="34"/>
        <v/>
      </c>
      <c r="Z149" s="60" t="str">
        <f t="shared" si="35"/>
        <v/>
      </c>
      <c r="AA149" s="64" t="str">
        <f t="shared" si="36"/>
        <v/>
      </c>
      <c r="AB149" s="64" t="str">
        <f>IF(AND(AA149&lt;&gt;"",AA149&lt;&gt;0), IF(E149="Muni", AA149, IF(E149 = "Corp", (1-'Investor Input'!$C$4-'Investor Input'!$C$5)*AA149, (1-'Investor Input'!$C$4)*AA149)), AA149)</f>
        <v/>
      </c>
      <c r="AC149" s="94" t="str">
        <f t="shared" si="37"/>
        <v/>
      </c>
      <c r="AD149" s="60" t="str">
        <f>IF(AND(M149&lt;&gt;"", M149&lt;&gt;0), N149/$N$505*MATCH(AC149,'Misc Lists'!$K$2:$K$25,0), "")</f>
        <v/>
      </c>
      <c r="AE149" s="90" t="str">
        <f t="shared" si="38"/>
        <v/>
      </c>
      <c r="AF149" s="99" t="str">
        <f>IF(AND(M149&lt;&gt;"", M149&lt;&gt;0), N149/$N$505*MATCH(AE149,'Misc Lists'!$L$2:$L$25,0), "")</f>
        <v/>
      </c>
    </row>
    <row r="150" spans="2:32" hidden="1" outlineLevel="1" x14ac:dyDescent="0.5">
      <c r="B150" s="65" t="str">
        <f ca="1"/>
        <v>91282CJC6</v>
      </c>
      <c r="C150" s="66" t="str">
        <f ca="1"/>
        <v>N/A</v>
      </c>
      <c r="D150" s="65" t="str">
        <f ca="1"/>
        <v>UNITED STATES TREAS SER AT-2026         4.62500% 10/15/2026 NTS NOTE</v>
      </c>
      <c r="E150" s="66" t="str">
        <f ca="1"/>
        <v>Tres</v>
      </c>
      <c r="F150" s="67">
        <f ca="1"/>
        <v>4.625</v>
      </c>
      <c r="G150" s="68">
        <f ca="1"/>
        <v>46310</v>
      </c>
      <c r="H150" s="66" t="str">
        <f ca="1"/>
        <v>AAA</v>
      </c>
      <c r="I150" s="66" t="str">
        <f ca="1"/>
        <v>--</v>
      </c>
      <c r="J150" s="69">
        <f ca="1"/>
        <v>100.575</v>
      </c>
      <c r="K150" s="70">
        <f ca="1"/>
        <v>4.258</v>
      </c>
      <c r="L150" s="71" t="str">
        <f ca="1"/>
        <v>70,000(400)</v>
      </c>
      <c r="M150" s="83"/>
      <c r="N150" s="84" t="str">
        <f t="shared" si="39"/>
        <v/>
      </c>
      <c r="O150" s="20" t="str">
        <f t="shared" si="40"/>
        <v/>
      </c>
      <c r="P150" s="64" t="str">
        <f t="shared" si="41"/>
        <v/>
      </c>
      <c r="Q150" s="85" t="str">
        <f t="shared" ca="1" si="42"/>
        <v/>
      </c>
      <c r="R150" s="86" t="str">
        <f t="shared" si="43"/>
        <v/>
      </c>
      <c r="S150" s="86" t="str">
        <f t="shared" si="44"/>
        <v/>
      </c>
      <c r="T150" s="104" t="str">
        <f t="shared" si="30"/>
        <v/>
      </c>
      <c r="U150" s="19" t="str">
        <f>IF(AND(M150&lt;&gt;"",M150&lt;&gt;0), IF(E150 = "Muni", T150, IF(E150="Corp", T150*(1 -'Investor Input'!$C$4-'Investor Input'!$C$5), T150*(1 -'Investor Input'!$C$4))), T150)</f>
        <v/>
      </c>
      <c r="V150" s="84" t="str">
        <f t="shared" si="31"/>
        <v/>
      </c>
      <c r="W150" s="84" t="str">
        <f t="shared" si="32"/>
        <v/>
      </c>
      <c r="X150" s="46" t="str">
        <f t="shared" si="33"/>
        <v/>
      </c>
      <c r="Y150" s="60" t="str">
        <f t="shared" si="34"/>
        <v/>
      </c>
      <c r="Z150" s="60" t="str">
        <f t="shared" si="35"/>
        <v/>
      </c>
      <c r="AA150" s="64" t="str">
        <f t="shared" si="36"/>
        <v/>
      </c>
      <c r="AB150" s="64" t="str">
        <f>IF(AND(AA150&lt;&gt;"",AA150&lt;&gt;0), IF(E150="Muni", AA150, IF(E150 = "Corp", (1-'Investor Input'!$C$4-'Investor Input'!$C$5)*AA150, (1-'Investor Input'!$C$4)*AA150)), AA150)</f>
        <v/>
      </c>
      <c r="AC150" s="94" t="str">
        <f t="shared" si="37"/>
        <v/>
      </c>
      <c r="AD150" s="60" t="str">
        <f>IF(AND(M150&lt;&gt;"", M150&lt;&gt;0), N150/$N$505*MATCH(AC150,'Misc Lists'!$K$2:$K$25,0), "")</f>
        <v/>
      </c>
      <c r="AE150" s="90" t="str">
        <f t="shared" si="38"/>
        <v/>
      </c>
      <c r="AF150" s="99" t="str">
        <f>IF(AND(M150&lt;&gt;"", M150&lt;&gt;0), N150/$N$505*MATCH(AE150,'Misc Lists'!$L$2:$L$25,0), "")</f>
        <v/>
      </c>
    </row>
    <row r="151" spans="2:32" hidden="1" outlineLevel="1" x14ac:dyDescent="0.5">
      <c r="B151" s="65" t="str">
        <f ca="1"/>
        <v>91282CLG4</v>
      </c>
      <c r="C151" s="66" t="str">
        <f ca="1"/>
        <v>N/A</v>
      </c>
      <c r="D151" s="65" t="str">
        <f ca="1"/>
        <v>UNITED STATES TREAS SER AR-2027         3.75000% 08/15/2027 NTS NOTE</v>
      </c>
      <c r="E151" s="66" t="str">
        <f ca="1"/>
        <v>Tres</v>
      </c>
      <c r="F151" s="67">
        <f ca="1"/>
        <v>3.75</v>
      </c>
      <c r="G151" s="68">
        <f ca="1"/>
        <v>46614</v>
      </c>
      <c r="H151" s="66" t="str">
        <f ca="1"/>
        <v>AAA</v>
      </c>
      <c r="I151" s="66" t="str">
        <f ca="1"/>
        <v>--</v>
      </c>
      <c r="J151" s="69">
        <f ca="1"/>
        <v>98.808999999999997</v>
      </c>
      <c r="K151" s="70">
        <f ca="1"/>
        <v>4.258</v>
      </c>
      <c r="L151" s="71" t="str">
        <f ca="1"/>
        <v>1,000(200)</v>
      </c>
      <c r="M151" s="83"/>
      <c r="N151" s="84" t="str">
        <f t="shared" si="39"/>
        <v/>
      </c>
      <c r="O151" s="20" t="str">
        <f t="shared" si="40"/>
        <v/>
      </c>
      <c r="P151" s="64" t="str">
        <f t="shared" si="41"/>
        <v/>
      </c>
      <c r="Q151" s="85" t="str">
        <f t="shared" ca="1" si="42"/>
        <v/>
      </c>
      <c r="R151" s="86" t="str">
        <f t="shared" si="43"/>
        <v/>
      </c>
      <c r="S151" s="86" t="str">
        <f t="shared" si="44"/>
        <v/>
      </c>
      <c r="T151" s="104" t="str">
        <f t="shared" si="30"/>
        <v/>
      </c>
      <c r="U151" s="19" t="str">
        <f>IF(AND(M151&lt;&gt;"",M151&lt;&gt;0), IF(E151 = "Muni", T151, IF(E151="Corp", T151*(1 -'Investor Input'!$C$4-'Investor Input'!$C$5), T151*(1 -'Investor Input'!$C$4))), T151)</f>
        <v/>
      </c>
      <c r="V151" s="84" t="str">
        <f t="shared" si="31"/>
        <v/>
      </c>
      <c r="W151" s="84" t="str">
        <f t="shared" si="32"/>
        <v/>
      </c>
      <c r="X151" s="46" t="str">
        <f t="shared" si="33"/>
        <v/>
      </c>
      <c r="Y151" s="60" t="str">
        <f t="shared" si="34"/>
        <v/>
      </c>
      <c r="Z151" s="60" t="str">
        <f t="shared" si="35"/>
        <v/>
      </c>
      <c r="AA151" s="64" t="str">
        <f t="shared" si="36"/>
        <v/>
      </c>
      <c r="AB151" s="64" t="str">
        <f>IF(AND(AA151&lt;&gt;"",AA151&lt;&gt;0), IF(E151="Muni", AA151, IF(E151 = "Corp", (1-'Investor Input'!$C$4-'Investor Input'!$C$5)*AA151, (1-'Investor Input'!$C$4)*AA151)), AA151)</f>
        <v/>
      </c>
      <c r="AC151" s="94" t="str">
        <f t="shared" si="37"/>
        <v/>
      </c>
      <c r="AD151" s="60" t="str">
        <f>IF(AND(M151&lt;&gt;"", M151&lt;&gt;0), N151/$N$505*MATCH(AC151,'Misc Lists'!$K$2:$K$25,0), "")</f>
        <v/>
      </c>
      <c r="AE151" s="90" t="str">
        <f t="shared" si="38"/>
        <v/>
      </c>
      <c r="AF151" s="99" t="str">
        <f>IF(AND(M151&lt;&gt;"", M151&lt;&gt;0), N151/$N$505*MATCH(AE151,'Misc Lists'!$L$2:$L$25,0), "")</f>
        <v/>
      </c>
    </row>
    <row r="152" spans="2:32" hidden="1" outlineLevel="1" x14ac:dyDescent="0.5">
      <c r="B152" s="65" t="str">
        <f ca="1"/>
        <v>9128286S4</v>
      </c>
      <c r="C152" s="66" t="str">
        <f ca="1"/>
        <v>N/A</v>
      </c>
      <c r="D152" s="65" t="str">
        <f ca="1"/>
        <v>UNITED STATES TREAS SER K-2026          2.37500% 04/30/2026 NTS NOTE</v>
      </c>
      <c r="E152" s="66" t="str">
        <f ca="1"/>
        <v>Tres</v>
      </c>
      <c r="F152" s="67">
        <f ca="1"/>
        <v>2.375</v>
      </c>
      <c r="G152" s="68">
        <f ca="1"/>
        <v>46142</v>
      </c>
      <c r="H152" s="66" t="str">
        <f ca="1"/>
        <v>AAA</v>
      </c>
      <c r="I152" s="66" t="str">
        <f ca="1"/>
        <v>--</v>
      </c>
      <c r="J152" s="69">
        <f ca="1"/>
        <v>97.825000000000003</v>
      </c>
      <c r="K152" s="70">
        <f ca="1"/>
        <v>4.2569999999999997</v>
      </c>
      <c r="L152" s="71" t="str">
        <f ca="1"/>
        <v>30,000(400)</v>
      </c>
      <c r="M152" s="83"/>
      <c r="N152" s="84" t="str">
        <f t="shared" si="39"/>
        <v/>
      </c>
      <c r="O152" s="20" t="str">
        <f t="shared" si="40"/>
        <v/>
      </c>
      <c r="P152" s="64" t="str">
        <f t="shared" si="41"/>
        <v/>
      </c>
      <c r="Q152" s="85" t="str">
        <f t="shared" ca="1" si="42"/>
        <v/>
      </c>
      <c r="R152" s="86" t="str">
        <f t="shared" si="43"/>
        <v/>
      </c>
      <c r="S152" s="86" t="str">
        <f t="shared" si="44"/>
        <v/>
      </c>
      <c r="T152" s="104" t="str">
        <f t="shared" si="30"/>
        <v/>
      </c>
      <c r="U152" s="19" t="str">
        <f>IF(AND(M152&lt;&gt;"",M152&lt;&gt;0), IF(E152 = "Muni", T152, IF(E152="Corp", T152*(1 -'Investor Input'!$C$4-'Investor Input'!$C$5), T152*(1 -'Investor Input'!$C$4))), T152)</f>
        <v/>
      </c>
      <c r="V152" s="84" t="str">
        <f t="shared" si="31"/>
        <v/>
      </c>
      <c r="W152" s="84" t="str">
        <f t="shared" si="32"/>
        <v/>
      </c>
      <c r="X152" s="46" t="str">
        <f t="shared" si="33"/>
        <v/>
      </c>
      <c r="Y152" s="60" t="str">
        <f t="shared" si="34"/>
        <v/>
      </c>
      <c r="Z152" s="60" t="str">
        <f t="shared" si="35"/>
        <v/>
      </c>
      <c r="AA152" s="64" t="str">
        <f t="shared" si="36"/>
        <v/>
      </c>
      <c r="AB152" s="64" t="str">
        <f>IF(AND(AA152&lt;&gt;"",AA152&lt;&gt;0), IF(E152="Muni", AA152, IF(E152 = "Corp", (1-'Investor Input'!$C$4-'Investor Input'!$C$5)*AA152, (1-'Investor Input'!$C$4)*AA152)), AA152)</f>
        <v/>
      </c>
      <c r="AC152" s="94" t="str">
        <f t="shared" si="37"/>
        <v/>
      </c>
      <c r="AD152" s="60" t="str">
        <f>IF(AND(M152&lt;&gt;"", M152&lt;&gt;0), N152/$N$505*MATCH(AC152,'Misc Lists'!$K$2:$K$25,0), "")</f>
        <v/>
      </c>
      <c r="AE152" s="90" t="str">
        <f t="shared" si="38"/>
        <v/>
      </c>
      <c r="AF152" s="99" t="str">
        <f>IF(AND(M152&lt;&gt;"", M152&lt;&gt;0), N152/$N$505*MATCH(AE152,'Misc Lists'!$L$2:$L$25,0), "")</f>
        <v/>
      </c>
    </row>
    <row r="153" spans="2:32" hidden="1" outlineLevel="1" x14ac:dyDescent="0.5">
      <c r="B153" s="65" t="str">
        <f ca="1"/>
        <v>91282CEC1</v>
      </c>
      <c r="C153" s="66" t="str">
        <f ca="1"/>
        <v>N/A</v>
      </c>
      <c r="D153" s="65" t="str">
        <f ca="1"/>
        <v>UNITED STATES TREAS SER V-2027          1.87500% 02/28/2027 NTS NOTE</v>
      </c>
      <c r="E153" s="66" t="str">
        <f ca="1"/>
        <v>Tres</v>
      </c>
      <c r="F153" s="67">
        <f ca="1"/>
        <v>1.875</v>
      </c>
      <c r="G153" s="68">
        <f ca="1"/>
        <v>46446</v>
      </c>
      <c r="H153" s="66" t="str">
        <f ca="1"/>
        <v>AAA</v>
      </c>
      <c r="I153" s="66" t="str">
        <f ca="1"/>
        <v>--</v>
      </c>
      <c r="J153" s="69">
        <f ca="1"/>
        <v>95.418000000000006</v>
      </c>
      <c r="K153" s="70">
        <f ca="1"/>
        <v>4.2569999999999997</v>
      </c>
      <c r="L153" s="71" t="str">
        <f ca="1"/>
        <v>1,000(200)</v>
      </c>
      <c r="M153" s="83"/>
      <c r="N153" s="84" t="str">
        <f t="shared" si="39"/>
        <v/>
      </c>
      <c r="O153" s="20" t="str">
        <f t="shared" si="40"/>
        <v/>
      </c>
      <c r="P153" s="64" t="str">
        <f t="shared" si="41"/>
        <v/>
      </c>
      <c r="Q153" s="85" t="str">
        <f t="shared" ca="1" si="42"/>
        <v/>
      </c>
      <c r="R153" s="86" t="str">
        <f t="shared" si="43"/>
        <v/>
      </c>
      <c r="S153" s="86" t="str">
        <f t="shared" si="44"/>
        <v/>
      </c>
      <c r="T153" s="104" t="str">
        <f t="shared" si="30"/>
        <v/>
      </c>
      <c r="U153" s="19" t="str">
        <f>IF(AND(M153&lt;&gt;"",M153&lt;&gt;0), IF(E153 = "Muni", T153, IF(E153="Corp", T153*(1 -'Investor Input'!$C$4-'Investor Input'!$C$5), T153*(1 -'Investor Input'!$C$4))), T153)</f>
        <v/>
      </c>
      <c r="V153" s="84" t="str">
        <f t="shared" si="31"/>
        <v/>
      </c>
      <c r="W153" s="84" t="str">
        <f t="shared" si="32"/>
        <v/>
      </c>
      <c r="X153" s="46" t="str">
        <f t="shared" si="33"/>
        <v/>
      </c>
      <c r="Y153" s="60" t="str">
        <f t="shared" si="34"/>
        <v/>
      </c>
      <c r="Z153" s="60" t="str">
        <f t="shared" si="35"/>
        <v/>
      </c>
      <c r="AA153" s="64" t="str">
        <f t="shared" si="36"/>
        <v/>
      </c>
      <c r="AB153" s="64" t="str">
        <f>IF(AND(AA153&lt;&gt;"",AA153&lt;&gt;0), IF(E153="Muni", AA153, IF(E153 = "Corp", (1-'Investor Input'!$C$4-'Investor Input'!$C$5)*AA153, (1-'Investor Input'!$C$4)*AA153)), AA153)</f>
        <v/>
      </c>
      <c r="AC153" s="94" t="str">
        <f t="shared" si="37"/>
        <v/>
      </c>
      <c r="AD153" s="60" t="str">
        <f>IF(AND(M153&lt;&gt;"", M153&lt;&gt;0), N153/$N$505*MATCH(AC153,'Misc Lists'!$K$2:$K$25,0), "")</f>
        <v/>
      </c>
      <c r="AE153" s="90" t="str">
        <f t="shared" si="38"/>
        <v/>
      </c>
      <c r="AF153" s="99" t="str">
        <f>IF(AND(M153&lt;&gt;"", M153&lt;&gt;0), N153/$N$505*MATCH(AE153,'Misc Lists'!$L$2:$L$25,0), "")</f>
        <v/>
      </c>
    </row>
    <row r="154" spans="2:32" hidden="1" outlineLevel="1" x14ac:dyDescent="0.5">
      <c r="B154" s="65" t="str">
        <f ca="1"/>
        <v>9128286L9</v>
      </c>
      <c r="C154" s="66" t="str">
        <f ca="1"/>
        <v>N/A</v>
      </c>
      <c r="D154" s="65" t="str">
        <f ca="1"/>
        <v>UNITED STATES TREAS SER J-2026          2.25000% 03/31/2026 NTS NOTE</v>
      </c>
      <c r="E154" s="66" t="str">
        <f ca="1"/>
        <v>Tres</v>
      </c>
      <c r="F154" s="67">
        <f ca="1"/>
        <v>2.25</v>
      </c>
      <c r="G154" s="68">
        <f ca="1"/>
        <v>46112</v>
      </c>
      <c r="H154" s="66" t="str">
        <f ca="1"/>
        <v>AAA</v>
      </c>
      <c r="I154" s="66" t="str">
        <f ca="1"/>
        <v>--</v>
      </c>
      <c r="J154" s="69">
        <f ca="1"/>
        <v>97.84</v>
      </c>
      <c r="K154" s="70">
        <f ca="1"/>
        <v>4.2560000000000002</v>
      </c>
      <c r="L154" s="71" t="str">
        <f ca="1"/>
        <v>2,800(200)</v>
      </c>
      <c r="M154" s="83"/>
      <c r="N154" s="84" t="str">
        <f t="shared" si="39"/>
        <v/>
      </c>
      <c r="O154" s="20" t="str">
        <f t="shared" si="40"/>
        <v/>
      </c>
      <c r="P154" s="64" t="str">
        <f t="shared" si="41"/>
        <v/>
      </c>
      <c r="Q154" s="85" t="str">
        <f t="shared" ca="1" si="42"/>
        <v/>
      </c>
      <c r="R154" s="86" t="str">
        <f t="shared" si="43"/>
        <v/>
      </c>
      <c r="S154" s="86" t="str">
        <f t="shared" si="44"/>
        <v/>
      </c>
      <c r="T154" s="104" t="str">
        <f t="shared" si="30"/>
        <v/>
      </c>
      <c r="U154" s="19" t="str">
        <f>IF(AND(M154&lt;&gt;"",M154&lt;&gt;0), IF(E154 = "Muni", T154, IF(E154="Corp", T154*(1 -'Investor Input'!$C$4-'Investor Input'!$C$5), T154*(1 -'Investor Input'!$C$4))), T154)</f>
        <v/>
      </c>
      <c r="V154" s="84" t="str">
        <f t="shared" si="31"/>
        <v/>
      </c>
      <c r="W154" s="84" t="str">
        <f t="shared" si="32"/>
        <v/>
      </c>
      <c r="X154" s="46" t="str">
        <f t="shared" si="33"/>
        <v/>
      </c>
      <c r="Y154" s="60" t="str">
        <f t="shared" si="34"/>
        <v/>
      </c>
      <c r="Z154" s="60" t="str">
        <f t="shared" si="35"/>
        <v/>
      </c>
      <c r="AA154" s="64" t="str">
        <f t="shared" si="36"/>
        <v/>
      </c>
      <c r="AB154" s="64" t="str">
        <f>IF(AND(AA154&lt;&gt;"",AA154&lt;&gt;0), IF(E154="Muni", AA154, IF(E154 = "Corp", (1-'Investor Input'!$C$4-'Investor Input'!$C$5)*AA154, (1-'Investor Input'!$C$4)*AA154)), AA154)</f>
        <v/>
      </c>
      <c r="AC154" s="94" t="str">
        <f t="shared" si="37"/>
        <v/>
      </c>
      <c r="AD154" s="60" t="str">
        <f>IF(AND(M154&lt;&gt;"", M154&lt;&gt;0), N154/$N$505*MATCH(AC154,'Misc Lists'!$K$2:$K$25,0), "")</f>
        <v/>
      </c>
      <c r="AE154" s="90" t="str">
        <f t="shared" si="38"/>
        <v/>
      </c>
      <c r="AF154" s="99" t="str">
        <f>IF(AND(M154&lt;&gt;"", M154&lt;&gt;0), N154/$N$505*MATCH(AE154,'Misc Lists'!$L$2:$L$25,0), "")</f>
        <v/>
      </c>
    </row>
    <row r="155" spans="2:32" hidden="1" outlineLevel="1" x14ac:dyDescent="0.5">
      <c r="B155" s="65" t="str">
        <f ca="1"/>
        <v>91282CKE0</v>
      </c>
      <c r="C155" s="66" t="str">
        <f ca="1"/>
        <v>N/A</v>
      </c>
      <c r="D155" s="65" t="str">
        <f ca="1"/>
        <v>UNITED STATES TREAS SER AL-2027         4.25000% 03/15/2027 NTS NOTE</v>
      </c>
      <c r="E155" s="66" t="str">
        <f ca="1"/>
        <v>Tres</v>
      </c>
      <c r="F155" s="67">
        <f ca="1"/>
        <v>4.25</v>
      </c>
      <c r="G155" s="68">
        <f ca="1"/>
        <v>46461</v>
      </c>
      <c r="H155" s="66" t="str">
        <f ca="1"/>
        <v>AAA</v>
      </c>
      <c r="I155" s="66" t="str">
        <f ca="1"/>
        <v>--</v>
      </c>
      <c r="J155" s="69">
        <f ca="1"/>
        <v>99.984999999999999</v>
      </c>
      <c r="K155" s="70">
        <f ca="1"/>
        <v>4.2560000000000002</v>
      </c>
      <c r="L155" s="71" t="str">
        <f ca="1"/>
        <v>15,000(475)</v>
      </c>
      <c r="M155" s="83"/>
      <c r="N155" s="84" t="str">
        <f t="shared" si="39"/>
        <v/>
      </c>
      <c r="O155" s="20" t="str">
        <f t="shared" si="40"/>
        <v/>
      </c>
      <c r="P155" s="64" t="str">
        <f t="shared" si="41"/>
        <v/>
      </c>
      <c r="Q155" s="85" t="str">
        <f t="shared" ca="1" si="42"/>
        <v/>
      </c>
      <c r="R155" s="86" t="str">
        <f t="shared" si="43"/>
        <v/>
      </c>
      <c r="S155" s="86" t="str">
        <f t="shared" si="44"/>
        <v/>
      </c>
      <c r="T155" s="104" t="str">
        <f t="shared" si="30"/>
        <v/>
      </c>
      <c r="U155" s="19" t="str">
        <f>IF(AND(M155&lt;&gt;"",M155&lt;&gt;0), IF(E155 = "Muni", T155, IF(E155="Corp", T155*(1 -'Investor Input'!$C$4-'Investor Input'!$C$5), T155*(1 -'Investor Input'!$C$4))), T155)</f>
        <v/>
      </c>
      <c r="V155" s="84" t="str">
        <f t="shared" si="31"/>
        <v/>
      </c>
      <c r="W155" s="84" t="str">
        <f t="shared" si="32"/>
        <v/>
      </c>
      <c r="X155" s="46" t="str">
        <f t="shared" si="33"/>
        <v/>
      </c>
      <c r="Y155" s="60" t="str">
        <f t="shared" si="34"/>
        <v/>
      </c>
      <c r="Z155" s="60" t="str">
        <f t="shared" si="35"/>
        <v/>
      </c>
      <c r="AA155" s="64" t="str">
        <f t="shared" si="36"/>
        <v/>
      </c>
      <c r="AB155" s="64" t="str">
        <f>IF(AND(AA155&lt;&gt;"",AA155&lt;&gt;0), IF(E155="Muni", AA155, IF(E155 = "Corp", (1-'Investor Input'!$C$4-'Investor Input'!$C$5)*AA155, (1-'Investor Input'!$C$4)*AA155)), AA155)</f>
        <v/>
      </c>
      <c r="AC155" s="94" t="str">
        <f t="shared" si="37"/>
        <v/>
      </c>
      <c r="AD155" s="60" t="str">
        <f>IF(AND(M155&lt;&gt;"", M155&lt;&gt;0), N155/$N$505*MATCH(AC155,'Misc Lists'!$K$2:$K$25,0), "")</f>
        <v/>
      </c>
      <c r="AE155" s="90" t="str">
        <f t="shared" si="38"/>
        <v/>
      </c>
      <c r="AF155" s="99" t="str">
        <f>IF(AND(M155&lt;&gt;"", M155&lt;&gt;0), N155/$N$505*MATCH(AE155,'Misc Lists'!$L$2:$L$25,0), "")</f>
        <v/>
      </c>
    </row>
    <row r="156" spans="2:32" hidden="1" outlineLevel="1" x14ac:dyDescent="0.5">
      <c r="B156" s="65" t="str">
        <f ca="1"/>
        <v>91282CDK4</v>
      </c>
      <c r="C156" s="66" t="str">
        <f ca="1"/>
        <v>N/A</v>
      </c>
      <c r="D156" s="65" t="str">
        <f ca="1"/>
        <v>UNITED STATES TREAS SER AG-2026         1.25000% 11/30/2026 NTS NOTE</v>
      </c>
      <c r="E156" s="66" t="str">
        <f ca="1"/>
        <v>Tres</v>
      </c>
      <c r="F156" s="67">
        <f ca="1"/>
        <v>1.25</v>
      </c>
      <c r="G156" s="68">
        <f ca="1"/>
        <v>46356</v>
      </c>
      <c r="H156" s="66" t="str">
        <f ca="1"/>
        <v>AAA</v>
      </c>
      <c r="I156" s="66" t="str">
        <f ca="1"/>
        <v>--</v>
      </c>
      <c r="J156" s="69">
        <f ca="1"/>
        <v>94.897999999999996</v>
      </c>
      <c r="K156" s="70">
        <f ca="1"/>
        <v>4.2549999999999999</v>
      </c>
      <c r="L156" s="71" t="str">
        <f ca="1"/>
        <v>1,000(200)</v>
      </c>
      <c r="M156" s="83"/>
      <c r="N156" s="84" t="str">
        <f t="shared" si="39"/>
        <v/>
      </c>
      <c r="O156" s="20" t="str">
        <f t="shared" si="40"/>
        <v/>
      </c>
      <c r="P156" s="64" t="str">
        <f t="shared" si="41"/>
        <v/>
      </c>
      <c r="Q156" s="85" t="str">
        <f t="shared" ca="1" si="42"/>
        <v/>
      </c>
      <c r="R156" s="86" t="str">
        <f t="shared" si="43"/>
        <v/>
      </c>
      <c r="S156" s="86" t="str">
        <f t="shared" si="44"/>
        <v/>
      </c>
      <c r="T156" s="104" t="str">
        <f t="shared" si="30"/>
        <v/>
      </c>
      <c r="U156" s="19" t="str">
        <f>IF(AND(M156&lt;&gt;"",M156&lt;&gt;0), IF(E156 = "Muni", T156, IF(E156="Corp", T156*(1 -'Investor Input'!$C$4-'Investor Input'!$C$5), T156*(1 -'Investor Input'!$C$4))), T156)</f>
        <v/>
      </c>
      <c r="V156" s="84" t="str">
        <f t="shared" si="31"/>
        <v/>
      </c>
      <c r="W156" s="84" t="str">
        <f t="shared" si="32"/>
        <v/>
      </c>
      <c r="X156" s="46" t="str">
        <f t="shared" si="33"/>
        <v/>
      </c>
      <c r="Y156" s="60" t="str">
        <f t="shared" si="34"/>
        <v/>
      </c>
      <c r="Z156" s="60" t="str">
        <f t="shared" si="35"/>
        <v/>
      </c>
      <c r="AA156" s="64" t="str">
        <f t="shared" si="36"/>
        <v/>
      </c>
      <c r="AB156" s="64" t="str">
        <f>IF(AND(AA156&lt;&gt;"",AA156&lt;&gt;0), IF(E156="Muni", AA156, IF(E156 = "Corp", (1-'Investor Input'!$C$4-'Investor Input'!$C$5)*AA156, (1-'Investor Input'!$C$4)*AA156)), AA156)</f>
        <v/>
      </c>
      <c r="AC156" s="94" t="str">
        <f t="shared" si="37"/>
        <v/>
      </c>
      <c r="AD156" s="60" t="str">
        <f>IF(AND(M156&lt;&gt;"", M156&lt;&gt;0), N156/$N$505*MATCH(AC156,'Misc Lists'!$K$2:$K$25,0), "")</f>
        <v/>
      </c>
      <c r="AE156" s="90" t="str">
        <f t="shared" si="38"/>
        <v/>
      </c>
      <c r="AF156" s="99" t="str">
        <f>IF(AND(M156&lt;&gt;"", M156&lt;&gt;0), N156/$N$505*MATCH(AE156,'Misc Lists'!$L$2:$L$25,0), "")</f>
        <v/>
      </c>
    </row>
    <row r="157" spans="2:32" hidden="1" outlineLevel="1" x14ac:dyDescent="0.5">
      <c r="B157" s="65" t="str">
        <f ca="1"/>
        <v>912828ZS2</v>
      </c>
      <c r="C157" s="66" t="str">
        <f ca="1"/>
        <v>N/A</v>
      </c>
      <c r="D157" s="65" t="str">
        <f ca="1"/>
        <v>UNITED STATES TREAS SER L-2027          0.50000% 05/31/2027 NTS NOTE</v>
      </c>
      <c r="E157" s="66" t="str">
        <f ca="1"/>
        <v>Tres</v>
      </c>
      <c r="F157" s="67">
        <f ca="1"/>
        <v>0.5</v>
      </c>
      <c r="G157" s="68">
        <f ca="1"/>
        <v>46538</v>
      </c>
      <c r="H157" s="66" t="str">
        <f ca="1"/>
        <v>AAA</v>
      </c>
      <c r="I157" s="66" t="str">
        <f ca="1"/>
        <v>--</v>
      </c>
      <c r="J157" s="69">
        <f ca="1"/>
        <v>91.921000000000006</v>
      </c>
      <c r="K157" s="70">
        <f ca="1"/>
        <v>4.2549999999999999</v>
      </c>
      <c r="L157" s="71" t="str">
        <f ca="1"/>
        <v>1,000(200)</v>
      </c>
      <c r="M157" s="83"/>
      <c r="N157" s="84" t="str">
        <f t="shared" si="39"/>
        <v/>
      </c>
      <c r="O157" s="20" t="str">
        <f t="shared" si="40"/>
        <v/>
      </c>
      <c r="P157" s="64" t="str">
        <f t="shared" si="41"/>
        <v/>
      </c>
      <c r="Q157" s="85" t="str">
        <f t="shared" ca="1" si="42"/>
        <v/>
      </c>
      <c r="R157" s="86" t="str">
        <f t="shared" si="43"/>
        <v/>
      </c>
      <c r="S157" s="86" t="str">
        <f t="shared" si="44"/>
        <v/>
      </c>
      <c r="T157" s="104" t="str">
        <f t="shared" si="30"/>
        <v/>
      </c>
      <c r="U157" s="19" t="str">
        <f>IF(AND(M157&lt;&gt;"",M157&lt;&gt;0), IF(E157 = "Muni", T157, IF(E157="Corp", T157*(1 -'Investor Input'!$C$4-'Investor Input'!$C$5), T157*(1 -'Investor Input'!$C$4))), T157)</f>
        <v/>
      </c>
      <c r="V157" s="84" t="str">
        <f t="shared" si="31"/>
        <v/>
      </c>
      <c r="W157" s="84" t="str">
        <f t="shared" si="32"/>
        <v/>
      </c>
      <c r="X157" s="46" t="str">
        <f t="shared" si="33"/>
        <v/>
      </c>
      <c r="Y157" s="60" t="str">
        <f t="shared" si="34"/>
        <v/>
      </c>
      <c r="Z157" s="60" t="str">
        <f t="shared" si="35"/>
        <v/>
      </c>
      <c r="AA157" s="64" t="str">
        <f t="shared" si="36"/>
        <v/>
      </c>
      <c r="AB157" s="64" t="str">
        <f>IF(AND(AA157&lt;&gt;"",AA157&lt;&gt;0), IF(E157="Muni", AA157, IF(E157 = "Corp", (1-'Investor Input'!$C$4-'Investor Input'!$C$5)*AA157, (1-'Investor Input'!$C$4)*AA157)), AA157)</f>
        <v/>
      </c>
      <c r="AC157" s="94" t="str">
        <f t="shared" si="37"/>
        <v/>
      </c>
      <c r="AD157" s="60" t="str">
        <f>IF(AND(M157&lt;&gt;"", M157&lt;&gt;0), N157/$N$505*MATCH(AC157,'Misc Lists'!$K$2:$K$25,0), "")</f>
        <v/>
      </c>
      <c r="AE157" s="90" t="str">
        <f t="shared" si="38"/>
        <v/>
      </c>
      <c r="AF157" s="99" t="str">
        <f>IF(AND(M157&lt;&gt;"", M157&lt;&gt;0), N157/$N$505*MATCH(AE157,'Misc Lists'!$L$2:$L$25,0), "")</f>
        <v/>
      </c>
    </row>
    <row r="158" spans="2:32" hidden="1" outlineLevel="1" x14ac:dyDescent="0.5">
      <c r="B158" s="65" t="str">
        <f ca="1"/>
        <v>91282CAL5</v>
      </c>
      <c r="C158" s="66" t="str">
        <f ca="1"/>
        <v>N/A</v>
      </c>
      <c r="D158" s="65" t="str">
        <f ca="1"/>
        <v>UNITED STATES TREAS SER Q-2027          0.37500% 09/30/2027 NTS NOTE</v>
      </c>
      <c r="E158" s="66" t="str">
        <f ca="1"/>
        <v>Tres</v>
      </c>
      <c r="F158" s="67">
        <f ca="1"/>
        <v>0.375</v>
      </c>
      <c r="G158" s="68">
        <f ca="1"/>
        <v>46660</v>
      </c>
      <c r="H158" s="66" t="str">
        <f ca="1"/>
        <v>AAA</v>
      </c>
      <c r="I158" s="66" t="str">
        <f ca="1"/>
        <v>--</v>
      </c>
      <c r="J158" s="69">
        <f ca="1"/>
        <v>90.5</v>
      </c>
      <c r="K158" s="70">
        <f ca="1"/>
        <v>4.2549999999999999</v>
      </c>
      <c r="L158" s="71" t="str">
        <f ca="1"/>
        <v>1,000(200)</v>
      </c>
      <c r="M158" s="83"/>
      <c r="N158" s="84" t="str">
        <f t="shared" si="39"/>
        <v/>
      </c>
      <c r="O158" s="20" t="str">
        <f t="shared" si="40"/>
        <v/>
      </c>
      <c r="P158" s="64" t="str">
        <f t="shared" si="41"/>
        <v/>
      </c>
      <c r="Q158" s="85" t="str">
        <f t="shared" ca="1" si="42"/>
        <v/>
      </c>
      <c r="R158" s="86" t="str">
        <f t="shared" si="43"/>
        <v/>
      </c>
      <c r="S158" s="86" t="str">
        <f t="shared" si="44"/>
        <v/>
      </c>
      <c r="T158" s="104" t="str">
        <f t="shared" si="30"/>
        <v/>
      </c>
      <c r="U158" s="19" t="str">
        <f>IF(AND(M158&lt;&gt;"",M158&lt;&gt;0), IF(E158 = "Muni", T158, IF(E158="Corp", T158*(1 -'Investor Input'!$C$4-'Investor Input'!$C$5), T158*(1 -'Investor Input'!$C$4))), T158)</f>
        <v/>
      </c>
      <c r="V158" s="84" t="str">
        <f t="shared" si="31"/>
        <v/>
      </c>
      <c r="W158" s="84" t="str">
        <f t="shared" si="32"/>
        <v/>
      </c>
      <c r="X158" s="46" t="str">
        <f t="shared" si="33"/>
        <v/>
      </c>
      <c r="Y158" s="60" t="str">
        <f t="shared" si="34"/>
        <v/>
      </c>
      <c r="Z158" s="60" t="str">
        <f t="shared" si="35"/>
        <v/>
      </c>
      <c r="AA158" s="64" t="str">
        <f t="shared" si="36"/>
        <v/>
      </c>
      <c r="AB158" s="64" t="str">
        <f>IF(AND(AA158&lt;&gt;"",AA158&lt;&gt;0), IF(E158="Muni", AA158, IF(E158 = "Corp", (1-'Investor Input'!$C$4-'Investor Input'!$C$5)*AA158, (1-'Investor Input'!$C$4)*AA158)), AA158)</f>
        <v/>
      </c>
      <c r="AC158" s="94" t="str">
        <f t="shared" si="37"/>
        <v/>
      </c>
      <c r="AD158" s="60" t="str">
        <f>IF(AND(M158&lt;&gt;"", M158&lt;&gt;0), N158/$N$505*MATCH(AC158,'Misc Lists'!$K$2:$K$25,0), "")</f>
        <v/>
      </c>
      <c r="AE158" s="90" t="str">
        <f t="shared" si="38"/>
        <v/>
      </c>
      <c r="AF158" s="99" t="str">
        <f>IF(AND(M158&lt;&gt;"", M158&lt;&gt;0), N158/$N$505*MATCH(AE158,'Misc Lists'!$L$2:$L$25,0), "")</f>
        <v/>
      </c>
    </row>
    <row r="159" spans="2:32" hidden="1" outlineLevel="1" x14ac:dyDescent="0.5">
      <c r="B159" s="65" t="str">
        <f ca="1"/>
        <v>91282CHU8</v>
      </c>
      <c r="C159" s="66" t="str">
        <f ca="1"/>
        <v>N/A</v>
      </c>
      <c r="D159" s="65" t="str">
        <f ca="1"/>
        <v>UNITED STATES TREAS SER AR-2026         4.37500% 08/15/2026 NTS NOTE</v>
      </c>
      <c r="E159" s="66" t="str">
        <f ca="1"/>
        <v>Tres</v>
      </c>
      <c r="F159" s="67">
        <f ca="1"/>
        <v>4.375</v>
      </c>
      <c r="G159" s="68">
        <f ca="1"/>
        <v>46249</v>
      </c>
      <c r="H159" s="66" t="str">
        <f ca="1"/>
        <v>AAA</v>
      </c>
      <c r="I159" s="66" t="str">
        <f ca="1"/>
        <v>--</v>
      </c>
      <c r="J159" s="69">
        <f ca="1"/>
        <v>100.172</v>
      </c>
      <c r="K159" s="70">
        <f ca="1"/>
        <v>4.2539999999999996</v>
      </c>
      <c r="L159" s="71" t="str">
        <f ca="1"/>
        <v>70,000(400)</v>
      </c>
      <c r="M159" s="83"/>
      <c r="N159" s="84" t="str">
        <f t="shared" si="39"/>
        <v/>
      </c>
      <c r="O159" s="20" t="str">
        <f t="shared" si="40"/>
        <v/>
      </c>
      <c r="P159" s="64" t="str">
        <f t="shared" si="41"/>
        <v/>
      </c>
      <c r="Q159" s="85" t="str">
        <f t="shared" ca="1" si="42"/>
        <v/>
      </c>
      <c r="R159" s="86" t="str">
        <f t="shared" si="43"/>
        <v/>
      </c>
      <c r="S159" s="86" t="str">
        <f t="shared" si="44"/>
        <v/>
      </c>
      <c r="T159" s="104" t="str">
        <f t="shared" si="30"/>
        <v/>
      </c>
      <c r="U159" s="19" t="str">
        <f>IF(AND(M159&lt;&gt;"",M159&lt;&gt;0), IF(E159 = "Muni", T159, IF(E159="Corp", T159*(1 -'Investor Input'!$C$4-'Investor Input'!$C$5), T159*(1 -'Investor Input'!$C$4))), T159)</f>
        <v/>
      </c>
      <c r="V159" s="84" t="str">
        <f t="shared" si="31"/>
        <v/>
      </c>
      <c r="W159" s="84" t="str">
        <f t="shared" si="32"/>
        <v/>
      </c>
      <c r="X159" s="46" t="str">
        <f t="shared" si="33"/>
        <v/>
      </c>
      <c r="Y159" s="60" t="str">
        <f t="shared" si="34"/>
        <v/>
      </c>
      <c r="Z159" s="60" t="str">
        <f t="shared" si="35"/>
        <v/>
      </c>
      <c r="AA159" s="64" t="str">
        <f t="shared" si="36"/>
        <v/>
      </c>
      <c r="AB159" s="64" t="str">
        <f>IF(AND(AA159&lt;&gt;"",AA159&lt;&gt;0), IF(E159="Muni", AA159, IF(E159 = "Corp", (1-'Investor Input'!$C$4-'Investor Input'!$C$5)*AA159, (1-'Investor Input'!$C$4)*AA159)), AA159)</f>
        <v/>
      </c>
      <c r="AC159" s="94" t="str">
        <f t="shared" si="37"/>
        <v/>
      </c>
      <c r="AD159" s="60" t="str">
        <f>IF(AND(M159&lt;&gt;"", M159&lt;&gt;0), N159/$N$505*MATCH(AC159,'Misc Lists'!$K$2:$K$25,0), "")</f>
        <v/>
      </c>
      <c r="AE159" s="90" t="str">
        <f t="shared" si="38"/>
        <v/>
      </c>
      <c r="AF159" s="99" t="str">
        <f>IF(AND(M159&lt;&gt;"", M159&lt;&gt;0), N159/$N$505*MATCH(AE159,'Misc Lists'!$L$2:$L$25,0), "")</f>
        <v/>
      </c>
    </row>
    <row r="160" spans="2:32" hidden="1" outlineLevel="1" x14ac:dyDescent="0.5">
      <c r="B160" s="65" t="str">
        <f ca="1"/>
        <v>91282CJT9</v>
      </c>
      <c r="C160" s="66" t="str">
        <f ca="1"/>
        <v>N/A</v>
      </c>
      <c r="D160" s="65" t="str">
        <f ca="1"/>
        <v>UNITED STATES TREAS SER AJ-2027         4.00000% 01/15/2027 NTS NOTE</v>
      </c>
      <c r="E160" s="66" t="str">
        <f ca="1"/>
        <v>Tres</v>
      </c>
      <c r="F160" s="67">
        <f ca="1"/>
        <v>4</v>
      </c>
      <c r="G160" s="68">
        <f ca="1"/>
        <v>46402</v>
      </c>
      <c r="H160" s="66" t="str">
        <f ca="1"/>
        <v>AAA</v>
      </c>
      <c r="I160" s="66" t="str">
        <f ca="1"/>
        <v>--</v>
      </c>
      <c r="J160" s="69">
        <f ca="1"/>
        <v>99.536000000000001</v>
      </c>
      <c r="K160" s="70">
        <f ca="1"/>
        <v>4.2539999999999996</v>
      </c>
      <c r="L160" s="71" t="str">
        <f ca="1"/>
        <v>70,000(400)</v>
      </c>
      <c r="M160" s="83"/>
      <c r="N160" s="84" t="str">
        <f t="shared" si="39"/>
        <v/>
      </c>
      <c r="O160" s="20" t="str">
        <f t="shared" si="40"/>
        <v/>
      </c>
      <c r="P160" s="64" t="str">
        <f t="shared" si="41"/>
        <v/>
      </c>
      <c r="Q160" s="85" t="str">
        <f t="shared" ca="1" si="42"/>
        <v/>
      </c>
      <c r="R160" s="86" t="str">
        <f t="shared" si="43"/>
        <v/>
      </c>
      <c r="S160" s="86" t="str">
        <f t="shared" si="44"/>
        <v/>
      </c>
      <c r="T160" s="104" t="str">
        <f t="shared" si="30"/>
        <v/>
      </c>
      <c r="U160" s="19" t="str">
        <f>IF(AND(M160&lt;&gt;"",M160&lt;&gt;0), IF(E160 = "Muni", T160, IF(E160="Corp", T160*(1 -'Investor Input'!$C$4-'Investor Input'!$C$5), T160*(1 -'Investor Input'!$C$4))), T160)</f>
        <v/>
      </c>
      <c r="V160" s="84" t="str">
        <f t="shared" si="31"/>
        <v/>
      </c>
      <c r="W160" s="84" t="str">
        <f t="shared" si="32"/>
        <v/>
      </c>
      <c r="X160" s="46" t="str">
        <f t="shared" si="33"/>
        <v/>
      </c>
      <c r="Y160" s="60" t="str">
        <f t="shared" si="34"/>
        <v/>
      </c>
      <c r="Z160" s="60" t="str">
        <f t="shared" si="35"/>
        <v/>
      </c>
      <c r="AA160" s="64" t="str">
        <f t="shared" si="36"/>
        <v/>
      </c>
      <c r="AB160" s="64" t="str">
        <f>IF(AND(AA160&lt;&gt;"",AA160&lt;&gt;0), IF(E160="Muni", AA160, IF(E160 = "Corp", (1-'Investor Input'!$C$4-'Investor Input'!$C$5)*AA160, (1-'Investor Input'!$C$4)*AA160)), AA160)</f>
        <v/>
      </c>
      <c r="AC160" s="94" t="str">
        <f t="shared" si="37"/>
        <v/>
      </c>
      <c r="AD160" s="60" t="str">
        <f>IF(AND(M160&lt;&gt;"", M160&lt;&gt;0), N160/$N$505*MATCH(AC160,'Misc Lists'!$K$2:$K$25,0), "")</f>
        <v/>
      </c>
      <c r="AE160" s="90" t="str">
        <f t="shared" si="38"/>
        <v/>
      </c>
      <c r="AF160" s="99" t="str">
        <f>IF(AND(M160&lt;&gt;"", M160&lt;&gt;0), N160/$N$505*MATCH(AE160,'Misc Lists'!$L$2:$L$25,0), "")</f>
        <v/>
      </c>
    </row>
    <row r="161" spans="2:32" hidden="1" outlineLevel="1" x14ac:dyDescent="0.5">
      <c r="B161" s="65" t="str">
        <f ca="1"/>
        <v>912828V98</v>
      </c>
      <c r="C161" s="66" t="str">
        <f ca="1"/>
        <v>N/A</v>
      </c>
      <c r="D161" s="65" t="str">
        <f ca="1"/>
        <v>UNITED STATES TREAS SER B-2027          2.25000% 02/15/2027 NTS NOTE</v>
      </c>
      <c r="E161" s="66" t="str">
        <f ca="1"/>
        <v>Tres</v>
      </c>
      <c r="F161" s="67">
        <f ca="1"/>
        <v>2.25</v>
      </c>
      <c r="G161" s="68">
        <f ca="1"/>
        <v>46433</v>
      </c>
      <c r="H161" s="66" t="str">
        <f ca="1"/>
        <v>AAA</v>
      </c>
      <c r="I161" s="66" t="str">
        <f ca="1"/>
        <v>--</v>
      </c>
      <c r="J161" s="69">
        <f ca="1"/>
        <v>96.21</v>
      </c>
      <c r="K161" s="70">
        <f ca="1"/>
        <v>4.2539999999999996</v>
      </c>
      <c r="L161" s="71" t="str">
        <f ca="1"/>
        <v>1,000(200)</v>
      </c>
      <c r="M161" s="83"/>
      <c r="N161" s="84" t="str">
        <f t="shared" si="39"/>
        <v/>
      </c>
      <c r="O161" s="20" t="str">
        <f t="shared" si="40"/>
        <v/>
      </c>
      <c r="P161" s="64" t="str">
        <f t="shared" si="41"/>
        <v/>
      </c>
      <c r="Q161" s="85" t="str">
        <f t="shared" ca="1" si="42"/>
        <v/>
      </c>
      <c r="R161" s="86" t="str">
        <f t="shared" si="43"/>
        <v/>
      </c>
      <c r="S161" s="86" t="str">
        <f t="shared" si="44"/>
        <v/>
      </c>
      <c r="T161" s="104" t="str">
        <f t="shared" si="30"/>
        <v/>
      </c>
      <c r="U161" s="19" t="str">
        <f>IF(AND(M161&lt;&gt;"",M161&lt;&gt;0), IF(E161 = "Muni", T161, IF(E161="Corp", T161*(1 -'Investor Input'!$C$4-'Investor Input'!$C$5), T161*(1 -'Investor Input'!$C$4))), T161)</f>
        <v/>
      </c>
      <c r="V161" s="84" t="str">
        <f t="shared" si="31"/>
        <v/>
      </c>
      <c r="W161" s="84" t="str">
        <f t="shared" si="32"/>
        <v/>
      </c>
      <c r="X161" s="46" t="str">
        <f t="shared" si="33"/>
        <v/>
      </c>
      <c r="Y161" s="60" t="str">
        <f t="shared" si="34"/>
        <v/>
      </c>
      <c r="Z161" s="60" t="str">
        <f t="shared" si="35"/>
        <v/>
      </c>
      <c r="AA161" s="64" t="str">
        <f t="shared" si="36"/>
        <v/>
      </c>
      <c r="AB161" s="64" t="str">
        <f>IF(AND(AA161&lt;&gt;"",AA161&lt;&gt;0), IF(E161="Muni", AA161, IF(E161 = "Corp", (1-'Investor Input'!$C$4-'Investor Input'!$C$5)*AA161, (1-'Investor Input'!$C$4)*AA161)), AA161)</f>
        <v/>
      </c>
      <c r="AC161" s="94" t="str">
        <f t="shared" si="37"/>
        <v/>
      </c>
      <c r="AD161" s="60" t="str">
        <f>IF(AND(M161&lt;&gt;"", M161&lt;&gt;0), N161/$N$505*MATCH(AC161,'Misc Lists'!$K$2:$K$25,0), "")</f>
        <v/>
      </c>
      <c r="AE161" s="90" t="str">
        <f t="shared" si="38"/>
        <v/>
      </c>
      <c r="AF161" s="99" t="str">
        <f>IF(AND(M161&lt;&gt;"", M161&lt;&gt;0), N161/$N$505*MATCH(AE161,'Misc Lists'!$L$2:$L$25,0), "")</f>
        <v/>
      </c>
    </row>
    <row r="162" spans="2:32" hidden="1" outlineLevel="1" x14ac:dyDescent="0.5">
      <c r="B162" s="65" t="str">
        <f ca="1"/>
        <v>912828ZN3</v>
      </c>
      <c r="C162" s="66" t="str">
        <f ca="1"/>
        <v>N/A</v>
      </c>
      <c r="D162" s="65" t="str">
        <f ca="1"/>
        <v>UNITED STATES TREAS NOTE                0.50000% 04/30/2027</v>
      </c>
      <c r="E162" s="66" t="str">
        <f ca="1"/>
        <v>Tres</v>
      </c>
      <c r="F162" s="67">
        <f ca="1"/>
        <v>0.5</v>
      </c>
      <c r="G162" s="68">
        <f ca="1"/>
        <v>46507</v>
      </c>
      <c r="H162" s="66" t="str">
        <f ca="1"/>
        <v>AAA</v>
      </c>
      <c r="I162" s="66" t="str">
        <f ca="1"/>
        <v>--</v>
      </c>
      <c r="J162" s="69">
        <f ca="1"/>
        <v>92.206000000000003</v>
      </c>
      <c r="K162" s="70">
        <f ca="1"/>
        <v>4.2539999999999996</v>
      </c>
      <c r="L162" s="71" t="str">
        <f ca="1"/>
        <v>1,000(200)</v>
      </c>
      <c r="M162" s="83"/>
      <c r="N162" s="84" t="str">
        <f t="shared" si="39"/>
        <v/>
      </c>
      <c r="O162" s="20" t="str">
        <f t="shared" si="40"/>
        <v/>
      </c>
      <c r="P162" s="64" t="str">
        <f t="shared" si="41"/>
        <v/>
      </c>
      <c r="Q162" s="85" t="str">
        <f t="shared" ca="1" si="42"/>
        <v/>
      </c>
      <c r="R162" s="86" t="str">
        <f t="shared" si="43"/>
        <v/>
      </c>
      <c r="S162" s="86" t="str">
        <f t="shared" si="44"/>
        <v/>
      </c>
      <c r="T162" s="104" t="str">
        <f t="shared" si="30"/>
        <v/>
      </c>
      <c r="U162" s="19" t="str">
        <f>IF(AND(M162&lt;&gt;"",M162&lt;&gt;0), IF(E162 = "Muni", T162, IF(E162="Corp", T162*(1 -'Investor Input'!$C$4-'Investor Input'!$C$5), T162*(1 -'Investor Input'!$C$4))), T162)</f>
        <v/>
      </c>
      <c r="V162" s="84" t="str">
        <f t="shared" si="31"/>
        <v/>
      </c>
      <c r="W162" s="84" t="str">
        <f t="shared" si="32"/>
        <v/>
      </c>
      <c r="X162" s="46" t="str">
        <f t="shared" si="33"/>
        <v/>
      </c>
      <c r="Y162" s="60" t="str">
        <f t="shared" si="34"/>
        <v/>
      </c>
      <c r="Z162" s="60" t="str">
        <f t="shared" si="35"/>
        <v/>
      </c>
      <c r="AA162" s="64" t="str">
        <f t="shared" si="36"/>
        <v/>
      </c>
      <c r="AB162" s="64" t="str">
        <f>IF(AND(AA162&lt;&gt;"",AA162&lt;&gt;0), IF(E162="Muni", AA162, IF(E162 = "Corp", (1-'Investor Input'!$C$4-'Investor Input'!$C$5)*AA162, (1-'Investor Input'!$C$4)*AA162)), AA162)</f>
        <v/>
      </c>
      <c r="AC162" s="94" t="str">
        <f t="shared" si="37"/>
        <v/>
      </c>
      <c r="AD162" s="60" t="str">
        <f>IF(AND(M162&lt;&gt;"", M162&lt;&gt;0), N162/$N$505*MATCH(AC162,'Misc Lists'!$K$2:$K$25,0), "")</f>
        <v/>
      </c>
      <c r="AE162" s="90" t="str">
        <f t="shared" si="38"/>
        <v/>
      </c>
      <c r="AF162" s="99" t="str">
        <f>IF(AND(M162&lt;&gt;"", M162&lt;&gt;0), N162/$N$505*MATCH(AE162,'Misc Lists'!$L$2:$L$25,0), "")</f>
        <v/>
      </c>
    </row>
    <row r="163" spans="2:32" hidden="1" outlineLevel="1" x14ac:dyDescent="0.5">
      <c r="B163" s="65" t="str">
        <f ca="1"/>
        <v>91282CKZ3</v>
      </c>
      <c r="C163" s="66" t="str">
        <f ca="1"/>
        <v>N/A</v>
      </c>
      <c r="D163" s="65" t="str">
        <f ca="1"/>
        <v>UNITED STATES TREAS SER AQ-2027         4.37500% 07/15/2027 NTS NOTE</v>
      </c>
      <c r="E163" s="66" t="str">
        <f ca="1"/>
        <v>Tres</v>
      </c>
      <c r="F163" s="67">
        <f ca="1"/>
        <v>4.375</v>
      </c>
      <c r="G163" s="68">
        <f ca="1"/>
        <v>46583</v>
      </c>
      <c r="H163" s="66" t="str">
        <f ca="1"/>
        <v>AAA</v>
      </c>
      <c r="I163" s="66" t="str">
        <f ca="1"/>
        <v>--</v>
      </c>
      <c r="J163" s="69">
        <f ca="1"/>
        <v>100.27</v>
      </c>
      <c r="K163" s="70">
        <f ca="1"/>
        <v>4.2539999999999996</v>
      </c>
      <c r="L163" s="71" t="str">
        <f ca="1"/>
        <v>1,000(200)</v>
      </c>
      <c r="M163" s="83"/>
      <c r="N163" s="84" t="str">
        <f t="shared" si="39"/>
        <v/>
      </c>
      <c r="O163" s="20" t="str">
        <f t="shared" si="40"/>
        <v/>
      </c>
      <c r="P163" s="64" t="str">
        <f t="shared" si="41"/>
        <v/>
      </c>
      <c r="Q163" s="85" t="str">
        <f t="shared" ca="1" si="42"/>
        <v/>
      </c>
      <c r="R163" s="86" t="str">
        <f t="shared" si="43"/>
        <v/>
      </c>
      <c r="S163" s="86" t="str">
        <f t="shared" si="44"/>
        <v/>
      </c>
      <c r="T163" s="104" t="str">
        <f t="shared" si="30"/>
        <v/>
      </c>
      <c r="U163" s="19" t="str">
        <f>IF(AND(M163&lt;&gt;"",M163&lt;&gt;0), IF(E163 = "Muni", T163, IF(E163="Corp", T163*(1 -'Investor Input'!$C$4-'Investor Input'!$C$5), T163*(1 -'Investor Input'!$C$4))), T163)</f>
        <v/>
      </c>
      <c r="V163" s="84" t="str">
        <f t="shared" si="31"/>
        <v/>
      </c>
      <c r="W163" s="84" t="str">
        <f t="shared" si="32"/>
        <v/>
      </c>
      <c r="X163" s="46" t="str">
        <f t="shared" si="33"/>
        <v/>
      </c>
      <c r="Y163" s="60" t="str">
        <f t="shared" si="34"/>
        <v/>
      </c>
      <c r="Z163" s="60" t="str">
        <f t="shared" si="35"/>
        <v/>
      </c>
      <c r="AA163" s="64" t="str">
        <f t="shared" si="36"/>
        <v/>
      </c>
      <c r="AB163" s="64" t="str">
        <f>IF(AND(AA163&lt;&gt;"",AA163&lt;&gt;0), IF(E163="Muni", AA163, IF(E163 = "Corp", (1-'Investor Input'!$C$4-'Investor Input'!$C$5)*AA163, (1-'Investor Input'!$C$4)*AA163)), AA163)</f>
        <v/>
      </c>
      <c r="AC163" s="94" t="str">
        <f t="shared" si="37"/>
        <v/>
      </c>
      <c r="AD163" s="60" t="str">
        <f>IF(AND(M163&lt;&gt;"", M163&lt;&gt;0), N163/$N$505*MATCH(AC163,'Misc Lists'!$K$2:$K$25,0), "")</f>
        <v/>
      </c>
      <c r="AE163" s="90" t="str">
        <f t="shared" si="38"/>
        <v/>
      </c>
      <c r="AF163" s="99" t="str">
        <f>IF(AND(M163&lt;&gt;"", M163&lt;&gt;0), N163/$N$505*MATCH(AE163,'Misc Lists'!$L$2:$L$25,0), "")</f>
        <v/>
      </c>
    </row>
    <row r="164" spans="2:32" hidden="1" outlineLevel="1" x14ac:dyDescent="0.5">
      <c r="B164" s="65" t="str">
        <f ca="1"/>
        <v>91282CFU0</v>
      </c>
      <c r="C164" s="66" t="str">
        <f ca="1"/>
        <v>N/A</v>
      </c>
      <c r="D164" s="65" t="str">
        <f ca="1"/>
        <v>UNITED STATES TREAS SER AF-2027         4.12500% 10/31/2027 NTS NOTE</v>
      </c>
      <c r="E164" s="66" t="str">
        <f ca="1"/>
        <v>Tres</v>
      </c>
      <c r="F164" s="67">
        <f ca="1"/>
        <v>4.125</v>
      </c>
      <c r="G164" s="68">
        <f ca="1"/>
        <v>46691</v>
      </c>
      <c r="H164" s="66" t="str">
        <f ca="1"/>
        <v>AAA</v>
      </c>
      <c r="I164" s="66" t="str">
        <f ca="1"/>
        <v>--</v>
      </c>
      <c r="J164" s="69">
        <f ca="1"/>
        <v>99.668000000000006</v>
      </c>
      <c r="K164" s="70">
        <f ca="1"/>
        <v>4.2539999999999996</v>
      </c>
      <c r="L164" s="71" t="str">
        <f ca="1"/>
        <v>1,000(200)</v>
      </c>
      <c r="M164" s="83"/>
      <c r="N164" s="84" t="str">
        <f t="shared" si="39"/>
        <v/>
      </c>
      <c r="O164" s="20" t="str">
        <f t="shared" si="40"/>
        <v/>
      </c>
      <c r="P164" s="64" t="str">
        <f t="shared" si="41"/>
        <v/>
      </c>
      <c r="Q164" s="85" t="str">
        <f t="shared" ca="1" si="42"/>
        <v/>
      </c>
      <c r="R164" s="86" t="str">
        <f t="shared" si="43"/>
        <v/>
      </c>
      <c r="S164" s="86" t="str">
        <f t="shared" si="44"/>
        <v/>
      </c>
      <c r="T164" s="104" t="str">
        <f t="shared" si="30"/>
        <v/>
      </c>
      <c r="U164" s="19" t="str">
        <f>IF(AND(M164&lt;&gt;"",M164&lt;&gt;0), IF(E164 = "Muni", T164, IF(E164="Corp", T164*(1 -'Investor Input'!$C$4-'Investor Input'!$C$5), T164*(1 -'Investor Input'!$C$4))), T164)</f>
        <v/>
      </c>
      <c r="V164" s="84" t="str">
        <f t="shared" si="31"/>
        <v/>
      </c>
      <c r="W164" s="84" t="str">
        <f t="shared" si="32"/>
        <v/>
      </c>
      <c r="X164" s="46" t="str">
        <f t="shared" si="33"/>
        <v/>
      </c>
      <c r="Y164" s="60" t="str">
        <f t="shared" si="34"/>
        <v/>
      </c>
      <c r="Z164" s="60" t="str">
        <f t="shared" si="35"/>
        <v/>
      </c>
      <c r="AA164" s="64" t="str">
        <f t="shared" si="36"/>
        <v/>
      </c>
      <c r="AB164" s="64" t="str">
        <f>IF(AND(AA164&lt;&gt;"",AA164&lt;&gt;0), IF(E164="Muni", AA164, IF(E164 = "Corp", (1-'Investor Input'!$C$4-'Investor Input'!$C$5)*AA164, (1-'Investor Input'!$C$4)*AA164)), AA164)</f>
        <v/>
      </c>
      <c r="AC164" s="94" t="str">
        <f t="shared" si="37"/>
        <v/>
      </c>
      <c r="AD164" s="60" t="str">
        <f>IF(AND(M164&lt;&gt;"", M164&lt;&gt;0), N164/$N$505*MATCH(AC164,'Misc Lists'!$K$2:$K$25,0), "")</f>
        <v/>
      </c>
      <c r="AE164" s="90" t="str">
        <f t="shared" si="38"/>
        <v/>
      </c>
      <c r="AF164" s="99" t="str">
        <f>IF(AND(M164&lt;&gt;"", M164&lt;&gt;0), N164/$N$505*MATCH(AE164,'Misc Lists'!$L$2:$L$25,0), "")</f>
        <v/>
      </c>
    </row>
    <row r="165" spans="2:32" hidden="1" outlineLevel="1" x14ac:dyDescent="0.5">
      <c r="B165" s="65" t="str">
        <f ca="1"/>
        <v>91282CBC4</v>
      </c>
      <c r="C165" s="66" t="str">
        <f ca="1"/>
        <v>N/A</v>
      </c>
      <c r="D165" s="65" t="str">
        <f ca="1"/>
        <v>UNITED STATES TREAS SER AH-2025         0.37500% 12/31/2025 NTS NOTE</v>
      </c>
      <c r="E165" s="66" t="str">
        <f ca="1"/>
        <v>Tres</v>
      </c>
      <c r="F165" s="67">
        <f ca="1"/>
        <v>0.375</v>
      </c>
      <c r="G165" s="68">
        <f ca="1"/>
        <v>46022</v>
      </c>
      <c r="H165" s="66" t="str">
        <f ca="1"/>
        <v>AAA</v>
      </c>
      <c r="I165" s="66" t="str">
        <f ca="1"/>
        <v>--</v>
      </c>
      <c r="J165" s="69">
        <f ca="1"/>
        <v>96.741</v>
      </c>
      <c r="K165" s="70">
        <f ca="1"/>
        <v>4.2530000000000001</v>
      </c>
      <c r="L165" s="71" t="str">
        <f ca="1"/>
        <v>8,000(200)</v>
      </c>
      <c r="M165" s="83"/>
      <c r="N165" s="84" t="str">
        <f t="shared" si="39"/>
        <v/>
      </c>
      <c r="O165" s="20" t="str">
        <f t="shared" si="40"/>
        <v/>
      </c>
      <c r="P165" s="64" t="str">
        <f t="shared" si="41"/>
        <v/>
      </c>
      <c r="Q165" s="85" t="str">
        <f t="shared" ca="1" si="42"/>
        <v/>
      </c>
      <c r="R165" s="86" t="str">
        <f t="shared" si="43"/>
        <v/>
      </c>
      <c r="S165" s="86" t="str">
        <f t="shared" si="44"/>
        <v/>
      </c>
      <c r="T165" s="104" t="str">
        <f t="shared" si="30"/>
        <v/>
      </c>
      <c r="U165" s="19" t="str">
        <f>IF(AND(M165&lt;&gt;"",M165&lt;&gt;0), IF(E165 = "Muni", T165, IF(E165="Corp", T165*(1 -'Investor Input'!$C$4-'Investor Input'!$C$5), T165*(1 -'Investor Input'!$C$4))), T165)</f>
        <v/>
      </c>
      <c r="V165" s="84" t="str">
        <f t="shared" si="31"/>
        <v/>
      </c>
      <c r="W165" s="84" t="str">
        <f t="shared" si="32"/>
        <v/>
      </c>
      <c r="X165" s="46" t="str">
        <f t="shared" si="33"/>
        <v/>
      </c>
      <c r="Y165" s="60" t="str">
        <f t="shared" si="34"/>
        <v/>
      </c>
      <c r="Z165" s="60" t="str">
        <f t="shared" si="35"/>
        <v/>
      </c>
      <c r="AA165" s="64" t="str">
        <f t="shared" si="36"/>
        <v/>
      </c>
      <c r="AB165" s="64" t="str">
        <f>IF(AND(AA165&lt;&gt;"",AA165&lt;&gt;0), IF(E165="Muni", AA165, IF(E165 = "Corp", (1-'Investor Input'!$C$4-'Investor Input'!$C$5)*AA165, (1-'Investor Input'!$C$4)*AA165)), AA165)</f>
        <v/>
      </c>
      <c r="AC165" s="94" t="str">
        <f t="shared" si="37"/>
        <v/>
      </c>
      <c r="AD165" s="60" t="str">
        <f>IF(AND(M165&lt;&gt;"", M165&lt;&gt;0), N165/$N$505*MATCH(AC165,'Misc Lists'!$K$2:$K$25,0), "")</f>
        <v/>
      </c>
      <c r="AE165" s="90" t="str">
        <f t="shared" si="38"/>
        <v/>
      </c>
      <c r="AF165" s="99" t="str">
        <f>IF(AND(M165&lt;&gt;"", M165&lt;&gt;0), N165/$N$505*MATCH(AE165,'Misc Lists'!$L$2:$L$25,0), "")</f>
        <v/>
      </c>
    </row>
    <row r="166" spans="2:32" hidden="1" outlineLevel="1" x14ac:dyDescent="0.5">
      <c r="B166" s="65" t="str">
        <f ca="1"/>
        <v>91282CHH7</v>
      </c>
      <c r="C166" s="66" t="str">
        <f ca="1"/>
        <v>N/A</v>
      </c>
      <c r="D166" s="65" t="str">
        <f ca="1"/>
        <v>UNITED STATES TREAS SER AP-2026         4.12500% 06/15/2026 NTS NOTE</v>
      </c>
      <c r="E166" s="66" t="str">
        <f ca="1"/>
        <v>Tres</v>
      </c>
      <c r="F166" s="67">
        <f ca="1"/>
        <v>4.125</v>
      </c>
      <c r="G166" s="68">
        <f ca="1"/>
        <v>46188</v>
      </c>
      <c r="H166" s="66" t="str">
        <f ca="1"/>
        <v>AAA</v>
      </c>
      <c r="I166" s="66" t="str">
        <f ca="1"/>
        <v>--</v>
      </c>
      <c r="J166" s="69">
        <f ca="1"/>
        <v>99.832999999999998</v>
      </c>
      <c r="K166" s="70">
        <f ca="1"/>
        <v>4.2530000000000001</v>
      </c>
      <c r="L166" s="71" t="str">
        <f ca="1"/>
        <v>80,000(400)</v>
      </c>
      <c r="M166" s="83"/>
      <c r="N166" s="84" t="str">
        <f t="shared" si="39"/>
        <v/>
      </c>
      <c r="O166" s="20" t="str">
        <f t="shared" si="40"/>
        <v/>
      </c>
      <c r="P166" s="64" t="str">
        <f t="shared" si="41"/>
        <v/>
      </c>
      <c r="Q166" s="85" t="str">
        <f t="shared" ca="1" si="42"/>
        <v/>
      </c>
      <c r="R166" s="86" t="str">
        <f t="shared" si="43"/>
        <v/>
      </c>
      <c r="S166" s="86" t="str">
        <f t="shared" si="44"/>
        <v/>
      </c>
      <c r="T166" s="104" t="str">
        <f t="shared" si="30"/>
        <v/>
      </c>
      <c r="U166" s="19" t="str">
        <f>IF(AND(M166&lt;&gt;"",M166&lt;&gt;0), IF(E166 = "Muni", T166, IF(E166="Corp", T166*(1 -'Investor Input'!$C$4-'Investor Input'!$C$5), T166*(1 -'Investor Input'!$C$4))), T166)</f>
        <v/>
      </c>
      <c r="V166" s="84" t="str">
        <f t="shared" si="31"/>
        <v/>
      </c>
      <c r="W166" s="84" t="str">
        <f t="shared" si="32"/>
        <v/>
      </c>
      <c r="X166" s="46" t="str">
        <f t="shared" si="33"/>
        <v/>
      </c>
      <c r="Y166" s="60" t="str">
        <f t="shared" si="34"/>
        <v/>
      </c>
      <c r="Z166" s="60" t="str">
        <f t="shared" si="35"/>
        <v/>
      </c>
      <c r="AA166" s="64" t="str">
        <f t="shared" si="36"/>
        <v/>
      </c>
      <c r="AB166" s="64" t="str">
        <f>IF(AND(AA166&lt;&gt;"",AA166&lt;&gt;0), IF(E166="Muni", AA166, IF(E166 = "Corp", (1-'Investor Input'!$C$4-'Investor Input'!$C$5)*AA166, (1-'Investor Input'!$C$4)*AA166)), AA166)</f>
        <v/>
      </c>
      <c r="AC166" s="94" t="str">
        <f t="shared" si="37"/>
        <v/>
      </c>
      <c r="AD166" s="60" t="str">
        <f>IF(AND(M166&lt;&gt;"", M166&lt;&gt;0), N166/$N$505*MATCH(AC166,'Misc Lists'!$K$2:$K$25,0), "")</f>
        <v/>
      </c>
      <c r="AE166" s="90" t="str">
        <f t="shared" si="38"/>
        <v/>
      </c>
      <c r="AF166" s="99" t="str">
        <f>IF(AND(M166&lt;&gt;"", M166&lt;&gt;0), N166/$N$505*MATCH(AE166,'Misc Lists'!$L$2:$L$25,0), "")</f>
        <v/>
      </c>
    </row>
    <row r="167" spans="2:32" hidden="1" outlineLevel="1" x14ac:dyDescent="0.5">
      <c r="B167" s="65" t="str">
        <f ca="1"/>
        <v>91282CHY0</v>
      </c>
      <c r="C167" s="66" t="str">
        <f ca="1"/>
        <v>N/A</v>
      </c>
      <c r="D167" s="65" t="str">
        <f ca="1"/>
        <v>UNITED STATES TREAS SER AS-2026         4.62500% 09/15/2026 NTS NOTE</v>
      </c>
      <c r="E167" s="66" t="str">
        <f ca="1"/>
        <v>Tres</v>
      </c>
      <c r="F167" s="67">
        <f ca="1"/>
        <v>4.625</v>
      </c>
      <c r="G167" s="68">
        <f ca="1"/>
        <v>46280</v>
      </c>
      <c r="H167" s="66" t="str">
        <f ca="1"/>
        <v>AAA</v>
      </c>
      <c r="I167" s="66" t="str">
        <f ca="1"/>
        <v>--</v>
      </c>
      <c r="J167" s="69">
        <f ca="1"/>
        <v>100.55500000000001</v>
      </c>
      <c r="K167" s="70">
        <f ca="1"/>
        <v>4.2530000000000001</v>
      </c>
      <c r="L167" s="71" t="str">
        <f ca="1"/>
        <v>70,000(400)</v>
      </c>
      <c r="M167" s="83"/>
      <c r="N167" s="84" t="str">
        <f t="shared" si="39"/>
        <v/>
      </c>
      <c r="O167" s="20" t="str">
        <f t="shared" si="40"/>
        <v/>
      </c>
      <c r="P167" s="64" t="str">
        <f t="shared" si="41"/>
        <v/>
      </c>
      <c r="Q167" s="85" t="str">
        <f t="shared" ca="1" si="42"/>
        <v/>
      </c>
      <c r="R167" s="86" t="str">
        <f t="shared" si="43"/>
        <v/>
      </c>
      <c r="S167" s="86" t="str">
        <f t="shared" si="44"/>
        <v/>
      </c>
      <c r="T167" s="104" t="str">
        <f t="shared" si="30"/>
        <v/>
      </c>
      <c r="U167" s="19" t="str">
        <f>IF(AND(M167&lt;&gt;"",M167&lt;&gt;0), IF(E167 = "Muni", T167, IF(E167="Corp", T167*(1 -'Investor Input'!$C$4-'Investor Input'!$C$5), T167*(1 -'Investor Input'!$C$4))), T167)</f>
        <v/>
      </c>
      <c r="V167" s="84" t="str">
        <f t="shared" si="31"/>
        <v/>
      </c>
      <c r="W167" s="84" t="str">
        <f t="shared" si="32"/>
        <v/>
      </c>
      <c r="X167" s="46" t="str">
        <f t="shared" si="33"/>
        <v/>
      </c>
      <c r="Y167" s="60" t="str">
        <f t="shared" si="34"/>
        <v/>
      </c>
      <c r="Z167" s="60" t="str">
        <f t="shared" si="35"/>
        <v/>
      </c>
      <c r="AA167" s="64" t="str">
        <f t="shared" si="36"/>
        <v/>
      </c>
      <c r="AB167" s="64" t="str">
        <f>IF(AND(AA167&lt;&gt;"",AA167&lt;&gt;0), IF(E167="Muni", AA167, IF(E167 = "Corp", (1-'Investor Input'!$C$4-'Investor Input'!$C$5)*AA167, (1-'Investor Input'!$C$4)*AA167)), AA167)</f>
        <v/>
      </c>
      <c r="AC167" s="94" t="str">
        <f t="shared" si="37"/>
        <v/>
      </c>
      <c r="AD167" s="60" t="str">
        <f>IF(AND(M167&lt;&gt;"", M167&lt;&gt;0), N167/$N$505*MATCH(AC167,'Misc Lists'!$K$2:$K$25,0), "")</f>
        <v/>
      </c>
      <c r="AE167" s="90" t="str">
        <f t="shared" si="38"/>
        <v/>
      </c>
      <c r="AF167" s="99" t="str">
        <f>IF(AND(M167&lt;&gt;"", M167&lt;&gt;0), N167/$N$505*MATCH(AE167,'Misc Lists'!$L$2:$L$25,0), "")</f>
        <v/>
      </c>
    </row>
    <row r="168" spans="2:32" hidden="1" outlineLevel="1" x14ac:dyDescent="0.5">
      <c r="B168" s="65" t="str">
        <f ca="1"/>
        <v>91282CEN7</v>
      </c>
      <c r="C168" s="66" t="str">
        <f ca="1"/>
        <v>N/A</v>
      </c>
      <c r="D168" s="65" t="str">
        <f ca="1"/>
        <v>UNITED STATES TREAS SER Y-2027          2.75000% 04/30/2027 NTS NOTE</v>
      </c>
      <c r="E168" s="66" t="str">
        <f ca="1"/>
        <v>Tres</v>
      </c>
      <c r="F168" s="67">
        <f ca="1"/>
        <v>2.75</v>
      </c>
      <c r="G168" s="68">
        <f ca="1"/>
        <v>46507</v>
      </c>
      <c r="H168" s="66" t="str">
        <f ca="1"/>
        <v>AAA</v>
      </c>
      <c r="I168" s="66" t="str">
        <f ca="1"/>
        <v>--</v>
      </c>
      <c r="J168" s="69">
        <f ca="1"/>
        <v>96.876000000000005</v>
      </c>
      <c r="K168" s="70">
        <f ca="1"/>
        <v>4.2530000000000001</v>
      </c>
      <c r="L168" s="71" t="str">
        <f ca="1"/>
        <v>1,000(200)</v>
      </c>
      <c r="M168" s="83"/>
      <c r="N168" s="84" t="str">
        <f t="shared" si="39"/>
        <v/>
      </c>
      <c r="O168" s="20" t="str">
        <f t="shared" si="40"/>
        <v/>
      </c>
      <c r="P168" s="64" t="str">
        <f t="shared" si="41"/>
        <v/>
      </c>
      <c r="Q168" s="85" t="str">
        <f t="shared" ca="1" si="42"/>
        <v/>
      </c>
      <c r="R168" s="86" t="str">
        <f t="shared" si="43"/>
        <v/>
      </c>
      <c r="S168" s="86" t="str">
        <f t="shared" si="44"/>
        <v/>
      </c>
      <c r="T168" s="104" t="str">
        <f t="shared" si="30"/>
        <v/>
      </c>
      <c r="U168" s="19" t="str">
        <f>IF(AND(M168&lt;&gt;"",M168&lt;&gt;0), IF(E168 = "Muni", T168, IF(E168="Corp", T168*(1 -'Investor Input'!$C$4-'Investor Input'!$C$5), T168*(1 -'Investor Input'!$C$4))), T168)</f>
        <v/>
      </c>
      <c r="V168" s="84" t="str">
        <f t="shared" si="31"/>
        <v/>
      </c>
      <c r="W168" s="84" t="str">
        <f t="shared" si="32"/>
        <v/>
      </c>
      <c r="X168" s="46" t="str">
        <f t="shared" si="33"/>
        <v/>
      </c>
      <c r="Y168" s="60" t="str">
        <f t="shared" si="34"/>
        <v/>
      </c>
      <c r="Z168" s="60" t="str">
        <f t="shared" si="35"/>
        <v/>
      </c>
      <c r="AA168" s="64" t="str">
        <f t="shared" si="36"/>
        <v/>
      </c>
      <c r="AB168" s="64" t="str">
        <f>IF(AND(AA168&lt;&gt;"",AA168&lt;&gt;0), IF(E168="Muni", AA168, IF(E168 = "Corp", (1-'Investor Input'!$C$4-'Investor Input'!$C$5)*AA168, (1-'Investor Input'!$C$4)*AA168)), AA168)</f>
        <v/>
      </c>
      <c r="AC168" s="94" t="str">
        <f t="shared" si="37"/>
        <v/>
      </c>
      <c r="AD168" s="60" t="str">
        <f>IF(AND(M168&lt;&gt;"", M168&lt;&gt;0), N168/$N$505*MATCH(AC168,'Misc Lists'!$K$2:$K$25,0), "")</f>
        <v/>
      </c>
      <c r="AE168" s="90" t="str">
        <f t="shared" si="38"/>
        <v/>
      </c>
      <c r="AF168" s="99" t="str">
        <f>IF(AND(M168&lt;&gt;"", M168&lt;&gt;0), N168/$N$505*MATCH(AE168,'Misc Lists'!$L$2:$L$25,0), "")</f>
        <v/>
      </c>
    </row>
    <row r="169" spans="2:32" hidden="1" outlineLevel="1" x14ac:dyDescent="0.5">
      <c r="B169" s="65" t="str">
        <f ca="1"/>
        <v>912828ZV5</v>
      </c>
      <c r="C169" s="66" t="str">
        <f ca="1"/>
        <v>N/A</v>
      </c>
      <c r="D169" s="65" t="str">
        <f ca="1"/>
        <v>UNITED STATES TREAS SER M-2027          0.50000% 06/30/2027 NTS NOTE</v>
      </c>
      <c r="E169" s="66" t="str">
        <f ca="1"/>
        <v>Tres</v>
      </c>
      <c r="F169" s="67">
        <f ca="1"/>
        <v>0.5</v>
      </c>
      <c r="G169" s="68">
        <f ca="1"/>
        <v>46568</v>
      </c>
      <c r="H169" s="66" t="str">
        <f ca="1"/>
        <v>AAA</v>
      </c>
      <c r="I169" s="66" t="str">
        <f ca="1"/>
        <v>NR</v>
      </c>
      <c r="J169" s="69">
        <f ca="1"/>
        <v>91.641000000000005</v>
      </c>
      <c r="K169" s="70">
        <f ca="1"/>
        <v>4.2530000000000001</v>
      </c>
      <c r="L169" s="71" t="str">
        <f ca="1"/>
        <v>65,000(400)</v>
      </c>
      <c r="M169" s="83"/>
      <c r="N169" s="84" t="str">
        <f t="shared" si="39"/>
        <v/>
      </c>
      <c r="O169" s="20" t="str">
        <f t="shared" si="40"/>
        <v/>
      </c>
      <c r="P169" s="64" t="str">
        <f t="shared" si="41"/>
        <v/>
      </c>
      <c r="Q169" s="85" t="str">
        <f t="shared" ca="1" si="42"/>
        <v/>
      </c>
      <c r="R169" s="86" t="str">
        <f t="shared" si="43"/>
        <v/>
      </c>
      <c r="S169" s="86" t="str">
        <f t="shared" si="44"/>
        <v/>
      </c>
      <c r="T169" s="104" t="str">
        <f t="shared" si="30"/>
        <v/>
      </c>
      <c r="U169" s="19" t="str">
        <f>IF(AND(M169&lt;&gt;"",M169&lt;&gt;0), IF(E169 = "Muni", T169, IF(E169="Corp", T169*(1 -'Investor Input'!$C$4-'Investor Input'!$C$5), T169*(1 -'Investor Input'!$C$4))), T169)</f>
        <v/>
      </c>
      <c r="V169" s="84" t="str">
        <f t="shared" si="31"/>
        <v/>
      </c>
      <c r="W169" s="84" t="str">
        <f t="shared" si="32"/>
        <v/>
      </c>
      <c r="X169" s="46" t="str">
        <f t="shared" si="33"/>
        <v/>
      </c>
      <c r="Y169" s="60" t="str">
        <f t="shared" si="34"/>
        <v/>
      </c>
      <c r="Z169" s="60" t="str">
        <f t="shared" si="35"/>
        <v/>
      </c>
      <c r="AA169" s="64" t="str">
        <f t="shared" si="36"/>
        <v/>
      </c>
      <c r="AB169" s="64" t="str">
        <f>IF(AND(AA169&lt;&gt;"",AA169&lt;&gt;0), IF(E169="Muni", AA169, IF(E169 = "Corp", (1-'Investor Input'!$C$4-'Investor Input'!$C$5)*AA169, (1-'Investor Input'!$C$4)*AA169)), AA169)</f>
        <v/>
      </c>
      <c r="AC169" s="94" t="str">
        <f t="shared" si="37"/>
        <v/>
      </c>
      <c r="AD169" s="60" t="str">
        <f>IF(AND(M169&lt;&gt;"", M169&lt;&gt;0), N169/$N$505*MATCH(AC169,'Misc Lists'!$K$2:$K$25,0), "")</f>
        <v/>
      </c>
      <c r="AE169" s="90" t="str">
        <f t="shared" si="38"/>
        <v/>
      </c>
      <c r="AF169" s="99" t="str">
        <f>IF(AND(M169&lt;&gt;"", M169&lt;&gt;0), N169/$N$505*MATCH(AE169,'Misc Lists'!$L$2:$L$25,0), "")</f>
        <v/>
      </c>
    </row>
    <row r="170" spans="2:32" hidden="1" outlineLevel="1" x14ac:dyDescent="0.5">
      <c r="B170" s="65" t="str">
        <f ca="1"/>
        <v>912828YQ7</v>
      </c>
      <c r="C170" s="66" t="str">
        <f ca="1"/>
        <v>N/A</v>
      </c>
      <c r="D170" s="65" t="str">
        <f ca="1"/>
        <v>UNITED STATES TREAS SER R-2026          1.62500% 10/31/2026 NTS NOTE</v>
      </c>
      <c r="E170" s="66" t="str">
        <f ca="1"/>
        <v>Tres</v>
      </c>
      <c r="F170" s="67">
        <f ca="1"/>
        <v>1.625</v>
      </c>
      <c r="G170" s="68">
        <f ca="1"/>
        <v>46326</v>
      </c>
      <c r="H170" s="66" t="str">
        <f ca="1"/>
        <v>AAA</v>
      </c>
      <c r="I170" s="66" t="str">
        <f ca="1"/>
        <v>--</v>
      </c>
      <c r="J170" s="69">
        <f ca="1"/>
        <v>95.742999999999995</v>
      </c>
      <c r="K170" s="70">
        <f ca="1"/>
        <v>4.2519999999999998</v>
      </c>
      <c r="L170" s="71" t="str">
        <f ca="1"/>
        <v>1,000(200)</v>
      </c>
      <c r="M170" s="83"/>
      <c r="N170" s="84" t="str">
        <f t="shared" si="39"/>
        <v/>
      </c>
      <c r="O170" s="20" t="str">
        <f t="shared" si="40"/>
        <v/>
      </c>
      <c r="P170" s="64" t="str">
        <f t="shared" si="41"/>
        <v/>
      </c>
      <c r="Q170" s="85" t="str">
        <f t="shared" ca="1" si="42"/>
        <v/>
      </c>
      <c r="R170" s="86" t="str">
        <f t="shared" si="43"/>
        <v/>
      </c>
      <c r="S170" s="86" t="str">
        <f t="shared" si="44"/>
        <v/>
      </c>
      <c r="T170" s="104" t="str">
        <f t="shared" si="30"/>
        <v/>
      </c>
      <c r="U170" s="19" t="str">
        <f>IF(AND(M170&lt;&gt;"",M170&lt;&gt;0), IF(E170 = "Muni", T170, IF(E170="Corp", T170*(1 -'Investor Input'!$C$4-'Investor Input'!$C$5), T170*(1 -'Investor Input'!$C$4))), T170)</f>
        <v/>
      </c>
      <c r="V170" s="84" t="str">
        <f t="shared" si="31"/>
        <v/>
      </c>
      <c r="W170" s="84" t="str">
        <f t="shared" si="32"/>
        <v/>
      </c>
      <c r="X170" s="46" t="str">
        <f t="shared" si="33"/>
        <v/>
      </c>
      <c r="Y170" s="60" t="str">
        <f t="shared" si="34"/>
        <v/>
      </c>
      <c r="Z170" s="60" t="str">
        <f t="shared" si="35"/>
        <v/>
      </c>
      <c r="AA170" s="64" t="str">
        <f t="shared" si="36"/>
        <v/>
      </c>
      <c r="AB170" s="64" t="str">
        <f>IF(AND(AA170&lt;&gt;"",AA170&lt;&gt;0), IF(E170="Muni", AA170, IF(E170 = "Corp", (1-'Investor Input'!$C$4-'Investor Input'!$C$5)*AA170, (1-'Investor Input'!$C$4)*AA170)), AA170)</f>
        <v/>
      </c>
      <c r="AC170" s="94" t="str">
        <f t="shared" si="37"/>
        <v/>
      </c>
      <c r="AD170" s="60" t="str">
        <f>IF(AND(M170&lt;&gt;"", M170&lt;&gt;0), N170/$N$505*MATCH(AC170,'Misc Lists'!$K$2:$K$25,0), "")</f>
        <v/>
      </c>
      <c r="AE170" s="90" t="str">
        <f t="shared" si="38"/>
        <v/>
      </c>
      <c r="AF170" s="99" t="str">
        <f>IF(AND(M170&lt;&gt;"", M170&lt;&gt;0), N170/$N$505*MATCH(AE170,'Misc Lists'!$L$2:$L$25,0), "")</f>
        <v/>
      </c>
    </row>
    <row r="171" spans="2:32" hidden="1" outlineLevel="1" x14ac:dyDescent="0.5">
      <c r="B171" s="65" t="str">
        <f ca="1"/>
        <v>912828ZE3</v>
      </c>
      <c r="C171" s="66" t="str">
        <f ca="1"/>
        <v>N/A</v>
      </c>
      <c r="D171" s="65" t="str">
        <f ca="1"/>
        <v>UNITED STATES TREAS NOTE                0.62500% 03/31/2027</v>
      </c>
      <c r="E171" s="66" t="str">
        <f ca="1"/>
        <v>Tres</v>
      </c>
      <c r="F171" s="67">
        <f ca="1"/>
        <v>0.625</v>
      </c>
      <c r="G171" s="68">
        <f ca="1"/>
        <v>46477</v>
      </c>
      <c r="H171" s="66" t="str">
        <f ca="1"/>
        <v>AAA</v>
      </c>
      <c r="I171" s="66" t="str">
        <f ca="1"/>
        <v>--</v>
      </c>
      <c r="J171" s="69">
        <f ca="1"/>
        <v>92.742999999999995</v>
      </c>
      <c r="K171" s="70">
        <f ca="1"/>
        <v>4.2519999999999998</v>
      </c>
      <c r="L171" s="71" t="str">
        <f ca="1"/>
        <v>1,000(200)</v>
      </c>
      <c r="M171" s="83"/>
      <c r="N171" s="84" t="str">
        <f t="shared" si="39"/>
        <v/>
      </c>
      <c r="O171" s="20" t="str">
        <f t="shared" si="40"/>
        <v/>
      </c>
      <c r="P171" s="64" t="str">
        <f t="shared" si="41"/>
        <v/>
      </c>
      <c r="Q171" s="85" t="str">
        <f t="shared" ca="1" si="42"/>
        <v/>
      </c>
      <c r="R171" s="86" t="str">
        <f t="shared" si="43"/>
        <v/>
      </c>
      <c r="S171" s="86" t="str">
        <f t="shared" si="44"/>
        <v/>
      </c>
      <c r="T171" s="104" t="str">
        <f t="shared" si="30"/>
        <v/>
      </c>
      <c r="U171" s="19" t="str">
        <f>IF(AND(M171&lt;&gt;"",M171&lt;&gt;0), IF(E171 = "Muni", T171, IF(E171="Corp", T171*(1 -'Investor Input'!$C$4-'Investor Input'!$C$5), T171*(1 -'Investor Input'!$C$4))), T171)</f>
        <v/>
      </c>
      <c r="V171" s="84" t="str">
        <f t="shared" si="31"/>
        <v/>
      </c>
      <c r="W171" s="84" t="str">
        <f t="shared" si="32"/>
        <v/>
      </c>
      <c r="X171" s="46" t="str">
        <f t="shared" si="33"/>
        <v/>
      </c>
      <c r="Y171" s="60" t="str">
        <f t="shared" si="34"/>
        <v/>
      </c>
      <c r="Z171" s="60" t="str">
        <f t="shared" si="35"/>
        <v/>
      </c>
      <c r="AA171" s="64" t="str">
        <f t="shared" si="36"/>
        <v/>
      </c>
      <c r="AB171" s="64" t="str">
        <f>IF(AND(AA171&lt;&gt;"",AA171&lt;&gt;0), IF(E171="Muni", AA171, IF(E171 = "Corp", (1-'Investor Input'!$C$4-'Investor Input'!$C$5)*AA171, (1-'Investor Input'!$C$4)*AA171)), AA171)</f>
        <v/>
      </c>
      <c r="AC171" s="94" t="str">
        <f t="shared" si="37"/>
        <v/>
      </c>
      <c r="AD171" s="60" t="str">
        <f>IF(AND(M171&lt;&gt;"", M171&lt;&gt;0), N171/$N$505*MATCH(AC171,'Misc Lists'!$K$2:$K$25,0), "")</f>
        <v/>
      </c>
      <c r="AE171" s="90" t="str">
        <f t="shared" si="38"/>
        <v/>
      </c>
      <c r="AF171" s="99" t="str">
        <f>IF(AND(M171&lt;&gt;"", M171&lt;&gt;0), N171/$N$505*MATCH(AE171,'Misc Lists'!$L$2:$L$25,0), "")</f>
        <v/>
      </c>
    </row>
    <row r="172" spans="2:32" hidden="1" outlineLevel="1" x14ac:dyDescent="0.5">
      <c r="B172" s="65" t="str">
        <f ca="1"/>
        <v>91282CKV2</v>
      </c>
      <c r="C172" s="66" t="str">
        <f ca="1"/>
        <v>N/A</v>
      </c>
      <c r="D172" s="65" t="str">
        <f ca="1"/>
        <v>UNITED STATES TREAS SER AP-2027         4.62500% 06/15/2027 NTS NOTE</v>
      </c>
      <c r="E172" s="66" t="str">
        <f ca="1"/>
        <v>Tres</v>
      </c>
      <c r="F172" s="67">
        <f ca="1"/>
        <v>4.625</v>
      </c>
      <c r="G172" s="68">
        <f ca="1"/>
        <v>46553</v>
      </c>
      <c r="H172" s="66" t="str">
        <f ca="1"/>
        <v>AAA</v>
      </c>
      <c r="I172" s="66" t="str">
        <f ca="1"/>
        <v>--</v>
      </c>
      <c r="J172" s="69">
        <f ca="1"/>
        <v>100.809</v>
      </c>
      <c r="K172" s="70">
        <f ca="1"/>
        <v>4.2519999999999998</v>
      </c>
      <c r="L172" s="71" t="str">
        <f ca="1"/>
        <v>70,000(400)</v>
      </c>
      <c r="M172" s="83"/>
      <c r="N172" s="84" t="str">
        <f t="shared" si="39"/>
        <v/>
      </c>
      <c r="O172" s="20" t="str">
        <f t="shared" si="40"/>
        <v/>
      </c>
      <c r="P172" s="64" t="str">
        <f t="shared" si="41"/>
        <v/>
      </c>
      <c r="Q172" s="85" t="str">
        <f t="shared" ca="1" si="42"/>
        <v/>
      </c>
      <c r="R172" s="86" t="str">
        <f t="shared" si="43"/>
        <v/>
      </c>
      <c r="S172" s="86" t="str">
        <f t="shared" si="44"/>
        <v/>
      </c>
      <c r="T172" s="104" t="str">
        <f t="shared" si="30"/>
        <v/>
      </c>
      <c r="U172" s="19" t="str">
        <f>IF(AND(M172&lt;&gt;"",M172&lt;&gt;0), IF(E172 = "Muni", T172, IF(E172="Corp", T172*(1 -'Investor Input'!$C$4-'Investor Input'!$C$5), T172*(1 -'Investor Input'!$C$4))), T172)</f>
        <v/>
      </c>
      <c r="V172" s="84" t="str">
        <f t="shared" si="31"/>
        <v/>
      </c>
      <c r="W172" s="84" t="str">
        <f t="shared" si="32"/>
        <v/>
      </c>
      <c r="X172" s="46" t="str">
        <f t="shared" si="33"/>
        <v/>
      </c>
      <c r="Y172" s="60" t="str">
        <f t="shared" si="34"/>
        <v/>
      </c>
      <c r="Z172" s="60" t="str">
        <f t="shared" si="35"/>
        <v/>
      </c>
      <c r="AA172" s="64" t="str">
        <f t="shared" si="36"/>
        <v/>
      </c>
      <c r="AB172" s="64" t="str">
        <f>IF(AND(AA172&lt;&gt;"",AA172&lt;&gt;0), IF(E172="Muni", AA172, IF(E172 = "Corp", (1-'Investor Input'!$C$4-'Investor Input'!$C$5)*AA172, (1-'Investor Input'!$C$4)*AA172)), AA172)</f>
        <v/>
      </c>
      <c r="AC172" s="94" t="str">
        <f t="shared" si="37"/>
        <v/>
      </c>
      <c r="AD172" s="60" t="str">
        <f>IF(AND(M172&lt;&gt;"", M172&lt;&gt;0), N172/$N$505*MATCH(AC172,'Misc Lists'!$K$2:$K$25,0), "")</f>
        <v/>
      </c>
      <c r="AE172" s="90" t="str">
        <f t="shared" si="38"/>
        <v/>
      </c>
      <c r="AF172" s="99" t="str">
        <f>IF(AND(M172&lt;&gt;"", M172&lt;&gt;0), N172/$N$505*MATCH(AE172,'Misc Lists'!$L$2:$L$25,0), "")</f>
        <v/>
      </c>
    </row>
    <row r="173" spans="2:32" hidden="1" outlineLevel="1" x14ac:dyDescent="0.5">
      <c r="B173" s="65" t="str">
        <f ca="1"/>
        <v>9128282R0</v>
      </c>
      <c r="C173" s="66" t="str">
        <f ca="1"/>
        <v>N/A</v>
      </c>
      <c r="D173" s="65" t="str">
        <f ca="1"/>
        <v>UNITED STATES TREAS SER E-2027          2.25000% 08/15/2027 NTS NOTE</v>
      </c>
      <c r="E173" s="66" t="str">
        <f ca="1"/>
        <v>Tres</v>
      </c>
      <c r="F173" s="67">
        <f ca="1"/>
        <v>2.25</v>
      </c>
      <c r="G173" s="68">
        <f ca="1"/>
        <v>46614</v>
      </c>
      <c r="H173" s="66" t="str">
        <f ca="1"/>
        <v>AAA</v>
      </c>
      <c r="I173" s="66" t="str">
        <f ca="1"/>
        <v>--</v>
      </c>
      <c r="J173" s="69">
        <f ca="1"/>
        <v>95.313000000000002</v>
      </c>
      <c r="K173" s="70">
        <f ca="1"/>
        <v>4.2519999999999998</v>
      </c>
      <c r="L173" s="71" t="str">
        <f ca="1"/>
        <v>1,000(200)</v>
      </c>
      <c r="M173" s="83"/>
      <c r="N173" s="84" t="str">
        <f t="shared" si="39"/>
        <v/>
      </c>
      <c r="O173" s="20" t="str">
        <f t="shared" si="40"/>
        <v/>
      </c>
      <c r="P173" s="64" t="str">
        <f t="shared" si="41"/>
        <v/>
      </c>
      <c r="Q173" s="85" t="str">
        <f t="shared" ca="1" si="42"/>
        <v/>
      </c>
      <c r="R173" s="86" t="str">
        <f t="shared" si="43"/>
        <v/>
      </c>
      <c r="S173" s="86" t="str">
        <f t="shared" si="44"/>
        <v/>
      </c>
      <c r="T173" s="104" t="str">
        <f t="shared" si="30"/>
        <v/>
      </c>
      <c r="U173" s="19" t="str">
        <f>IF(AND(M173&lt;&gt;"",M173&lt;&gt;0), IF(E173 = "Muni", T173, IF(E173="Corp", T173*(1 -'Investor Input'!$C$4-'Investor Input'!$C$5), T173*(1 -'Investor Input'!$C$4))), T173)</f>
        <v/>
      </c>
      <c r="V173" s="84" t="str">
        <f t="shared" si="31"/>
        <v/>
      </c>
      <c r="W173" s="84" t="str">
        <f t="shared" si="32"/>
        <v/>
      </c>
      <c r="X173" s="46" t="str">
        <f t="shared" si="33"/>
        <v/>
      </c>
      <c r="Y173" s="60" t="str">
        <f t="shared" si="34"/>
        <v/>
      </c>
      <c r="Z173" s="60" t="str">
        <f t="shared" si="35"/>
        <v/>
      </c>
      <c r="AA173" s="64" t="str">
        <f t="shared" si="36"/>
        <v/>
      </c>
      <c r="AB173" s="64" t="str">
        <f>IF(AND(AA173&lt;&gt;"",AA173&lt;&gt;0), IF(E173="Muni", AA173, IF(E173 = "Corp", (1-'Investor Input'!$C$4-'Investor Input'!$C$5)*AA173, (1-'Investor Input'!$C$4)*AA173)), AA173)</f>
        <v/>
      </c>
      <c r="AC173" s="94" t="str">
        <f t="shared" si="37"/>
        <v/>
      </c>
      <c r="AD173" s="60" t="str">
        <f>IF(AND(M173&lt;&gt;"", M173&lt;&gt;0), N173/$N$505*MATCH(AC173,'Misc Lists'!$K$2:$K$25,0), "")</f>
        <v/>
      </c>
      <c r="AE173" s="90" t="str">
        <f t="shared" si="38"/>
        <v/>
      </c>
      <c r="AF173" s="99" t="str">
        <f>IF(AND(M173&lt;&gt;"", M173&lt;&gt;0), N173/$N$505*MATCH(AE173,'Misc Lists'!$L$2:$L$25,0), "")</f>
        <v/>
      </c>
    </row>
    <row r="174" spans="2:32" hidden="1" outlineLevel="1" x14ac:dyDescent="0.5">
      <c r="B174" s="65" t="str">
        <f ca="1"/>
        <v>91282CHM6</v>
      </c>
      <c r="C174" s="66" t="str">
        <f ca="1"/>
        <v>N/A</v>
      </c>
      <c r="D174" s="65" t="str">
        <f ca="1"/>
        <v>UNITED STATES TREAS SER AQ-2026         4.50000% 07/15/2026 NTS NOTE</v>
      </c>
      <c r="E174" s="66" t="str">
        <f ca="1"/>
        <v>Tres</v>
      </c>
      <c r="F174" s="67">
        <f ca="1"/>
        <v>4.5</v>
      </c>
      <c r="G174" s="68">
        <f ca="1"/>
        <v>46218</v>
      </c>
      <c r="H174" s="66" t="str">
        <f ca="1"/>
        <v>AAA</v>
      </c>
      <c r="I174" s="66" t="str">
        <f ca="1"/>
        <v>--</v>
      </c>
      <c r="J174" s="69">
        <f ca="1"/>
        <v>100.333</v>
      </c>
      <c r="K174" s="70">
        <f ca="1"/>
        <v>4.2510000000000003</v>
      </c>
      <c r="L174" s="71" t="str">
        <f ca="1"/>
        <v>70,000(400)</v>
      </c>
      <c r="M174" s="83"/>
      <c r="N174" s="84" t="str">
        <f t="shared" si="39"/>
        <v/>
      </c>
      <c r="O174" s="20" t="str">
        <f t="shared" si="40"/>
        <v/>
      </c>
      <c r="P174" s="64" t="str">
        <f t="shared" si="41"/>
        <v/>
      </c>
      <c r="Q174" s="85" t="str">
        <f t="shared" ca="1" si="42"/>
        <v/>
      </c>
      <c r="R174" s="86" t="str">
        <f t="shared" si="43"/>
        <v/>
      </c>
      <c r="S174" s="86" t="str">
        <f t="shared" si="44"/>
        <v/>
      </c>
      <c r="T174" s="104" t="str">
        <f t="shared" si="30"/>
        <v/>
      </c>
      <c r="U174" s="19" t="str">
        <f>IF(AND(M174&lt;&gt;"",M174&lt;&gt;0), IF(E174 = "Muni", T174, IF(E174="Corp", T174*(1 -'Investor Input'!$C$4-'Investor Input'!$C$5), T174*(1 -'Investor Input'!$C$4))), T174)</f>
        <v/>
      </c>
      <c r="V174" s="84" t="str">
        <f t="shared" si="31"/>
        <v/>
      </c>
      <c r="W174" s="84" t="str">
        <f t="shared" si="32"/>
        <v/>
      </c>
      <c r="X174" s="46" t="str">
        <f t="shared" si="33"/>
        <v/>
      </c>
      <c r="Y174" s="60" t="str">
        <f t="shared" si="34"/>
        <v/>
      </c>
      <c r="Z174" s="60" t="str">
        <f t="shared" si="35"/>
        <v/>
      </c>
      <c r="AA174" s="64" t="str">
        <f t="shared" si="36"/>
        <v/>
      </c>
      <c r="AB174" s="64" t="str">
        <f>IF(AND(AA174&lt;&gt;"",AA174&lt;&gt;0), IF(E174="Muni", AA174, IF(E174 = "Corp", (1-'Investor Input'!$C$4-'Investor Input'!$C$5)*AA174, (1-'Investor Input'!$C$4)*AA174)), AA174)</f>
        <v/>
      </c>
      <c r="AC174" s="94" t="str">
        <f t="shared" si="37"/>
        <v/>
      </c>
      <c r="AD174" s="60" t="str">
        <f>IF(AND(M174&lt;&gt;"", M174&lt;&gt;0), N174/$N$505*MATCH(AC174,'Misc Lists'!$K$2:$K$25,0), "")</f>
        <v/>
      </c>
      <c r="AE174" s="90" t="str">
        <f t="shared" si="38"/>
        <v/>
      </c>
      <c r="AF174" s="99" t="str">
        <f>IF(AND(M174&lt;&gt;"", M174&lt;&gt;0), N174/$N$505*MATCH(AE174,'Misc Lists'!$L$2:$L$25,0), "")</f>
        <v/>
      </c>
    </row>
    <row r="175" spans="2:32" hidden="1" outlineLevel="1" x14ac:dyDescent="0.5">
      <c r="B175" s="65" t="str">
        <f ca="1"/>
        <v>912828YD6</v>
      </c>
      <c r="C175" s="66" t="str">
        <f ca="1"/>
        <v>N/A</v>
      </c>
      <c r="D175" s="65" t="str">
        <f ca="1"/>
        <v>UNITED STATES TREAS SER P-2026          1.37500% 08/31/2026 NTS NOTE</v>
      </c>
      <c r="E175" s="66" t="str">
        <f ca="1"/>
        <v>Tres</v>
      </c>
      <c r="F175" s="67">
        <f ca="1"/>
        <v>1.375</v>
      </c>
      <c r="G175" s="68">
        <f ca="1"/>
        <v>46265</v>
      </c>
      <c r="H175" s="66" t="str">
        <f ca="1"/>
        <v>--</v>
      </c>
      <c r="I175" s="66" t="str">
        <f ca="1"/>
        <v>--</v>
      </c>
      <c r="J175" s="69">
        <f ca="1"/>
        <v>95.787999999999997</v>
      </c>
      <c r="K175" s="70">
        <f ca="1"/>
        <v>4.2510000000000003</v>
      </c>
      <c r="L175" s="71" t="str">
        <f ca="1"/>
        <v>1,000(200)</v>
      </c>
      <c r="M175" s="83"/>
      <c r="N175" s="84" t="str">
        <f t="shared" si="39"/>
        <v/>
      </c>
      <c r="O175" s="20" t="str">
        <f t="shared" si="40"/>
        <v/>
      </c>
      <c r="P175" s="64" t="str">
        <f t="shared" si="41"/>
        <v/>
      </c>
      <c r="Q175" s="85" t="str">
        <f t="shared" ca="1" si="42"/>
        <v/>
      </c>
      <c r="R175" s="86" t="str">
        <f t="shared" si="43"/>
        <v/>
      </c>
      <c r="S175" s="86" t="str">
        <f t="shared" si="44"/>
        <v/>
      </c>
      <c r="T175" s="104" t="str">
        <f t="shared" si="30"/>
        <v/>
      </c>
      <c r="U175" s="19" t="str">
        <f>IF(AND(M175&lt;&gt;"",M175&lt;&gt;0), IF(E175 = "Muni", T175, IF(E175="Corp", T175*(1 -'Investor Input'!$C$4-'Investor Input'!$C$5), T175*(1 -'Investor Input'!$C$4))), T175)</f>
        <v/>
      </c>
      <c r="V175" s="84" t="str">
        <f t="shared" si="31"/>
        <v/>
      </c>
      <c r="W175" s="84" t="str">
        <f t="shared" si="32"/>
        <v/>
      </c>
      <c r="X175" s="46" t="str">
        <f t="shared" si="33"/>
        <v/>
      </c>
      <c r="Y175" s="60" t="str">
        <f t="shared" si="34"/>
        <v/>
      </c>
      <c r="Z175" s="60" t="str">
        <f t="shared" si="35"/>
        <v/>
      </c>
      <c r="AA175" s="64" t="str">
        <f t="shared" si="36"/>
        <v/>
      </c>
      <c r="AB175" s="64" t="str">
        <f>IF(AND(AA175&lt;&gt;"",AA175&lt;&gt;0), IF(E175="Muni", AA175, IF(E175 = "Corp", (1-'Investor Input'!$C$4-'Investor Input'!$C$5)*AA175, (1-'Investor Input'!$C$4)*AA175)), AA175)</f>
        <v/>
      </c>
      <c r="AC175" s="94" t="str">
        <f t="shared" si="37"/>
        <v/>
      </c>
      <c r="AD175" s="60" t="str">
        <f>IF(AND(M175&lt;&gt;"", M175&lt;&gt;0), N175/$N$505*MATCH(AC175,'Misc Lists'!$K$2:$K$25,0), "")</f>
        <v/>
      </c>
      <c r="AE175" s="90" t="str">
        <f t="shared" si="38"/>
        <v/>
      </c>
      <c r="AF175" s="99" t="str">
        <f>IF(AND(M175&lt;&gt;"", M175&lt;&gt;0), N175/$N$505*MATCH(AE175,'Misc Lists'!$L$2:$L$25,0), "")</f>
        <v/>
      </c>
    </row>
    <row r="176" spans="2:32" hidden="1" outlineLevel="1" x14ac:dyDescent="0.5">
      <c r="B176" s="65" t="str">
        <f ca="1"/>
        <v>91282CKA8</v>
      </c>
      <c r="C176" s="66" t="str">
        <f ca="1"/>
        <v>N/A</v>
      </c>
      <c r="D176" s="65" t="str">
        <f ca="1"/>
        <v>UNITED STATES TREAS SER AK-2027         4.12500% 02/15/2027 NTS NOTE</v>
      </c>
      <c r="E176" s="66" t="str">
        <f ca="1"/>
        <v>Tres</v>
      </c>
      <c r="F176" s="67">
        <f ca="1"/>
        <v>4.125</v>
      </c>
      <c r="G176" s="68">
        <f ca="1"/>
        <v>46433</v>
      </c>
      <c r="H176" s="66" t="str">
        <f ca="1"/>
        <v>AAA</v>
      </c>
      <c r="I176" s="66" t="str">
        <f ca="1"/>
        <v>--</v>
      </c>
      <c r="J176" s="69">
        <f ca="1"/>
        <v>99.760999999999996</v>
      </c>
      <c r="K176" s="70">
        <f ca="1"/>
        <v>4.2510000000000003</v>
      </c>
      <c r="L176" s="71" t="str">
        <f ca="1"/>
        <v>1,000(200)</v>
      </c>
      <c r="M176" s="83"/>
      <c r="N176" s="84" t="str">
        <f t="shared" si="39"/>
        <v/>
      </c>
      <c r="O176" s="20" t="str">
        <f t="shared" si="40"/>
        <v/>
      </c>
      <c r="P176" s="64" t="str">
        <f t="shared" si="41"/>
        <v/>
      </c>
      <c r="Q176" s="85" t="str">
        <f t="shared" ca="1" si="42"/>
        <v/>
      </c>
      <c r="R176" s="86" t="str">
        <f t="shared" si="43"/>
        <v/>
      </c>
      <c r="S176" s="86" t="str">
        <f t="shared" si="44"/>
        <v/>
      </c>
      <c r="T176" s="104" t="str">
        <f t="shared" si="30"/>
        <v/>
      </c>
      <c r="U176" s="19" t="str">
        <f>IF(AND(M176&lt;&gt;"",M176&lt;&gt;0), IF(E176 = "Muni", T176, IF(E176="Corp", T176*(1 -'Investor Input'!$C$4-'Investor Input'!$C$5), T176*(1 -'Investor Input'!$C$4))), T176)</f>
        <v/>
      </c>
      <c r="V176" s="84" t="str">
        <f t="shared" si="31"/>
        <v/>
      </c>
      <c r="W176" s="84" t="str">
        <f t="shared" si="32"/>
        <v/>
      </c>
      <c r="X176" s="46" t="str">
        <f t="shared" si="33"/>
        <v/>
      </c>
      <c r="Y176" s="60" t="str">
        <f t="shared" si="34"/>
        <v/>
      </c>
      <c r="Z176" s="60" t="str">
        <f t="shared" si="35"/>
        <v/>
      </c>
      <c r="AA176" s="64" t="str">
        <f t="shared" si="36"/>
        <v/>
      </c>
      <c r="AB176" s="64" t="str">
        <f>IF(AND(AA176&lt;&gt;"",AA176&lt;&gt;0), IF(E176="Muni", AA176, IF(E176 = "Corp", (1-'Investor Input'!$C$4-'Investor Input'!$C$5)*AA176, (1-'Investor Input'!$C$4)*AA176)), AA176)</f>
        <v/>
      </c>
      <c r="AC176" s="94" t="str">
        <f t="shared" si="37"/>
        <v/>
      </c>
      <c r="AD176" s="60" t="str">
        <f>IF(AND(M176&lt;&gt;"", M176&lt;&gt;0), N176/$N$505*MATCH(AC176,'Misc Lists'!$K$2:$K$25,0), "")</f>
        <v/>
      </c>
      <c r="AE176" s="90" t="str">
        <f t="shared" si="38"/>
        <v/>
      </c>
      <c r="AF176" s="99" t="str">
        <f>IF(AND(M176&lt;&gt;"", M176&lt;&gt;0), N176/$N$505*MATCH(AE176,'Misc Lists'!$L$2:$L$25,0), "")</f>
        <v/>
      </c>
    </row>
    <row r="177" spans="2:32" hidden="1" outlineLevel="1" x14ac:dyDescent="0.5">
      <c r="B177" s="65" t="str">
        <f ca="1"/>
        <v>91282CFM8</v>
      </c>
      <c r="C177" s="66" t="str">
        <f ca="1"/>
        <v>N/A</v>
      </c>
      <c r="D177" s="65" t="str">
        <f ca="1"/>
        <v>UNITED STATES TREAS SER AD-2027         4.12500% 09/30/2027 NTS NOTE</v>
      </c>
      <c r="E177" s="66" t="str">
        <f ca="1"/>
        <v>Tres</v>
      </c>
      <c r="F177" s="67">
        <f ca="1"/>
        <v>4.125</v>
      </c>
      <c r="G177" s="68">
        <f ca="1"/>
        <v>46660</v>
      </c>
      <c r="H177" s="66" t="str">
        <f ca="1"/>
        <v>AAA</v>
      </c>
      <c r="I177" s="66" t="str">
        <f ca="1"/>
        <v>--</v>
      </c>
      <c r="J177" s="69">
        <f ca="1"/>
        <v>99.688000000000002</v>
      </c>
      <c r="K177" s="70">
        <f ca="1"/>
        <v>4.2510000000000003</v>
      </c>
      <c r="L177" s="71" t="str">
        <f ca="1"/>
        <v>1,000(200)</v>
      </c>
      <c r="M177" s="83"/>
      <c r="N177" s="84" t="str">
        <f t="shared" si="39"/>
        <v/>
      </c>
      <c r="O177" s="20" t="str">
        <f t="shared" si="40"/>
        <v/>
      </c>
      <c r="P177" s="64" t="str">
        <f t="shared" si="41"/>
        <v/>
      </c>
      <c r="Q177" s="85" t="str">
        <f t="shared" ca="1" si="42"/>
        <v/>
      </c>
      <c r="R177" s="86" t="str">
        <f t="shared" si="43"/>
        <v/>
      </c>
      <c r="S177" s="86" t="str">
        <f t="shared" si="44"/>
        <v/>
      </c>
      <c r="T177" s="104" t="str">
        <f t="shared" si="30"/>
        <v/>
      </c>
      <c r="U177" s="19" t="str">
        <f>IF(AND(M177&lt;&gt;"",M177&lt;&gt;0), IF(E177 = "Muni", T177, IF(E177="Corp", T177*(1 -'Investor Input'!$C$4-'Investor Input'!$C$5), T177*(1 -'Investor Input'!$C$4))), T177)</f>
        <v/>
      </c>
      <c r="V177" s="84" t="str">
        <f t="shared" si="31"/>
        <v/>
      </c>
      <c r="W177" s="84" t="str">
        <f t="shared" si="32"/>
        <v/>
      </c>
      <c r="X177" s="46" t="str">
        <f t="shared" si="33"/>
        <v/>
      </c>
      <c r="Y177" s="60" t="str">
        <f t="shared" si="34"/>
        <v/>
      </c>
      <c r="Z177" s="60" t="str">
        <f t="shared" si="35"/>
        <v/>
      </c>
      <c r="AA177" s="64" t="str">
        <f t="shared" si="36"/>
        <v/>
      </c>
      <c r="AB177" s="64" t="str">
        <f>IF(AND(AA177&lt;&gt;"",AA177&lt;&gt;0), IF(E177="Muni", AA177, IF(E177 = "Corp", (1-'Investor Input'!$C$4-'Investor Input'!$C$5)*AA177, (1-'Investor Input'!$C$4)*AA177)), AA177)</f>
        <v/>
      </c>
      <c r="AC177" s="94" t="str">
        <f t="shared" si="37"/>
        <v/>
      </c>
      <c r="AD177" s="60" t="str">
        <f>IF(AND(M177&lt;&gt;"", M177&lt;&gt;0), N177/$N$505*MATCH(AC177,'Misc Lists'!$K$2:$K$25,0), "")</f>
        <v/>
      </c>
      <c r="AE177" s="90" t="str">
        <f t="shared" si="38"/>
        <v/>
      </c>
      <c r="AF177" s="99" t="str">
        <f>IF(AND(M177&lt;&gt;"", M177&lt;&gt;0), N177/$N$505*MATCH(AE177,'Misc Lists'!$L$2:$L$25,0), "")</f>
        <v/>
      </c>
    </row>
    <row r="178" spans="2:32" hidden="1" outlineLevel="1" x14ac:dyDescent="0.5">
      <c r="B178" s="65" t="str">
        <f ca="1"/>
        <v>9128285T3</v>
      </c>
      <c r="C178" s="66" t="str">
        <f ca="1"/>
        <v>N/A</v>
      </c>
      <c r="D178" s="65" t="str">
        <f ca="1"/>
        <v>UNITED STATES TREAS SER T-2025          2.62500% 12/31/2025 NTS NOTE</v>
      </c>
      <c r="E178" s="66" t="str">
        <f ca="1"/>
        <v>Tres</v>
      </c>
      <c r="F178" s="67">
        <f ca="1"/>
        <v>2.625</v>
      </c>
      <c r="G178" s="68">
        <f ca="1"/>
        <v>46022</v>
      </c>
      <c r="H178" s="66" t="str">
        <f ca="1"/>
        <v>AAA</v>
      </c>
      <c r="I178" s="66" t="str">
        <f ca="1"/>
        <v>--</v>
      </c>
      <c r="J178" s="69">
        <f ca="1"/>
        <v>98.632000000000005</v>
      </c>
      <c r="K178" s="70">
        <f ca="1"/>
        <v>4.25</v>
      </c>
      <c r="L178" s="71" t="str">
        <f ca="1"/>
        <v>2,800(200)</v>
      </c>
      <c r="M178" s="83"/>
      <c r="N178" s="84" t="str">
        <f t="shared" si="39"/>
        <v/>
      </c>
      <c r="O178" s="20" t="str">
        <f t="shared" si="40"/>
        <v/>
      </c>
      <c r="P178" s="64" t="str">
        <f t="shared" si="41"/>
        <v/>
      </c>
      <c r="Q178" s="85" t="str">
        <f t="shared" ca="1" si="42"/>
        <v/>
      </c>
      <c r="R178" s="86" t="str">
        <f t="shared" si="43"/>
        <v/>
      </c>
      <c r="S178" s="86" t="str">
        <f t="shared" si="44"/>
        <v/>
      </c>
      <c r="T178" s="104" t="str">
        <f t="shared" si="30"/>
        <v/>
      </c>
      <c r="U178" s="19" t="str">
        <f>IF(AND(M178&lt;&gt;"",M178&lt;&gt;0), IF(E178 = "Muni", T178, IF(E178="Corp", T178*(1 -'Investor Input'!$C$4-'Investor Input'!$C$5), T178*(1 -'Investor Input'!$C$4))), T178)</f>
        <v/>
      </c>
      <c r="V178" s="84" t="str">
        <f t="shared" si="31"/>
        <v/>
      </c>
      <c r="W178" s="84" t="str">
        <f t="shared" si="32"/>
        <v/>
      </c>
      <c r="X178" s="46" t="str">
        <f t="shared" si="33"/>
        <v/>
      </c>
      <c r="Y178" s="60" t="str">
        <f t="shared" si="34"/>
        <v/>
      </c>
      <c r="Z178" s="60" t="str">
        <f t="shared" si="35"/>
        <v/>
      </c>
      <c r="AA178" s="64" t="str">
        <f t="shared" si="36"/>
        <v/>
      </c>
      <c r="AB178" s="64" t="str">
        <f>IF(AND(AA178&lt;&gt;"",AA178&lt;&gt;0), IF(E178="Muni", AA178, IF(E178 = "Corp", (1-'Investor Input'!$C$4-'Investor Input'!$C$5)*AA178, (1-'Investor Input'!$C$4)*AA178)), AA178)</f>
        <v/>
      </c>
      <c r="AC178" s="94" t="str">
        <f t="shared" si="37"/>
        <v/>
      </c>
      <c r="AD178" s="60" t="str">
        <f>IF(AND(M178&lt;&gt;"", M178&lt;&gt;0), N178/$N$505*MATCH(AC178,'Misc Lists'!$K$2:$K$25,0), "")</f>
        <v/>
      </c>
      <c r="AE178" s="90" t="str">
        <f t="shared" si="38"/>
        <v/>
      </c>
      <c r="AF178" s="99" t="str">
        <f>IF(AND(M178&lt;&gt;"", M178&lt;&gt;0), N178/$N$505*MATCH(AE178,'Misc Lists'!$L$2:$L$25,0), "")</f>
        <v/>
      </c>
    </row>
    <row r="179" spans="2:32" hidden="1" outlineLevel="1" x14ac:dyDescent="0.5">
      <c r="B179" s="65" t="str">
        <f ca="1"/>
        <v>9128287B0</v>
      </c>
      <c r="C179" s="66" t="str">
        <f ca="1"/>
        <v>N/A</v>
      </c>
      <c r="D179" s="65" t="str">
        <f ca="1"/>
        <v>UNITED STATES TREAS SER M-2026          1.87500% 06/30/2026 NTS NOTE</v>
      </c>
      <c r="E179" s="66" t="str">
        <f ca="1"/>
        <v>Tres</v>
      </c>
      <c r="F179" s="67">
        <f ca="1"/>
        <v>1.875</v>
      </c>
      <c r="G179" s="68">
        <f ca="1"/>
        <v>46203</v>
      </c>
      <c r="H179" s="66" t="str">
        <f ca="1"/>
        <v>AAA</v>
      </c>
      <c r="I179" s="66" t="str">
        <f ca="1"/>
        <v>--</v>
      </c>
      <c r="J179" s="69">
        <f ca="1"/>
        <v>96.881</v>
      </c>
      <c r="K179" s="70">
        <f ca="1"/>
        <v>4.25</v>
      </c>
      <c r="L179" s="71" t="str">
        <f ca="1"/>
        <v>2,800(200)</v>
      </c>
      <c r="M179" s="83"/>
      <c r="N179" s="84" t="str">
        <f t="shared" si="39"/>
        <v/>
      </c>
      <c r="O179" s="20" t="str">
        <f t="shared" si="40"/>
        <v/>
      </c>
      <c r="P179" s="64" t="str">
        <f t="shared" si="41"/>
        <v/>
      </c>
      <c r="Q179" s="85" t="str">
        <f t="shared" ca="1" si="42"/>
        <v/>
      </c>
      <c r="R179" s="86" t="str">
        <f t="shared" si="43"/>
        <v/>
      </c>
      <c r="S179" s="86" t="str">
        <f t="shared" si="44"/>
        <v/>
      </c>
      <c r="T179" s="104" t="str">
        <f t="shared" si="30"/>
        <v/>
      </c>
      <c r="U179" s="19" t="str">
        <f>IF(AND(M179&lt;&gt;"",M179&lt;&gt;0), IF(E179 = "Muni", T179, IF(E179="Corp", T179*(1 -'Investor Input'!$C$4-'Investor Input'!$C$5), T179*(1 -'Investor Input'!$C$4))), T179)</f>
        <v/>
      </c>
      <c r="V179" s="84" t="str">
        <f t="shared" si="31"/>
        <v/>
      </c>
      <c r="W179" s="84" t="str">
        <f t="shared" si="32"/>
        <v/>
      </c>
      <c r="X179" s="46" t="str">
        <f t="shared" si="33"/>
        <v/>
      </c>
      <c r="Y179" s="60" t="str">
        <f t="shared" si="34"/>
        <v/>
      </c>
      <c r="Z179" s="60" t="str">
        <f t="shared" si="35"/>
        <v/>
      </c>
      <c r="AA179" s="64" t="str">
        <f t="shared" si="36"/>
        <v/>
      </c>
      <c r="AB179" s="64" t="str">
        <f>IF(AND(AA179&lt;&gt;"",AA179&lt;&gt;0), IF(E179="Muni", AA179, IF(E179 = "Corp", (1-'Investor Input'!$C$4-'Investor Input'!$C$5)*AA179, (1-'Investor Input'!$C$4)*AA179)), AA179)</f>
        <v/>
      </c>
      <c r="AC179" s="94" t="str">
        <f t="shared" si="37"/>
        <v/>
      </c>
      <c r="AD179" s="60" t="str">
        <f>IF(AND(M179&lt;&gt;"", M179&lt;&gt;0), N179/$N$505*MATCH(AC179,'Misc Lists'!$K$2:$K$25,0), "")</f>
        <v/>
      </c>
      <c r="AE179" s="90" t="str">
        <f t="shared" si="38"/>
        <v/>
      </c>
      <c r="AF179" s="99" t="str">
        <f>IF(AND(M179&lt;&gt;"", M179&lt;&gt;0), N179/$N$505*MATCH(AE179,'Misc Lists'!$L$2:$L$25,0), "")</f>
        <v/>
      </c>
    </row>
    <row r="180" spans="2:32" hidden="1" outlineLevel="1" x14ac:dyDescent="0.5">
      <c r="B180" s="65" t="str">
        <f ca="1"/>
        <v>912828YU8</v>
      </c>
      <c r="C180" s="66" t="str">
        <f ca="1"/>
        <v>N/A</v>
      </c>
      <c r="D180" s="65" t="str">
        <f ca="1"/>
        <v>UNITED STATES TREAS SER S-2026          1.62500% 11/30/2026 NTS NOTE</v>
      </c>
      <c r="E180" s="66" t="str">
        <f ca="1"/>
        <v>Tres</v>
      </c>
      <c r="F180" s="67">
        <f ca="1"/>
        <v>1.625</v>
      </c>
      <c r="G180" s="68">
        <f ca="1"/>
        <v>46356</v>
      </c>
      <c r="H180" s="66" t="str">
        <f ca="1"/>
        <v>AAA</v>
      </c>
      <c r="I180" s="66" t="str">
        <f ca="1"/>
        <v>--</v>
      </c>
      <c r="J180" s="69">
        <f ca="1"/>
        <v>95.546000000000006</v>
      </c>
      <c r="K180" s="70">
        <f ca="1"/>
        <v>4.2480000000000002</v>
      </c>
      <c r="L180" s="71" t="str">
        <f ca="1"/>
        <v>1,000(200)</v>
      </c>
      <c r="M180" s="83"/>
      <c r="N180" s="84" t="str">
        <f t="shared" si="39"/>
        <v/>
      </c>
      <c r="O180" s="20" t="str">
        <f t="shared" si="40"/>
        <v/>
      </c>
      <c r="P180" s="64" t="str">
        <f t="shared" si="41"/>
        <v/>
      </c>
      <c r="Q180" s="85" t="str">
        <f t="shared" ca="1" si="42"/>
        <v/>
      </c>
      <c r="R180" s="86" t="str">
        <f t="shared" si="43"/>
        <v/>
      </c>
      <c r="S180" s="86" t="str">
        <f t="shared" si="44"/>
        <v/>
      </c>
      <c r="T180" s="104" t="str">
        <f t="shared" si="30"/>
        <v/>
      </c>
      <c r="U180" s="19" t="str">
        <f>IF(AND(M180&lt;&gt;"",M180&lt;&gt;0), IF(E180 = "Muni", T180, IF(E180="Corp", T180*(1 -'Investor Input'!$C$4-'Investor Input'!$C$5), T180*(1 -'Investor Input'!$C$4))), T180)</f>
        <v/>
      </c>
      <c r="V180" s="84" t="str">
        <f t="shared" si="31"/>
        <v/>
      </c>
      <c r="W180" s="84" t="str">
        <f t="shared" si="32"/>
        <v/>
      </c>
      <c r="X180" s="46" t="str">
        <f t="shared" si="33"/>
        <v/>
      </c>
      <c r="Y180" s="60" t="str">
        <f t="shared" si="34"/>
        <v/>
      </c>
      <c r="Z180" s="60" t="str">
        <f t="shared" si="35"/>
        <v/>
      </c>
      <c r="AA180" s="64" t="str">
        <f t="shared" si="36"/>
        <v/>
      </c>
      <c r="AB180" s="64" t="str">
        <f>IF(AND(AA180&lt;&gt;"",AA180&lt;&gt;0), IF(E180="Muni", AA180, IF(E180 = "Corp", (1-'Investor Input'!$C$4-'Investor Input'!$C$5)*AA180, (1-'Investor Input'!$C$4)*AA180)), AA180)</f>
        <v/>
      </c>
      <c r="AC180" s="94" t="str">
        <f t="shared" si="37"/>
        <v/>
      </c>
      <c r="AD180" s="60" t="str">
        <f>IF(AND(M180&lt;&gt;"", M180&lt;&gt;0), N180/$N$505*MATCH(AC180,'Misc Lists'!$K$2:$K$25,0), "")</f>
        <v/>
      </c>
      <c r="AE180" s="90" t="str">
        <f t="shared" si="38"/>
        <v/>
      </c>
      <c r="AF180" s="99" t="str">
        <f>IF(AND(M180&lt;&gt;"", M180&lt;&gt;0), N180/$N$505*MATCH(AE180,'Misc Lists'!$L$2:$L$25,0), "")</f>
        <v/>
      </c>
    </row>
    <row r="181" spans="2:32" hidden="1" outlineLevel="1" x14ac:dyDescent="0.5">
      <c r="B181" s="65" t="str">
        <f ca="1"/>
        <v>91282CGA3</v>
      </c>
      <c r="C181" s="66" t="str">
        <f ca="1"/>
        <v>N/A</v>
      </c>
      <c r="D181" s="65" t="str">
        <f ca="1"/>
        <v>UNITED STATES TREAS SER AV-2025         4.00000% 12/15/2025 NTS NOTE</v>
      </c>
      <c r="E181" s="66" t="str">
        <f ca="1"/>
        <v>Tres</v>
      </c>
      <c r="F181" s="67">
        <f ca="1"/>
        <v>4</v>
      </c>
      <c r="G181" s="68">
        <f ca="1"/>
        <v>46006</v>
      </c>
      <c r="H181" s="66" t="str">
        <f ca="1"/>
        <v>AAA</v>
      </c>
      <c r="I181" s="66" t="str">
        <f ca="1"/>
        <v>--</v>
      </c>
      <c r="J181" s="69">
        <f ca="1"/>
        <v>99.8</v>
      </c>
      <c r="K181" s="70">
        <f ca="1"/>
        <v>4.2450000000000001</v>
      </c>
      <c r="L181" s="71" t="str">
        <f ca="1"/>
        <v>2,800(200)</v>
      </c>
      <c r="M181" s="83"/>
      <c r="N181" s="84" t="str">
        <f t="shared" si="39"/>
        <v/>
      </c>
      <c r="O181" s="20" t="str">
        <f t="shared" si="40"/>
        <v/>
      </c>
      <c r="P181" s="64" t="str">
        <f t="shared" si="41"/>
        <v/>
      </c>
      <c r="Q181" s="85" t="str">
        <f t="shared" ca="1" si="42"/>
        <v/>
      </c>
      <c r="R181" s="86" t="str">
        <f t="shared" si="43"/>
        <v/>
      </c>
      <c r="S181" s="86" t="str">
        <f t="shared" si="44"/>
        <v/>
      </c>
      <c r="T181" s="104" t="str">
        <f t="shared" si="30"/>
        <v/>
      </c>
      <c r="U181" s="19" t="str">
        <f>IF(AND(M181&lt;&gt;"",M181&lt;&gt;0), IF(E181 = "Muni", T181, IF(E181="Corp", T181*(1 -'Investor Input'!$C$4-'Investor Input'!$C$5), T181*(1 -'Investor Input'!$C$4))), T181)</f>
        <v/>
      </c>
      <c r="V181" s="84" t="str">
        <f t="shared" si="31"/>
        <v/>
      </c>
      <c r="W181" s="84" t="str">
        <f t="shared" si="32"/>
        <v/>
      </c>
      <c r="X181" s="46" t="str">
        <f t="shared" si="33"/>
        <v/>
      </c>
      <c r="Y181" s="60" t="str">
        <f t="shared" si="34"/>
        <v/>
      </c>
      <c r="Z181" s="60" t="str">
        <f t="shared" si="35"/>
        <v/>
      </c>
      <c r="AA181" s="64" t="str">
        <f t="shared" si="36"/>
        <v/>
      </c>
      <c r="AB181" s="64" t="str">
        <f>IF(AND(AA181&lt;&gt;"",AA181&lt;&gt;0), IF(E181="Muni", AA181, IF(E181 = "Corp", (1-'Investor Input'!$C$4-'Investor Input'!$C$5)*AA181, (1-'Investor Input'!$C$4)*AA181)), AA181)</f>
        <v/>
      </c>
      <c r="AC181" s="94" t="str">
        <f t="shared" si="37"/>
        <v/>
      </c>
      <c r="AD181" s="60" t="str">
        <f>IF(AND(M181&lt;&gt;"", M181&lt;&gt;0), N181/$N$505*MATCH(AC181,'Misc Lists'!$K$2:$K$25,0), "")</f>
        <v/>
      </c>
      <c r="AE181" s="90" t="str">
        <f t="shared" si="38"/>
        <v/>
      </c>
      <c r="AF181" s="99" t="str">
        <f>IF(AND(M181&lt;&gt;"", M181&lt;&gt;0), N181/$N$505*MATCH(AE181,'Misc Lists'!$L$2:$L$25,0), "")</f>
        <v/>
      </c>
    </row>
    <row r="182" spans="2:32" hidden="1" outlineLevel="1" x14ac:dyDescent="0.5">
      <c r="B182" s="65" t="str">
        <f ca="1"/>
        <v>9128284R8</v>
      </c>
      <c r="C182" s="66" t="str">
        <f ca="1"/>
        <v>N/A</v>
      </c>
      <c r="D182" s="65" t="str">
        <f ca="1"/>
        <v>UNITED STATES TREAS SER L-2025          2.87500% 05/31/2025 NTS NOTE</v>
      </c>
      <c r="E182" s="66" t="str">
        <f ca="1"/>
        <v>Tres</v>
      </c>
      <c r="F182" s="67">
        <f ca="1"/>
        <v>2.875</v>
      </c>
      <c r="G182" s="68">
        <f ca="1"/>
        <v>45808</v>
      </c>
      <c r="H182" s="66" t="str">
        <f ca="1"/>
        <v>AAA</v>
      </c>
      <c r="I182" s="66" t="str">
        <f ca="1"/>
        <v>--</v>
      </c>
      <c r="J182" s="69">
        <f ca="1"/>
        <v>99.614000000000004</v>
      </c>
      <c r="K182" s="70">
        <f ca="1"/>
        <v>4.2439999999999998</v>
      </c>
      <c r="L182" s="71" t="str">
        <f ca="1"/>
        <v>30,000(600)</v>
      </c>
      <c r="M182" s="83"/>
      <c r="N182" s="84" t="str">
        <f t="shared" si="39"/>
        <v/>
      </c>
      <c r="O182" s="20" t="str">
        <f t="shared" si="40"/>
        <v/>
      </c>
      <c r="P182" s="64" t="str">
        <f t="shared" si="41"/>
        <v/>
      </c>
      <c r="Q182" s="85" t="str">
        <f t="shared" ca="1" si="42"/>
        <v/>
      </c>
      <c r="R182" s="86" t="str">
        <f t="shared" si="43"/>
        <v/>
      </c>
      <c r="S182" s="86" t="str">
        <f t="shared" si="44"/>
        <v/>
      </c>
      <c r="T182" s="104" t="str">
        <f t="shared" si="30"/>
        <v/>
      </c>
      <c r="U182" s="19" t="str">
        <f>IF(AND(M182&lt;&gt;"",M182&lt;&gt;0), IF(E182 = "Muni", T182, IF(E182="Corp", T182*(1 -'Investor Input'!$C$4-'Investor Input'!$C$5), T182*(1 -'Investor Input'!$C$4))), T182)</f>
        <v/>
      </c>
      <c r="V182" s="84" t="str">
        <f t="shared" si="31"/>
        <v/>
      </c>
      <c r="W182" s="84" t="str">
        <f t="shared" si="32"/>
        <v/>
      </c>
      <c r="X182" s="46" t="str">
        <f t="shared" si="33"/>
        <v/>
      </c>
      <c r="Y182" s="60" t="str">
        <f t="shared" si="34"/>
        <v/>
      </c>
      <c r="Z182" s="60" t="str">
        <f t="shared" si="35"/>
        <v/>
      </c>
      <c r="AA182" s="64" t="str">
        <f t="shared" si="36"/>
        <v/>
      </c>
      <c r="AB182" s="64" t="str">
        <f>IF(AND(AA182&lt;&gt;"",AA182&lt;&gt;0), IF(E182="Muni", AA182, IF(E182 = "Corp", (1-'Investor Input'!$C$4-'Investor Input'!$C$5)*AA182, (1-'Investor Input'!$C$4)*AA182)), AA182)</f>
        <v/>
      </c>
      <c r="AC182" s="94" t="str">
        <f t="shared" si="37"/>
        <v/>
      </c>
      <c r="AD182" s="60" t="str">
        <f>IF(AND(M182&lt;&gt;"", M182&lt;&gt;0), N182/$N$505*MATCH(AC182,'Misc Lists'!$K$2:$K$25,0), "")</f>
        <v/>
      </c>
      <c r="AE182" s="90" t="str">
        <f t="shared" si="38"/>
        <v/>
      </c>
      <c r="AF182" s="99" t="str">
        <f>IF(AND(M182&lt;&gt;"", M182&lt;&gt;0), N182/$N$505*MATCH(AE182,'Misc Lists'!$L$2:$L$25,0), "")</f>
        <v/>
      </c>
    </row>
    <row r="183" spans="2:32" hidden="1" outlineLevel="1" x14ac:dyDescent="0.5">
      <c r="B183" s="65" t="str">
        <f ca="1"/>
        <v>9128282A7</v>
      </c>
      <c r="C183" s="66" t="str">
        <f ca="1"/>
        <v>N/A</v>
      </c>
      <c r="D183" s="65" t="str">
        <f ca="1"/>
        <v>UNITED STATES TREAS SER E-2026          1.50000% 08/15/2026 NTS NOTE</v>
      </c>
      <c r="E183" s="66" t="str">
        <f ca="1"/>
        <v>Tres</v>
      </c>
      <c r="F183" s="67">
        <f ca="1"/>
        <v>1.5</v>
      </c>
      <c r="G183" s="68">
        <f ca="1"/>
        <v>46249</v>
      </c>
      <c r="H183" s="66" t="str">
        <f ca="1"/>
        <v>AAA</v>
      </c>
      <c r="I183" s="66" t="str">
        <f ca="1"/>
        <v>--</v>
      </c>
      <c r="J183" s="69">
        <f ca="1"/>
        <v>96.073999999999998</v>
      </c>
      <c r="K183" s="70">
        <f ca="1"/>
        <v>4.2439999999999998</v>
      </c>
      <c r="L183" s="71" t="str">
        <f ca="1"/>
        <v>1,000(200)</v>
      </c>
      <c r="M183" s="83"/>
      <c r="N183" s="84" t="str">
        <f t="shared" si="39"/>
        <v/>
      </c>
      <c r="O183" s="20" t="str">
        <f t="shared" si="40"/>
        <v/>
      </c>
      <c r="P183" s="64" t="str">
        <f t="shared" si="41"/>
        <v/>
      </c>
      <c r="Q183" s="85" t="str">
        <f t="shared" ca="1" si="42"/>
        <v/>
      </c>
      <c r="R183" s="86" t="str">
        <f t="shared" si="43"/>
        <v/>
      </c>
      <c r="S183" s="86" t="str">
        <f t="shared" si="44"/>
        <v/>
      </c>
      <c r="T183" s="104" t="str">
        <f t="shared" si="30"/>
        <v/>
      </c>
      <c r="U183" s="19" t="str">
        <f>IF(AND(M183&lt;&gt;"",M183&lt;&gt;0), IF(E183 = "Muni", T183, IF(E183="Corp", T183*(1 -'Investor Input'!$C$4-'Investor Input'!$C$5), T183*(1 -'Investor Input'!$C$4))), T183)</f>
        <v/>
      </c>
      <c r="V183" s="84" t="str">
        <f t="shared" si="31"/>
        <v/>
      </c>
      <c r="W183" s="84" t="str">
        <f t="shared" si="32"/>
        <v/>
      </c>
      <c r="X183" s="46" t="str">
        <f t="shared" si="33"/>
        <v/>
      </c>
      <c r="Y183" s="60" t="str">
        <f t="shared" si="34"/>
        <v/>
      </c>
      <c r="Z183" s="60" t="str">
        <f t="shared" si="35"/>
        <v/>
      </c>
      <c r="AA183" s="64" t="str">
        <f t="shared" si="36"/>
        <v/>
      </c>
      <c r="AB183" s="64" t="str">
        <f>IF(AND(AA183&lt;&gt;"",AA183&lt;&gt;0), IF(E183="Muni", AA183, IF(E183 = "Corp", (1-'Investor Input'!$C$4-'Investor Input'!$C$5)*AA183, (1-'Investor Input'!$C$4)*AA183)), AA183)</f>
        <v/>
      </c>
      <c r="AC183" s="94" t="str">
        <f t="shared" si="37"/>
        <v/>
      </c>
      <c r="AD183" s="60" t="str">
        <f>IF(AND(M183&lt;&gt;"", M183&lt;&gt;0), N183/$N$505*MATCH(AC183,'Misc Lists'!$K$2:$K$25,0), "")</f>
        <v/>
      </c>
      <c r="AE183" s="90" t="str">
        <f t="shared" si="38"/>
        <v/>
      </c>
      <c r="AF183" s="99" t="str">
        <f>IF(AND(M183&lt;&gt;"", M183&lt;&gt;0), N183/$N$505*MATCH(AE183,'Misc Lists'!$L$2:$L$25,0), "")</f>
        <v/>
      </c>
    </row>
    <row r="184" spans="2:32" hidden="1" outlineLevel="1" x14ac:dyDescent="0.5">
      <c r="B184" s="65" t="str">
        <f ca="1"/>
        <v>91282CEF4</v>
      </c>
      <c r="C184" s="66" t="str">
        <f ca="1"/>
        <v>N/A</v>
      </c>
      <c r="D184" s="65" t="str">
        <f ca="1"/>
        <v>UNITED STATES TREAS SER W-2027          2.50000% 03/31/2027 NTS NOTE</v>
      </c>
      <c r="E184" s="66" t="str">
        <f ca="1"/>
        <v>Tres</v>
      </c>
      <c r="F184" s="67">
        <f ca="1"/>
        <v>2.5</v>
      </c>
      <c r="G184" s="68">
        <f ca="1"/>
        <v>46477</v>
      </c>
      <c r="H184" s="66" t="str">
        <f ca="1"/>
        <v>AAA</v>
      </c>
      <c r="I184" s="66" t="str">
        <f ca="1"/>
        <v>--</v>
      </c>
      <c r="J184" s="69">
        <f ca="1"/>
        <v>96.509</v>
      </c>
      <c r="K184" s="70">
        <f ca="1"/>
        <v>4.2439999999999998</v>
      </c>
      <c r="L184" s="71" t="str">
        <f ca="1"/>
        <v>1,000(200)</v>
      </c>
      <c r="M184" s="83"/>
      <c r="N184" s="84" t="str">
        <f t="shared" si="39"/>
        <v/>
      </c>
      <c r="O184" s="20" t="str">
        <f t="shared" si="40"/>
        <v/>
      </c>
      <c r="P184" s="64" t="str">
        <f t="shared" si="41"/>
        <v/>
      </c>
      <c r="Q184" s="85" t="str">
        <f t="shared" ca="1" si="42"/>
        <v/>
      </c>
      <c r="R184" s="86" t="str">
        <f t="shared" si="43"/>
        <v/>
      </c>
      <c r="S184" s="86" t="str">
        <f t="shared" si="44"/>
        <v/>
      </c>
      <c r="T184" s="104" t="str">
        <f t="shared" si="30"/>
        <v/>
      </c>
      <c r="U184" s="19" t="str">
        <f>IF(AND(M184&lt;&gt;"",M184&lt;&gt;0), IF(E184 = "Muni", T184, IF(E184="Corp", T184*(1 -'Investor Input'!$C$4-'Investor Input'!$C$5), T184*(1 -'Investor Input'!$C$4))), T184)</f>
        <v/>
      </c>
      <c r="V184" s="84" t="str">
        <f t="shared" si="31"/>
        <v/>
      </c>
      <c r="W184" s="84" t="str">
        <f t="shared" si="32"/>
        <v/>
      </c>
      <c r="X184" s="46" t="str">
        <f t="shared" si="33"/>
        <v/>
      </c>
      <c r="Y184" s="60" t="str">
        <f t="shared" si="34"/>
        <v/>
      </c>
      <c r="Z184" s="60" t="str">
        <f t="shared" si="35"/>
        <v/>
      </c>
      <c r="AA184" s="64" t="str">
        <f t="shared" si="36"/>
        <v/>
      </c>
      <c r="AB184" s="64" t="str">
        <f>IF(AND(AA184&lt;&gt;"",AA184&lt;&gt;0), IF(E184="Muni", AA184, IF(E184 = "Corp", (1-'Investor Input'!$C$4-'Investor Input'!$C$5)*AA184, (1-'Investor Input'!$C$4)*AA184)), AA184)</f>
        <v/>
      </c>
      <c r="AC184" s="94" t="str">
        <f t="shared" si="37"/>
        <v/>
      </c>
      <c r="AD184" s="60" t="str">
        <f>IF(AND(M184&lt;&gt;"", M184&lt;&gt;0), N184/$N$505*MATCH(AC184,'Misc Lists'!$K$2:$K$25,0), "")</f>
        <v/>
      </c>
      <c r="AE184" s="90" t="str">
        <f t="shared" si="38"/>
        <v/>
      </c>
      <c r="AF184" s="99" t="str">
        <f>IF(AND(M184&lt;&gt;"", M184&lt;&gt;0), N184/$N$505*MATCH(AE184,'Misc Lists'!$L$2:$L$25,0), "")</f>
        <v/>
      </c>
    </row>
    <row r="185" spans="2:32" hidden="1" outlineLevel="1" x14ac:dyDescent="0.5">
      <c r="B185" s="65" t="str">
        <f ca="1"/>
        <v>912828Y95</v>
      </c>
      <c r="C185" s="66" t="str">
        <f ca="1"/>
        <v>N/A</v>
      </c>
      <c r="D185" s="65" t="str">
        <f ca="1"/>
        <v>UNITED STATES TREAS SER N-2026          1.87500% 07/31/2026 NTS NOTE</v>
      </c>
      <c r="E185" s="66" t="str">
        <f ca="1"/>
        <v>Tres</v>
      </c>
      <c r="F185" s="67">
        <f ca="1"/>
        <v>1.875</v>
      </c>
      <c r="G185" s="68">
        <f ca="1"/>
        <v>46234</v>
      </c>
      <c r="H185" s="66" t="str">
        <f ca="1"/>
        <v>AAA</v>
      </c>
      <c r="I185" s="66" t="str">
        <f ca="1"/>
        <v>--</v>
      </c>
      <c r="J185" s="69">
        <f ca="1"/>
        <v>96.703999999999994</v>
      </c>
      <c r="K185" s="70">
        <f ca="1"/>
        <v>4.2409999999999997</v>
      </c>
      <c r="L185" s="71" t="str">
        <f ca="1"/>
        <v>1,000(200)</v>
      </c>
      <c r="M185" s="83"/>
      <c r="N185" s="84" t="str">
        <f t="shared" si="39"/>
        <v/>
      </c>
      <c r="O185" s="20" t="str">
        <f t="shared" si="40"/>
        <v/>
      </c>
      <c r="P185" s="64" t="str">
        <f t="shared" si="41"/>
        <v/>
      </c>
      <c r="Q185" s="85" t="str">
        <f t="shared" ca="1" si="42"/>
        <v/>
      </c>
      <c r="R185" s="86" t="str">
        <f t="shared" si="43"/>
        <v/>
      </c>
      <c r="S185" s="86" t="str">
        <f t="shared" si="44"/>
        <v/>
      </c>
      <c r="T185" s="104" t="str">
        <f t="shared" si="30"/>
        <v/>
      </c>
      <c r="U185" s="19" t="str">
        <f>IF(AND(M185&lt;&gt;"",M185&lt;&gt;0), IF(E185 = "Muni", T185, IF(E185="Corp", T185*(1 -'Investor Input'!$C$4-'Investor Input'!$C$5), T185*(1 -'Investor Input'!$C$4))), T185)</f>
        <v/>
      </c>
      <c r="V185" s="84" t="str">
        <f t="shared" si="31"/>
        <v/>
      </c>
      <c r="W185" s="84" t="str">
        <f t="shared" si="32"/>
        <v/>
      </c>
      <c r="X185" s="46" t="str">
        <f t="shared" si="33"/>
        <v/>
      </c>
      <c r="Y185" s="60" t="str">
        <f t="shared" si="34"/>
        <v/>
      </c>
      <c r="Z185" s="60" t="str">
        <f t="shared" si="35"/>
        <v/>
      </c>
      <c r="AA185" s="64" t="str">
        <f t="shared" si="36"/>
        <v/>
      </c>
      <c r="AB185" s="64" t="str">
        <f>IF(AND(AA185&lt;&gt;"",AA185&lt;&gt;0), IF(E185="Muni", AA185, IF(E185 = "Corp", (1-'Investor Input'!$C$4-'Investor Input'!$C$5)*AA185, (1-'Investor Input'!$C$4)*AA185)), AA185)</f>
        <v/>
      </c>
      <c r="AC185" s="94" t="str">
        <f t="shared" si="37"/>
        <v/>
      </c>
      <c r="AD185" s="60" t="str">
        <f>IF(AND(M185&lt;&gt;"", M185&lt;&gt;0), N185/$N$505*MATCH(AC185,'Misc Lists'!$K$2:$K$25,0), "")</f>
        <v/>
      </c>
      <c r="AE185" s="90" t="str">
        <f t="shared" si="38"/>
        <v/>
      </c>
      <c r="AF185" s="99" t="str">
        <f>IF(AND(M185&lt;&gt;"", M185&lt;&gt;0), N185/$N$505*MATCH(AE185,'Misc Lists'!$L$2:$L$25,0), "")</f>
        <v/>
      </c>
    </row>
    <row r="186" spans="2:32" hidden="1" outlineLevel="1" x14ac:dyDescent="0.5">
      <c r="B186" s="65" t="str">
        <f ca="1"/>
        <v>912828YG9</v>
      </c>
      <c r="C186" s="66" t="str">
        <f ca="1"/>
        <v>N/A</v>
      </c>
      <c r="D186" s="65" t="str">
        <f ca="1"/>
        <v>UNITED STATES TREAS SER Q-2026          1.62500% 09/30/2026 NTS NOTE</v>
      </c>
      <c r="E186" s="66" t="str">
        <f ca="1"/>
        <v>Tres</v>
      </c>
      <c r="F186" s="67">
        <f ca="1"/>
        <v>1.625</v>
      </c>
      <c r="G186" s="68">
        <f ca="1"/>
        <v>46295</v>
      </c>
      <c r="H186" s="66" t="str">
        <f ca="1"/>
        <v>AAA</v>
      </c>
      <c r="I186" s="66" t="str">
        <f ca="1"/>
        <v>--</v>
      </c>
      <c r="J186" s="69">
        <f ca="1"/>
        <v>95.962000000000003</v>
      </c>
      <c r="K186" s="70">
        <f ca="1"/>
        <v>4.2409999999999997</v>
      </c>
      <c r="L186" s="71" t="str">
        <f ca="1"/>
        <v>70,000(400)</v>
      </c>
      <c r="M186" s="83"/>
      <c r="N186" s="84" t="str">
        <f t="shared" si="39"/>
        <v/>
      </c>
      <c r="O186" s="20" t="str">
        <f t="shared" si="40"/>
        <v/>
      </c>
      <c r="P186" s="64" t="str">
        <f t="shared" si="41"/>
        <v/>
      </c>
      <c r="Q186" s="85" t="str">
        <f t="shared" ca="1" si="42"/>
        <v/>
      </c>
      <c r="R186" s="86" t="str">
        <f t="shared" si="43"/>
        <v/>
      </c>
      <c r="S186" s="86" t="str">
        <f t="shared" si="44"/>
        <v/>
      </c>
      <c r="T186" s="104" t="str">
        <f t="shared" si="30"/>
        <v/>
      </c>
      <c r="U186" s="19" t="str">
        <f>IF(AND(M186&lt;&gt;"",M186&lt;&gt;0), IF(E186 = "Muni", T186, IF(E186="Corp", T186*(1 -'Investor Input'!$C$4-'Investor Input'!$C$5), T186*(1 -'Investor Input'!$C$4))), T186)</f>
        <v/>
      </c>
      <c r="V186" s="84" t="str">
        <f t="shared" si="31"/>
        <v/>
      </c>
      <c r="W186" s="84" t="str">
        <f t="shared" si="32"/>
        <v/>
      </c>
      <c r="X186" s="46" t="str">
        <f t="shared" si="33"/>
        <v/>
      </c>
      <c r="Y186" s="60" t="str">
        <f t="shared" si="34"/>
        <v/>
      </c>
      <c r="Z186" s="60" t="str">
        <f t="shared" si="35"/>
        <v/>
      </c>
      <c r="AA186" s="64" t="str">
        <f t="shared" si="36"/>
        <v/>
      </c>
      <c r="AB186" s="64" t="str">
        <f>IF(AND(AA186&lt;&gt;"",AA186&lt;&gt;0), IF(E186="Muni", AA186, IF(E186 = "Corp", (1-'Investor Input'!$C$4-'Investor Input'!$C$5)*AA186, (1-'Investor Input'!$C$4)*AA186)), AA186)</f>
        <v/>
      </c>
      <c r="AC186" s="94" t="str">
        <f t="shared" si="37"/>
        <v/>
      </c>
      <c r="AD186" s="60" t="str">
        <f>IF(AND(M186&lt;&gt;"", M186&lt;&gt;0), N186/$N$505*MATCH(AC186,'Misc Lists'!$K$2:$K$25,0), "")</f>
        <v/>
      </c>
      <c r="AE186" s="90" t="str">
        <f t="shared" si="38"/>
        <v/>
      </c>
      <c r="AF186" s="99" t="str">
        <f>IF(AND(M186&lt;&gt;"", M186&lt;&gt;0), N186/$N$505*MATCH(AE186,'Misc Lists'!$L$2:$L$25,0), "")</f>
        <v/>
      </c>
    </row>
    <row r="187" spans="2:32" hidden="1" outlineLevel="1" x14ac:dyDescent="0.5">
      <c r="B187" s="65" t="str">
        <f ca="1"/>
        <v>912828ZB9</v>
      </c>
      <c r="C187" s="66" t="str">
        <f ca="1"/>
        <v>N/A</v>
      </c>
      <c r="D187" s="65" t="str">
        <f ca="1"/>
        <v>UNITED STATES TREAS NOTE                1.12500% 02/28/2027</v>
      </c>
      <c r="E187" s="66" t="str">
        <f ca="1"/>
        <v>Tres</v>
      </c>
      <c r="F187" s="67">
        <f ca="1"/>
        <v>1.125</v>
      </c>
      <c r="G187" s="68">
        <f ca="1"/>
        <v>46446</v>
      </c>
      <c r="H187" s="66" t="str">
        <f ca="1"/>
        <v>AAA</v>
      </c>
      <c r="I187" s="66" t="str">
        <f ca="1"/>
        <v>--</v>
      </c>
      <c r="J187" s="69">
        <f ca="1"/>
        <v>94.007999999999996</v>
      </c>
      <c r="K187" s="70">
        <f ca="1"/>
        <v>4.24</v>
      </c>
      <c r="L187" s="71" t="str">
        <f ca="1"/>
        <v>70,000(400)</v>
      </c>
      <c r="M187" s="83"/>
      <c r="N187" s="84" t="str">
        <f t="shared" si="39"/>
        <v/>
      </c>
      <c r="O187" s="20" t="str">
        <f t="shared" si="40"/>
        <v/>
      </c>
      <c r="P187" s="64" t="str">
        <f t="shared" si="41"/>
        <v/>
      </c>
      <c r="Q187" s="85" t="str">
        <f t="shared" ca="1" si="42"/>
        <v/>
      </c>
      <c r="R187" s="86" t="str">
        <f t="shared" si="43"/>
        <v/>
      </c>
      <c r="S187" s="86" t="str">
        <f t="shared" si="44"/>
        <v/>
      </c>
      <c r="T187" s="104" t="str">
        <f t="shared" si="30"/>
        <v/>
      </c>
      <c r="U187" s="19" t="str">
        <f>IF(AND(M187&lt;&gt;"",M187&lt;&gt;0), IF(E187 = "Muni", T187, IF(E187="Corp", T187*(1 -'Investor Input'!$C$4-'Investor Input'!$C$5), T187*(1 -'Investor Input'!$C$4))), T187)</f>
        <v/>
      </c>
      <c r="V187" s="84" t="str">
        <f t="shared" si="31"/>
        <v/>
      </c>
      <c r="W187" s="84" t="str">
        <f t="shared" si="32"/>
        <v/>
      </c>
      <c r="X187" s="46" t="str">
        <f t="shared" si="33"/>
        <v/>
      </c>
      <c r="Y187" s="60" t="str">
        <f t="shared" si="34"/>
        <v/>
      </c>
      <c r="Z187" s="60" t="str">
        <f t="shared" si="35"/>
        <v/>
      </c>
      <c r="AA187" s="64" t="str">
        <f t="shared" si="36"/>
        <v/>
      </c>
      <c r="AB187" s="64" t="str">
        <f>IF(AND(AA187&lt;&gt;"",AA187&lt;&gt;0), IF(E187="Muni", AA187, IF(E187 = "Corp", (1-'Investor Input'!$C$4-'Investor Input'!$C$5)*AA187, (1-'Investor Input'!$C$4)*AA187)), AA187)</f>
        <v/>
      </c>
      <c r="AC187" s="94" t="str">
        <f t="shared" si="37"/>
        <v/>
      </c>
      <c r="AD187" s="60" t="str">
        <f>IF(AND(M187&lt;&gt;"", M187&lt;&gt;0), N187/$N$505*MATCH(AC187,'Misc Lists'!$K$2:$K$25,0), "")</f>
        <v/>
      </c>
      <c r="AE187" s="90" t="str">
        <f t="shared" si="38"/>
        <v/>
      </c>
      <c r="AF187" s="99" t="str">
        <f>IF(AND(M187&lt;&gt;"", M187&lt;&gt;0), N187/$N$505*MATCH(AE187,'Misc Lists'!$L$2:$L$25,0), "")</f>
        <v/>
      </c>
    </row>
    <row r="188" spans="2:32" hidden="1" outlineLevel="1" x14ac:dyDescent="0.5">
      <c r="B188" s="65" t="str">
        <f ca="1"/>
        <v>912810FF0</v>
      </c>
      <c r="C188" s="66" t="str">
        <f ca="1"/>
        <v>N/A</v>
      </c>
      <c r="D188" s="65" t="str">
        <f ca="1"/>
        <v>UNITED STATES TREAS BDS                 5.25000% 11/15/2028</v>
      </c>
      <c r="E188" s="66" t="str">
        <f ca="1"/>
        <v>Tres</v>
      </c>
      <c r="F188" s="67">
        <f ca="1"/>
        <v>5.25</v>
      </c>
      <c r="G188" s="68">
        <f ca="1"/>
        <v>47072</v>
      </c>
      <c r="H188" s="66" t="str">
        <f ca="1"/>
        <v>AAA</v>
      </c>
      <c r="I188" s="66" t="str">
        <f ca="1"/>
        <v>--</v>
      </c>
      <c r="J188" s="69">
        <f ca="1"/>
        <v>103.46</v>
      </c>
      <c r="K188" s="70">
        <f ca="1"/>
        <v>4.2370000000000001</v>
      </c>
      <c r="L188" s="71" t="str">
        <f ca="1"/>
        <v>40,000(5)</v>
      </c>
      <c r="M188" s="83"/>
      <c r="N188" s="84" t="str">
        <f t="shared" si="39"/>
        <v/>
      </c>
      <c r="O188" s="20" t="str">
        <f t="shared" si="40"/>
        <v/>
      </c>
      <c r="P188" s="64" t="str">
        <f t="shared" si="41"/>
        <v/>
      </c>
      <c r="Q188" s="85" t="str">
        <f t="shared" ca="1" si="42"/>
        <v/>
      </c>
      <c r="R188" s="86" t="str">
        <f t="shared" si="43"/>
        <v/>
      </c>
      <c r="S188" s="86" t="str">
        <f t="shared" si="44"/>
        <v/>
      </c>
      <c r="T188" s="104" t="str">
        <f t="shared" si="30"/>
        <v/>
      </c>
      <c r="U188" s="19" t="str">
        <f>IF(AND(M188&lt;&gt;"",M188&lt;&gt;0), IF(E188 = "Muni", T188, IF(E188="Corp", T188*(1 -'Investor Input'!$C$4-'Investor Input'!$C$5), T188*(1 -'Investor Input'!$C$4))), T188)</f>
        <v/>
      </c>
      <c r="V188" s="84" t="str">
        <f t="shared" si="31"/>
        <v/>
      </c>
      <c r="W188" s="84" t="str">
        <f t="shared" si="32"/>
        <v/>
      </c>
      <c r="X188" s="46" t="str">
        <f t="shared" si="33"/>
        <v/>
      </c>
      <c r="Y188" s="60" t="str">
        <f t="shared" si="34"/>
        <v/>
      </c>
      <c r="Z188" s="60" t="str">
        <f t="shared" si="35"/>
        <v/>
      </c>
      <c r="AA188" s="64" t="str">
        <f t="shared" si="36"/>
        <v/>
      </c>
      <c r="AB188" s="64" t="str">
        <f>IF(AND(AA188&lt;&gt;"",AA188&lt;&gt;0), IF(E188="Muni", AA188, IF(E188 = "Corp", (1-'Investor Input'!$C$4-'Investor Input'!$C$5)*AA188, (1-'Investor Input'!$C$4)*AA188)), AA188)</f>
        <v/>
      </c>
      <c r="AC188" s="94" t="str">
        <f t="shared" si="37"/>
        <v/>
      </c>
      <c r="AD188" s="60" t="str">
        <f>IF(AND(M188&lt;&gt;"", M188&lt;&gt;0), N188/$N$505*MATCH(AC188,'Misc Lists'!$K$2:$K$25,0), "")</f>
        <v/>
      </c>
      <c r="AE188" s="90" t="str">
        <f t="shared" si="38"/>
        <v/>
      </c>
      <c r="AF188" s="99" t="str">
        <f>IF(AND(M188&lt;&gt;"", M188&lt;&gt;0), N188/$N$505*MATCH(AE188,'Misc Lists'!$L$2:$L$25,0), "")</f>
        <v/>
      </c>
    </row>
    <row r="189" spans="2:32" hidden="1" outlineLevel="1" x14ac:dyDescent="0.5">
      <c r="B189" s="65" t="str">
        <f ca="1"/>
        <v>91282CEW7</v>
      </c>
      <c r="C189" s="66" t="str">
        <f ca="1"/>
        <v>N/A</v>
      </c>
      <c r="D189" s="65" t="str">
        <f ca="1"/>
        <v>UNITED STATES TREAS SER AA-2027         3.25000% 06/30/2027 NTS NOTE</v>
      </c>
      <c r="E189" s="66" t="str">
        <f ca="1"/>
        <v>Tres</v>
      </c>
      <c r="F189" s="67">
        <f ca="1"/>
        <v>3.25</v>
      </c>
      <c r="G189" s="68">
        <f ca="1"/>
        <v>46568</v>
      </c>
      <c r="H189" s="66" t="str">
        <f ca="1"/>
        <v>AAA</v>
      </c>
      <c r="I189" s="66" t="str">
        <f ca="1"/>
        <v>--</v>
      </c>
      <c r="J189" s="69">
        <f ca="1"/>
        <v>97.801000000000002</v>
      </c>
      <c r="K189" s="70">
        <f ca="1"/>
        <v>4.2350000000000003</v>
      </c>
      <c r="L189" s="71" t="str">
        <f ca="1"/>
        <v>65,000(400)</v>
      </c>
      <c r="M189" s="83"/>
      <c r="N189" s="84" t="str">
        <f t="shared" si="39"/>
        <v/>
      </c>
      <c r="O189" s="20" t="str">
        <f t="shared" si="40"/>
        <v/>
      </c>
      <c r="P189" s="64" t="str">
        <f t="shared" si="41"/>
        <v/>
      </c>
      <c r="Q189" s="85" t="str">
        <f t="shared" ca="1" si="42"/>
        <v/>
      </c>
      <c r="R189" s="86" t="str">
        <f t="shared" si="43"/>
        <v/>
      </c>
      <c r="S189" s="86" t="str">
        <f t="shared" si="44"/>
        <v/>
      </c>
      <c r="T189" s="104" t="str">
        <f t="shared" si="30"/>
        <v/>
      </c>
      <c r="U189" s="19" t="str">
        <f>IF(AND(M189&lt;&gt;"",M189&lt;&gt;0), IF(E189 = "Muni", T189, IF(E189="Corp", T189*(1 -'Investor Input'!$C$4-'Investor Input'!$C$5), T189*(1 -'Investor Input'!$C$4))), T189)</f>
        <v/>
      </c>
      <c r="V189" s="84" t="str">
        <f t="shared" si="31"/>
        <v/>
      </c>
      <c r="W189" s="84" t="str">
        <f t="shared" si="32"/>
        <v/>
      </c>
      <c r="X189" s="46" t="str">
        <f t="shared" si="33"/>
        <v/>
      </c>
      <c r="Y189" s="60" t="str">
        <f t="shared" si="34"/>
        <v/>
      </c>
      <c r="Z189" s="60" t="str">
        <f t="shared" si="35"/>
        <v/>
      </c>
      <c r="AA189" s="64" t="str">
        <f t="shared" si="36"/>
        <v/>
      </c>
      <c r="AB189" s="64" t="str">
        <f>IF(AND(AA189&lt;&gt;"",AA189&lt;&gt;0), IF(E189="Muni", AA189, IF(E189 = "Corp", (1-'Investor Input'!$C$4-'Investor Input'!$C$5)*AA189, (1-'Investor Input'!$C$4)*AA189)), AA189)</f>
        <v/>
      </c>
      <c r="AC189" s="94" t="str">
        <f t="shared" si="37"/>
        <v/>
      </c>
      <c r="AD189" s="60" t="str">
        <f>IF(AND(M189&lt;&gt;"", M189&lt;&gt;0), N189/$N$505*MATCH(AC189,'Misc Lists'!$K$2:$K$25,0), "")</f>
        <v/>
      </c>
      <c r="AE189" s="90" t="str">
        <f t="shared" si="38"/>
        <v/>
      </c>
      <c r="AF189" s="99" t="str">
        <f>IF(AND(M189&lt;&gt;"", M189&lt;&gt;0), N189/$N$505*MATCH(AE189,'Misc Lists'!$L$2:$L$25,0), "")</f>
        <v/>
      </c>
    </row>
    <row r="190" spans="2:32" hidden="1" outlineLevel="1" x14ac:dyDescent="0.5">
      <c r="B190" s="65" t="str">
        <f ca="1"/>
        <v>91282CGE5</v>
      </c>
      <c r="C190" s="66" t="str">
        <f ca="1"/>
        <v>N/A</v>
      </c>
      <c r="D190" s="65" t="str">
        <f ca="1"/>
        <v>UNITED STATES TREAS SER AJ-2026         3.87500% 01/15/2026 NTS NOTE</v>
      </c>
      <c r="E190" s="66" t="str">
        <f ca="1"/>
        <v>Tres</v>
      </c>
      <c r="F190" s="67">
        <f ca="1"/>
        <v>3.875</v>
      </c>
      <c r="G190" s="68">
        <f ca="1"/>
        <v>46037</v>
      </c>
      <c r="H190" s="66" t="str">
        <f ca="1"/>
        <v>AAA</v>
      </c>
      <c r="I190" s="66" t="str">
        <f ca="1"/>
        <v>--</v>
      </c>
      <c r="J190" s="69">
        <f ca="1"/>
        <v>99.683000000000007</v>
      </c>
      <c r="K190" s="70">
        <f ca="1"/>
        <v>4.2320000000000002</v>
      </c>
      <c r="L190" s="71" t="str">
        <f ca="1"/>
        <v>8,000(200)</v>
      </c>
      <c r="M190" s="83"/>
      <c r="N190" s="84" t="str">
        <f t="shared" si="39"/>
        <v/>
      </c>
      <c r="O190" s="20" t="str">
        <f t="shared" si="40"/>
        <v/>
      </c>
      <c r="P190" s="64" t="str">
        <f t="shared" si="41"/>
        <v/>
      </c>
      <c r="Q190" s="85" t="str">
        <f t="shared" ca="1" si="42"/>
        <v/>
      </c>
      <c r="R190" s="86" t="str">
        <f t="shared" si="43"/>
        <v/>
      </c>
      <c r="S190" s="86" t="str">
        <f t="shared" si="44"/>
        <v/>
      </c>
      <c r="T190" s="104" t="str">
        <f t="shared" si="30"/>
        <v/>
      </c>
      <c r="U190" s="19" t="str">
        <f>IF(AND(M190&lt;&gt;"",M190&lt;&gt;0), IF(E190 = "Muni", T190, IF(E190="Corp", T190*(1 -'Investor Input'!$C$4-'Investor Input'!$C$5), T190*(1 -'Investor Input'!$C$4))), T190)</f>
        <v/>
      </c>
      <c r="V190" s="84" t="str">
        <f t="shared" si="31"/>
        <v/>
      </c>
      <c r="W190" s="84" t="str">
        <f t="shared" si="32"/>
        <v/>
      </c>
      <c r="X190" s="46" t="str">
        <f t="shared" si="33"/>
        <v/>
      </c>
      <c r="Y190" s="60" t="str">
        <f t="shared" si="34"/>
        <v/>
      </c>
      <c r="Z190" s="60" t="str">
        <f t="shared" si="35"/>
        <v/>
      </c>
      <c r="AA190" s="64" t="str">
        <f t="shared" si="36"/>
        <v/>
      </c>
      <c r="AB190" s="64" t="str">
        <f>IF(AND(AA190&lt;&gt;"",AA190&lt;&gt;0), IF(E190="Muni", AA190, IF(E190 = "Corp", (1-'Investor Input'!$C$4-'Investor Input'!$C$5)*AA190, (1-'Investor Input'!$C$4)*AA190)), AA190)</f>
        <v/>
      </c>
      <c r="AC190" s="94" t="str">
        <f t="shared" si="37"/>
        <v/>
      </c>
      <c r="AD190" s="60" t="str">
        <f>IF(AND(M190&lt;&gt;"", M190&lt;&gt;0), N190/$N$505*MATCH(AC190,'Misc Lists'!$K$2:$K$25,0), "")</f>
        <v/>
      </c>
      <c r="AE190" s="90" t="str">
        <f t="shared" si="38"/>
        <v/>
      </c>
      <c r="AF190" s="99" t="str">
        <f>IF(AND(M190&lt;&gt;"", M190&lt;&gt;0), N190/$N$505*MATCH(AE190,'Misc Lists'!$L$2:$L$25,0), "")</f>
        <v/>
      </c>
    </row>
    <row r="191" spans="2:32" hidden="1" outlineLevel="1" x14ac:dyDescent="0.5">
      <c r="B191" s="65" t="str">
        <f ca="1"/>
        <v>912828YX2</v>
      </c>
      <c r="C191" s="66" t="str">
        <f ca="1"/>
        <v>N/A</v>
      </c>
      <c r="D191" s="65" t="str">
        <f ca="1"/>
        <v>UNITED STATES TREAS SER T-2026          1.75000% 12/31/2026 NTS NOTE</v>
      </c>
      <c r="E191" s="66" t="str">
        <f ca="1"/>
        <v>Tres</v>
      </c>
      <c r="F191" s="67">
        <f ca="1"/>
        <v>1.75</v>
      </c>
      <c r="G191" s="68">
        <f ca="1"/>
        <v>46387</v>
      </c>
      <c r="H191" s="66" t="str">
        <f ca="1"/>
        <v>AAA</v>
      </c>
      <c r="I191" s="66" t="str">
        <f ca="1"/>
        <v>--</v>
      </c>
      <c r="J191" s="69">
        <f ca="1"/>
        <v>95.596000000000004</v>
      </c>
      <c r="K191" s="70">
        <f ca="1"/>
        <v>4.2300000000000004</v>
      </c>
      <c r="L191" s="71" t="str">
        <f ca="1"/>
        <v>1,000(200)</v>
      </c>
      <c r="M191" s="83"/>
      <c r="N191" s="84" t="str">
        <f t="shared" si="39"/>
        <v/>
      </c>
      <c r="O191" s="20" t="str">
        <f t="shared" si="40"/>
        <v/>
      </c>
      <c r="P191" s="64" t="str">
        <f t="shared" si="41"/>
        <v/>
      </c>
      <c r="Q191" s="85" t="str">
        <f t="shared" ca="1" si="42"/>
        <v/>
      </c>
      <c r="R191" s="86" t="str">
        <f t="shared" si="43"/>
        <v/>
      </c>
      <c r="S191" s="86" t="str">
        <f t="shared" si="44"/>
        <v/>
      </c>
      <c r="T191" s="104" t="str">
        <f t="shared" si="30"/>
        <v/>
      </c>
      <c r="U191" s="19" t="str">
        <f>IF(AND(M191&lt;&gt;"",M191&lt;&gt;0), IF(E191 = "Muni", T191, IF(E191="Corp", T191*(1 -'Investor Input'!$C$4-'Investor Input'!$C$5), T191*(1 -'Investor Input'!$C$4))), T191)</f>
        <v/>
      </c>
      <c r="V191" s="84" t="str">
        <f t="shared" si="31"/>
        <v/>
      </c>
      <c r="W191" s="84" t="str">
        <f t="shared" si="32"/>
        <v/>
      </c>
      <c r="X191" s="46" t="str">
        <f t="shared" si="33"/>
        <v/>
      </c>
      <c r="Y191" s="60" t="str">
        <f t="shared" si="34"/>
        <v/>
      </c>
      <c r="Z191" s="60" t="str">
        <f t="shared" si="35"/>
        <v/>
      </c>
      <c r="AA191" s="64" t="str">
        <f t="shared" si="36"/>
        <v/>
      </c>
      <c r="AB191" s="64" t="str">
        <f>IF(AND(AA191&lt;&gt;"",AA191&lt;&gt;0), IF(E191="Muni", AA191, IF(E191 = "Corp", (1-'Investor Input'!$C$4-'Investor Input'!$C$5)*AA191, (1-'Investor Input'!$C$4)*AA191)), AA191)</f>
        <v/>
      </c>
      <c r="AC191" s="94" t="str">
        <f t="shared" si="37"/>
        <v/>
      </c>
      <c r="AD191" s="60" t="str">
        <f>IF(AND(M191&lt;&gt;"", M191&lt;&gt;0), N191/$N$505*MATCH(AC191,'Misc Lists'!$K$2:$K$25,0), "")</f>
        <v/>
      </c>
      <c r="AE191" s="90" t="str">
        <f t="shared" si="38"/>
        <v/>
      </c>
      <c r="AF191" s="99" t="str">
        <f>IF(AND(M191&lt;&gt;"", M191&lt;&gt;0), N191/$N$505*MATCH(AE191,'Misc Lists'!$L$2:$L$25,0), "")</f>
        <v/>
      </c>
    </row>
    <row r="192" spans="2:32" hidden="1" outlineLevel="1" x14ac:dyDescent="0.5">
      <c r="B192" s="65" t="str">
        <f ca="1"/>
        <v>912828XB1</v>
      </c>
      <c r="C192" s="66" t="str">
        <f ca="1"/>
        <v>N/A</v>
      </c>
      <c r="D192" s="65" t="str">
        <f ca="1"/>
        <v>UNITED STATES TREAS NTS NOTE            2.12500% 05/15/2025</v>
      </c>
      <c r="E192" s="66" t="str">
        <f ca="1"/>
        <v>Tres</v>
      </c>
      <c r="F192" s="67">
        <f ca="1"/>
        <v>2.125</v>
      </c>
      <c r="G192" s="68">
        <f ca="1"/>
        <v>45792</v>
      </c>
      <c r="H192" s="66" t="str">
        <f ca="1"/>
        <v>AAA</v>
      </c>
      <c r="I192" s="66" t="str">
        <f ca="1"/>
        <v>--</v>
      </c>
      <c r="J192" s="69">
        <f ca="1"/>
        <v>99.501000000000005</v>
      </c>
      <c r="K192" s="70">
        <f ca="1"/>
        <v>4.2270000000000003</v>
      </c>
      <c r="L192" s="71" t="str">
        <f ca="1"/>
        <v>30,000(600)</v>
      </c>
      <c r="M192" s="83"/>
      <c r="N192" s="84" t="str">
        <f t="shared" si="39"/>
        <v/>
      </c>
      <c r="O192" s="20" t="str">
        <f t="shared" si="40"/>
        <v/>
      </c>
      <c r="P192" s="64" t="str">
        <f t="shared" si="41"/>
        <v/>
      </c>
      <c r="Q192" s="85" t="str">
        <f t="shared" ca="1" si="42"/>
        <v/>
      </c>
      <c r="R192" s="86" t="str">
        <f t="shared" si="43"/>
        <v/>
      </c>
      <c r="S192" s="86" t="str">
        <f t="shared" si="44"/>
        <v/>
      </c>
      <c r="T192" s="104" t="str">
        <f t="shared" si="30"/>
        <v/>
      </c>
      <c r="U192" s="19" t="str">
        <f>IF(AND(M192&lt;&gt;"",M192&lt;&gt;0), IF(E192 = "Muni", T192, IF(E192="Corp", T192*(1 -'Investor Input'!$C$4-'Investor Input'!$C$5), T192*(1 -'Investor Input'!$C$4))), T192)</f>
        <v/>
      </c>
      <c r="V192" s="84" t="str">
        <f t="shared" si="31"/>
        <v/>
      </c>
      <c r="W192" s="84" t="str">
        <f t="shared" si="32"/>
        <v/>
      </c>
      <c r="X192" s="46" t="str">
        <f t="shared" si="33"/>
        <v/>
      </c>
      <c r="Y192" s="60" t="str">
        <f t="shared" si="34"/>
        <v/>
      </c>
      <c r="Z192" s="60" t="str">
        <f t="shared" si="35"/>
        <v/>
      </c>
      <c r="AA192" s="64" t="str">
        <f t="shared" si="36"/>
        <v/>
      </c>
      <c r="AB192" s="64" t="str">
        <f>IF(AND(AA192&lt;&gt;"",AA192&lt;&gt;0), IF(E192="Muni", AA192, IF(E192 = "Corp", (1-'Investor Input'!$C$4-'Investor Input'!$C$5)*AA192, (1-'Investor Input'!$C$4)*AA192)), AA192)</f>
        <v/>
      </c>
      <c r="AC192" s="94" t="str">
        <f t="shared" si="37"/>
        <v/>
      </c>
      <c r="AD192" s="60" t="str">
        <f>IF(AND(M192&lt;&gt;"", M192&lt;&gt;0), N192/$N$505*MATCH(AC192,'Misc Lists'!$K$2:$K$25,0), "")</f>
        <v/>
      </c>
      <c r="AE192" s="90" t="str">
        <f t="shared" si="38"/>
        <v/>
      </c>
      <c r="AF192" s="99" t="str">
        <f>IF(AND(M192&lt;&gt;"", M192&lt;&gt;0), N192/$N$505*MATCH(AE192,'Misc Lists'!$L$2:$L$25,0), "")</f>
        <v/>
      </c>
    </row>
    <row r="193" spans="2:32" hidden="1" outlineLevel="1" x14ac:dyDescent="0.5">
      <c r="B193" s="65" t="str">
        <f ca="1"/>
        <v>912828ZL7</v>
      </c>
      <c r="C193" s="66" t="str">
        <f ca="1"/>
        <v>N/A</v>
      </c>
      <c r="D193" s="65" t="str">
        <f ca="1"/>
        <v>UNITED STATES TREAS SER Y-2025          0.37500% 04/30/2025 NTS NOTE</v>
      </c>
      <c r="E193" s="66" t="str">
        <f ca="1"/>
        <v>Tres</v>
      </c>
      <c r="F193" s="67">
        <f ca="1"/>
        <v>0.375</v>
      </c>
      <c r="G193" s="68">
        <f ca="1"/>
        <v>45777</v>
      </c>
      <c r="H193" s="66" t="str">
        <f ca="1"/>
        <v>AAA</v>
      </c>
      <c r="I193" s="66" t="str">
        <f ca="1"/>
        <v>--</v>
      </c>
      <c r="J193" s="69">
        <f ca="1"/>
        <v>99.251000000000005</v>
      </c>
      <c r="K193" s="70">
        <f ca="1"/>
        <v>4.2249999999999996</v>
      </c>
      <c r="L193" s="71" t="str">
        <f ca="1"/>
        <v>30,000(600)</v>
      </c>
      <c r="M193" s="83"/>
      <c r="N193" s="84" t="str">
        <f t="shared" si="39"/>
        <v/>
      </c>
      <c r="O193" s="20" t="str">
        <f t="shared" si="40"/>
        <v/>
      </c>
      <c r="P193" s="64" t="str">
        <f t="shared" si="41"/>
        <v/>
      </c>
      <c r="Q193" s="85" t="str">
        <f t="shared" ca="1" si="42"/>
        <v/>
      </c>
      <c r="R193" s="86" t="str">
        <f t="shared" si="43"/>
        <v/>
      </c>
      <c r="S193" s="86" t="str">
        <f t="shared" si="44"/>
        <v/>
      </c>
      <c r="T193" s="104" t="str">
        <f t="shared" si="30"/>
        <v/>
      </c>
      <c r="U193" s="19" t="str">
        <f>IF(AND(M193&lt;&gt;"",M193&lt;&gt;0), IF(E193 = "Muni", T193, IF(E193="Corp", T193*(1 -'Investor Input'!$C$4-'Investor Input'!$C$5), T193*(1 -'Investor Input'!$C$4))), T193)</f>
        <v/>
      </c>
      <c r="V193" s="84" t="str">
        <f t="shared" si="31"/>
        <v/>
      </c>
      <c r="W193" s="84" t="str">
        <f t="shared" si="32"/>
        <v/>
      </c>
      <c r="X193" s="46" t="str">
        <f t="shared" si="33"/>
        <v/>
      </c>
      <c r="Y193" s="60" t="str">
        <f t="shared" si="34"/>
        <v/>
      </c>
      <c r="Z193" s="60" t="str">
        <f t="shared" si="35"/>
        <v/>
      </c>
      <c r="AA193" s="64" t="str">
        <f t="shared" si="36"/>
        <v/>
      </c>
      <c r="AB193" s="64" t="str">
        <f>IF(AND(AA193&lt;&gt;"",AA193&lt;&gt;0), IF(E193="Muni", AA193, IF(E193 = "Corp", (1-'Investor Input'!$C$4-'Investor Input'!$C$5)*AA193, (1-'Investor Input'!$C$4)*AA193)), AA193)</f>
        <v/>
      </c>
      <c r="AC193" s="94" t="str">
        <f t="shared" si="37"/>
        <v/>
      </c>
      <c r="AD193" s="60" t="str">
        <f>IF(AND(M193&lt;&gt;"", M193&lt;&gt;0), N193/$N$505*MATCH(AC193,'Misc Lists'!$K$2:$K$25,0), "")</f>
        <v/>
      </c>
      <c r="AE193" s="90" t="str">
        <f t="shared" si="38"/>
        <v/>
      </c>
      <c r="AF193" s="99" t="str">
        <f>IF(AND(M193&lt;&gt;"", M193&lt;&gt;0), N193/$N$505*MATCH(AE193,'Misc Lists'!$L$2:$L$25,0), "")</f>
        <v/>
      </c>
    </row>
    <row r="194" spans="2:32" hidden="1" outlineLevel="1" x14ac:dyDescent="0.5">
      <c r="B194" s="65" t="str">
        <f ca="1"/>
        <v>912828XZ8</v>
      </c>
      <c r="C194" s="66" t="str">
        <f ca="1"/>
        <v>N/A</v>
      </c>
      <c r="D194" s="65" t="str">
        <f ca="1"/>
        <v>UNITED STATES TREAS SER M-2025          2.75000% 06/30/2025 NTS NOTE</v>
      </c>
      <c r="E194" s="66" t="str">
        <f ca="1"/>
        <v>Tres</v>
      </c>
      <c r="F194" s="67">
        <f ca="1"/>
        <v>2.75</v>
      </c>
      <c r="G194" s="68">
        <f ca="1"/>
        <v>45838</v>
      </c>
      <c r="H194" s="66" t="str">
        <f ca="1"/>
        <v>AAA</v>
      </c>
      <c r="I194" s="66" t="str">
        <f ca="1"/>
        <v>--</v>
      </c>
      <c r="J194" s="69">
        <f ca="1"/>
        <v>99.465000000000003</v>
      </c>
      <c r="K194" s="70">
        <f ca="1"/>
        <v>4.2240000000000002</v>
      </c>
      <c r="L194" s="71" t="str">
        <f ca="1"/>
        <v>30,000(600)</v>
      </c>
      <c r="M194" s="83"/>
      <c r="N194" s="84" t="str">
        <f t="shared" si="39"/>
        <v/>
      </c>
      <c r="O194" s="20" t="str">
        <f t="shared" si="40"/>
        <v/>
      </c>
      <c r="P194" s="64" t="str">
        <f t="shared" si="41"/>
        <v/>
      </c>
      <c r="Q194" s="85" t="str">
        <f t="shared" ca="1" si="42"/>
        <v/>
      </c>
      <c r="R194" s="86" t="str">
        <f t="shared" si="43"/>
        <v/>
      </c>
      <c r="S194" s="86" t="str">
        <f t="shared" si="44"/>
        <v/>
      </c>
      <c r="T194" s="104" t="str">
        <f t="shared" si="30"/>
        <v/>
      </c>
      <c r="U194" s="19" t="str">
        <f>IF(AND(M194&lt;&gt;"",M194&lt;&gt;0), IF(E194 = "Muni", T194, IF(E194="Corp", T194*(1 -'Investor Input'!$C$4-'Investor Input'!$C$5), T194*(1 -'Investor Input'!$C$4))), T194)</f>
        <v/>
      </c>
      <c r="V194" s="84" t="str">
        <f t="shared" si="31"/>
        <v/>
      </c>
      <c r="W194" s="84" t="str">
        <f t="shared" si="32"/>
        <v/>
      </c>
      <c r="X194" s="46" t="str">
        <f t="shared" si="33"/>
        <v/>
      </c>
      <c r="Y194" s="60" t="str">
        <f t="shared" si="34"/>
        <v/>
      </c>
      <c r="Z194" s="60" t="str">
        <f t="shared" si="35"/>
        <v/>
      </c>
      <c r="AA194" s="64" t="str">
        <f t="shared" si="36"/>
        <v/>
      </c>
      <c r="AB194" s="64" t="str">
        <f>IF(AND(AA194&lt;&gt;"",AA194&lt;&gt;0), IF(E194="Muni", AA194, IF(E194 = "Corp", (1-'Investor Input'!$C$4-'Investor Input'!$C$5)*AA194, (1-'Investor Input'!$C$4)*AA194)), AA194)</f>
        <v/>
      </c>
      <c r="AC194" s="94" t="str">
        <f t="shared" si="37"/>
        <v/>
      </c>
      <c r="AD194" s="60" t="str">
        <f>IF(AND(M194&lt;&gt;"", M194&lt;&gt;0), N194/$N$505*MATCH(AC194,'Misc Lists'!$K$2:$K$25,0), "")</f>
        <v/>
      </c>
      <c r="AE194" s="90" t="str">
        <f t="shared" si="38"/>
        <v/>
      </c>
      <c r="AF194" s="99" t="str">
        <f>IF(AND(M194&lt;&gt;"", M194&lt;&gt;0), N194/$N$505*MATCH(AE194,'Misc Lists'!$L$2:$L$25,0), "")</f>
        <v/>
      </c>
    </row>
    <row r="195" spans="2:32" hidden="1" outlineLevel="1" x14ac:dyDescent="0.5">
      <c r="B195" s="65" t="str">
        <f ca="1"/>
        <v>91282CEQ0</v>
      </c>
      <c r="C195" s="66" t="str">
        <f ca="1"/>
        <v>N/A</v>
      </c>
      <c r="D195" s="65" t="str">
        <f ca="1"/>
        <v>UNITED STATES TREAS SER AN-2025         2.75000% 05/15/2025 NTS NOTE</v>
      </c>
      <c r="E195" s="66" t="str">
        <f ca="1"/>
        <v>Tres</v>
      </c>
      <c r="F195" s="67">
        <f ca="1"/>
        <v>2.75</v>
      </c>
      <c r="G195" s="68">
        <f ca="1"/>
        <v>45792</v>
      </c>
      <c r="H195" s="66" t="str">
        <f ca="1"/>
        <v>AAA</v>
      </c>
      <c r="I195" s="66" t="str">
        <f ca="1"/>
        <v>--</v>
      </c>
      <c r="J195" s="69">
        <f ca="1"/>
        <v>99.649000000000001</v>
      </c>
      <c r="K195" s="70">
        <f ca="1"/>
        <v>4.2140000000000004</v>
      </c>
      <c r="L195" s="71" t="str">
        <f ca="1"/>
        <v>30,000(600)</v>
      </c>
      <c r="M195" s="83"/>
      <c r="N195" s="84" t="str">
        <f t="shared" si="39"/>
        <v/>
      </c>
      <c r="O195" s="20" t="str">
        <f t="shared" si="40"/>
        <v/>
      </c>
      <c r="P195" s="64" t="str">
        <f t="shared" si="41"/>
        <v/>
      </c>
      <c r="Q195" s="85" t="str">
        <f t="shared" ca="1" si="42"/>
        <v/>
      </c>
      <c r="R195" s="86" t="str">
        <f t="shared" si="43"/>
        <v/>
      </c>
      <c r="S195" s="86" t="str">
        <f t="shared" si="44"/>
        <v/>
      </c>
      <c r="T195" s="104" t="str">
        <f t="shared" si="30"/>
        <v/>
      </c>
      <c r="U195" s="19" t="str">
        <f>IF(AND(M195&lt;&gt;"",M195&lt;&gt;0), IF(E195 = "Muni", T195, IF(E195="Corp", T195*(1 -'Investor Input'!$C$4-'Investor Input'!$C$5), T195*(1 -'Investor Input'!$C$4))), T195)</f>
        <v/>
      </c>
      <c r="V195" s="84" t="str">
        <f t="shared" si="31"/>
        <v/>
      </c>
      <c r="W195" s="84" t="str">
        <f t="shared" si="32"/>
        <v/>
      </c>
      <c r="X195" s="46" t="str">
        <f t="shared" si="33"/>
        <v/>
      </c>
      <c r="Y195" s="60" t="str">
        <f t="shared" si="34"/>
        <v/>
      </c>
      <c r="Z195" s="60" t="str">
        <f t="shared" si="35"/>
        <v/>
      </c>
      <c r="AA195" s="64" t="str">
        <f t="shared" si="36"/>
        <v/>
      </c>
      <c r="AB195" s="64" t="str">
        <f>IF(AND(AA195&lt;&gt;"",AA195&lt;&gt;0), IF(E195="Muni", AA195, IF(E195 = "Corp", (1-'Investor Input'!$C$4-'Investor Input'!$C$5)*AA195, (1-'Investor Input'!$C$4)*AA195)), AA195)</f>
        <v/>
      </c>
      <c r="AC195" s="94" t="str">
        <f t="shared" si="37"/>
        <v/>
      </c>
      <c r="AD195" s="60" t="str">
        <f>IF(AND(M195&lt;&gt;"", M195&lt;&gt;0), N195/$N$505*MATCH(AC195,'Misc Lists'!$K$2:$K$25,0), "")</f>
        <v/>
      </c>
      <c r="AE195" s="90" t="str">
        <f t="shared" si="38"/>
        <v/>
      </c>
      <c r="AF195" s="99" t="str">
        <f>IF(AND(M195&lt;&gt;"", M195&lt;&gt;0), N195/$N$505*MATCH(AE195,'Misc Lists'!$L$2:$L$25,0), "")</f>
        <v/>
      </c>
    </row>
    <row r="196" spans="2:32" hidden="1" outlineLevel="1" x14ac:dyDescent="0.5">
      <c r="B196" s="65" t="str">
        <f ca="1"/>
        <v>91282CGX3</v>
      </c>
      <c r="C196" s="66" t="str">
        <f ca="1"/>
        <v>N/A</v>
      </c>
      <c r="D196" s="65" t="str">
        <f ca="1"/>
        <v>UNITED STATES TREAS SER BA-2025         3.87500% 04/30/2025 NTS NOTE</v>
      </c>
      <c r="E196" s="66" t="str">
        <f ca="1"/>
        <v>Tres</v>
      </c>
      <c r="F196" s="67">
        <f ca="1"/>
        <v>3.875</v>
      </c>
      <c r="G196" s="68">
        <f ca="1"/>
        <v>45777</v>
      </c>
      <c r="H196" s="66" t="str">
        <f ca="1"/>
        <v>AAA</v>
      </c>
      <c r="I196" s="66" t="str">
        <f ca="1"/>
        <v>--</v>
      </c>
      <c r="J196" s="69">
        <f ca="1"/>
        <v>99.926000000000002</v>
      </c>
      <c r="K196" s="70">
        <f ca="1"/>
        <v>4.2060000000000004</v>
      </c>
      <c r="L196" s="71" t="str">
        <f ca="1"/>
        <v>30,000(600)</v>
      </c>
      <c r="M196" s="83"/>
      <c r="N196" s="84" t="str">
        <f t="shared" si="39"/>
        <v/>
      </c>
      <c r="O196" s="20" t="str">
        <f t="shared" si="40"/>
        <v/>
      </c>
      <c r="P196" s="64" t="str">
        <f t="shared" si="41"/>
        <v/>
      </c>
      <c r="Q196" s="85" t="str">
        <f t="shared" ca="1" si="42"/>
        <v/>
      </c>
      <c r="R196" s="86" t="str">
        <f t="shared" si="43"/>
        <v/>
      </c>
      <c r="S196" s="86" t="str">
        <f t="shared" si="44"/>
        <v/>
      </c>
      <c r="T196" s="104" t="str">
        <f t="shared" ref="T196:T259" si="45">IF(AND(M196&lt;&gt;"",M196&lt;&gt;0),YIELD(Q196,G196,F196/100,N196/(M196*10),100,2),"")</f>
        <v/>
      </c>
      <c r="U196" s="19" t="str">
        <f>IF(AND(M196&lt;&gt;"",M196&lt;&gt;0), IF(E196 = "Muni", T196, IF(E196="Corp", T196*(1 -'Investor Input'!$C$4-'Investor Input'!$C$5), T196*(1 -'Investor Input'!$C$4))), T196)</f>
        <v/>
      </c>
      <c r="V196" s="84" t="str">
        <f t="shared" ref="V196:V259" si="46">IF(AND(M196&lt;&gt;"",M196&lt;&gt;0),(FV(K196/(2*100),(G196-Q196)*2/365, F196*1000/(2*100), -N196/M196))*M196, "")</f>
        <v/>
      </c>
      <c r="W196" s="84" t="str">
        <f t="shared" ref="W196:W259" si="47">IF(AND(M196&lt;&gt;"",M196&lt;&gt;0),V196-N196,"")</f>
        <v/>
      </c>
      <c r="X196" s="46" t="str">
        <f t="shared" ref="X196:X259" si="48">IF(AND(M196&lt;&gt;"",M196&lt;&gt;0),W196/N196,"")</f>
        <v/>
      </c>
      <c r="Y196" s="60" t="str">
        <f t="shared" ref="Y196:Y259" si="49">IF(AND(M196&lt;&gt;"", M196&lt;&gt;0), MONTH(G196), "")</f>
        <v/>
      </c>
      <c r="Z196" s="60" t="str">
        <f t="shared" ref="Z196:Z259" si="50">IF(AND(M196&lt;&gt;"", M196&lt;&gt;0), MONTH(EDATE(G196, 6)), "")</f>
        <v/>
      </c>
      <c r="AA196" s="64" t="str">
        <f t="shared" ref="AA196:AA259" si="51">IF(AND(M196&lt;&gt;"", M196&lt;&gt;0), F196*1000*M196/(100*2), "")</f>
        <v/>
      </c>
      <c r="AB196" s="64" t="str">
        <f>IF(AND(AA196&lt;&gt;"",AA196&lt;&gt;0), IF(E196="Muni", AA196, IF(E196 = "Corp", (1-'Investor Input'!$C$4-'Investor Input'!$C$5)*AA196, (1-'Investor Input'!$C$4)*AA196)), AA196)</f>
        <v/>
      </c>
      <c r="AC196" s="94" t="str">
        <f t="shared" ref="AC196:AC259" si="52">IF(AND(M196&lt;&gt;"", M196&lt;&gt;0), H196, "")</f>
        <v/>
      </c>
      <c r="AD196" s="60" t="str">
        <f>IF(AND(M196&lt;&gt;"", M196&lt;&gt;0), N196/$N$505*MATCH(AC196,'Misc Lists'!$K$2:$K$25,0), "")</f>
        <v/>
      </c>
      <c r="AE196" s="90" t="str">
        <f t="shared" ref="AE196:AE259" si="53">IF(AND(M196&lt;&gt;"", M196&lt;&gt;0), I196, "")</f>
        <v/>
      </c>
      <c r="AF196" s="99" t="str">
        <f>IF(AND(M196&lt;&gt;"", M196&lt;&gt;0), N196/$N$505*MATCH(AE196,'Misc Lists'!$L$2:$L$25,0), "")</f>
        <v/>
      </c>
    </row>
    <row r="197" spans="2:32" hidden="1" outlineLevel="1" x14ac:dyDescent="0.5">
      <c r="B197" s="65" t="str">
        <f ca="1"/>
        <v>912828ZW3</v>
      </c>
      <c r="C197" s="66" t="str">
        <f ca="1"/>
        <v>N/A</v>
      </c>
      <c r="D197" s="65" t="str">
        <f ca="1"/>
        <v>UNITED STATES TREAS SER AA-2025         0.25000% 06/30/2025 NTS NOTE</v>
      </c>
      <c r="E197" s="66" t="str">
        <f ca="1"/>
        <v>Tres</v>
      </c>
      <c r="F197" s="67">
        <f ca="1"/>
        <v>0.25</v>
      </c>
      <c r="G197" s="68">
        <f ca="1"/>
        <v>45838</v>
      </c>
      <c r="H197" s="66" t="str">
        <f ca="1"/>
        <v>AAA</v>
      </c>
      <c r="I197" s="66" t="str">
        <f ca="1"/>
        <v>NR</v>
      </c>
      <c r="J197" s="69">
        <f ca="1"/>
        <v>98.582999999999998</v>
      </c>
      <c r="K197" s="70">
        <f ca="1"/>
        <v>4.1959999999999997</v>
      </c>
      <c r="L197" s="71" t="str">
        <f ca="1"/>
        <v>30,000(600)</v>
      </c>
      <c r="M197" s="83"/>
      <c r="N197" s="84" t="str">
        <f t="shared" ref="N197:N260" si="54">IF(AND(M197&lt;&gt;"", M197&lt;&gt;0), IF(L197 &lt;&gt; "N/A", IF(M197&gt;=VALUE(LEFT(L197, FIND("(", L197)-1)), J197*10*M197, 1000*M197), 1000*M197), "")</f>
        <v/>
      </c>
      <c r="O197" s="20" t="str">
        <f t="shared" ref="O197:O260" si="55">IF(AND(M197&lt;&gt;"",M197&lt;&gt;0),N197/$N$505, "")</f>
        <v/>
      </c>
      <c r="P197" s="64" t="str">
        <f t="shared" ref="P197:P260" si="56">IF(AND(M197&lt;&gt;"", M197&lt;&gt;0), F197*1000/100, "")</f>
        <v/>
      </c>
      <c r="Q197" s="85" t="str">
        <f t="shared" ref="Q197:Q260" ca="1" si="57">IF(AND(M197&lt;&gt;"", M197&lt;&gt;0), NOW(), "")</f>
        <v/>
      </c>
      <c r="R197" s="86" t="str">
        <f t="shared" ref="R197:R260" si="58">IF(AND(M197&lt;&gt;"", M197&lt;&gt;0), ROUND((G197 - Q197)/365, 0), "")</f>
        <v/>
      </c>
      <c r="S197" s="86" t="str">
        <f t="shared" ref="S197:S260" si="59">IF(AND(M197&lt;&gt;"",M197&lt;&gt;0),MDURATION(Q197,G197,F197/100,K197/100,2), "")</f>
        <v/>
      </c>
      <c r="T197" s="104" t="str">
        <f t="shared" si="45"/>
        <v/>
      </c>
      <c r="U197" s="19" t="str">
        <f>IF(AND(M197&lt;&gt;"",M197&lt;&gt;0), IF(E197 = "Muni", T197, IF(E197="Corp", T197*(1 -'Investor Input'!$C$4-'Investor Input'!$C$5), T197*(1 -'Investor Input'!$C$4))), T197)</f>
        <v/>
      </c>
      <c r="V197" s="84" t="str">
        <f t="shared" si="46"/>
        <v/>
      </c>
      <c r="W197" s="84" t="str">
        <f t="shared" si="47"/>
        <v/>
      </c>
      <c r="X197" s="46" t="str">
        <f t="shared" si="48"/>
        <v/>
      </c>
      <c r="Y197" s="60" t="str">
        <f t="shared" si="49"/>
        <v/>
      </c>
      <c r="Z197" s="60" t="str">
        <f t="shared" si="50"/>
        <v/>
      </c>
      <c r="AA197" s="64" t="str">
        <f t="shared" si="51"/>
        <v/>
      </c>
      <c r="AB197" s="64" t="str">
        <f>IF(AND(AA197&lt;&gt;"",AA197&lt;&gt;0), IF(E197="Muni", AA197, IF(E197 = "Corp", (1-'Investor Input'!$C$4-'Investor Input'!$C$5)*AA197, (1-'Investor Input'!$C$4)*AA197)), AA197)</f>
        <v/>
      </c>
      <c r="AC197" s="94" t="str">
        <f t="shared" si="52"/>
        <v/>
      </c>
      <c r="AD197" s="60" t="str">
        <f>IF(AND(M197&lt;&gt;"", M197&lt;&gt;0), N197/$N$505*MATCH(AC197,'Misc Lists'!$K$2:$K$25,0), "")</f>
        <v/>
      </c>
      <c r="AE197" s="90" t="str">
        <f t="shared" si="53"/>
        <v/>
      </c>
      <c r="AF197" s="99" t="str">
        <f>IF(AND(M197&lt;&gt;"", M197&lt;&gt;0), N197/$N$505*MATCH(AE197,'Misc Lists'!$L$2:$L$25,0), "")</f>
        <v/>
      </c>
    </row>
    <row r="198" spans="2:32" hidden="1" outlineLevel="1" x14ac:dyDescent="0.5">
      <c r="B198" s="65" t="str">
        <f ca="1"/>
        <v>9128284M9</v>
      </c>
      <c r="C198" s="66" t="str">
        <f ca="1"/>
        <v>N/A</v>
      </c>
      <c r="D198" s="65" t="str">
        <f ca="1"/>
        <v>UNITED STATES TREAS SER K-2025          2.87500% 04/30/2025 NTS NOTE</v>
      </c>
      <c r="E198" s="66" t="str">
        <f ca="1"/>
        <v>Tres</v>
      </c>
      <c r="F198" s="67">
        <f ca="1"/>
        <v>2.875</v>
      </c>
      <c r="G198" s="68">
        <f ca="1"/>
        <v>45777</v>
      </c>
      <c r="H198" s="66" t="str">
        <f ca="1"/>
        <v>AAA</v>
      </c>
      <c r="I198" s="66" t="str">
        <f ca="1"/>
        <v>--</v>
      </c>
      <c r="J198" s="69">
        <f ca="1"/>
        <v>99.739000000000004</v>
      </c>
      <c r="K198" s="70">
        <f ca="1"/>
        <v>4.1829999999999998</v>
      </c>
      <c r="L198" s="71" t="str">
        <f ca="1"/>
        <v>30,000(600)</v>
      </c>
      <c r="M198" s="83"/>
      <c r="N198" s="84" t="str">
        <f t="shared" si="54"/>
        <v/>
      </c>
      <c r="O198" s="20" t="str">
        <f t="shared" si="55"/>
        <v/>
      </c>
      <c r="P198" s="64" t="str">
        <f t="shared" si="56"/>
        <v/>
      </c>
      <c r="Q198" s="85" t="str">
        <f t="shared" ca="1" si="57"/>
        <v/>
      </c>
      <c r="R198" s="86" t="str">
        <f t="shared" si="58"/>
        <v/>
      </c>
      <c r="S198" s="86" t="str">
        <f t="shared" si="59"/>
        <v/>
      </c>
      <c r="T198" s="104" t="str">
        <f t="shared" si="45"/>
        <v/>
      </c>
      <c r="U198" s="19" t="str">
        <f>IF(AND(M198&lt;&gt;"",M198&lt;&gt;0), IF(E198 = "Muni", T198, IF(E198="Corp", T198*(1 -'Investor Input'!$C$4-'Investor Input'!$C$5), T198*(1 -'Investor Input'!$C$4))), T198)</f>
        <v/>
      </c>
      <c r="V198" s="84" t="str">
        <f t="shared" si="46"/>
        <v/>
      </c>
      <c r="W198" s="84" t="str">
        <f t="shared" si="47"/>
        <v/>
      </c>
      <c r="X198" s="46" t="str">
        <f t="shared" si="48"/>
        <v/>
      </c>
      <c r="Y198" s="60" t="str">
        <f t="shared" si="49"/>
        <v/>
      </c>
      <c r="Z198" s="60" t="str">
        <f t="shared" si="50"/>
        <v/>
      </c>
      <c r="AA198" s="64" t="str">
        <f t="shared" si="51"/>
        <v/>
      </c>
      <c r="AB198" s="64" t="str">
        <f>IF(AND(AA198&lt;&gt;"",AA198&lt;&gt;0), IF(E198="Muni", AA198, IF(E198 = "Corp", (1-'Investor Input'!$C$4-'Investor Input'!$C$5)*AA198, (1-'Investor Input'!$C$4)*AA198)), AA198)</f>
        <v/>
      </c>
      <c r="AC198" s="94" t="str">
        <f t="shared" si="52"/>
        <v/>
      </c>
      <c r="AD198" s="60" t="str">
        <f>IF(AND(M198&lt;&gt;"", M198&lt;&gt;0), N198/$N$505*MATCH(AC198,'Misc Lists'!$K$2:$K$25,0), "")</f>
        <v/>
      </c>
      <c r="AE198" s="90" t="str">
        <f t="shared" si="53"/>
        <v/>
      </c>
      <c r="AF198" s="99" t="str">
        <f>IF(AND(M198&lt;&gt;"", M198&lt;&gt;0), N198/$N$505*MATCH(AE198,'Misc Lists'!$L$2:$L$25,0), "")</f>
        <v/>
      </c>
    </row>
    <row r="199" spans="2:32" hidden="1" outlineLevel="1" x14ac:dyDescent="0.5">
      <c r="B199" s="65" t="str">
        <f ca="1"/>
        <v>912810FG8</v>
      </c>
      <c r="C199" s="66" t="str">
        <f ca="1"/>
        <v>N/A</v>
      </c>
      <c r="D199" s="65" t="str">
        <f ca="1"/>
        <v>UNITED STATES TREAS BDS                 5.25000% 02/15/2029</v>
      </c>
      <c r="E199" s="66" t="str">
        <f ca="1"/>
        <v>Tres</v>
      </c>
      <c r="F199" s="67">
        <f ca="1"/>
        <v>5.25</v>
      </c>
      <c r="G199" s="68">
        <f ca="1"/>
        <v>47164</v>
      </c>
      <c r="H199" s="66" t="str">
        <f ca="1"/>
        <v>AAA</v>
      </c>
      <c r="I199" s="66" t="str">
        <f ca="1"/>
        <v>--</v>
      </c>
      <c r="J199" s="69">
        <f ca="1"/>
        <v>103.968</v>
      </c>
      <c r="K199" s="70">
        <f ca="1"/>
        <v>4.16</v>
      </c>
      <c r="L199" s="71" t="str">
        <f ca="1"/>
        <v>25,000(5)</v>
      </c>
      <c r="M199" s="83"/>
      <c r="N199" s="84" t="str">
        <f t="shared" si="54"/>
        <v/>
      </c>
      <c r="O199" s="20" t="str">
        <f t="shared" si="55"/>
        <v/>
      </c>
      <c r="P199" s="64" t="str">
        <f t="shared" si="56"/>
        <v/>
      </c>
      <c r="Q199" s="85" t="str">
        <f t="shared" ca="1" si="57"/>
        <v/>
      </c>
      <c r="R199" s="86" t="str">
        <f t="shared" si="58"/>
        <v/>
      </c>
      <c r="S199" s="86" t="str">
        <f t="shared" si="59"/>
        <v/>
      </c>
      <c r="T199" s="104" t="str">
        <f t="shared" si="45"/>
        <v/>
      </c>
      <c r="U199" s="19" t="str">
        <f>IF(AND(M199&lt;&gt;"",M199&lt;&gt;0), IF(E199 = "Muni", T199, IF(E199="Corp", T199*(1 -'Investor Input'!$C$4-'Investor Input'!$C$5), T199*(1 -'Investor Input'!$C$4))), T199)</f>
        <v/>
      </c>
      <c r="V199" s="84" t="str">
        <f t="shared" si="46"/>
        <v/>
      </c>
      <c r="W199" s="84" t="str">
        <f t="shared" si="47"/>
        <v/>
      </c>
      <c r="X199" s="46" t="str">
        <f t="shared" si="48"/>
        <v/>
      </c>
      <c r="Y199" s="60" t="str">
        <f t="shared" si="49"/>
        <v/>
      </c>
      <c r="Z199" s="60" t="str">
        <f t="shared" si="50"/>
        <v/>
      </c>
      <c r="AA199" s="64" t="str">
        <f t="shared" si="51"/>
        <v/>
      </c>
      <c r="AB199" s="64" t="str">
        <f>IF(AND(AA199&lt;&gt;"",AA199&lt;&gt;0), IF(E199="Muni", AA199, IF(E199 = "Corp", (1-'Investor Input'!$C$4-'Investor Input'!$C$5)*AA199, (1-'Investor Input'!$C$4)*AA199)), AA199)</f>
        <v/>
      </c>
      <c r="AC199" s="94" t="str">
        <f t="shared" si="52"/>
        <v/>
      </c>
      <c r="AD199" s="60" t="str">
        <f>IF(AND(M199&lt;&gt;"", M199&lt;&gt;0), N199/$N$505*MATCH(AC199,'Misc Lists'!$K$2:$K$25,0), "")</f>
        <v/>
      </c>
      <c r="AE199" s="90" t="str">
        <f t="shared" si="53"/>
        <v/>
      </c>
      <c r="AF199" s="99" t="str">
        <f>IF(AND(M199&lt;&gt;"", M199&lt;&gt;0), N199/$N$505*MATCH(AE199,'Misc Lists'!$L$2:$L$25,0), "")</f>
        <v/>
      </c>
    </row>
    <row r="200" spans="2:32" hidden="1" outlineLevel="1" x14ac:dyDescent="0.5">
      <c r="B200" s="65" t="str">
        <f ca="1"/>
        <v>912810FE3</v>
      </c>
      <c r="C200" s="66" t="str">
        <f ca="1"/>
        <v>N/A</v>
      </c>
      <c r="D200" s="65" t="str">
        <f ca="1"/>
        <v>UNITED STATES TREAS BDS                 5.50000% 08/15/2028</v>
      </c>
      <c r="E200" s="66" t="str">
        <f ca="1"/>
        <v>Tres</v>
      </c>
      <c r="F200" s="67">
        <f ca="1"/>
        <v>5.5</v>
      </c>
      <c r="G200" s="68">
        <f ca="1"/>
        <v>46980</v>
      </c>
      <c r="H200" s="66" t="str">
        <f ca="1"/>
        <v>AAA</v>
      </c>
      <c r="I200" s="66" t="str">
        <f ca="1"/>
        <v>--</v>
      </c>
      <c r="J200" s="69">
        <f ca="1"/>
        <v>104.398</v>
      </c>
      <c r="K200" s="70">
        <f ca="1"/>
        <v>4.1340000000000003</v>
      </c>
      <c r="L200" s="71" t="str">
        <f ca="1"/>
        <v>40,000(5)</v>
      </c>
      <c r="M200" s="83"/>
      <c r="N200" s="84" t="str">
        <f t="shared" si="54"/>
        <v/>
      </c>
      <c r="O200" s="20" t="str">
        <f t="shared" si="55"/>
        <v/>
      </c>
      <c r="P200" s="64" t="str">
        <f t="shared" si="56"/>
        <v/>
      </c>
      <c r="Q200" s="85" t="str">
        <f t="shared" ca="1" si="57"/>
        <v/>
      </c>
      <c r="R200" s="86" t="str">
        <f t="shared" si="58"/>
        <v/>
      </c>
      <c r="S200" s="86" t="str">
        <f t="shared" si="59"/>
        <v/>
      </c>
      <c r="T200" s="104" t="str">
        <f t="shared" si="45"/>
        <v/>
      </c>
      <c r="U200" s="19" t="str">
        <f>IF(AND(M200&lt;&gt;"",M200&lt;&gt;0), IF(E200 = "Muni", T200, IF(E200="Corp", T200*(1 -'Investor Input'!$C$4-'Investor Input'!$C$5), T200*(1 -'Investor Input'!$C$4))), T200)</f>
        <v/>
      </c>
      <c r="V200" s="84" t="str">
        <f t="shared" si="46"/>
        <v/>
      </c>
      <c r="W200" s="84" t="str">
        <f t="shared" si="47"/>
        <v/>
      </c>
      <c r="X200" s="46" t="str">
        <f t="shared" si="48"/>
        <v/>
      </c>
      <c r="Y200" s="60" t="str">
        <f t="shared" si="49"/>
        <v/>
      </c>
      <c r="Z200" s="60" t="str">
        <f t="shared" si="50"/>
        <v/>
      </c>
      <c r="AA200" s="64" t="str">
        <f t="shared" si="51"/>
        <v/>
      </c>
      <c r="AB200" s="64" t="str">
        <f>IF(AND(AA200&lt;&gt;"",AA200&lt;&gt;0), IF(E200="Muni", AA200, IF(E200 = "Corp", (1-'Investor Input'!$C$4-'Investor Input'!$C$5)*AA200, (1-'Investor Input'!$C$4)*AA200)), AA200)</f>
        <v/>
      </c>
      <c r="AC200" s="94" t="str">
        <f t="shared" si="52"/>
        <v/>
      </c>
      <c r="AD200" s="60" t="str">
        <f>IF(AND(M200&lt;&gt;"", M200&lt;&gt;0), N200/$N$505*MATCH(AC200,'Misc Lists'!$K$2:$K$25,0), "")</f>
        <v/>
      </c>
      <c r="AE200" s="90" t="str">
        <f t="shared" si="53"/>
        <v/>
      </c>
      <c r="AF200" s="99" t="str">
        <f>IF(AND(M200&lt;&gt;"", M200&lt;&gt;0), N200/$N$505*MATCH(AE200,'Misc Lists'!$L$2:$L$25,0), "")</f>
        <v/>
      </c>
    </row>
    <row r="201" spans="2:32" hidden="1" outlineLevel="1" x14ac:dyDescent="0.5">
      <c r="B201" s="65" t="str">
        <f ca="1"/>
        <v>912810FB9</v>
      </c>
      <c r="C201" s="66" t="str">
        <f ca="1"/>
        <v>N/A</v>
      </c>
      <c r="D201" s="65" t="str">
        <f ca="1"/>
        <v>UNITED STATES TREAS BDS                 6.12500% 11/15/2027</v>
      </c>
      <c r="E201" s="66" t="str">
        <f ca="1"/>
        <v>Tres</v>
      </c>
      <c r="F201" s="67">
        <f ca="1"/>
        <v>6.125</v>
      </c>
      <c r="G201" s="68">
        <f ca="1"/>
        <v>46706</v>
      </c>
      <c r="H201" s="66" t="str">
        <f ca="1"/>
        <v>AAA</v>
      </c>
      <c r="I201" s="66" t="str">
        <f ca="1"/>
        <v>--</v>
      </c>
      <c r="J201" s="69">
        <f ca="1"/>
        <v>105.102</v>
      </c>
      <c r="K201" s="70">
        <f ca="1"/>
        <v>4.1310000000000002</v>
      </c>
      <c r="L201" s="70" t="str">
        <f ca="1"/>
        <v>5,000(1)</v>
      </c>
      <c r="M201" s="83"/>
      <c r="N201" s="84" t="str">
        <f t="shared" si="54"/>
        <v/>
      </c>
      <c r="O201" s="20" t="str">
        <f t="shared" si="55"/>
        <v/>
      </c>
      <c r="P201" s="64" t="str">
        <f t="shared" si="56"/>
        <v/>
      </c>
      <c r="Q201" s="85" t="str">
        <f t="shared" ca="1" si="57"/>
        <v/>
      </c>
      <c r="R201" s="86" t="str">
        <f t="shared" si="58"/>
        <v/>
      </c>
      <c r="S201" s="86" t="str">
        <f t="shared" si="59"/>
        <v/>
      </c>
      <c r="T201" s="104" t="str">
        <f t="shared" si="45"/>
        <v/>
      </c>
      <c r="U201" s="19" t="str">
        <f>IF(AND(M201&lt;&gt;"",M201&lt;&gt;0), IF(E201 = "Muni", T201, IF(E201="Corp", T201*(1 -'Investor Input'!$C$4-'Investor Input'!$C$5), T201*(1 -'Investor Input'!$C$4))), T201)</f>
        <v/>
      </c>
      <c r="V201" s="84" t="str">
        <f t="shared" si="46"/>
        <v/>
      </c>
      <c r="W201" s="84" t="str">
        <f t="shared" si="47"/>
        <v/>
      </c>
      <c r="X201" s="46" t="str">
        <f t="shared" si="48"/>
        <v/>
      </c>
      <c r="Y201" s="60" t="str">
        <f t="shared" si="49"/>
        <v/>
      </c>
      <c r="Z201" s="60" t="str">
        <f t="shared" si="50"/>
        <v/>
      </c>
      <c r="AA201" s="64" t="str">
        <f t="shared" si="51"/>
        <v/>
      </c>
      <c r="AB201" s="64" t="str">
        <f>IF(AND(AA201&lt;&gt;"",AA201&lt;&gt;0), IF(E201="Muni", AA201, IF(E201 = "Corp", (1-'Investor Input'!$C$4-'Investor Input'!$C$5)*AA201, (1-'Investor Input'!$C$4)*AA201)), AA201)</f>
        <v/>
      </c>
      <c r="AC201" s="94" t="str">
        <f t="shared" si="52"/>
        <v/>
      </c>
      <c r="AD201" s="60" t="str">
        <f>IF(AND(M201&lt;&gt;"", M201&lt;&gt;0), N201/$N$505*MATCH(AC201,'Misc Lists'!$K$2:$K$25,0), "")</f>
        <v/>
      </c>
      <c r="AE201" s="90" t="str">
        <f t="shared" si="53"/>
        <v/>
      </c>
      <c r="AF201" s="99" t="str">
        <f>IF(AND(M201&lt;&gt;"", M201&lt;&gt;0), N201/$N$505*MATCH(AE201,'Misc Lists'!$L$2:$L$25,0), "")</f>
        <v/>
      </c>
    </row>
    <row r="202" spans="2:32" hidden="1" outlineLevel="1" x14ac:dyDescent="0.5">
      <c r="B202" s="65" t="str">
        <f ca="1"/>
        <v>912810FA1</v>
      </c>
      <c r="C202" s="66" t="str">
        <f ca="1"/>
        <v>N/A</v>
      </c>
      <c r="D202" s="65" t="str">
        <f ca="1"/>
        <v>UNITED STATES TREAS BDS                 6.37500% 08/15/2027</v>
      </c>
      <c r="E202" s="66" t="str">
        <f ca="1"/>
        <v>Tres</v>
      </c>
      <c r="F202" s="67">
        <f ca="1"/>
        <v>6.375</v>
      </c>
      <c r="G202" s="68">
        <f ca="1"/>
        <v>46614</v>
      </c>
      <c r="H202" s="66" t="str">
        <f ca="1"/>
        <v>AAA</v>
      </c>
      <c r="I202" s="66" t="str">
        <f ca="1"/>
        <v>--</v>
      </c>
      <c r="J202" s="69">
        <f ca="1"/>
        <v>105.282</v>
      </c>
      <c r="K202" s="70">
        <f ca="1"/>
        <v>4.1219999999999999</v>
      </c>
      <c r="L202" s="70" t="str">
        <f ca="1"/>
        <v>13,000(200)</v>
      </c>
      <c r="M202" s="83"/>
      <c r="N202" s="84" t="str">
        <f t="shared" si="54"/>
        <v/>
      </c>
      <c r="O202" s="20" t="str">
        <f t="shared" si="55"/>
        <v/>
      </c>
      <c r="P202" s="64" t="str">
        <f t="shared" si="56"/>
        <v/>
      </c>
      <c r="Q202" s="85" t="str">
        <f t="shared" ca="1" si="57"/>
        <v/>
      </c>
      <c r="R202" s="86" t="str">
        <f t="shared" si="58"/>
        <v/>
      </c>
      <c r="S202" s="86" t="str">
        <f t="shared" si="59"/>
        <v/>
      </c>
      <c r="T202" s="104" t="str">
        <f t="shared" si="45"/>
        <v/>
      </c>
      <c r="U202" s="19" t="str">
        <f>IF(AND(M202&lt;&gt;"",M202&lt;&gt;0), IF(E202 = "Muni", T202, IF(E202="Corp", T202*(1 -'Investor Input'!$C$4-'Investor Input'!$C$5), T202*(1 -'Investor Input'!$C$4))), T202)</f>
        <v/>
      </c>
      <c r="V202" s="84" t="str">
        <f t="shared" si="46"/>
        <v/>
      </c>
      <c r="W202" s="84" t="str">
        <f t="shared" si="47"/>
        <v/>
      </c>
      <c r="X202" s="46" t="str">
        <f t="shared" si="48"/>
        <v/>
      </c>
      <c r="Y202" s="60" t="str">
        <f t="shared" si="49"/>
        <v/>
      </c>
      <c r="Z202" s="60" t="str">
        <f t="shared" si="50"/>
        <v/>
      </c>
      <c r="AA202" s="64" t="str">
        <f t="shared" si="51"/>
        <v/>
      </c>
      <c r="AB202" s="64" t="str">
        <f>IF(AND(AA202&lt;&gt;"",AA202&lt;&gt;0), IF(E202="Muni", AA202, IF(E202 = "Corp", (1-'Investor Input'!$C$4-'Investor Input'!$C$5)*AA202, (1-'Investor Input'!$C$4)*AA202)), AA202)</f>
        <v/>
      </c>
      <c r="AC202" s="94" t="str">
        <f t="shared" si="52"/>
        <v/>
      </c>
      <c r="AD202" s="60" t="str">
        <f>IF(AND(M202&lt;&gt;"", M202&lt;&gt;0), N202/$N$505*MATCH(AC202,'Misc Lists'!$K$2:$K$25,0), "")</f>
        <v/>
      </c>
      <c r="AE202" s="90" t="str">
        <f t="shared" si="53"/>
        <v/>
      </c>
      <c r="AF202" s="99" t="str">
        <f>IF(AND(M202&lt;&gt;"", M202&lt;&gt;0), N202/$N$505*MATCH(AE202,'Misc Lists'!$L$2:$L$25,0), "")</f>
        <v/>
      </c>
    </row>
    <row r="203" spans="2:32" hidden="1" outlineLevel="1" x14ac:dyDescent="0.5">
      <c r="B203" s="65" t="str">
        <f ca="1"/>
        <v>91282CEH0</v>
      </c>
      <c r="C203" s="66" t="str">
        <f ca="1"/>
        <v>N/A</v>
      </c>
      <c r="D203" s="65" t="str">
        <f ca="1"/>
        <v>UNITED STATES TREAS SER AM-2025         2.62500% 04/15/2025 NTS NOTE</v>
      </c>
      <c r="E203" s="66" t="str">
        <f ca="1"/>
        <v>Tres</v>
      </c>
      <c r="F203" s="67">
        <f ca="1"/>
        <v>2.625</v>
      </c>
      <c r="G203" s="68">
        <f ca="1"/>
        <v>45762</v>
      </c>
      <c r="H203" s="66" t="str">
        <f ca="1"/>
        <v>AAA</v>
      </c>
      <c r="I203" s="66" t="str">
        <f ca="1"/>
        <v>--</v>
      </c>
      <c r="J203" s="69">
        <f ca="1"/>
        <v>99.766999999999996</v>
      </c>
      <c r="K203" s="70">
        <f ca="1"/>
        <v>4.117</v>
      </c>
      <c r="L203" s="70" t="str">
        <f ca="1"/>
        <v>5,600(200)</v>
      </c>
      <c r="M203" s="83"/>
      <c r="N203" s="84" t="str">
        <f t="shared" si="54"/>
        <v/>
      </c>
      <c r="O203" s="20" t="str">
        <f t="shared" si="55"/>
        <v/>
      </c>
      <c r="P203" s="64" t="str">
        <f t="shared" si="56"/>
        <v/>
      </c>
      <c r="Q203" s="85" t="str">
        <f t="shared" ca="1" si="57"/>
        <v/>
      </c>
      <c r="R203" s="86" t="str">
        <f t="shared" si="58"/>
        <v/>
      </c>
      <c r="S203" s="86" t="str">
        <f t="shared" si="59"/>
        <v/>
      </c>
      <c r="T203" s="104" t="str">
        <f t="shared" si="45"/>
        <v/>
      </c>
      <c r="U203" s="19" t="str">
        <f>IF(AND(M203&lt;&gt;"",M203&lt;&gt;0), IF(E203 = "Muni", T203, IF(E203="Corp", T203*(1 -'Investor Input'!$C$4-'Investor Input'!$C$5), T203*(1 -'Investor Input'!$C$4))), T203)</f>
        <v/>
      </c>
      <c r="V203" s="84" t="str">
        <f t="shared" si="46"/>
        <v/>
      </c>
      <c r="W203" s="84" t="str">
        <f t="shared" si="47"/>
        <v/>
      </c>
      <c r="X203" s="46" t="str">
        <f t="shared" si="48"/>
        <v/>
      </c>
      <c r="Y203" s="60" t="str">
        <f t="shared" si="49"/>
        <v/>
      </c>
      <c r="Z203" s="60" t="str">
        <f t="shared" si="50"/>
        <v/>
      </c>
      <c r="AA203" s="64" t="str">
        <f t="shared" si="51"/>
        <v/>
      </c>
      <c r="AB203" s="64" t="str">
        <f>IF(AND(AA203&lt;&gt;"",AA203&lt;&gt;0), IF(E203="Muni", AA203, IF(E203 = "Corp", (1-'Investor Input'!$C$4-'Investor Input'!$C$5)*AA203, (1-'Investor Input'!$C$4)*AA203)), AA203)</f>
        <v/>
      </c>
      <c r="AC203" s="94" t="str">
        <f t="shared" si="52"/>
        <v/>
      </c>
      <c r="AD203" s="60" t="str">
        <f>IF(AND(M203&lt;&gt;"", M203&lt;&gt;0), N203/$N$505*MATCH(AC203,'Misc Lists'!$K$2:$K$25,0), "")</f>
        <v/>
      </c>
      <c r="AE203" s="90" t="str">
        <f t="shared" si="53"/>
        <v/>
      </c>
      <c r="AF203" s="99" t="str">
        <f>IF(AND(M203&lt;&gt;"", M203&lt;&gt;0), N203/$N$505*MATCH(AE203,'Misc Lists'!$L$2:$L$25,0), "")</f>
        <v/>
      </c>
    </row>
    <row r="204" spans="2:32" hidden="1" outlineLevel="1" x14ac:dyDescent="0.5">
      <c r="B204" s="65" t="str">
        <f ca="1"/>
        <v>91282CGN5</v>
      </c>
      <c r="C204" s="66" t="str">
        <f ca="1"/>
        <v>N/A</v>
      </c>
      <c r="D204" s="65" t="str">
        <f ca="1"/>
        <v>UNITED STATES TREAS SER AY-2025         4.62500% 02/28/2025 NTS NOTE</v>
      </c>
      <c r="E204" s="66" t="str">
        <f ca="1"/>
        <v>Tres</v>
      </c>
      <c r="F204" s="67">
        <f ca="1"/>
        <v>4.625</v>
      </c>
      <c r="G204" s="68">
        <f ca="1"/>
        <v>45716</v>
      </c>
      <c r="H204" s="66" t="str">
        <f ca="1"/>
        <v>AAA</v>
      </c>
      <c r="I204" s="66" t="str">
        <f ca="1"/>
        <v>--</v>
      </c>
      <c r="J204" s="69">
        <f ca="1"/>
        <v>100.012</v>
      </c>
      <c r="K204" s="70">
        <f ca="1"/>
        <v>4.1100000000000003</v>
      </c>
      <c r="L204" s="70" t="str">
        <f ca="1"/>
        <v>30,000(600)</v>
      </c>
      <c r="M204" s="83"/>
      <c r="N204" s="84" t="str">
        <f t="shared" si="54"/>
        <v/>
      </c>
      <c r="O204" s="20" t="str">
        <f t="shared" si="55"/>
        <v/>
      </c>
      <c r="P204" s="64" t="str">
        <f t="shared" si="56"/>
        <v/>
      </c>
      <c r="Q204" s="85" t="str">
        <f t="shared" ca="1" si="57"/>
        <v/>
      </c>
      <c r="R204" s="86" t="str">
        <f t="shared" si="58"/>
        <v/>
      </c>
      <c r="S204" s="86" t="str">
        <f t="shared" si="59"/>
        <v/>
      </c>
      <c r="T204" s="104" t="str">
        <f t="shared" si="45"/>
        <v/>
      </c>
      <c r="U204" s="19" t="str">
        <f>IF(AND(M204&lt;&gt;"",M204&lt;&gt;0), IF(E204 = "Muni", T204, IF(E204="Corp", T204*(1 -'Investor Input'!$C$4-'Investor Input'!$C$5), T204*(1 -'Investor Input'!$C$4))), T204)</f>
        <v/>
      </c>
      <c r="V204" s="84" t="str">
        <f t="shared" si="46"/>
        <v/>
      </c>
      <c r="W204" s="84" t="str">
        <f t="shared" si="47"/>
        <v/>
      </c>
      <c r="X204" s="46" t="str">
        <f t="shared" si="48"/>
        <v/>
      </c>
      <c r="Y204" s="60" t="str">
        <f t="shared" si="49"/>
        <v/>
      </c>
      <c r="Z204" s="60" t="str">
        <f t="shared" si="50"/>
        <v/>
      </c>
      <c r="AA204" s="64" t="str">
        <f t="shared" si="51"/>
        <v/>
      </c>
      <c r="AB204" s="64" t="str">
        <f>IF(AND(AA204&lt;&gt;"",AA204&lt;&gt;0), IF(E204="Muni", AA204, IF(E204 = "Corp", (1-'Investor Input'!$C$4-'Investor Input'!$C$5)*AA204, (1-'Investor Input'!$C$4)*AA204)), AA204)</f>
        <v/>
      </c>
      <c r="AC204" s="94" t="str">
        <f t="shared" si="52"/>
        <v/>
      </c>
      <c r="AD204" s="60" t="str">
        <f>IF(AND(M204&lt;&gt;"", M204&lt;&gt;0), N204/$N$505*MATCH(AC204,'Misc Lists'!$K$2:$K$25,0), "")</f>
        <v/>
      </c>
      <c r="AE204" s="90" t="str">
        <f t="shared" si="53"/>
        <v/>
      </c>
      <c r="AF204" s="99" t="str">
        <f>IF(AND(M204&lt;&gt;"", M204&lt;&gt;0), N204/$N$505*MATCH(AE204,'Misc Lists'!$L$2:$L$25,0), "")</f>
        <v/>
      </c>
    </row>
    <row r="205" spans="2:32" hidden="1" outlineLevel="1" x14ac:dyDescent="0.5">
      <c r="B205" s="65" t="str">
        <f ca="1"/>
        <v>9128284F4</v>
      </c>
      <c r="C205" s="66" t="str">
        <f ca="1"/>
        <v>N/A</v>
      </c>
      <c r="D205" s="65" t="str">
        <f ca="1"/>
        <v>UNITED STATES TREAS SER J-2025          2.62500% 03/31/2025 NTS NOTE</v>
      </c>
      <c r="E205" s="66" t="str">
        <f ca="1"/>
        <v>Tres</v>
      </c>
      <c r="F205" s="67">
        <f ca="1"/>
        <v>2.625</v>
      </c>
      <c r="G205" s="68">
        <f ca="1"/>
        <v>45747</v>
      </c>
      <c r="H205" s="66" t="str">
        <f ca="1"/>
        <v>AAA</v>
      </c>
      <c r="I205" s="66" t="str">
        <f ca="1"/>
        <v>--</v>
      </c>
      <c r="J205" s="69">
        <f ca="1"/>
        <v>99.832999999999998</v>
      </c>
      <c r="K205" s="70">
        <f ca="1"/>
        <v>4.0810000000000004</v>
      </c>
      <c r="L205" s="70" t="str">
        <f ca="1"/>
        <v>30,000(600)</v>
      </c>
      <c r="M205" s="83"/>
      <c r="N205" s="84" t="str">
        <f t="shared" si="54"/>
        <v/>
      </c>
      <c r="O205" s="20" t="str">
        <f t="shared" si="55"/>
        <v/>
      </c>
      <c r="P205" s="64" t="str">
        <f t="shared" si="56"/>
        <v/>
      </c>
      <c r="Q205" s="85" t="str">
        <f t="shared" ca="1" si="57"/>
        <v/>
      </c>
      <c r="R205" s="86" t="str">
        <f t="shared" si="58"/>
        <v/>
      </c>
      <c r="S205" s="86" t="str">
        <f t="shared" si="59"/>
        <v/>
      </c>
      <c r="T205" s="104" t="str">
        <f t="shared" si="45"/>
        <v/>
      </c>
      <c r="U205" s="19" t="str">
        <f>IF(AND(M205&lt;&gt;"",M205&lt;&gt;0), IF(E205 = "Muni", T205, IF(E205="Corp", T205*(1 -'Investor Input'!$C$4-'Investor Input'!$C$5), T205*(1 -'Investor Input'!$C$4))), T205)</f>
        <v/>
      </c>
      <c r="V205" s="84" t="str">
        <f t="shared" si="46"/>
        <v/>
      </c>
      <c r="W205" s="84" t="str">
        <f t="shared" si="47"/>
        <v/>
      </c>
      <c r="X205" s="46" t="str">
        <f t="shared" si="48"/>
        <v/>
      </c>
      <c r="Y205" s="60" t="str">
        <f t="shared" si="49"/>
        <v/>
      </c>
      <c r="Z205" s="60" t="str">
        <f t="shared" si="50"/>
        <v/>
      </c>
      <c r="AA205" s="64" t="str">
        <f t="shared" si="51"/>
        <v/>
      </c>
      <c r="AB205" s="64" t="str">
        <f>IF(AND(AA205&lt;&gt;"",AA205&lt;&gt;0), IF(E205="Muni", AA205, IF(E205 = "Corp", (1-'Investor Input'!$C$4-'Investor Input'!$C$5)*AA205, (1-'Investor Input'!$C$4)*AA205)), AA205)</f>
        <v/>
      </c>
      <c r="AC205" s="94" t="str">
        <f t="shared" si="52"/>
        <v/>
      </c>
      <c r="AD205" s="60" t="str">
        <f>IF(AND(M205&lt;&gt;"", M205&lt;&gt;0), N205/$N$505*MATCH(AC205,'Misc Lists'!$K$2:$K$25,0), "")</f>
        <v/>
      </c>
      <c r="AE205" s="90" t="str">
        <f t="shared" si="53"/>
        <v/>
      </c>
      <c r="AF205" s="99" t="str">
        <f>IF(AND(M205&lt;&gt;"", M205&lt;&gt;0), N205/$N$505*MATCH(AE205,'Misc Lists'!$L$2:$L$25,0), "")</f>
        <v/>
      </c>
    </row>
    <row r="206" spans="2:32" hidden="1" outlineLevel="1" x14ac:dyDescent="0.5">
      <c r="B206" s="65" t="str">
        <f ca="1"/>
        <v>912828ZF0</v>
      </c>
      <c r="C206" s="66" t="str">
        <f ca="1"/>
        <v>N/A</v>
      </c>
      <c r="D206" s="65" t="str">
        <f ca="1"/>
        <v>UNITED STATES TREAS NOTE                0.50000% 03/31/2025</v>
      </c>
      <c r="E206" s="66" t="str">
        <f ca="1"/>
        <v>Tres</v>
      </c>
      <c r="F206" s="67">
        <f ca="1"/>
        <v>0.5</v>
      </c>
      <c r="G206" s="68">
        <f ca="1"/>
        <v>45747</v>
      </c>
      <c r="H206" s="66" t="str">
        <f ca="1"/>
        <v>AAA</v>
      </c>
      <c r="I206" s="66" t="str">
        <f ca="1"/>
        <v>NR</v>
      </c>
      <c r="J206" s="69">
        <f ca="1"/>
        <v>99.597999999999999</v>
      </c>
      <c r="K206" s="70">
        <f ca="1"/>
        <v>4.08</v>
      </c>
      <c r="L206" s="70" t="str">
        <f ca="1"/>
        <v>30,000(600)</v>
      </c>
      <c r="M206" s="83"/>
      <c r="N206" s="84" t="str">
        <f t="shared" si="54"/>
        <v/>
      </c>
      <c r="O206" s="20" t="str">
        <f t="shared" si="55"/>
        <v/>
      </c>
      <c r="P206" s="64" t="str">
        <f t="shared" si="56"/>
        <v/>
      </c>
      <c r="Q206" s="85" t="str">
        <f t="shared" ca="1" si="57"/>
        <v/>
      </c>
      <c r="R206" s="86" t="str">
        <f t="shared" si="58"/>
        <v/>
      </c>
      <c r="S206" s="86" t="str">
        <f t="shared" si="59"/>
        <v/>
      </c>
      <c r="T206" s="104" t="str">
        <f t="shared" si="45"/>
        <v/>
      </c>
      <c r="U206" s="19" t="str">
        <f>IF(AND(M206&lt;&gt;"",M206&lt;&gt;0), IF(E206 = "Muni", T206, IF(E206="Corp", T206*(1 -'Investor Input'!$C$4-'Investor Input'!$C$5), T206*(1 -'Investor Input'!$C$4))), T206)</f>
        <v/>
      </c>
      <c r="V206" s="84" t="str">
        <f t="shared" si="46"/>
        <v/>
      </c>
      <c r="W206" s="84" t="str">
        <f t="shared" si="47"/>
        <v/>
      </c>
      <c r="X206" s="46" t="str">
        <f t="shared" si="48"/>
        <v/>
      </c>
      <c r="Y206" s="60" t="str">
        <f t="shared" si="49"/>
        <v/>
      </c>
      <c r="Z206" s="60" t="str">
        <f t="shared" si="50"/>
        <v/>
      </c>
      <c r="AA206" s="64" t="str">
        <f t="shared" si="51"/>
        <v/>
      </c>
      <c r="AB206" s="64" t="str">
        <f>IF(AND(AA206&lt;&gt;"",AA206&lt;&gt;0), IF(E206="Muni", AA206, IF(E206 = "Corp", (1-'Investor Input'!$C$4-'Investor Input'!$C$5)*AA206, (1-'Investor Input'!$C$4)*AA206)), AA206)</f>
        <v/>
      </c>
      <c r="AC206" s="94" t="str">
        <f t="shared" si="52"/>
        <v/>
      </c>
      <c r="AD206" s="60" t="str">
        <f>IF(AND(M206&lt;&gt;"", M206&lt;&gt;0), N206/$N$505*MATCH(AC206,'Misc Lists'!$K$2:$K$25,0), "")</f>
        <v/>
      </c>
      <c r="AE206" s="90" t="str">
        <f t="shared" si="53"/>
        <v/>
      </c>
      <c r="AF206" s="99" t="str">
        <f>IF(AND(M206&lt;&gt;"", M206&lt;&gt;0), N206/$N$505*MATCH(AE206,'Misc Lists'!$L$2:$L$25,0), "")</f>
        <v/>
      </c>
    </row>
    <row r="207" spans="2:32" hidden="1" outlineLevel="1" x14ac:dyDescent="0.5">
      <c r="B207" s="65" t="str">
        <f ca="1"/>
        <v>91282CGU9</v>
      </c>
      <c r="C207" s="66" t="str">
        <f ca="1"/>
        <v>N/A</v>
      </c>
      <c r="D207" s="65" t="str">
        <f ca="1"/>
        <v>UNITED STATES TREAS SER AZ-2025         3.87500% 03/31/2025 NTS NOTE</v>
      </c>
      <c r="E207" s="66" t="str">
        <f ca="1"/>
        <v>Tres</v>
      </c>
      <c r="F207" s="67">
        <f ca="1"/>
        <v>3.875</v>
      </c>
      <c r="G207" s="68">
        <f ca="1"/>
        <v>45747</v>
      </c>
      <c r="H207" s="66" t="str">
        <f ca="1"/>
        <v>AAA</v>
      </c>
      <c r="I207" s="66" t="str">
        <f ca="1"/>
        <v>--</v>
      </c>
      <c r="J207" s="69">
        <f ca="1"/>
        <v>99.972999999999999</v>
      </c>
      <c r="K207" s="70">
        <f ca="1"/>
        <v>4.0570000000000004</v>
      </c>
      <c r="L207" s="70" t="str">
        <f ca="1"/>
        <v>30,000(600)</v>
      </c>
      <c r="M207" s="83"/>
      <c r="N207" s="84" t="str">
        <f t="shared" si="54"/>
        <v/>
      </c>
      <c r="O207" s="20" t="str">
        <f t="shared" si="55"/>
        <v/>
      </c>
      <c r="P207" s="64" t="str">
        <f t="shared" si="56"/>
        <v/>
      </c>
      <c r="Q207" s="85" t="str">
        <f t="shared" ca="1" si="57"/>
        <v/>
      </c>
      <c r="R207" s="86" t="str">
        <f t="shared" si="58"/>
        <v/>
      </c>
      <c r="S207" s="86" t="str">
        <f t="shared" si="59"/>
        <v/>
      </c>
      <c r="T207" s="104" t="str">
        <f t="shared" si="45"/>
        <v/>
      </c>
      <c r="U207" s="19" t="str">
        <f>IF(AND(M207&lt;&gt;"",M207&lt;&gt;0), IF(E207 = "Muni", T207, IF(E207="Corp", T207*(1 -'Investor Input'!$C$4-'Investor Input'!$C$5), T207*(1 -'Investor Input'!$C$4))), T207)</f>
        <v/>
      </c>
      <c r="V207" s="84" t="str">
        <f t="shared" si="46"/>
        <v/>
      </c>
      <c r="W207" s="84" t="str">
        <f t="shared" si="47"/>
        <v/>
      </c>
      <c r="X207" s="46" t="str">
        <f t="shared" si="48"/>
        <v/>
      </c>
      <c r="Y207" s="60" t="str">
        <f t="shared" si="49"/>
        <v/>
      </c>
      <c r="Z207" s="60" t="str">
        <f t="shared" si="50"/>
        <v/>
      </c>
      <c r="AA207" s="64" t="str">
        <f t="shared" si="51"/>
        <v/>
      </c>
      <c r="AB207" s="64" t="str">
        <f>IF(AND(AA207&lt;&gt;"",AA207&lt;&gt;0), IF(E207="Muni", AA207, IF(E207 = "Corp", (1-'Investor Input'!$C$4-'Investor Input'!$C$5)*AA207, (1-'Investor Input'!$C$4)*AA207)), AA207)</f>
        <v/>
      </c>
      <c r="AC207" s="94" t="str">
        <f t="shared" si="52"/>
        <v/>
      </c>
      <c r="AD207" s="60" t="str">
        <f>IF(AND(M207&lt;&gt;"", M207&lt;&gt;0), N207/$N$505*MATCH(AC207,'Misc Lists'!$K$2:$K$25,0), "")</f>
        <v/>
      </c>
      <c r="AE207" s="90" t="str">
        <f t="shared" si="53"/>
        <v/>
      </c>
      <c r="AF207" s="99" t="str">
        <f>IF(AND(M207&lt;&gt;"", M207&lt;&gt;0), N207/$N$505*MATCH(AE207,'Misc Lists'!$L$2:$L$25,0), "")</f>
        <v/>
      </c>
    </row>
    <row r="208" spans="2:32" hidden="1" outlineLevel="1" x14ac:dyDescent="0.5">
      <c r="B208" s="65" t="str">
        <f ca="1"/>
        <v>912810EX2</v>
      </c>
      <c r="C208" s="66" t="str">
        <f ca="1"/>
        <v>N/A</v>
      </c>
      <c r="D208" s="65" t="str">
        <f ca="1"/>
        <v>UNITED STATES TREAS BDS                 6.75000% 08/15/2026</v>
      </c>
      <c r="E208" s="66" t="str">
        <f ca="1"/>
        <v>Tres</v>
      </c>
      <c r="F208" s="67">
        <f ca="1"/>
        <v>6.75</v>
      </c>
      <c r="G208" s="68">
        <f ca="1"/>
        <v>46249</v>
      </c>
      <c r="H208" s="66" t="str">
        <f ca="1"/>
        <v>AAA</v>
      </c>
      <c r="I208" s="66" t="str">
        <f ca="1"/>
        <v>--</v>
      </c>
      <c r="J208" s="69">
        <f ca="1"/>
        <v>103.911</v>
      </c>
      <c r="K208" s="70">
        <f ca="1"/>
        <v>4.0220000000000002</v>
      </c>
      <c r="L208" s="70" t="str">
        <f ca="1"/>
        <v>27,000(200)</v>
      </c>
      <c r="M208" s="83"/>
      <c r="N208" s="84" t="str">
        <f t="shared" si="54"/>
        <v/>
      </c>
      <c r="O208" s="20" t="str">
        <f t="shared" si="55"/>
        <v/>
      </c>
      <c r="P208" s="64" t="str">
        <f t="shared" si="56"/>
        <v/>
      </c>
      <c r="Q208" s="85" t="str">
        <f t="shared" ca="1" si="57"/>
        <v/>
      </c>
      <c r="R208" s="86" t="str">
        <f t="shared" si="58"/>
        <v/>
      </c>
      <c r="S208" s="86" t="str">
        <f t="shared" si="59"/>
        <v/>
      </c>
      <c r="T208" s="104" t="str">
        <f t="shared" si="45"/>
        <v/>
      </c>
      <c r="U208" s="19" t="str">
        <f>IF(AND(M208&lt;&gt;"",M208&lt;&gt;0), IF(E208 = "Muni", T208, IF(E208="Corp", T208*(1 -'Investor Input'!$C$4-'Investor Input'!$C$5), T208*(1 -'Investor Input'!$C$4))), T208)</f>
        <v/>
      </c>
      <c r="V208" s="84" t="str">
        <f t="shared" si="46"/>
        <v/>
      </c>
      <c r="W208" s="84" t="str">
        <f t="shared" si="47"/>
        <v/>
      </c>
      <c r="X208" s="46" t="str">
        <f t="shared" si="48"/>
        <v/>
      </c>
      <c r="Y208" s="60" t="str">
        <f t="shared" si="49"/>
        <v/>
      </c>
      <c r="Z208" s="60" t="str">
        <f t="shared" si="50"/>
        <v/>
      </c>
      <c r="AA208" s="64" t="str">
        <f t="shared" si="51"/>
        <v/>
      </c>
      <c r="AB208" s="64" t="str">
        <f>IF(AND(AA208&lt;&gt;"",AA208&lt;&gt;0), IF(E208="Muni", AA208, IF(E208 = "Corp", (1-'Investor Input'!$C$4-'Investor Input'!$C$5)*AA208, (1-'Investor Input'!$C$4)*AA208)), AA208)</f>
        <v/>
      </c>
      <c r="AC208" s="94" t="str">
        <f t="shared" si="52"/>
        <v/>
      </c>
      <c r="AD208" s="60" t="str">
        <f>IF(AND(M208&lt;&gt;"", M208&lt;&gt;0), N208/$N$505*MATCH(AC208,'Misc Lists'!$K$2:$K$25,0), "")</f>
        <v/>
      </c>
      <c r="AE208" s="90" t="str">
        <f t="shared" si="53"/>
        <v/>
      </c>
      <c r="AF208" s="99" t="str">
        <f>IF(AND(M208&lt;&gt;"", M208&lt;&gt;0), N208/$N$505*MATCH(AE208,'Misc Lists'!$L$2:$L$25,0), "")</f>
        <v/>
      </c>
    </row>
    <row r="209" spans="2:32" hidden="1" outlineLevel="1" x14ac:dyDescent="0.5">
      <c r="B209" s="65" t="str">
        <f ca="1"/>
        <v>912828Z37</v>
      </c>
      <c r="C209" s="66" t="str">
        <f ca="1"/>
        <v>N/A</v>
      </c>
      <c r="D209" s="65" t="str">
        <f ca="1"/>
        <v>UNITED STATES TREAS NTS SER A-2030      0.12500% 01/15/2030</v>
      </c>
      <c r="E209" s="66" t="str">
        <f ca="1"/>
        <v>TIPS</v>
      </c>
      <c r="F209" s="67">
        <f ca="1"/>
        <v>0.125</v>
      </c>
      <c r="G209" s="68">
        <f ca="1"/>
        <v>47498</v>
      </c>
      <c r="H209" s="66" t="str">
        <f ca="1"/>
        <v>AAA</v>
      </c>
      <c r="I209" s="66" t="str">
        <f ca="1"/>
        <v>--</v>
      </c>
      <c r="J209" s="69">
        <f ca="1"/>
        <v>92.421000000000006</v>
      </c>
      <c r="K209" s="70">
        <f ca="1"/>
        <v>1.7430000000000001</v>
      </c>
      <c r="L209" s="70" t="str">
        <f ca="1"/>
        <v>N/A</v>
      </c>
      <c r="M209" s="83"/>
      <c r="N209" s="84" t="str">
        <f t="shared" si="54"/>
        <v/>
      </c>
      <c r="O209" s="20" t="str">
        <f t="shared" si="55"/>
        <v/>
      </c>
      <c r="P209" s="64" t="str">
        <f t="shared" si="56"/>
        <v/>
      </c>
      <c r="Q209" s="85" t="str">
        <f t="shared" ca="1" si="57"/>
        <v/>
      </c>
      <c r="R209" s="86" t="str">
        <f t="shared" si="58"/>
        <v/>
      </c>
      <c r="S209" s="86" t="str">
        <f t="shared" si="59"/>
        <v/>
      </c>
      <c r="T209" s="104" t="str">
        <f t="shared" si="45"/>
        <v/>
      </c>
      <c r="U209" s="19" t="str">
        <f>IF(AND(M209&lt;&gt;"",M209&lt;&gt;0), IF(E209 = "Muni", T209, IF(E209="Corp", T209*(1 -'Investor Input'!$C$4-'Investor Input'!$C$5), T209*(1 -'Investor Input'!$C$4))), T209)</f>
        <v/>
      </c>
      <c r="V209" s="84" t="str">
        <f t="shared" si="46"/>
        <v/>
      </c>
      <c r="W209" s="84" t="str">
        <f t="shared" si="47"/>
        <v/>
      </c>
      <c r="X209" s="46" t="str">
        <f t="shared" si="48"/>
        <v/>
      </c>
      <c r="Y209" s="60" t="str">
        <f t="shared" si="49"/>
        <v/>
      </c>
      <c r="Z209" s="60" t="str">
        <f t="shared" si="50"/>
        <v/>
      </c>
      <c r="AA209" s="64" t="str">
        <f t="shared" si="51"/>
        <v/>
      </c>
      <c r="AB209" s="64" t="str">
        <f>IF(AND(AA209&lt;&gt;"",AA209&lt;&gt;0), IF(E209="Muni", AA209, IF(E209 = "Corp", (1-'Investor Input'!$C$4-'Investor Input'!$C$5)*AA209, (1-'Investor Input'!$C$4)*AA209)), AA209)</f>
        <v/>
      </c>
      <c r="AC209" s="94" t="str">
        <f t="shared" si="52"/>
        <v/>
      </c>
      <c r="AD209" s="60" t="str">
        <f>IF(AND(M209&lt;&gt;"", M209&lt;&gt;0), N209/$N$505*MATCH(AC209,'Misc Lists'!$K$2:$K$25,0), "")</f>
        <v/>
      </c>
      <c r="AE209" s="90" t="str">
        <f t="shared" si="53"/>
        <v/>
      </c>
      <c r="AF209" s="99" t="str">
        <f>IF(AND(M209&lt;&gt;"", M209&lt;&gt;0), N209/$N$505*MATCH(AE209,'Misc Lists'!$L$2:$L$25,0), "")</f>
        <v/>
      </c>
    </row>
    <row r="210" spans="2:32" hidden="1" outlineLevel="1" x14ac:dyDescent="0.5">
      <c r="B210" s="65" t="str">
        <f ca="1"/>
        <v>91282CKL4</v>
      </c>
      <c r="C210" s="66" t="str">
        <f ca="1"/>
        <v>N/A</v>
      </c>
      <c r="D210" s="65" t="str">
        <f ca="1"/>
        <v>UNITED STATES TREAS NTS SER X-2029      2.12500% 04/15/2029</v>
      </c>
      <c r="E210" s="66" t="str">
        <f ca="1"/>
        <v>TIPS</v>
      </c>
      <c r="F210" s="67">
        <f ca="1"/>
        <v>2.125</v>
      </c>
      <c r="G210" s="68">
        <f ca="1"/>
        <v>47223</v>
      </c>
      <c r="H210" s="66" t="str">
        <f ca="1"/>
        <v>AAA</v>
      </c>
      <c r="I210" s="66" t="str">
        <f ca="1"/>
        <v>--</v>
      </c>
      <c r="J210" s="69">
        <f ca="1"/>
        <v>101.539</v>
      </c>
      <c r="K210" s="70">
        <f ca="1"/>
        <v>1.7390000000000001</v>
      </c>
      <c r="L210" s="70" t="str">
        <f ca="1"/>
        <v>N/A</v>
      </c>
      <c r="M210" s="83"/>
      <c r="N210" s="84" t="str">
        <f t="shared" si="54"/>
        <v/>
      </c>
      <c r="O210" s="20" t="str">
        <f t="shared" si="55"/>
        <v/>
      </c>
      <c r="P210" s="64" t="str">
        <f t="shared" si="56"/>
        <v/>
      </c>
      <c r="Q210" s="85" t="str">
        <f t="shared" ca="1" si="57"/>
        <v/>
      </c>
      <c r="R210" s="86" t="str">
        <f t="shared" si="58"/>
        <v/>
      </c>
      <c r="S210" s="86" t="str">
        <f t="shared" si="59"/>
        <v/>
      </c>
      <c r="T210" s="104" t="str">
        <f t="shared" si="45"/>
        <v/>
      </c>
      <c r="U210" s="19" t="str">
        <f>IF(AND(M210&lt;&gt;"",M210&lt;&gt;0), IF(E210 = "Muni", T210, IF(E210="Corp", T210*(1 -'Investor Input'!$C$4-'Investor Input'!$C$5), T210*(1 -'Investor Input'!$C$4))), T210)</f>
        <v/>
      </c>
      <c r="V210" s="84" t="str">
        <f t="shared" si="46"/>
        <v/>
      </c>
      <c r="W210" s="84" t="str">
        <f t="shared" si="47"/>
        <v/>
      </c>
      <c r="X210" s="46" t="str">
        <f t="shared" si="48"/>
        <v/>
      </c>
      <c r="Y210" s="60" t="str">
        <f t="shared" si="49"/>
        <v/>
      </c>
      <c r="Z210" s="60" t="str">
        <f t="shared" si="50"/>
        <v/>
      </c>
      <c r="AA210" s="64" t="str">
        <f t="shared" si="51"/>
        <v/>
      </c>
      <c r="AB210" s="64" t="str">
        <f>IF(AND(AA210&lt;&gt;"",AA210&lt;&gt;0), IF(E210="Muni", AA210, IF(E210 = "Corp", (1-'Investor Input'!$C$4-'Investor Input'!$C$5)*AA210, (1-'Investor Input'!$C$4)*AA210)), AA210)</f>
        <v/>
      </c>
      <c r="AC210" s="94" t="str">
        <f t="shared" si="52"/>
        <v/>
      </c>
      <c r="AD210" s="60" t="str">
        <f>IF(AND(M210&lt;&gt;"", M210&lt;&gt;0), N210/$N$505*MATCH(AC210,'Misc Lists'!$K$2:$K$25,0), "")</f>
        <v/>
      </c>
      <c r="AE210" s="90" t="str">
        <f t="shared" si="53"/>
        <v/>
      </c>
      <c r="AF210" s="99" t="str">
        <f>IF(AND(M210&lt;&gt;"", M210&lt;&gt;0), N210/$N$505*MATCH(AE210,'Misc Lists'!$L$2:$L$25,0), "")</f>
        <v/>
      </c>
    </row>
    <row r="211" spans="2:32" hidden="1" outlineLevel="1" x14ac:dyDescent="0.5">
      <c r="B211" s="65" t="str">
        <f ca="1"/>
        <v>912810FH6</v>
      </c>
      <c r="C211" s="66" t="str">
        <f ca="1"/>
        <v>N/A</v>
      </c>
      <c r="D211" s="65" t="str">
        <f ca="1"/>
        <v>UNITED STATES TREAS BDS                 3.87500% 04/15/2029</v>
      </c>
      <c r="E211" s="66" t="str">
        <f ca="1"/>
        <v>TIPS</v>
      </c>
      <c r="F211" s="67">
        <f ca="1"/>
        <v>3.875</v>
      </c>
      <c r="G211" s="68">
        <f ca="1"/>
        <v>47223</v>
      </c>
      <c r="H211" s="66" t="str">
        <f ca="1"/>
        <v>AAA</v>
      </c>
      <c r="I211" s="66" t="str">
        <f ca="1"/>
        <v>--</v>
      </c>
      <c r="J211" s="69">
        <f ca="1"/>
        <v>108.65600000000001</v>
      </c>
      <c r="K211" s="70">
        <f ca="1"/>
        <v>1.7070000000000001</v>
      </c>
      <c r="L211" s="70" t="str">
        <f ca="1"/>
        <v>N/A</v>
      </c>
      <c r="M211" s="83"/>
      <c r="N211" s="84" t="str">
        <f t="shared" si="54"/>
        <v/>
      </c>
      <c r="O211" s="20" t="str">
        <f t="shared" si="55"/>
        <v/>
      </c>
      <c r="P211" s="64" t="str">
        <f t="shared" si="56"/>
        <v/>
      </c>
      <c r="Q211" s="85" t="str">
        <f t="shared" ca="1" si="57"/>
        <v/>
      </c>
      <c r="R211" s="86" t="str">
        <f t="shared" si="58"/>
        <v/>
      </c>
      <c r="S211" s="86" t="str">
        <f t="shared" si="59"/>
        <v/>
      </c>
      <c r="T211" s="104" t="str">
        <f t="shared" si="45"/>
        <v/>
      </c>
      <c r="U211" s="19" t="str">
        <f>IF(AND(M211&lt;&gt;"",M211&lt;&gt;0), IF(E211 = "Muni", T211, IF(E211="Corp", T211*(1 -'Investor Input'!$C$4-'Investor Input'!$C$5), T211*(1 -'Investor Input'!$C$4))), T211)</f>
        <v/>
      </c>
      <c r="V211" s="84" t="str">
        <f t="shared" si="46"/>
        <v/>
      </c>
      <c r="W211" s="84" t="str">
        <f t="shared" si="47"/>
        <v/>
      </c>
      <c r="X211" s="46" t="str">
        <f t="shared" si="48"/>
        <v/>
      </c>
      <c r="Y211" s="60" t="str">
        <f t="shared" si="49"/>
        <v/>
      </c>
      <c r="Z211" s="60" t="str">
        <f t="shared" si="50"/>
        <v/>
      </c>
      <c r="AA211" s="64" t="str">
        <f t="shared" si="51"/>
        <v/>
      </c>
      <c r="AB211" s="64" t="str">
        <f>IF(AND(AA211&lt;&gt;"",AA211&lt;&gt;0), IF(E211="Muni", AA211, IF(E211 = "Corp", (1-'Investor Input'!$C$4-'Investor Input'!$C$5)*AA211, (1-'Investor Input'!$C$4)*AA211)), AA211)</f>
        <v/>
      </c>
      <c r="AC211" s="94" t="str">
        <f t="shared" si="52"/>
        <v/>
      </c>
      <c r="AD211" s="60" t="str">
        <f>IF(AND(M211&lt;&gt;"", M211&lt;&gt;0), N211/$N$505*MATCH(AC211,'Misc Lists'!$K$2:$K$25,0), "")</f>
        <v/>
      </c>
      <c r="AE211" s="90" t="str">
        <f t="shared" si="53"/>
        <v/>
      </c>
      <c r="AF211" s="99" t="str">
        <f>IF(AND(M211&lt;&gt;"", M211&lt;&gt;0), N211/$N$505*MATCH(AE211,'Misc Lists'!$L$2:$L$25,0), "")</f>
        <v/>
      </c>
    </row>
    <row r="212" spans="2:32" hidden="1" outlineLevel="1" x14ac:dyDescent="0.5">
      <c r="B212" s="65" t="str">
        <f ca="1"/>
        <v>9128285W6</v>
      </c>
      <c r="C212" s="66" t="str">
        <f ca="1"/>
        <v>N/A</v>
      </c>
      <c r="D212" s="65" t="str">
        <f ca="1"/>
        <v>UNITED STATES TREAS NTS SER A-2029      0.87500% 01/15/2029</v>
      </c>
      <c r="E212" s="66" t="str">
        <f ca="1"/>
        <v>TIPS</v>
      </c>
      <c r="F212" s="67">
        <f ca="1"/>
        <v>0.875</v>
      </c>
      <c r="G212" s="68">
        <f ca="1"/>
        <v>47133</v>
      </c>
      <c r="H212" s="66" t="str">
        <f ca="1"/>
        <v>AAA</v>
      </c>
      <c r="I212" s="66" t="str">
        <f ca="1"/>
        <v>--</v>
      </c>
      <c r="J212" s="69">
        <f ca="1"/>
        <v>96.968000000000004</v>
      </c>
      <c r="K212" s="70">
        <f ca="1"/>
        <v>1.68</v>
      </c>
      <c r="L212" s="70" t="str">
        <f ca="1"/>
        <v>N/A</v>
      </c>
      <c r="M212" s="83"/>
      <c r="N212" s="84" t="str">
        <f t="shared" si="54"/>
        <v/>
      </c>
      <c r="O212" s="20" t="str">
        <f t="shared" si="55"/>
        <v/>
      </c>
      <c r="P212" s="64" t="str">
        <f t="shared" si="56"/>
        <v/>
      </c>
      <c r="Q212" s="85" t="str">
        <f t="shared" ca="1" si="57"/>
        <v/>
      </c>
      <c r="R212" s="86" t="str">
        <f t="shared" si="58"/>
        <v/>
      </c>
      <c r="S212" s="86" t="str">
        <f t="shared" si="59"/>
        <v/>
      </c>
      <c r="T212" s="104" t="str">
        <f t="shared" si="45"/>
        <v/>
      </c>
      <c r="U212" s="19" t="str">
        <f>IF(AND(M212&lt;&gt;"",M212&lt;&gt;0), IF(E212 = "Muni", T212, IF(E212="Corp", T212*(1 -'Investor Input'!$C$4-'Investor Input'!$C$5), T212*(1 -'Investor Input'!$C$4))), T212)</f>
        <v/>
      </c>
      <c r="V212" s="84" t="str">
        <f t="shared" si="46"/>
        <v/>
      </c>
      <c r="W212" s="84" t="str">
        <f t="shared" si="47"/>
        <v/>
      </c>
      <c r="X212" s="46" t="str">
        <f t="shared" si="48"/>
        <v/>
      </c>
      <c r="Y212" s="60" t="str">
        <f t="shared" si="49"/>
        <v/>
      </c>
      <c r="Z212" s="60" t="str">
        <f t="shared" si="50"/>
        <v/>
      </c>
      <c r="AA212" s="64" t="str">
        <f t="shared" si="51"/>
        <v/>
      </c>
      <c r="AB212" s="64" t="str">
        <f>IF(AND(AA212&lt;&gt;"",AA212&lt;&gt;0), IF(E212="Muni", AA212, IF(E212 = "Corp", (1-'Investor Input'!$C$4-'Investor Input'!$C$5)*AA212, (1-'Investor Input'!$C$4)*AA212)), AA212)</f>
        <v/>
      </c>
      <c r="AC212" s="94" t="str">
        <f t="shared" si="52"/>
        <v/>
      </c>
      <c r="AD212" s="60" t="str">
        <f>IF(AND(M212&lt;&gt;"", M212&lt;&gt;0), N212/$N$505*MATCH(AC212,'Misc Lists'!$K$2:$K$25,0), "")</f>
        <v/>
      </c>
      <c r="AE212" s="90" t="str">
        <f t="shared" si="53"/>
        <v/>
      </c>
      <c r="AF212" s="99" t="str">
        <f>IF(AND(M212&lt;&gt;"", M212&lt;&gt;0), N212/$N$505*MATCH(AE212,'Misc Lists'!$L$2:$L$25,0), "")</f>
        <v/>
      </c>
    </row>
    <row r="213" spans="2:32" hidden="1" outlineLevel="1" x14ac:dyDescent="0.5">
      <c r="B213" s="65" t="str">
        <f ca="1"/>
        <v>91282CLV1</v>
      </c>
      <c r="C213" s="66" t="str">
        <f ca="1"/>
        <v>N/A</v>
      </c>
      <c r="D213" s="65" t="str">
        <f ca="1"/>
        <v>UNITED STATES TREAS NTS SER AE-2029     1.62500% 10/15/2029</v>
      </c>
      <c r="E213" s="66" t="str">
        <f ca="1"/>
        <v>TIPS</v>
      </c>
      <c r="F213" s="67">
        <f ca="1"/>
        <v>1.625</v>
      </c>
      <c r="G213" s="68">
        <f ca="1"/>
        <v>47406</v>
      </c>
      <c r="H213" s="66" t="str">
        <f ca="1"/>
        <v>AAA</v>
      </c>
      <c r="I213" s="66" t="str">
        <f ca="1"/>
        <v>--</v>
      </c>
      <c r="J213" s="69">
        <f ca="1"/>
        <v>99.828000000000003</v>
      </c>
      <c r="K213" s="70">
        <f ca="1"/>
        <v>1.663</v>
      </c>
      <c r="L213" s="70" t="str">
        <f ca="1"/>
        <v>N/A</v>
      </c>
      <c r="M213" s="83"/>
      <c r="N213" s="84" t="str">
        <f t="shared" si="54"/>
        <v/>
      </c>
      <c r="O213" s="20" t="str">
        <f t="shared" si="55"/>
        <v/>
      </c>
      <c r="P213" s="64" t="str">
        <f t="shared" si="56"/>
        <v/>
      </c>
      <c r="Q213" s="85" t="str">
        <f t="shared" ca="1" si="57"/>
        <v/>
      </c>
      <c r="R213" s="86" t="str">
        <f t="shared" si="58"/>
        <v/>
      </c>
      <c r="S213" s="86" t="str">
        <f t="shared" si="59"/>
        <v/>
      </c>
      <c r="T213" s="104" t="str">
        <f t="shared" si="45"/>
        <v/>
      </c>
      <c r="U213" s="19" t="str">
        <f>IF(AND(M213&lt;&gt;"",M213&lt;&gt;0), IF(E213 = "Muni", T213, IF(E213="Corp", T213*(1 -'Investor Input'!$C$4-'Investor Input'!$C$5), T213*(1 -'Investor Input'!$C$4))), T213)</f>
        <v/>
      </c>
      <c r="V213" s="84" t="str">
        <f t="shared" si="46"/>
        <v/>
      </c>
      <c r="W213" s="84" t="str">
        <f t="shared" si="47"/>
        <v/>
      </c>
      <c r="X213" s="46" t="str">
        <f t="shared" si="48"/>
        <v/>
      </c>
      <c r="Y213" s="60" t="str">
        <f t="shared" si="49"/>
        <v/>
      </c>
      <c r="Z213" s="60" t="str">
        <f t="shared" si="50"/>
        <v/>
      </c>
      <c r="AA213" s="64" t="str">
        <f t="shared" si="51"/>
        <v/>
      </c>
      <c r="AB213" s="64" t="str">
        <f>IF(AND(AA213&lt;&gt;"",AA213&lt;&gt;0), IF(E213="Muni", AA213, IF(E213 = "Corp", (1-'Investor Input'!$C$4-'Investor Input'!$C$5)*AA213, (1-'Investor Input'!$C$4)*AA213)), AA213)</f>
        <v/>
      </c>
      <c r="AC213" s="94" t="str">
        <f t="shared" si="52"/>
        <v/>
      </c>
      <c r="AD213" s="60" t="str">
        <f>IF(AND(M213&lt;&gt;"", M213&lt;&gt;0), N213/$N$505*MATCH(AC213,'Misc Lists'!$K$2:$K$25,0), "")</f>
        <v/>
      </c>
      <c r="AE213" s="90" t="str">
        <f t="shared" si="53"/>
        <v/>
      </c>
      <c r="AF213" s="99" t="str">
        <f>IF(AND(M213&lt;&gt;"", M213&lt;&gt;0), N213/$N$505*MATCH(AE213,'Misc Lists'!$L$2:$L$25,0), "")</f>
        <v/>
      </c>
    </row>
    <row r="214" spans="2:32" hidden="1" outlineLevel="1" x14ac:dyDescent="0.5">
      <c r="B214" s="65" t="str">
        <f ca="1"/>
        <v>91282CGW5</v>
      </c>
      <c r="C214" s="66" t="str">
        <f ca="1"/>
        <v>N/A</v>
      </c>
      <c r="D214" s="65" t="str">
        <f ca="1"/>
        <v>UNITED STATES TREAS NTS SER X-2028      1.25000% 04/15/2028</v>
      </c>
      <c r="E214" s="66" t="str">
        <f ca="1"/>
        <v>TIPS</v>
      </c>
      <c r="F214" s="67">
        <f ca="1"/>
        <v>1.25</v>
      </c>
      <c r="G214" s="68">
        <f ca="1"/>
        <v>46858</v>
      </c>
      <c r="H214" s="66" t="str">
        <f ca="1"/>
        <v>AAA</v>
      </c>
      <c r="I214" s="66" t="str">
        <f ca="1"/>
        <v>--</v>
      </c>
      <c r="J214" s="69">
        <f ca="1"/>
        <v>98.804000000000002</v>
      </c>
      <c r="K214" s="70">
        <f ca="1"/>
        <v>1.64</v>
      </c>
      <c r="L214" s="70" t="str">
        <f ca="1"/>
        <v>N/A</v>
      </c>
      <c r="M214" s="83"/>
      <c r="N214" s="84" t="str">
        <f t="shared" si="54"/>
        <v/>
      </c>
      <c r="O214" s="20" t="str">
        <f t="shared" si="55"/>
        <v/>
      </c>
      <c r="P214" s="64" t="str">
        <f t="shared" si="56"/>
        <v/>
      </c>
      <c r="Q214" s="85" t="str">
        <f t="shared" ca="1" si="57"/>
        <v/>
      </c>
      <c r="R214" s="86" t="str">
        <f t="shared" si="58"/>
        <v/>
      </c>
      <c r="S214" s="86" t="str">
        <f t="shared" si="59"/>
        <v/>
      </c>
      <c r="T214" s="104" t="str">
        <f t="shared" si="45"/>
        <v/>
      </c>
      <c r="U214" s="19" t="str">
        <f>IF(AND(M214&lt;&gt;"",M214&lt;&gt;0), IF(E214 = "Muni", T214, IF(E214="Corp", T214*(1 -'Investor Input'!$C$4-'Investor Input'!$C$5), T214*(1 -'Investor Input'!$C$4))), T214)</f>
        <v/>
      </c>
      <c r="V214" s="84" t="str">
        <f t="shared" si="46"/>
        <v/>
      </c>
      <c r="W214" s="84" t="str">
        <f t="shared" si="47"/>
        <v/>
      </c>
      <c r="X214" s="46" t="str">
        <f t="shared" si="48"/>
        <v/>
      </c>
      <c r="Y214" s="60" t="str">
        <f t="shared" si="49"/>
        <v/>
      </c>
      <c r="Z214" s="60" t="str">
        <f t="shared" si="50"/>
        <v/>
      </c>
      <c r="AA214" s="64" t="str">
        <f t="shared" si="51"/>
        <v/>
      </c>
      <c r="AB214" s="64" t="str">
        <f>IF(AND(AA214&lt;&gt;"",AA214&lt;&gt;0), IF(E214="Muni", AA214, IF(E214 = "Corp", (1-'Investor Input'!$C$4-'Investor Input'!$C$5)*AA214, (1-'Investor Input'!$C$4)*AA214)), AA214)</f>
        <v/>
      </c>
      <c r="AC214" s="94" t="str">
        <f t="shared" si="52"/>
        <v/>
      </c>
      <c r="AD214" s="60" t="str">
        <f>IF(AND(M214&lt;&gt;"", M214&lt;&gt;0), N214/$N$505*MATCH(AC214,'Misc Lists'!$K$2:$K$25,0), "")</f>
        <v/>
      </c>
      <c r="AE214" s="90" t="str">
        <f t="shared" si="53"/>
        <v/>
      </c>
      <c r="AF214" s="99" t="str">
        <f>IF(AND(M214&lt;&gt;"", M214&lt;&gt;0), N214/$N$505*MATCH(AE214,'Misc Lists'!$L$2:$L$25,0), "")</f>
        <v/>
      </c>
    </row>
    <row r="215" spans="2:32" hidden="1" outlineLevel="1" x14ac:dyDescent="0.5">
      <c r="B215" s="65" t="str">
        <f ca="1"/>
        <v>9128287D6</v>
      </c>
      <c r="C215" s="66" t="str">
        <f ca="1"/>
        <v>N/A</v>
      </c>
      <c r="D215" s="65" t="str">
        <f ca="1"/>
        <v>UNITED STATES TREAS NTS SER D-2029      0.25000% 07/15/2029</v>
      </c>
      <c r="E215" s="66" t="str">
        <f ca="1"/>
        <v>TIPS</v>
      </c>
      <c r="F215" s="67">
        <f ca="1"/>
        <v>0.25</v>
      </c>
      <c r="G215" s="68">
        <f ca="1"/>
        <v>47314</v>
      </c>
      <c r="H215" s="66" t="str">
        <f ca="1"/>
        <v>AAA</v>
      </c>
      <c r="I215" s="66" t="str">
        <f ca="1"/>
        <v>--</v>
      </c>
      <c r="J215" s="69">
        <f ca="1"/>
        <v>94.242000000000004</v>
      </c>
      <c r="K215" s="70">
        <f ca="1"/>
        <v>1.6080000000000001</v>
      </c>
      <c r="L215" s="70" t="str">
        <f ca="1"/>
        <v>N/A</v>
      </c>
      <c r="M215" s="83"/>
      <c r="N215" s="84" t="str">
        <f t="shared" si="54"/>
        <v/>
      </c>
      <c r="O215" s="20" t="str">
        <f t="shared" si="55"/>
        <v/>
      </c>
      <c r="P215" s="64" t="str">
        <f t="shared" si="56"/>
        <v/>
      </c>
      <c r="Q215" s="85" t="str">
        <f t="shared" ca="1" si="57"/>
        <v/>
      </c>
      <c r="R215" s="86" t="str">
        <f t="shared" si="58"/>
        <v/>
      </c>
      <c r="S215" s="86" t="str">
        <f t="shared" si="59"/>
        <v/>
      </c>
      <c r="T215" s="104" t="str">
        <f t="shared" si="45"/>
        <v/>
      </c>
      <c r="U215" s="19" t="str">
        <f>IF(AND(M215&lt;&gt;"",M215&lt;&gt;0), IF(E215 = "Muni", T215, IF(E215="Corp", T215*(1 -'Investor Input'!$C$4-'Investor Input'!$C$5), T215*(1 -'Investor Input'!$C$4))), T215)</f>
        <v/>
      </c>
      <c r="V215" s="84" t="str">
        <f t="shared" si="46"/>
        <v/>
      </c>
      <c r="W215" s="84" t="str">
        <f t="shared" si="47"/>
        <v/>
      </c>
      <c r="X215" s="46" t="str">
        <f t="shared" si="48"/>
        <v/>
      </c>
      <c r="Y215" s="60" t="str">
        <f t="shared" si="49"/>
        <v/>
      </c>
      <c r="Z215" s="60" t="str">
        <f t="shared" si="50"/>
        <v/>
      </c>
      <c r="AA215" s="64" t="str">
        <f t="shared" si="51"/>
        <v/>
      </c>
      <c r="AB215" s="64" t="str">
        <f>IF(AND(AA215&lt;&gt;"",AA215&lt;&gt;0), IF(E215="Muni", AA215, IF(E215 = "Corp", (1-'Investor Input'!$C$4-'Investor Input'!$C$5)*AA215, (1-'Investor Input'!$C$4)*AA215)), AA215)</f>
        <v/>
      </c>
      <c r="AC215" s="94" t="str">
        <f t="shared" si="52"/>
        <v/>
      </c>
      <c r="AD215" s="60" t="str">
        <f>IF(AND(M215&lt;&gt;"", M215&lt;&gt;0), N215/$N$505*MATCH(AC215,'Misc Lists'!$K$2:$K$25,0), "")</f>
        <v/>
      </c>
      <c r="AE215" s="90" t="str">
        <f t="shared" si="53"/>
        <v/>
      </c>
      <c r="AF215" s="99" t="str">
        <f>IF(AND(M215&lt;&gt;"", M215&lt;&gt;0), N215/$N$505*MATCH(AE215,'Misc Lists'!$L$2:$L$25,0), "")</f>
        <v/>
      </c>
    </row>
    <row r="216" spans="2:32" hidden="1" outlineLevel="1" x14ac:dyDescent="0.5">
      <c r="B216" s="65" t="str">
        <f ca="1"/>
        <v>91282CJH5</v>
      </c>
      <c r="C216" s="66" t="str">
        <f ca="1"/>
        <v>N/A</v>
      </c>
      <c r="D216" s="65" t="str">
        <f ca="1"/>
        <v>UNITED STATES TREAS NTS SER AE-2028     2.37500% 10/15/2028</v>
      </c>
      <c r="E216" s="66" t="str">
        <f ca="1"/>
        <v>TIPS</v>
      </c>
      <c r="F216" s="67">
        <f ca="1"/>
        <v>2.375</v>
      </c>
      <c r="G216" s="68">
        <f ca="1"/>
        <v>47041</v>
      </c>
      <c r="H216" s="66" t="str">
        <f ca="1"/>
        <v>AAA</v>
      </c>
      <c r="I216" s="66" t="str">
        <f ca="1"/>
        <v>--</v>
      </c>
      <c r="J216" s="69">
        <f ca="1"/>
        <v>102.88200000000001</v>
      </c>
      <c r="K216" s="70">
        <f ca="1"/>
        <v>1.56</v>
      </c>
      <c r="L216" s="70" t="str">
        <f ca="1"/>
        <v>N/A</v>
      </c>
      <c r="M216" s="83"/>
      <c r="N216" s="84" t="str">
        <f t="shared" si="54"/>
        <v/>
      </c>
      <c r="O216" s="20" t="str">
        <f t="shared" si="55"/>
        <v/>
      </c>
      <c r="P216" s="64" t="str">
        <f t="shared" si="56"/>
        <v/>
      </c>
      <c r="Q216" s="85" t="str">
        <f t="shared" ca="1" si="57"/>
        <v/>
      </c>
      <c r="R216" s="86" t="str">
        <f t="shared" si="58"/>
        <v/>
      </c>
      <c r="S216" s="86" t="str">
        <f t="shared" si="59"/>
        <v/>
      </c>
      <c r="T216" s="104" t="str">
        <f t="shared" si="45"/>
        <v/>
      </c>
      <c r="U216" s="19" t="str">
        <f>IF(AND(M216&lt;&gt;"",M216&lt;&gt;0), IF(E216 = "Muni", T216, IF(E216="Corp", T216*(1 -'Investor Input'!$C$4-'Investor Input'!$C$5), T216*(1 -'Investor Input'!$C$4))), T216)</f>
        <v/>
      </c>
      <c r="V216" s="84" t="str">
        <f t="shared" si="46"/>
        <v/>
      </c>
      <c r="W216" s="84" t="str">
        <f t="shared" si="47"/>
        <v/>
      </c>
      <c r="X216" s="46" t="str">
        <f t="shared" si="48"/>
        <v/>
      </c>
      <c r="Y216" s="60" t="str">
        <f t="shared" si="49"/>
        <v/>
      </c>
      <c r="Z216" s="60" t="str">
        <f t="shared" si="50"/>
        <v/>
      </c>
      <c r="AA216" s="64" t="str">
        <f t="shared" si="51"/>
        <v/>
      </c>
      <c r="AB216" s="64" t="str">
        <f>IF(AND(AA216&lt;&gt;"",AA216&lt;&gt;0), IF(E216="Muni", AA216, IF(E216 = "Corp", (1-'Investor Input'!$C$4-'Investor Input'!$C$5)*AA216, (1-'Investor Input'!$C$4)*AA216)), AA216)</f>
        <v/>
      </c>
      <c r="AC216" s="94" t="str">
        <f t="shared" si="52"/>
        <v/>
      </c>
      <c r="AD216" s="60" t="str">
        <f>IF(AND(M216&lt;&gt;"", M216&lt;&gt;0), N216/$N$505*MATCH(AC216,'Misc Lists'!$K$2:$K$25,0), "")</f>
        <v/>
      </c>
      <c r="AE216" s="90" t="str">
        <f t="shared" si="53"/>
        <v/>
      </c>
      <c r="AF216" s="99" t="str">
        <f>IF(AND(M216&lt;&gt;"", M216&lt;&gt;0), N216/$N$505*MATCH(AE216,'Misc Lists'!$L$2:$L$25,0), "")</f>
        <v/>
      </c>
    </row>
    <row r="217" spans="2:32" hidden="1" outlineLevel="1" x14ac:dyDescent="0.5">
      <c r="B217" s="65" t="str">
        <f ca="1"/>
        <v>9128283R9</v>
      </c>
      <c r="C217" s="66" t="str">
        <f ca="1"/>
        <v>N/A</v>
      </c>
      <c r="D217" s="65" t="str">
        <f ca="1"/>
        <v>UNITED STATES TREAS NTS SER A-2028      0.50000% 01/15/2028</v>
      </c>
      <c r="E217" s="66" t="str">
        <f ca="1"/>
        <v>TIPS</v>
      </c>
      <c r="F217" s="67">
        <f ca="1"/>
        <v>0.5</v>
      </c>
      <c r="G217" s="68">
        <f ca="1"/>
        <v>46767</v>
      </c>
      <c r="H217" s="66" t="str">
        <f ca="1"/>
        <v>AAA</v>
      </c>
      <c r="I217" s="66" t="str">
        <f ca="1"/>
        <v>--</v>
      </c>
      <c r="J217" s="69">
        <f ca="1"/>
        <v>97.007000000000005</v>
      </c>
      <c r="K217" s="70">
        <f ca="1"/>
        <v>1.5569999999999999</v>
      </c>
      <c r="L217" s="70" t="str">
        <f ca="1"/>
        <v>N/A</v>
      </c>
      <c r="M217" s="83"/>
      <c r="N217" s="84" t="str">
        <f t="shared" si="54"/>
        <v/>
      </c>
      <c r="O217" s="20" t="str">
        <f t="shared" si="55"/>
        <v/>
      </c>
      <c r="P217" s="64" t="str">
        <f t="shared" si="56"/>
        <v/>
      </c>
      <c r="Q217" s="85" t="str">
        <f t="shared" ca="1" si="57"/>
        <v/>
      </c>
      <c r="R217" s="86" t="str">
        <f t="shared" si="58"/>
        <v/>
      </c>
      <c r="S217" s="86" t="str">
        <f t="shared" si="59"/>
        <v/>
      </c>
      <c r="T217" s="104" t="str">
        <f t="shared" si="45"/>
        <v/>
      </c>
      <c r="U217" s="19" t="str">
        <f>IF(AND(M217&lt;&gt;"",M217&lt;&gt;0), IF(E217 = "Muni", T217, IF(E217="Corp", T217*(1 -'Investor Input'!$C$4-'Investor Input'!$C$5), T217*(1 -'Investor Input'!$C$4))), T217)</f>
        <v/>
      </c>
      <c r="V217" s="84" t="str">
        <f t="shared" si="46"/>
        <v/>
      </c>
      <c r="W217" s="84" t="str">
        <f t="shared" si="47"/>
        <v/>
      </c>
      <c r="X217" s="46" t="str">
        <f t="shared" si="48"/>
        <v/>
      </c>
      <c r="Y217" s="60" t="str">
        <f t="shared" si="49"/>
        <v/>
      </c>
      <c r="Z217" s="60" t="str">
        <f t="shared" si="50"/>
        <v/>
      </c>
      <c r="AA217" s="64" t="str">
        <f t="shared" si="51"/>
        <v/>
      </c>
      <c r="AB217" s="64" t="str">
        <f>IF(AND(AA217&lt;&gt;"",AA217&lt;&gt;0), IF(E217="Muni", AA217, IF(E217 = "Corp", (1-'Investor Input'!$C$4-'Investor Input'!$C$5)*AA217, (1-'Investor Input'!$C$4)*AA217)), AA217)</f>
        <v/>
      </c>
      <c r="AC217" s="94" t="str">
        <f t="shared" si="52"/>
        <v/>
      </c>
      <c r="AD217" s="60" t="str">
        <f>IF(AND(M217&lt;&gt;"", M217&lt;&gt;0), N217/$N$505*MATCH(AC217,'Misc Lists'!$K$2:$K$25,0), "")</f>
        <v/>
      </c>
      <c r="AE217" s="90" t="str">
        <f t="shared" si="53"/>
        <v/>
      </c>
      <c r="AF217" s="99" t="str">
        <f>IF(AND(M217&lt;&gt;"", M217&lt;&gt;0), N217/$N$505*MATCH(AE217,'Misc Lists'!$L$2:$L$25,0), "")</f>
        <v/>
      </c>
    </row>
    <row r="218" spans="2:32" hidden="1" outlineLevel="1" x14ac:dyDescent="0.5">
      <c r="B218" s="65" t="str">
        <f ca="1"/>
        <v>912810PV4</v>
      </c>
      <c r="C218" s="66" t="str">
        <f ca="1"/>
        <v>N/A</v>
      </c>
      <c r="D218" s="65" t="str">
        <f ca="1"/>
        <v>UNITED STATES       TREASURY            1.75000% 01/15/2028</v>
      </c>
      <c r="E218" s="66" t="str">
        <f ca="1"/>
        <v>TIPS</v>
      </c>
      <c r="F218" s="67">
        <f ca="1"/>
        <v>1.75</v>
      </c>
      <c r="G218" s="68">
        <f ca="1"/>
        <v>46767</v>
      </c>
      <c r="H218" s="66" t="str">
        <f ca="1"/>
        <v>AAA</v>
      </c>
      <c r="I218" s="66" t="str">
        <f ca="1"/>
        <v>--</v>
      </c>
      <c r="J218" s="69">
        <f ca="1"/>
        <v>100.578</v>
      </c>
      <c r="K218" s="70">
        <f ca="1"/>
        <v>1.5449999999999999</v>
      </c>
      <c r="L218" s="70" t="str">
        <f ca="1"/>
        <v>N/A</v>
      </c>
      <c r="M218" s="83"/>
      <c r="N218" s="84" t="str">
        <f t="shared" si="54"/>
        <v/>
      </c>
      <c r="O218" s="20" t="str">
        <f t="shared" si="55"/>
        <v/>
      </c>
      <c r="P218" s="64" t="str">
        <f t="shared" si="56"/>
        <v/>
      </c>
      <c r="Q218" s="85" t="str">
        <f t="shared" ca="1" si="57"/>
        <v/>
      </c>
      <c r="R218" s="86" t="str">
        <f t="shared" si="58"/>
        <v/>
      </c>
      <c r="S218" s="86" t="str">
        <f t="shared" si="59"/>
        <v/>
      </c>
      <c r="T218" s="104" t="str">
        <f t="shared" si="45"/>
        <v/>
      </c>
      <c r="U218" s="19" t="str">
        <f>IF(AND(M218&lt;&gt;"",M218&lt;&gt;0), IF(E218 = "Muni", T218, IF(E218="Corp", T218*(1 -'Investor Input'!$C$4-'Investor Input'!$C$5), T218*(1 -'Investor Input'!$C$4))), T218)</f>
        <v/>
      </c>
      <c r="V218" s="84" t="str">
        <f t="shared" si="46"/>
        <v/>
      </c>
      <c r="W218" s="84" t="str">
        <f t="shared" si="47"/>
        <v/>
      </c>
      <c r="X218" s="46" t="str">
        <f t="shared" si="48"/>
        <v/>
      </c>
      <c r="Y218" s="60" t="str">
        <f t="shared" si="49"/>
        <v/>
      </c>
      <c r="Z218" s="60" t="str">
        <f t="shared" si="50"/>
        <v/>
      </c>
      <c r="AA218" s="64" t="str">
        <f t="shared" si="51"/>
        <v/>
      </c>
      <c r="AB218" s="64" t="str">
        <f>IF(AND(AA218&lt;&gt;"",AA218&lt;&gt;0), IF(E218="Muni", AA218, IF(E218 = "Corp", (1-'Investor Input'!$C$4-'Investor Input'!$C$5)*AA218, (1-'Investor Input'!$C$4)*AA218)), AA218)</f>
        <v/>
      </c>
      <c r="AC218" s="94" t="str">
        <f t="shared" si="52"/>
        <v/>
      </c>
      <c r="AD218" s="60" t="str">
        <f>IF(AND(M218&lt;&gt;"", M218&lt;&gt;0), N218/$N$505*MATCH(AC218,'Misc Lists'!$K$2:$K$25,0), "")</f>
        <v/>
      </c>
      <c r="AE218" s="90" t="str">
        <f t="shared" si="53"/>
        <v/>
      </c>
      <c r="AF218" s="99" t="str">
        <f>IF(AND(M218&lt;&gt;"", M218&lt;&gt;0), N218/$N$505*MATCH(AE218,'Misc Lists'!$L$2:$L$25,0), "")</f>
        <v/>
      </c>
    </row>
    <row r="219" spans="2:32" hidden="1" outlineLevel="1" x14ac:dyDescent="0.5">
      <c r="B219" s="65" t="str">
        <f ca="1"/>
        <v>912828Y38</v>
      </c>
      <c r="C219" s="66" t="str">
        <f ca="1"/>
        <v>N/A</v>
      </c>
      <c r="D219" s="65" t="str">
        <f ca="1"/>
        <v>UNITED STATES TREAS NTS SER D-2028      0.75000% 07/15/2028</v>
      </c>
      <c r="E219" s="66" t="str">
        <f ca="1"/>
        <v>TIPS</v>
      </c>
      <c r="F219" s="67">
        <f ca="1"/>
        <v>0.75</v>
      </c>
      <c r="G219" s="68">
        <f ca="1"/>
        <v>46949</v>
      </c>
      <c r="H219" s="66" t="str">
        <f ca="1"/>
        <v>AAA</v>
      </c>
      <c r="I219" s="66" t="str">
        <f ca="1"/>
        <v>--</v>
      </c>
      <c r="J219" s="69">
        <f ca="1"/>
        <v>97.515000000000001</v>
      </c>
      <c r="K219" s="70">
        <f ca="1"/>
        <v>1.5009999999999999</v>
      </c>
      <c r="L219" s="70" t="str">
        <f ca="1"/>
        <v>N/A</v>
      </c>
      <c r="M219" s="83"/>
      <c r="N219" s="84" t="str">
        <f t="shared" si="54"/>
        <v/>
      </c>
      <c r="O219" s="20" t="str">
        <f t="shared" si="55"/>
        <v/>
      </c>
      <c r="P219" s="64" t="str">
        <f t="shared" si="56"/>
        <v/>
      </c>
      <c r="Q219" s="85" t="str">
        <f t="shared" ca="1" si="57"/>
        <v/>
      </c>
      <c r="R219" s="86" t="str">
        <f t="shared" si="58"/>
        <v/>
      </c>
      <c r="S219" s="86" t="str">
        <f t="shared" si="59"/>
        <v/>
      </c>
      <c r="T219" s="104" t="str">
        <f t="shared" si="45"/>
        <v/>
      </c>
      <c r="U219" s="19" t="str">
        <f>IF(AND(M219&lt;&gt;"",M219&lt;&gt;0), IF(E219 = "Muni", T219, IF(E219="Corp", T219*(1 -'Investor Input'!$C$4-'Investor Input'!$C$5), T219*(1 -'Investor Input'!$C$4))), T219)</f>
        <v/>
      </c>
      <c r="V219" s="84" t="str">
        <f t="shared" si="46"/>
        <v/>
      </c>
      <c r="W219" s="84" t="str">
        <f t="shared" si="47"/>
        <v/>
      </c>
      <c r="X219" s="46" t="str">
        <f t="shared" si="48"/>
        <v/>
      </c>
      <c r="Y219" s="60" t="str">
        <f t="shared" si="49"/>
        <v/>
      </c>
      <c r="Z219" s="60" t="str">
        <f t="shared" si="50"/>
        <v/>
      </c>
      <c r="AA219" s="64" t="str">
        <f t="shared" si="51"/>
        <v/>
      </c>
      <c r="AB219" s="64" t="str">
        <f>IF(AND(AA219&lt;&gt;"",AA219&lt;&gt;0), IF(E219="Muni", AA219, IF(E219 = "Corp", (1-'Investor Input'!$C$4-'Investor Input'!$C$5)*AA219, (1-'Investor Input'!$C$4)*AA219)), AA219)</f>
        <v/>
      </c>
      <c r="AC219" s="94" t="str">
        <f t="shared" si="52"/>
        <v/>
      </c>
      <c r="AD219" s="60" t="str">
        <f>IF(AND(M219&lt;&gt;"", M219&lt;&gt;0), N219/$N$505*MATCH(AC219,'Misc Lists'!$K$2:$K$25,0), "")</f>
        <v/>
      </c>
      <c r="AE219" s="90" t="str">
        <f t="shared" si="53"/>
        <v/>
      </c>
      <c r="AF219" s="99" t="str">
        <f>IF(AND(M219&lt;&gt;"", M219&lt;&gt;0), N219/$N$505*MATCH(AE219,'Misc Lists'!$L$2:$L$25,0), "")</f>
        <v/>
      </c>
    </row>
    <row r="220" spans="2:32" hidden="1" outlineLevel="1" x14ac:dyDescent="0.5">
      <c r="B220" s="65" t="str">
        <f ca="1"/>
        <v>91282CEJ6</v>
      </c>
      <c r="C220" s="66" t="str">
        <f ca="1"/>
        <v>N/A</v>
      </c>
      <c r="D220" s="65" t="str">
        <f ca="1"/>
        <v>UNITED STATES TREAS NTS SER X-2027      0.12500% 04/15/2027</v>
      </c>
      <c r="E220" s="66" t="str">
        <f ca="1"/>
        <v>TIPS</v>
      </c>
      <c r="F220" s="67">
        <f ca="1"/>
        <v>0.125</v>
      </c>
      <c r="G220" s="68">
        <f ca="1"/>
        <v>46492</v>
      </c>
      <c r="H220" s="66" t="str">
        <f ca="1"/>
        <v>AAA</v>
      </c>
      <c r="I220" s="66" t="str">
        <f ca="1"/>
        <v>--</v>
      </c>
      <c r="J220" s="69">
        <f ca="1"/>
        <v>97.14</v>
      </c>
      <c r="K220" s="70">
        <f ca="1"/>
        <v>1.478</v>
      </c>
      <c r="L220" s="70" t="str">
        <f ca="1"/>
        <v>N/A</v>
      </c>
      <c r="M220" s="83"/>
      <c r="N220" s="84" t="str">
        <f t="shared" si="54"/>
        <v/>
      </c>
      <c r="O220" s="20" t="str">
        <f t="shared" si="55"/>
        <v/>
      </c>
      <c r="P220" s="64" t="str">
        <f t="shared" si="56"/>
        <v/>
      </c>
      <c r="Q220" s="85" t="str">
        <f t="shared" ca="1" si="57"/>
        <v/>
      </c>
      <c r="R220" s="86" t="str">
        <f t="shared" si="58"/>
        <v/>
      </c>
      <c r="S220" s="86" t="str">
        <f t="shared" si="59"/>
        <v/>
      </c>
      <c r="T220" s="104" t="str">
        <f t="shared" si="45"/>
        <v/>
      </c>
      <c r="U220" s="19" t="str">
        <f>IF(AND(M220&lt;&gt;"",M220&lt;&gt;0), IF(E220 = "Muni", T220, IF(E220="Corp", T220*(1 -'Investor Input'!$C$4-'Investor Input'!$C$5), T220*(1 -'Investor Input'!$C$4))), T220)</f>
        <v/>
      </c>
      <c r="V220" s="84" t="str">
        <f t="shared" si="46"/>
        <v/>
      </c>
      <c r="W220" s="84" t="str">
        <f t="shared" si="47"/>
        <v/>
      </c>
      <c r="X220" s="46" t="str">
        <f t="shared" si="48"/>
        <v/>
      </c>
      <c r="Y220" s="60" t="str">
        <f t="shared" si="49"/>
        <v/>
      </c>
      <c r="Z220" s="60" t="str">
        <f t="shared" si="50"/>
        <v/>
      </c>
      <c r="AA220" s="64" t="str">
        <f t="shared" si="51"/>
        <v/>
      </c>
      <c r="AB220" s="64" t="str">
        <f>IF(AND(AA220&lt;&gt;"",AA220&lt;&gt;0), IF(E220="Muni", AA220, IF(E220 = "Corp", (1-'Investor Input'!$C$4-'Investor Input'!$C$5)*AA220, (1-'Investor Input'!$C$4)*AA220)), AA220)</f>
        <v/>
      </c>
      <c r="AC220" s="94" t="str">
        <f t="shared" si="52"/>
        <v/>
      </c>
      <c r="AD220" s="60" t="str">
        <f>IF(AND(M220&lt;&gt;"", M220&lt;&gt;0), N220/$N$505*MATCH(AC220,'Misc Lists'!$K$2:$K$25,0), "")</f>
        <v/>
      </c>
      <c r="AE220" s="90" t="str">
        <f t="shared" si="53"/>
        <v/>
      </c>
      <c r="AF220" s="99" t="str">
        <f>IF(AND(M220&lt;&gt;"", M220&lt;&gt;0), N220/$N$505*MATCH(AE220,'Misc Lists'!$L$2:$L$25,0), "")</f>
        <v/>
      </c>
    </row>
    <row r="221" spans="2:32" hidden="1" outlineLevel="1" x14ac:dyDescent="0.5">
      <c r="B221" s="65" t="str">
        <f ca="1"/>
        <v>91282CFR7</v>
      </c>
      <c r="C221" s="66" t="str">
        <f ca="1"/>
        <v>N/A</v>
      </c>
      <c r="D221" s="65" t="str">
        <f ca="1"/>
        <v>UNITED STATES TREAS NTS SER AE-2027     1.62500% 10/15/2027</v>
      </c>
      <c r="E221" s="66" t="str">
        <f ca="1"/>
        <v>TIPS</v>
      </c>
      <c r="F221" s="67">
        <f ca="1"/>
        <v>1.625</v>
      </c>
      <c r="G221" s="68">
        <f ca="1"/>
        <v>46675</v>
      </c>
      <c r="H221" s="66" t="str">
        <f ca="1"/>
        <v>AAA</v>
      </c>
      <c r="I221" s="66" t="str">
        <f ca="1"/>
        <v>--</v>
      </c>
      <c r="J221" s="69">
        <f ca="1"/>
        <v>100.664</v>
      </c>
      <c r="K221" s="70">
        <f ca="1"/>
        <v>1.369</v>
      </c>
      <c r="L221" s="70" t="str">
        <f ca="1"/>
        <v>N/A</v>
      </c>
      <c r="M221" s="83"/>
      <c r="N221" s="84" t="str">
        <f t="shared" si="54"/>
        <v/>
      </c>
      <c r="O221" s="20" t="str">
        <f t="shared" si="55"/>
        <v/>
      </c>
      <c r="P221" s="64" t="str">
        <f t="shared" si="56"/>
        <v/>
      </c>
      <c r="Q221" s="85" t="str">
        <f t="shared" ca="1" si="57"/>
        <v/>
      </c>
      <c r="R221" s="86" t="str">
        <f t="shared" si="58"/>
        <v/>
      </c>
      <c r="S221" s="86" t="str">
        <f t="shared" si="59"/>
        <v/>
      </c>
      <c r="T221" s="104" t="str">
        <f t="shared" si="45"/>
        <v/>
      </c>
      <c r="U221" s="19" t="str">
        <f>IF(AND(M221&lt;&gt;"",M221&lt;&gt;0), IF(E221 = "Muni", T221, IF(E221="Corp", T221*(1 -'Investor Input'!$C$4-'Investor Input'!$C$5), T221*(1 -'Investor Input'!$C$4))), T221)</f>
        <v/>
      </c>
      <c r="V221" s="84" t="str">
        <f t="shared" si="46"/>
        <v/>
      </c>
      <c r="W221" s="84" t="str">
        <f t="shared" si="47"/>
        <v/>
      </c>
      <c r="X221" s="46" t="str">
        <f t="shared" si="48"/>
        <v/>
      </c>
      <c r="Y221" s="60" t="str">
        <f t="shared" si="49"/>
        <v/>
      </c>
      <c r="Z221" s="60" t="str">
        <f t="shared" si="50"/>
        <v/>
      </c>
      <c r="AA221" s="64" t="str">
        <f t="shared" si="51"/>
        <v/>
      </c>
      <c r="AB221" s="64" t="str">
        <f>IF(AND(AA221&lt;&gt;"",AA221&lt;&gt;0), IF(E221="Muni", AA221, IF(E221 = "Corp", (1-'Investor Input'!$C$4-'Investor Input'!$C$5)*AA221, (1-'Investor Input'!$C$4)*AA221)), AA221)</f>
        <v/>
      </c>
      <c r="AC221" s="94" t="str">
        <f t="shared" si="52"/>
        <v/>
      </c>
      <c r="AD221" s="60" t="str">
        <f>IF(AND(M221&lt;&gt;"", M221&lt;&gt;0), N221/$N$505*MATCH(AC221,'Misc Lists'!$K$2:$K$25,0), "")</f>
        <v/>
      </c>
      <c r="AE221" s="90" t="str">
        <f t="shared" si="53"/>
        <v/>
      </c>
      <c r="AF221" s="99" t="str">
        <f>IF(AND(M221&lt;&gt;"", M221&lt;&gt;0), N221/$N$505*MATCH(AE221,'Misc Lists'!$L$2:$L$25,0), "")</f>
        <v/>
      </c>
    </row>
    <row r="222" spans="2:32" hidden="1" outlineLevel="1" x14ac:dyDescent="0.5">
      <c r="B222" s="65" t="str">
        <f ca="1"/>
        <v>912828V49</v>
      </c>
      <c r="C222" s="66" t="str">
        <f ca="1"/>
        <v>N/A</v>
      </c>
      <c r="D222" s="65" t="str">
        <f ca="1"/>
        <v>UNITED STATES TREAS NTS TIPS            0.37500% 01/15/2027</v>
      </c>
      <c r="E222" s="66" t="str">
        <f ca="1"/>
        <v>TIPS</v>
      </c>
      <c r="F222" s="67">
        <f ca="1"/>
        <v>0.375</v>
      </c>
      <c r="G222" s="68">
        <f ca="1"/>
        <v>46402</v>
      </c>
      <c r="H222" s="66" t="str">
        <f ca="1"/>
        <v>AAA</v>
      </c>
      <c r="I222" s="66" t="str">
        <f ca="1"/>
        <v>--</v>
      </c>
      <c r="J222" s="69">
        <f ca="1"/>
        <v>98.147999999999996</v>
      </c>
      <c r="K222" s="70">
        <f ca="1"/>
        <v>1.3620000000000001</v>
      </c>
      <c r="L222" s="70" t="str">
        <f ca="1"/>
        <v>N/A</v>
      </c>
      <c r="M222" s="83"/>
      <c r="N222" s="84" t="str">
        <f t="shared" si="54"/>
        <v/>
      </c>
      <c r="O222" s="20" t="str">
        <f t="shared" si="55"/>
        <v/>
      </c>
      <c r="P222" s="64" t="str">
        <f t="shared" si="56"/>
        <v/>
      </c>
      <c r="Q222" s="85" t="str">
        <f t="shared" ca="1" si="57"/>
        <v/>
      </c>
      <c r="R222" s="86" t="str">
        <f t="shared" si="58"/>
        <v/>
      </c>
      <c r="S222" s="86" t="str">
        <f t="shared" si="59"/>
        <v/>
      </c>
      <c r="T222" s="104" t="str">
        <f t="shared" si="45"/>
        <v/>
      </c>
      <c r="U222" s="19" t="str">
        <f>IF(AND(M222&lt;&gt;"",M222&lt;&gt;0), IF(E222 = "Muni", T222, IF(E222="Corp", T222*(1 -'Investor Input'!$C$4-'Investor Input'!$C$5), T222*(1 -'Investor Input'!$C$4))), T222)</f>
        <v/>
      </c>
      <c r="V222" s="84" t="str">
        <f t="shared" si="46"/>
        <v/>
      </c>
      <c r="W222" s="84" t="str">
        <f t="shared" si="47"/>
        <v/>
      </c>
      <c r="X222" s="46" t="str">
        <f t="shared" si="48"/>
        <v/>
      </c>
      <c r="Y222" s="60" t="str">
        <f t="shared" si="49"/>
        <v/>
      </c>
      <c r="Z222" s="60" t="str">
        <f t="shared" si="50"/>
        <v/>
      </c>
      <c r="AA222" s="64" t="str">
        <f t="shared" si="51"/>
        <v/>
      </c>
      <c r="AB222" s="64" t="str">
        <f>IF(AND(AA222&lt;&gt;"",AA222&lt;&gt;0), IF(E222="Muni", AA222, IF(E222 = "Corp", (1-'Investor Input'!$C$4-'Investor Input'!$C$5)*AA222, (1-'Investor Input'!$C$4)*AA222)), AA222)</f>
        <v/>
      </c>
      <c r="AC222" s="94" t="str">
        <f t="shared" si="52"/>
        <v/>
      </c>
      <c r="AD222" s="60" t="str">
        <f>IF(AND(M222&lt;&gt;"", M222&lt;&gt;0), N222/$N$505*MATCH(AC222,'Misc Lists'!$K$2:$K$25,0), "")</f>
        <v/>
      </c>
      <c r="AE222" s="90" t="str">
        <f t="shared" si="53"/>
        <v/>
      </c>
      <c r="AF222" s="99" t="str">
        <f>IF(AND(M222&lt;&gt;"", M222&lt;&gt;0), N222/$N$505*MATCH(AE222,'Misc Lists'!$L$2:$L$25,0), "")</f>
        <v/>
      </c>
    </row>
    <row r="223" spans="2:32" hidden="1" outlineLevel="1" x14ac:dyDescent="0.5">
      <c r="B223" s="65" t="str">
        <f ca="1"/>
        <v>912810PS1</v>
      </c>
      <c r="C223" s="66" t="str">
        <f ca="1"/>
        <v>N/A</v>
      </c>
      <c r="D223" s="65" t="str">
        <f ca="1"/>
        <v>UNITED STATES TREAS BDS TIPS            2.37500% 01/15/2027</v>
      </c>
      <c r="E223" s="66" t="str">
        <f ca="1"/>
        <v>TIPS</v>
      </c>
      <c r="F223" s="67">
        <f ca="1"/>
        <v>2.375</v>
      </c>
      <c r="G223" s="68">
        <f ca="1"/>
        <v>46402</v>
      </c>
      <c r="H223" s="66" t="str">
        <f ca="1"/>
        <v>AAA</v>
      </c>
      <c r="I223" s="66" t="str">
        <f ca="1"/>
        <v>--</v>
      </c>
      <c r="J223" s="69">
        <f ca="1"/>
        <v>101.929</v>
      </c>
      <c r="K223" s="70">
        <f ca="1"/>
        <v>1.3460000000000001</v>
      </c>
      <c r="L223" s="70" t="str">
        <f ca="1"/>
        <v>N/A</v>
      </c>
      <c r="M223" s="83"/>
      <c r="N223" s="84" t="str">
        <f t="shared" si="54"/>
        <v/>
      </c>
      <c r="O223" s="20" t="str">
        <f t="shared" si="55"/>
        <v/>
      </c>
      <c r="P223" s="64" t="str">
        <f t="shared" si="56"/>
        <v/>
      </c>
      <c r="Q223" s="85" t="str">
        <f t="shared" ca="1" si="57"/>
        <v/>
      </c>
      <c r="R223" s="86" t="str">
        <f t="shared" si="58"/>
        <v/>
      </c>
      <c r="S223" s="86" t="str">
        <f t="shared" si="59"/>
        <v/>
      </c>
      <c r="T223" s="104" t="str">
        <f t="shared" si="45"/>
        <v/>
      </c>
      <c r="U223" s="19" t="str">
        <f>IF(AND(M223&lt;&gt;"",M223&lt;&gt;0), IF(E223 = "Muni", T223, IF(E223="Corp", T223*(1 -'Investor Input'!$C$4-'Investor Input'!$C$5), T223*(1 -'Investor Input'!$C$4))), T223)</f>
        <v/>
      </c>
      <c r="V223" s="84" t="str">
        <f t="shared" si="46"/>
        <v/>
      </c>
      <c r="W223" s="84" t="str">
        <f t="shared" si="47"/>
        <v/>
      </c>
      <c r="X223" s="46" t="str">
        <f t="shared" si="48"/>
        <v/>
      </c>
      <c r="Y223" s="60" t="str">
        <f t="shared" si="49"/>
        <v/>
      </c>
      <c r="Z223" s="60" t="str">
        <f t="shared" si="50"/>
        <v/>
      </c>
      <c r="AA223" s="64" t="str">
        <f t="shared" si="51"/>
        <v/>
      </c>
      <c r="AB223" s="64" t="str">
        <f>IF(AND(AA223&lt;&gt;"",AA223&lt;&gt;0), IF(E223="Muni", AA223, IF(E223 = "Corp", (1-'Investor Input'!$C$4-'Investor Input'!$C$5)*AA223, (1-'Investor Input'!$C$4)*AA223)), AA223)</f>
        <v/>
      </c>
      <c r="AC223" s="94" t="str">
        <f t="shared" si="52"/>
        <v/>
      </c>
      <c r="AD223" s="60" t="str">
        <f>IF(AND(M223&lt;&gt;"", M223&lt;&gt;0), N223/$N$505*MATCH(AC223,'Misc Lists'!$K$2:$K$25,0), "")</f>
        <v/>
      </c>
      <c r="AE223" s="90" t="str">
        <f t="shared" si="53"/>
        <v/>
      </c>
      <c r="AF223" s="99" t="str">
        <f>IF(AND(M223&lt;&gt;"", M223&lt;&gt;0), N223/$N$505*MATCH(AE223,'Misc Lists'!$L$2:$L$25,0), "")</f>
        <v/>
      </c>
    </row>
    <row r="224" spans="2:32" hidden="1" outlineLevel="1" x14ac:dyDescent="0.5">
      <c r="B224" s="65" t="str">
        <f ca="1"/>
        <v>9128282L3</v>
      </c>
      <c r="C224" s="66" t="str">
        <f ca="1"/>
        <v>N/A</v>
      </c>
      <c r="D224" s="65" t="str">
        <f ca="1"/>
        <v>UNITED STATES TREAS NTS SER D-2027      0.37500% 07/15/2027</v>
      </c>
      <c r="E224" s="66" t="str">
        <f ca="1"/>
        <v>TIPS</v>
      </c>
      <c r="F224" s="67">
        <f ca="1"/>
        <v>0.375</v>
      </c>
      <c r="G224" s="68">
        <f ca="1"/>
        <v>46583</v>
      </c>
      <c r="H224" s="66" t="str">
        <f ca="1"/>
        <v>AAA</v>
      </c>
      <c r="I224" s="66" t="str">
        <f ca="1"/>
        <v>--</v>
      </c>
      <c r="J224" s="69">
        <f ca="1"/>
        <v>97.850999999999999</v>
      </c>
      <c r="K224" s="70">
        <f ca="1"/>
        <v>1.284</v>
      </c>
      <c r="L224" s="70" t="str">
        <f ca="1"/>
        <v>N/A</v>
      </c>
      <c r="M224" s="83"/>
      <c r="N224" s="84" t="str">
        <f t="shared" si="54"/>
        <v/>
      </c>
      <c r="O224" s="20" t="str">
        <f t="shared" si="55"/>
        <v/>
      </c>
      <c r="P224" s="64" t="str">
        <f t="shared" si="56"/>
        <v/>
      </c>
      <c r="Q224" s="85" t="str">
        <f t="shared" ca="1" si="57"/>
        <v/>
      </c>
      <c r="R224" s="86" t="str">
        <f t="shared" si="58"/>
        <v/>
      </c>
      <c r="S224" s="86" t="str">
        <f t="shared" si="59"/>
        <v/>
      </c>
      <c r="T224" s="104" t="str">
        <f t="shared" si="45"/>
        <v/>
      </c>
      <c r="U224" s="19" t="str">
        <f>IF(AND(M224&lt;&gt;"",M224&lt;&gt;0), IF(E224 = "Muni", T224, IF(E224="Corp", T224*(1 -'Investor Input'!$C$4-'Investor Input'!$C$5), T224*(1 -'Investor Input'!$C$4))), T224)</f>
        <v/>
      </c>
      <c r="V224" s="84" t="str">
        <f t="shared" si="46"/>
        <v/>
      </c>
      <c r="W224" s="84" t="str">
        <f t="shared" si="47"/>
        <v/>
      </c>
      <c r="X224" s="46" t="str">
        <f t="shared" si="48"/>
        <v/>
      </c>
      <c r="Y224" s="60" t="str">
        <f t="shared" si="49"/>
        <v/>
      </c>
      <c r="Z224" s="60" t="str">
        <f t="shared" si="50"/>
        <v/>
      </c>
      <c r="AA224" s="64" t="str">
        <f t="shared" si="51"/>
        <v/>
      </c>
      <c r="AB224" s="64" t="str">
        <f>IF(AND(AA224&lt;&gt;"",AA224&lt;&gt;0), IF(E224="Muni", AA224, IF(E224 = "Corp", (1-'Investor Input'!$C$4-'Investor Input'!$C$5)*AA224, (1-'Investor Input'!$C$4)*AA224)), AA224)</f>
        <v/>
      </c>
      <c r="AC224" s="94" t="str">
        <f t="shared" si="52"/>
        <v/>
      </c>
      <c r="AD224" s="60" t="str">
        <f>IF(AND(M224&lt;&gt;"", M224&lt;&gt;0), N224/$N$505*MATCH(AC224,'Misc Lists'!$K$2:$K$25,0), "")</f>
        <v/>
      </c>
      <c r="AE224" s="90" t="str">
        <f t="shared" si="53"/>
        <v/>
      </c>
      <c r="AF224" s="99" t="str">
        <f>IF(AND(M224&lt;&gt;"", M224&lt;&gt;0), N224/$N$505*MATCH(AE224,'Misc Lists'!$L$2:$L$25,0), "")</f>
        <v/>
      </c>
    </row>
    <row r="225" spans="2:32" hidden="1" outlineLevel="1" x14ac:dyDescent="0.5">
      <c r="B225" s="65" t="str">
        <f ca="1"/>
        <v>91282CCA7</v>
      </c>
      <c r="C225" s="66" t="str">
        <f ca="1"/>
        <v>N/A</v>
      </c>
      <c r="D225" s="65" t="str">
        <f ca="1"/>
        <v>UNITED STATES TREAS NTS SER X-2026      0.12500% 04/15/2026</v>
      </c>
      <c r="E225" s="66" t="str">
        <f ca="1"/>
        <v>TIPS</v>
      </c>
      <c r="F225" s="67">
        <f ca="1"/>
        <v>0.125</v>
      </c>
      <c r="G225" s="68">
        <f ca="1"/>
        <v>46127</v>
      </c>
      <c r="H225" s="66" t="str">
        <f ca="1"/>
        <v>AAA</v>
      </c>
      <c r="I225" s="66" t="str">
        <f ca="1"/>
        <v>--</v>
      </c>
      <c r="J225" s="69">
        <f ca="1"/>
        <v>98.765000000000001</v>
      </c>
      <c r="K225" s="70">
        <f ca="1"/>
        <v>1.2050000000000001</v>
      </c>
      <c r="L225" s="70" t="str">
        <f ca="1"/>
        <v>N/A</v>
      </c>
      <c r="M225" s="83"/>
      <c r="N225" s="84" t="str">
        <f t="shared" si="54"/>
        <v/>
      </c>
      <c r="O225" s="20" t="str">
        <f t="shared" si="55"/>
        <v/>
      </c>
      <c r="P225" s="64" t="str">
        <f t="shared" si="56"/>
        <v/>
      </c>
      <c r="Q225" s="85" t="str">
        <f t="shared" ca="1" si="57"/>
        <v/>
      </c>
      <c r="R225" s="86" t="str">
        <f t="shared" si="58"/>
        <v/>
      </c>
      <c r="S225" s="86" t="str">
        <f t="shared" si="59"/>
        <v/>
      </c>
      <c r="T225" s="104" t="str">
        <f t="shared" si="45"/>
        <v/>
      </c>
      <c r="U225" s="19" t="str">
        <f>IF(AND(M225&lt;&gt;"",M225&lt;&gt;0), IF(E225 = "Muni", T225, IF(E225="Corp", T225*(1 -'Investor Input'!$C$4-'Investor Input'!$C$5), T225*(1 -'Investor Input'!$C$4))), T225)</f>
        <v/>
      </c>
      <c r="V225" s="84" t="str">
        <f t="shared" si="46"/>
        <v/>
      </c>
      <c r="W225" s="84" t="str">
        <f t="shared" si="47"/>
        <v/>
      </c>
      <c r="X225" s="46" t="str">
        <f t="shared" si="48"/>
        <v/>
      </c>
      <c r="Y225" s="60" t="str">
        <f t="shared" si="49"/>
        <v/>
      </c>
      <c r="Z225" s="60" t="str">
        <f t="shared" si="50"/>
        <v/>
      </c>
      <c r="AA225" s="64" t="str">
        <f t="shared" si="51"/>
        <v/>
      </c>
      <c r="AB225" s="64" t="str">
        <f>IF(AND(AA225&lt;&gt;"",AA225&lt;&gt;0), IF(E225="Muni", AA225, IF(E225 = "Corp", (1-'Investor Input'!$C$4-'Investor Input'!$C$5)*AA225, (1-'Investor Input'!$C$4)*AA225)), AA225)</f>
        <v/>
      </c>
      <c r="AC225" s="94" t="str">
        <f t="shared" si="52"/>
        <v/>
      </c>
      <c r="AD225" s="60" t="str">
        <f>IF(AND(M225&lt;&gt;"", M225&lt;&gt;0), N225/$N$505*MATCH(AC225,'Misc Lists'!$K$2:$K$25,0), "")</f>
        <v/>
      </c>
      <c r="AE225" s="90" t="str">
        <f t="shared" si="53"/>
        <v/>
      </c>
      <c r="AF225" s="99" t="str">
        <f>IF(AND(M225&lt;&gt;"", M225&lt;&gt;0), N225/$N$505*MATCH(AE225,'Misc Lists'!$L$2:$L$25,0), "")</f>
        <v/>
      </c>
    </row>
    <row r="226" spans="2:32" hidden="1" outlineLevel="1" x14ac:dyDescent="0.5">
      <c r="B226" s="65" t="str">
        <f ca="1"/>
        <v>91282CDC2</v>
      </c>
      <c r="C226" s="66" t="str">
        <f ca="1"/>
        <v>N/A</v>
      </c>
      <c r="D226" s="65" t="str">
        <f ca="1"/>
        <v>UNITED STATES TREAS NTS SER AE-2026     0.12500% 10/15/2026</v>
      </c>
      <c r="E226" s="66" t="str">
        <f ca="1"/>
        <v>TIPS</v>
      </c>
      <c r="F226" s="67">
        <f ca="1"/>
        <v>0.125</v>
      </c>
      <c r="G226" s="68">
        <f ca="1"/>
        <v>46310</v>
      </c>
      <c r="H226" s="66" t="str">
        <f ca="1"/>
        <v>AAA</v>
      </c>
      <c r="I226" s="66" t="str">
        <f ca="1"/>
        <v>--</v>
      </c>
      <c r="J226" s="69">
        <f ca="1"/>
        <v>98.468000000000004</v>
      </c>
      <c r="K226" s="70">
        <f ca="1"/>
        <v>1.0609999999999999</v>
      </c>
      <c r="L226" s="70" t="str">
        <f ca="1"/>
        <v>N/A</v>
      </c>
      <c r="M226" s="83"/>
      <c r="N226" s="84" t="str">
        <f t="shared" si="54"/>
        <v/>
      </c>
      <c r="O226" s="20" t="str">
        <f t="shared" si="55"/>
        <v/>
      </c>
      <c r="P226" s="64" t="str">
        <f t="shared" si="56"/>
        <v/>
      </c>
      <c r="Q226" s="85" t="str">
        <f t="shared" ca="1" si="57"/>
        <v/>
      </c>
      <c r="R226" s="86" t="str">
        <f t="shared" si="58"/>
        <v/>
      </c>
      <c r="S226" s="86" t="str">
        <f t="shared" si="59"/>
        <v/>
      </c>
      <c r="T226" s="104" t="str">
        <f t="shared" si="45"/>
        <v/>
      </c>
      <c r="U226" s="19" t="str">
        <f>IF(AND(M226&lt;&gt;"",M226&lt;&gt;0), IF(E226 = "Muni", T226, IF(E226="Corp", T226*(1 -'Investor Input'!$C$4-'Investor Input'!$C$5), T226*(1 -'Investor Input'!$C$4))), T226)</f>
        <v/>
      </c>
      <c r="V226" s="84" t="str">
        <f t="shared" si="46"/>
        <v/>
      </c>
      <c r="W226" s="84" t="str">
        <f t="shared" si="47"/>
        <v/>
      </c>
      <c r="X226" s="46" t="str">
        <f t="shared" si="48"/>
        <v/>
      </c>
      <c r="Y226" s="60" t="str">
        <f t="shared" si="49"/>
        <v/>
      </c>
      <c r="Z226" s="60" t="str">
        <f t="shared" si="50"/>
        <v/>
      </c>
      <c r="AA226" s="64" t="str">
        <f t="shared" si="51"/>
        <v/>
      </c>
      <c r="AB226" s="64" t="str">
        <f>IF(AND(AA226&lt;&gt;"",AA226&lt;&gt;0), IF(E226="Muni", AA226, IF(E226 = "Corp", (1-'Investor Input'!$C$4-'Investor Input'!$C$5)*AA226, (1-'Investor Input'!$C$4)*AA226)), AA226)</f>
        <v/>
      </c>
      <c r="AC226" s="94" t="str">
        <f t="shared" si="52"/>
        <v/>
      </c>
      <c r="AD226" s="60" t="str">
        <f>IF(AND(M226&lt;&gt;"", M226&lt;&gt;0), N226/$N$505*MATCH(AC226,'Misc Lists'!$K$2:$K$25,0), "")</f>
        <v/>
      </c>
      <c r="AE226" s="90" t="str">
        <f t="shared" si="53"/>
        <v/>
      </c>
      <c r="AF226" s="99" t="str">
        <f>IF(AND(M226&lt;&gt;"", M226&lt;&gt;0), N226/$N$505*MATCH(AE226,'Misc Lists'!$L$2:$L$25,0), "")</f>
        <v/>
      </c>
    </row>
    <row r="227" spans="2:32" hidden="1" outlineLevel="1" x14ac:dyDescent="0.5">
      <c r="B227" s="65" t="str">
        <f ca="1"/>
        <v>912810FS2</v>
      </c>
      <c r="C227" s="66" t="str">
        <f ca="1"/>
        <v>N/A</v>
      </c>
      <c r="D227" s="65" t="str">
        <f ca="1"/>
        <v>UNITED STATES       TREASURY            2.00000% 01/15/2026</v>
      </c>
      <c r="E227" s="66" t="str">
        <f ca="1"/>
        <v>TIPS</v>
      </c>
      <c r="F227" s="67">
        <f ca="1"/>
        <v>2</v>
      </c>
      <c r="G227" s="68">
        <f ca="1"/>
        <v>46037</v>
      </c>
      <c r="H227" s="66" t="str">
        <f ca="1"/>
        <v>AAA</v>
      </c>
      <c r="I227" s="66" t="str">
        <f ca="1"/>
        <v>--</v>
      </c>
      <c r="J227" s="69">
        <f ca="1"/>
        <v>100.898</v>
      </c>
      <c r="K227" s="70">
        <f ca="1"/>
        <v>1</v>
      </c>
      <c r="L227" s="70" t="str">
        <f ca="1"/>
        <v>N/A</v>
      </c>
      <c r="M227" s="83"/>
      <c r="N227" s="84" t="str">
        <f t="shared" si="54"/>
        <v/>
      </c>
      <c r="O227" s="20" t="str">
        <f t="shared" si="55"/>
        <v/>
      </c>
      <c r="P227" s="64" t="str">
        <f t="shared" si="56"/>
        <v/>
      </c>
      <c r="Q227" s="85" t="str">
        <f t="shared" ca="1" si="57"/>
        <v/>
      </c>
      <c r="R227" s="86" t="str">
        <f t="shared" si="58"/>
        <v/>
      </c>
      <c r="S227" s="86" t="str">
        <f t="shared" si="59"/>
        <v/>
      </c>
      <c r="T227" s="104" t="str">
        <f t="shared" si="45"/>
        <v/>
      </c>
      <c r="U227" s="19" t="str">
        <f>IF(AND(M227&lt;&gt;"",M227&lt;&gt;0), IF(E227 = "Muni", T227, IF(E227="Corp", T227*(1 -'Investor Input'!$C$4-'Investor Input'!$C$5), T227*(1 -'Investor Input'!$C$4))), T227)</f>
        <v/>
      </c>
      <c r="V227" s="84" t="str">
        <f t="shared" si="46"/>
        <v/>
      </c>
      <c r="W227" s="84" t="str">
        <f t="shared" si="47"/>
        <v/>
      </c>
      <c r="X227" s="46" t="str">
        <f t="shared" si="48"/>
        <v/>
      </c>
      <c r="Y227" s="60" t="str">
        <f t="shared" si="49"/>
        <v/>
      </c>
      <c r="Z227" s="60" t="str">
        <f t="shared" si="50"/>
        <v/>
      </c>
      <c r="AA227" s="64" t="str">
        <f t="shared" si="51"/>
        <v/>
      </c>
      <c r="AB227" s="64" t="str">
        <f>IF(AND(AA227&lt;&gt;"",AA227&lt;&gt;0), IF(E227="Muni", AA227, IF(E227 = "Corp", (1-'Investor Input'!$C$4-'Investor Input'!$C$5)*AA227, (1-'Investor Input'!$C$4)*AA227)), AA227)</f>
        <v/>
      </c>
      <c r="AC227" s="94" t="str">
        <f t="shared" si="52"/>
        <v/>
      </c>
      <c r="AD227" s="60" t="str">
        <f>IF(AND(M227&lt;&gt;"", M227&lt;&gt;0), N227/$N$505*MATCH(AC227,'Misc Lists'!$K$2:$K$25,0), "")</f>
        <v/>
      </c>
      <c r="AE227" s="90" t="str">
        <f t="shared" si="53"/>
        <v/>
      </c>
      <c r="AF227" s="99" t="str">
        <f>IF(AND(M227&lt;&gt;"", M227&lt;&gt;0), N227/$N$505*MATCH(AE227,'Misc Lists'!$L$2:$L$25,0), "")</f>
        <v/>
      </c>
    </row>
    <row r="228" spans="2:32" hidden="1" outlineLevel="1" x14ac:dyDescent="0.5">
      <c r="B228" s="65" t="str">
        <f ca="1"/>
        <v>912828S50</v>
      </c>
      <c r="C228" s="66" t="str">
        <f ca="1"/>
        <v>N/A</v>
      </c>
      <c r="D228" s="65" t="str">
        <f ca="1"/>
        <v>UNITED STATES TREAS NTS                 0.12500% 07/15/2026 TIPS</v>
      </c>
      <c r="E228" s="66" t="str">
        <f ca="1"/>
        <v>TIPS</v>
      </c>
      <c r="F228" s="67">
        <f ca="1"/>
        <v>0.125</v>
      </c>
      <c r="G228" s="68">
        <f ca="1"/>
        <v>46218</v>
      </c>
      <c r="H228" s="66" t="str">
        <f ca="1"/>
        <v>AAA</v>
      </c>
      <c r="I228" s="66" t="str">
        <f ca="1"/>
        <v>--</v>
      </c>
      <c r="J228" s="69">
        <f ca="1"/>
        <v>98.875</v>
      </c>
      <c r="K228" s="70">
        <f ca="1"/>
        <v>0.93200000000000005</v>
      </c>
      <c r="L228" s="70" t="str">
        <f ca="1"/>
        <v>N/A</v>
      </c>
      <c r="M228" s="83"/>
      <c r="N228" s="84" t="str">
        <f t="shared" si="54"/>
        <v/>
      </c>
      <c r="O228" s="20" t="str">
        <f t="shared" si="55"/>
        <v/>
      </c>
      <c r="P228" s="64" t="str">
        <f t="shared" si="56"/>
        <v/>
      </c>
      <c r="Q228" s="85" t="str">
        <f t="shared" ca="1" si="57"/>
        <v/>
      </c>
      <c r="R228" s="86" t="str">
        <f t="shared" si="58"/>
        <v/>
      </c>
      <c r="S228" s="86" t="str">
        <f t="shared" si="59"/>
        <v/>
      </c>
      <c r="T228" s="104" t="str">
        <f t="shared" si="45"/>
        <v/>
      </c>
      <c r="U228" s="19" t="str">
        <f>IF(AND(M228&lt;&gt;"",M228&lt;&gt;0), IF(E228 = "Muni", T228, IF(E228="Corp", T228*(1 -'Investor Input'!$C$4-'Investor Input'!$C$5), T228*(1 -'Investor Input'!$C$4))), T228)</f>
        <v/>
      </c>
      <c r="V228" s="84" t="str">
        <f t="shared" si="46"/>
        <v/>
      </c>
      <c r="W228" s="84" t="str">
        <f t="shared" si="47"/>
        <v/>
      </c>
      <c r="X228" s="46" t="str">
        <f t="shared" si="48"/>
        <v/>
      </c>
      <c r="Y228" s="60" t="str">
        <f t="shared" si="49"/>
        <v/>
      </c>
      <c r="Z228" s="60" t="str">
        <f t="shared" si="50"/>
        <v/>
      </c>
      <c r="AA228" s="64" t="str">
        <f t="shared" si="51"/>
        <v/>
      </c>
      <c r="AB228" s="64" t="str">
        <f>IF(AND(AA228&lt;&gt;"",AA228&lt;&gt;0), IF(E228="Muni", AA228, IF(E228 = "Corp", (1-'Investor Input'!$C$4-'Investor Input'!$C$5)*AA228, (1-'Investor Input'!$C$4)*AA228)), AA228)</f>
        <v/>
      </c>
      <c r="AC228" s="94" t="str">
        <f t="shared" si="52"/>
        <v/>
      </c>
      <c r="AD228" s="60" t="str">
        <f>IF(AND(M228&lt;&gt;"", M228&lt;&gt;0), N228/$N$505*MATCH(AC228,'Misc Lists'!$K$2:$K$25,0), "")</f>
        <v/>
      </c>
      <c r="AE228" s="90" t="str">
        <f t="shared" si="53"/>
        <v/>
      </c>
      <c r="AF228" s="99" t="str">
        <f>IF(AND(M228&lt;&gt;"", M228&lt;&gt;0), N228/$N$505*MATCH(AE228,'Misc Lists'!$L$2:$L$25,0), "")</f>
        <v/>
      </c>
    </row>
    <row r="229" spans="2:32" hidden="1" outlineLevel="1" x14ac:dyDescent="0.5">
      <c r="B229" s="65" t="str">
        <f ca="1"/>
        <v>91282CAQ4</v>
      </c>
      <c r="C229" s="66" t="str">
        <f ca="1"/>
        <v>N/A</v>
      </c>
      <c r="D229" s="65" t="str">
        <f ca="1"/>
        <v>UNITED STATES TREAS NTS SER AE-2025     0.12500% 10/15/2025</v>
      </c>
      <c r="E229" s="66" t="str">
        <f ca="1"/>
        <v>TIPS</v>
      </c>
      <c r="F229" s="67">
        <f ca="1"/>
        <v>0.125</v>
      </c>
      <c r="G229" s="68">
        <f ca="1"/>
        <v>45945</v>
      </c>
      <c r="H229" s="66" t="str">
        <f ca="1"/>
        <v>AAA</v>
      </c>
      <c r="I229" s="66" t="str">
        <f ca="1"/>
        <v>--</v>
      </c>
      <c r="J229" s="69">
        <f ca="1"/>
        <v>99.944999999999993</v>
      </c>
      <c r="K229" s="70">
        <f ca="1"/>
        <v>0.20899999999999999</v>
      </c>
      <c r="L229" s="70" t="str">
        <f ca="1"/>
        <v>N/A</v>
      </c>
      <c r="M229" s="83"/>
      <c r="N229" s="84" t="str">
        <f t="shared" si="54"/>
        <v/>
      </c>
      <c r="O229" s="20" t="str">
        <f t="shared" si="55"/>
        <v/>
      </c>
      <c r="P229" s="64" t="str">
        <f t="shared" si="56"/>
        <v/>
      </c>
      <c r="Q229" s="85" t="str">
        <f t="shared" ca="1" si="57"/>
        <v/>
      </c>
      <c r="R229" s="86" t="str">
        <f t="shared" si="58"/>
        <v/>
      </c>
      <c r="S229" s="86" t="str">
        <f t="shared" si="59"/>
        <v/>
      </c>
      <c r="T229" s="104" t="str">
        <f t="shared" si="45"/>
        <v/>
      </c>
      <c r="U229" s="19" t="str">
        <f>IF(AND(M229&lt;&gt;"",M229&lt;&gt;0), IF(E229 = "Muni", T229, IF(E229="Corp", T229*(1 -'Investor Input'!$C$4-'Investor Input'!$C$5), T229*(1 -'Investor Input'!$C$4))), T229)</f>
        <v/>
      </c>
      <c r="V229" s="84" t="str">
        <f t="shared" si="46"/>
        <v/>
      </c>
      <c r="W229" s="84" t="str">
        <f t="shared" si="47"/>
        <v/>
      </c>
      <c r="X229" s="46" t="str">
        <f t="shared" si="48"/>
        <v/>
      </c>
      <c r="Y229" s="60" t="str">
        <f t="shared" si="49"/>
        <v/>
      </c>
      <c r="Z229" s="60" t="str">
        <f t="shared" si="50"/>
        <v/>
      </c>
      <c r="AA229" s="64" t="str">
        <f t="shared" si="51"/>
        <v/>
      </c>
      <c r="AB229" s="64" t="str">
        <f>IF(AND(AA229&lt;&gt;"",AA229&lt;&gt;0), IF(E229="Muni", AA229, IF(E229 = "Corp", (1-'Investor Input'!$C$4-'Investor Input'!$C$5)*AA229, (1-'Investor Input'!$C$4)*AA229)), AA229)</f>
        <v/>
      </c>
      <c r="AC229" s="94" t="str">
        <f t="shared" si="52"/>
        <v/>
      </c>
      <c r="AD229" s="60" t="str">
        <f>IF(AND(M229&lt;&gt;"", M229&lt;&gt;0), N229/$N$505*MATCH(AC229,'Misc Lists'!$K$2:$K$25,0), "")</f>
        <v/>
      </c>
      <c r="AE229" s="90" t="str">
        <f t="shared" si="53"/>
        <v/>
      </c>
      <c r="AF229" s="99" t="str">
        <f>IF(AND(M229&lt;&gt;"", M229&lt;&gt;0), N229/$N$505*MATCH(AE229,'Misc Lists'!$L$2:$L$25,0), "")</f>
        <v/>
      </c>
    </row>
    <row r="230" spans="2:32" outlineLevel="1" x14ac:dyDescent="0.5">
      <c r="B230" s="65" t="str">
        <f ca="1"/>
        <v>404774GU9</v>
      </c>
      <c r="C230" s="66" t="str">
        <f ca="1"/>
        <v>NJ</v>
      </c>
      <c r="D230" s="65" t="str">
        <f ca="1"/>
        <v>HADDONFIELD N J GO  BDS SER. 2013       02.50000% 03/01/2025</v>
      </c>
      <c r="E230" s="66" t="str">
        <f ca="1"/>
        <v>Muni</v>
      </c>
      <c r="F230" s="67">
        <f ca="1"/>
        <v>2.5</v>
      </c>
      <c r="G230" s="68">
        <f ca="1"/>
        <v>45717</v>
      </c>
      <c r="H230" s="66" t="str">
        <f ca="1"/>
        <v>AA1</v>
      </c>
      <c r="I230" s="66" t="str">
        <f ca="1"/>
        <v>--</v>
      </c>
      <c r="J230" s="69">
        <f ca="1"/>
        <v>99.93</v>
      </c>
      <c r="K230" s="70">
        <f ca="1"/>
        <v>4.391</v>
      </c>
      <c r="L230" s="70" t="str">
        <f ca="1"/>
        <v>10(5)</v>
      </c>
      <c r="M230" s="83">
        <v>50</v>
      </c>
      <c r="N230" s="84">
        <f t="shared" ca="1" si="54"/>
        <v>49965</v>
      </c>
      <c r="O230" s="20">
        <f t="shared" ca="1" si="55"/>
        <v>4.9591833848250375E-2</v>
      </c>
      <c r="P230" s="64">
        <f t="shared" ca="1" si="56"/>
        <v>25</v>
      </c>
      <c r="Q230" s="85">
        <f t="shared" ca="1" si="57"/>
        <v>45791.491364930553</v>
      </c>
      <c r="R230" s="86">
        <f t="shared" ca="1" si="58"/>
        <v>0</v>
      </c>
      <c r="S230" s="86" t="e">
        <f t="shared" ca="1" si="59"/>
        <v>#NUM!</v>
      </c>
      <c r="T230" s="104" t="e">
        <f t="shared" ca="1" si="45"/>
        <v>#NUM!</v>
      </c>
      <c r="U230" s="19" t="e">
        <f ca="1">IF(AND(M230&lt;&gt;"",M230&lt;&gt;0), IF(E230 = "Muni", T230, IF(E230="Corp", T230*(1 -'Investor Input'!$C$4-'Investor Input'!$C$5), T230*(1 -'Investor Input'!$C$4))), T230)</f>
        <v>#NUM!</v>
      </c>
      <c r="V230" s="84">
        <f t="shared" ca="1" si="46"/>
        <v>49775.276897872005</v>
      </c>
      <c r="W230" s="84">
        <f t="shared" ca="1" si="47"/>
        <v>-189.72310212799493</v>
      </c>
      <c r="X230" s="46">
        <f t="shared" ca="1" si="48"/>
        <v>-3.7971200265785035E-3</v>
      </c>
      <c r="Y230" s="60">
        <f t="shared" ca="1" si="49"/>
        <v>3</v>
      </c>
      <c r="Z230" s="60">
        <f t="shared" ca="1" si="50"/>
        <v>9</v>
      </c>
      <c r="AA230" s="64">
        <f t="shared" ca="1" si="51"/>
        <v>625</v>
      </c>
      <c r="AB230" s="64">
        <f ca="1">IF(AND(AA230&lt;&gt;"",AA230&lt;&gt;0), IF(E230="Muni", AA230, IF(E230 = "Corp", (1-'Investor Input'!$C$4-'Investor Input'!$C$5)*AA230, (1-'Investor Input'!$C$4)*AA230)), AA230)</f>
        <v>625</v>
      </c>
      <c r="AC230" s="94" t="str">
        <f t="shared" ca="1" si="52"/>
        <v>AA1</v>
      </c>
      <c r="AD230" s="60">
        <f ca="1">IF(AND(M230&lt;&gt;"", M230&lt;&gt;0), N230/$N$505*MATCH(AC230,'Misc Lists'!$K$2:$K$25,0), "")</f>
        <v>0.14877550154475111</v>
      </c>
      <c r="AE230" s="90" t="str">
        <f t="shared" ca="1" si="53"/>
        <v>--</v>
      </c>
      <c r="AF230" s="99">
        <f ca="1">IF(AND(M230&lt;&gt;"", M230&lt;&gt;0), N230/$N$505*MATCH(AE230,'Misc Lists'!$L$2:$L$25,0), "")</f>
        <v>1.1406121785097587</v>
      </c>
    </row>
    <row r="231" spans="2:32" hidden="1" outlineLevel="1" x14ac:dyDescent="0.5">
      <c r="B231" s="65" t="str">
        <f ca="1"/>
        <v>436272GC6</v>
      </c>
      <c r="C231" s="66" t="str">
        <f ca="1"/>
        <v>NJ</v>
      </c>
      <c r="D231" s="65" t="str">
        <f ca="1"/>
        <v>HOLMDEL TWP N J GEN IMPT BDS CNTY OF    02.00000% 05/01/2029MONMOUTH SER. 2019</v>
      </c>
      <c r="E231" s="66" t="str">
        <f ca="1"/>
        <v>Muni</v>
      </c>
      <c r="F231" s="67">
        <f ca="1"/>
        <v>2</v>
      </c>
      <c r="G231" s="68">
        <f ca="1"/>
        <v>47239</v>
      </c>
      <c r="H231" s="66" t="str">
        <f ca="1"/>
        <v>AAA</v>
      </c>
      <c r="I231" s="66" t="str">
        <f ca="1"/>
        <v>--</v>
      </c>
      <c r="J231" s="69">
        <f ca="1"/>
        <v>92.804000000000002</v>
      </c>
      <c r="K231" s="70">
        <f ca="1"/>
        <v>3.871</v>
      </c>
      <c r="L231" s="70" t="str">
        <f ca="1"/>
        <v>10(10)</v>
      </c>
      <c r="M231" s="83"/>
      <c r="N231" s="84" t="str">
        <f t="shared" si="54"/>
        <v/>
      </c>
      <c r="O231" s="20" t="str">
        <f t="shared" si="55"/>
        <v/>
      </c>
      <c r="P231" s="64" t="str">
        <f t="shared" si="56"/>
        <v/>
      </c>
      <c r="Q231" s="85" t="str">
        <f t="shared" ca="1" si="57"/>
        <v/>
      </c>
      <c r="R231" s="86" t="str">
        <f t="shared" si="58"/>
        <v/>
      </c>
      <c r="S231" s="86" t="str">
        <f t="shared" si="59"/>
        <v/>
      </c>
      <c r="T231" s="104" t="str">
        <f t="shared" si="45"/>
        <v/>
      </c>
      <c r="U231" s="19" t="str">
        <f>IF(AND(M231&lt;&gt;"",M231&lt;&gt;0), IF(E231 = "Muni", T231, IF(E231="Corp", T231*(1 -'Investor Input'!$C$4-'Investor Input'!$C$5), T231*(1 -'Investor Input'!$C$4))), T231)</f>
        <v/>
      </c>
      <c r="V231" s="84" t="str">
        <f t="shared" si="46"/>
        <v/>
      </c>
      <c r="W231" s="84" t="str">
        <f t="shared" si="47"/>
        <v/>
      </c>
      <c r="X231" s="46" t="str">
        <f t="shared" si="48"/>
        <v/>
      </c>
      <c r="Y231" s="60" t="str">
        <f t="shared" si="49"/>
        <v/>
      </c>
      <c r="Z231" s="60" t="str">
        <f t="shared" si="50"/>
        <v/>
      </c>
      <c r="AA231" s="64" t="str">
        <f t="shared" si="51"/>
        <v/>
      </c>
      <c r="AB231" s="64" t="str">
        <f>IF(AND(AA231&lt;&gt;"",AA231&lt;&gt;0), IF(E231="Muni", AA231, IF(E231 = "Corp", (1-'Investor Input'!$C$4-'Investor Input'!$C$5)*AA231, (1-'Investor Input'!$C$4)*AA231)), AA231)</f>
        <v/>
      </c>
      <c r="AC231" s="94" t="str">
        <f t="shared" si="52"/>
        <v/>
      </c>
      <c r="AD231" s="60" t="str">
        <f>IF(AND(M231&lt;&gt;"", M231&lt;&gt;0), N231/$N$505*MATCH(AC231,'Misc Lists'!$K$2:$K$25,0), "")</f>
        <v/>
      </c>
      <c r="AE231" s="90" t="str">
        <f t="shared" si="53"/>
        <v/>
      </c>
      <c r="AF231" s="99" t="str">
        <f>IF(AND(M231&lt;&gt;"", M231&lt;&gt;0), N231/$N$505*MATCH(AE231,'Misc Lists'!$L$2:$L$25,0), "")</f>
        <v/>
      </c>
    </row>
    <row r="232" spans="2:32" hidden="1" outlineLevel="1" x14ac:dyDescent="0.5">
      <c r="B232" s="65" t="str">
        <f ca="1"/>
        <v>300471NT2</v>
      </c>
      <c r="C232" s="66" t="str">
        <f ca="1"/>
        <v>NJ</v>
      </c>
      <c r="D232" s="65" t="str">
        <f ca="1"/>
        <v>EVESHAM TWP N J GO  BDS SER.2016        02.12500% 05/01/2029</v>
      </c>
      <c r="E232" s="66" t="str">
        <f ca="1"/>
        <v>Muni</v>
      </c>
      <c r="F232" s="67">
        <f ca="1"/>
        <v>2.125</v>
      </c>
      <c r="G232" s="68">
        <f ca="1"/>
        <v>47239</v>
      </c>
      <c r="H232" s="66" t="str">
        <f ca="1"/>
        <v>AA2</v>
      </c>
      <c r="I232" s="66" t="str">
        <f ca="1"/>
        <v>--</v>
      </c>
      <c r="J232" s="69">
        <f ca="1"/>
        <v>93.352000000000004</v>
      </c>
      <c r="K232" s="70">
        <f ca="1"/>
        <v>3.8530000000000002</v>
      </c>
      <c r="L232" s="70" t="str">
        <f ca="1"/>
        <v>30(10)</v>
      </c>
      <c r="M232" s="83"/>
      <c r="N232" s="84" t="str">
        <f t="shared" si="54"/>
        <v/>
      </c>
      <c r="O232" s="20" t="str">
        <f t="shared" si="55"/>
        <v/>
      </c>
      <c r="P232" s="64" t="str">
        <f t="shared" si="56"/>
        <v/>
      </c>
      <c r="Q232" s="85" t="str">
        <f t="shared" ca="1" si="57"/>
        <v/>
      </c>
      <c r="R232" s="86" t="str">
        <f t="shared" si="58"/>
        <v/>
      </c>
      <c r="S232" s="86" t="str">
        <f t="shared" si="59"/>
        <v/>
      </c>
      <c r="T232" s="104" t="str">
        <f t="shared" si="45"/>
        <v/>
      </c>
      <c r="U232" s="19" t="str">
        <f>IF(AND(M232&lt;&gt;"",M232&lt;&gt;0), IF(E232 = "Muni", T232, IF(E232="Corp", T232*(1 -'Investor Input'!$C$4-'Investor Input'!$C$5), T232*(1 -'Investor Input'!$C$4))), T232)</f>
        <v/>
      </c>
      <c r="V232" s="84" t="str">
        <f t="shared" si="46"/>
        <v/>
      </c>
      <c r="W232" s="84" t="str">
        <f t="shared" si="47"/>
        <v/>
      </c>
      <c r="X232" s="46" t="str">
        <f t="shared" si="48"/>
        <v/>
      </c>
      <c r="Y232" s="60" t="str">
        <f t="shared" si="49"/>
        <v/>
      </c>
      <c r="Z232" s="60" t="str">
        <f t="shared" si="50"/>
        <v/>
      </c>
      <c r="AA232" s="64" t="str">
        <f t="shared" si="51"/>
        <v/>
      </c>
      <c r="AB232" s="64" t="str">
        <f>IF(AND(AA232&lt;&gt;"",AA232&lt;&gt;0), IF(E232="Muni", AA232, IF(E232 = "Corp", (1-'Investor Input'!$C$4-'Investor Input'!$C$5)*AA232, (1-'Investor Input'!$C$4)*AA232)), AA232)</f>
        <v/>
      </c>
      <c r="AC232" s="94" t="str">
        <f t="shared" si="52"/>
        <v/>
      </c>
      <c r="AD232" s="60" t="str">
        <f>IF(AND(M232&lt;&gt;"", M232&lt;&gt;0), N232/$N$505*MATCH(AC232,'Misc Lists'!$K$2:$K$25,0), "")</f>
        <v/>
      </c>
      <c r="AE232" s="90" t="str">
        <f t="shared" si="53"/>
        <v/>
      </c>
      <c r="AF232" s="99" t="str">
        <f>IF(AND(M232&lt;&gt;"", M232&lt;&gt;0), N232/$N$505*MATCH(AE232,'Misc Lists'!$L$2:$L$25,0), "")</f>
        <v/>
      </c>
    </row>
    <row r="233" spans="2:32" outlineLevel="1" x14ac:dyDescent="0.5">
      <c r="B233" s="65" t="str">
        <f ca="1"/>
        <v>614148JE5</v>
      </c>
      <c r="C233" s="66" t="str">
        <f ca="1"/>
        <v>NJ</v>
      </c>
      <c r="D233" s="65" t="str">
        <f ca="1"/>
        <v>MONTGOMERY TWP N J  GEN IMPT AND SWR    02.50000% 09/01/2029UTIL BDS SER. 2017A</v>
      </c>
      <c r="E233" s="66" t="str">
        <f ca="1"/>
        <v>Muni</v>
      </c>
      <c r="F233" s="67">
        <f ca="1"/>
        <v>2.5</v>
      </c>
      <c r="G233" s="68">
        <f ca="1"/>
        <v>47362</v>
      </c>
      <c r="H233" s="66" t="str">
        <f ca="1"/>
        <v>AAA</v>
      </c>
      <c r="I233" s="66" t="str">
        <f ca="1"/>
        <v>--</v>
      </c>
      <c r="J233" s="69">
        <f ca="1"/>
        <v>94.629000000000005</v>
      </c>
      <c r="K233" s="70">
        <f ca="1"/>
        <v>3.8</v>
      </c>
      <c r="L233" s="70" t="str">
        <f ca="1"/>
        <v>25(5)</v>
      </c>
      <c r="M233" s="83">
        <v>25</v>
      </c>
      <c r="N233" s="84">
        <f t="shared" ca="1" si="54"/>
        <v>23657.250000000004</v>
      </c>
      <c r="O233" s="20">
        <f t="shared" ca="1" si="55"/>
        <v>2.3480564621365385E-2</v>
      </c>
      <c r="P233" s="64">
        <f t="shared" ca="1" si="56"/>
        <v>25</v>
      </c>
      <c r="Q233" s="85">
        <f t="shared" ca="1" si="57"/>
        <v>45791.491364930553</v>
      </c>
      <c r="R233" s="86">
        <f t="shared" ca="1" si="58"/>
        <v>4</v>
      </c>
      <c r="S233" s="86">
        <f t="shared" ca="1" si="59"/>
        <v>3.9978927776336697</v>
      </c>
      <c r="T233" s="104">
        <f t="shared" ca="1" si="45"/>
        <v>3.8679111136145611E-2</v>
      </c>
      <c r="U233" s="19">
        <f ca="1">IF(AND(M233&lt;&gt;"",M233&lt;&gt;0), IF(E233 = "Muni", T233, IF(E233="Corp", T233*(1 -'Investor Input'!$C$4-'Investor Input'!$C$5), T233*(1 -'Investor Input'!$C$4))), T233)</f>
        <v>3.8679111136145611E-2</v>
      </c>
      <c r="V233" s="84">
        <f t="shared" ca="1" si="46"/>
        <v>24924.936593283168</v>
      </c>
      <c r="W233" s="84">
        <f t="shared" ca="1" si="47"/>
        <v>1267.6865932831643</v>
      </c>
      <c r="X233" s="46">
        <f t="shared" ca="1" si="48"/>
        <v>5.3585543259811012E-2</v>
      </c>
      <c r="Y233" s="60">
        <f t="shared" ca="1" si="49"/>
        <v>9</v>
      </c>
      <c r="Z233" s="60">
        <f t="shared" ca="1" si="50"/>
        <v>3</v>
      </c>
      <c r="AA233" s="64">
        <f t="shared" ca="1" si="51"/>
        <v>312.5</v>
      </c>
      <c r="AB233" s="64">
        <f ca="1">IF(AND(AA233&lt;&gt;"",AA233&lt;&gt;0), IF(E233="Muni", AA233, IF(E233 = "Corp", (1-'Investor Input'!$C$4-'Investor Input'!$C$5)*AA233, (1-'Investor Input'!$C$4)*AA233)), AA233)</f>
        <v>312.5</v>
      </c>
      <c r="AC233" s="94" t="str">
        <f t="shared" ca="1" si="52"/>
        <v>AAA</v>
      </c>
      <c r="AD233" s="60">
        <f ca="1">IF(AND(M233&lt;&gt;"", M233&lt;&gt;0), N233/$N$505*MATCH(AC233,'Misc Lists'!$K$2:$K$25,0), "")</f>
        <v>4.696112924273077E-2</v>
      </c>
      <c r="AE233" s="90" t="str">
        <f t="shared" ca="1" si="53"/>
        <v>--</v>
      </c>
      <c r="AF233" s="99">
        <f ca="1">IF(AND(M233&lt;&gt;"", M233&lt;&gt;0), N233/$N$505*MATCH(AE233,'Misc Lists'!$L$2:$L$25,0), "")</f>
        <v>0.54005298629140386</v>
      </c>
    </row>
    <row r="234" spans="2:32" outlineLevel="1" x14ac:dyDescent="0.5">
      <c r="B234" s="65" t="str">
        <f ca="1"/>
        <v>083763WJ7</v>
      </c>
      <c r="C234" s="66" t="str">
        <f ca="1"/>
        <v>NJ</v>
      </c>
      <c r="D234" s="65" t="str">
        <f ca="1"/>
        <v>BERGEN CNTY N J GO  VOCATIONAL TECHNICAL02.00000% 11/01/2029SCH COLLEGE IMPT BDS</v>
      </c>
      <c r="E234" s="66" t="str">
        <f ca="1"/>
        <v>Muni</v>
      </c>
      <c r="F234" s="67">
        <f ca="1"/>
        <v>2</v>
      </c>
      <c r="G234" s="68">
        <f ca="1"/>
        <v>47423</v>
      </c>
      <c r="H234" s="66" t="str">
        <f ca="1"/>
        <v>AAA</v>
      </c>
      <c r="I234" s="66" t="str">
        <f ca="1"/>
        <v>--</v>
      </c>
      <c r="J234" s="69">
        <f ca="1"/>
        <v>92.311999999999998</v>
      </c>
      <c r="K234" s="70">
        <f ca="1"/>
        <v>3.8</v>
      </c>
      <c r="L234" s="70" t="str">
        <f ca="1"/>
        <v>15(5)</v>
      </c>
      <c r="M234" s="83">
        <v>5</v>
      </c>
      <c r="N234" s="84">
        <f t="shared" ca="1" si="54"/>
        <v>5000</v>
      </c>
      <c r="O234" s="20">
        <f t="shared" ca="1" si="55"/>
        <v>4.9626572448964656E-3</v>
      </c>
      <c r="P234" s="64">
        <f t="shared" ca="1" si="56"/>
        <v>20</v>
      </c>
      <c r="Q234" s="85">
        <f t="shared" ca="1" si="57"/>
        <v>45791.491364930553</v>
      </c>
      <c r="R234" s="86">
        <f t="shared" ca="1" si="58"/>
        <v>4</v>
      </c>
      <c r="S234" s="86">
        <f t="shared" ca="1" si="59"/>
        <v>4.2014106585626063</v>
      </c>
      <c r="T234" s="104">
        <f t="shared" ca="1" si="45"/>
        <v>1.9999216777763291E-2</v>
      </c>
      <c r="U234" s="19">
        <f ca="1">IF(AND(M234&lt;&gt;"",M234&lt;&gt;0), IF(E234 = "Muni", T234, IF(E234="Corp", T234*(1 -'Investor Input'!$C$4-'Investor Input'!$C$5), T234*(1 -'Investor Input'!$C$4))), T234)</f>
        <v>1.9999216777763291E-2</v>
      </c>
      <c r="V234" s="84">
        <f t="shared" ca="1" si="46"/>
        <v>5434.0056670580452</v>
      </c>
      <c r="W234" s="84">
        <f t="shared" ca="1" si="47"/>
        <v>434.00566705804522</v>
      </c>
      <c r="X234" s="46">
        <f t="shared" ca="1" si="48"/>
        <v>8.6801133411609041E-2</v>
      </c>
      <c r="Y234" s="60">
        <f t="shared" ca="1" si="49"/>
        <v>11</v>
      </c>
      <c r="Z234" s="60">
        <f t="shared" ca="1" si="50"/>
        <v>5</v>
      </c>
      <c r="AA234" s="64">
        <f t="shared" ca="1" si="51"/>
        <v>50</v>
      </c>
      <c r="AB234" s="64">
        <f ca="1">IF(AND(AA234&lt;&gt;"",AA234&lt;&gt;0), IF(E234="Muni", AA234, IF(E234 = "Corp", (1-'Investor Input'!$C$4-'Investor Input'!$C$5)*AA234, (1-'Investor Input'!$C$4)*AA234)), AA234)</f>
        <v>50</v>
      </c>
      <c r="AC234" s="94" t="str">
        <f t="shared" ca="1" si="52"/>
        <v>AAA</v>
      </c>
      <c r="AD234" s="60">
        <f ca="1">IF(AND(M234&lt;&gt;"", M234&lt;&gt;0), N234/$N$505*MATCH(AC234,'Misc Lists'!$K$2:$K$25,0), "")</f>
        <v>9.9253144897929312E-3</v>
      </c>
      <c r="AE234" s="90" t="str">
        <f t="shared" ca="1" si="53"/>
        <v>--</v>
      </c>
      <c r="AF234" s="99">
        <f ca="1">IF(AND(M234&lt;&gt;"", M234&lt;&gt;0), N234/$N$505*MATCH(AE234,'Misc Lists'!$L$2:$L$25,0), "")</f>
        <v>0.11414111663261871</v>
      </c>
    </row>
    <row r="235" spans="2:32" hidden="1" outlineLevel="1" x14ac:dyDescent="0.5">
      <c r="B235" s="65" t="str">
        <f ca="1"/>
        <v>90634PPZ6</v>
      </c>
      <c r="C235" s="66" t="str">
        <f ca="1"/>
        <v>NJ</v>
      </c>
      <c r="D235" s="65" t="str">
        <f ca="1"/>
        <v>UNION CNTY N J GEN  IMPT VOCATIONAL     02.00000% 03/01/2028TECHNICAL SCH COLL  BDS SER. 2020</v>
      </c>
      <c r="E235" s="66" t="str">
        <f ca="1"/>
        <v>Muni</v>
      </c>
      <c r="F235" s="67">
        <f ca="1"/>
        <v>2</v>
      </c>
      <c r="G235" s="68">
        <f ca="1"/>
        <v>46813</v>
      </c>
      <c r="H235" s="66" t="str">
        <f ca="1"/>
        <v>AAA</v>
      </c>
      <c r="I235" s="66" t="str">
        <f ca="1"/>
        <v>--</v>
      </c>
      <c r="J235" s="69">
        <f ca="1"/>
        <v>94.992999999999995</v>
      </c>
      <c r="K235" s="70">
        <f ca="1"/>
        <v>3.76</v>
      </c>
      <c r="L235" s="70" t="str">
        <f ca="1"/>
        <v>5(5)</v>
      </c>
      <c r="M235" s="83"/>
      <c r="N235" s="84" t="str">
        <f t="shared" si="54"/>
        <v/>
      </c>
      <c r="O235" s="20" t="str">
        <f t="shared" si="55"/>
        <v/>
      </c>
      <c r="P235" s="64" t="str">
        <f t="shared" si="56"/>
        <v/>
      </c>
      <c r="Q235" s="85" t="str">
        <f t="shared" ca="1" si="57"/>
        <v/>
      </c>
      <c r="R235" s="86" t="str">
        <f t="shared" si="58"/>
        <v/>
      </c>
      <c r="S235" s="86" t="str">
        <f t="shared" si="59"/>
        <v/>
      </c>
      <c r="T235" s="104" t="str">
        <f t="shared" si="45"/>
        <v/>
      </c>
      <c r="U235" s="19" t="str">
        <f>IF(AND(M235&lt;&gt;"",M235&lt;&gt;0), IF(E235 = "Muni", T235, IF(E235="Corp", T235*(1 -'Investor Input'!$C$4-'Investor Input'!$C$5), T235*(1 -'Investor Input'!$C$4))), T235)</f>
        <v/>
      </c>
      <c r="V235" s="84" t="str">
        <f t="shared" si="46"/>
        <v/>
      </c>
      <c r="W235" s="84" t="str">
        <f t="shared" si="47"/>
        <v/>
      </c>
      <c r="X235" s="46" t="str">
        <f t="shared" si="48"/>
        <v/>
      </c>
      <c r="Y235" s="60" t="str">
        <f t="shared" si="49"/>
        <v/>
      </c>
      <c r="Z235" s="60" t="str">
        <f t="shared" si="50"/>
        <v/>
      </c>
      <c r="AA235" s="64" t="str">
        <f t="shared" si="51"/>
        <v/>
      </c>
      <c r="AB235" s="64" t="str">
        <f>IF(AND(AA235&lt;&gt;"",AA235&lt;&gt;0), IF(E235="Muni", AA235, IF(E235 = "Corp", (1-'Investor Input'!$C$4-'Investor Input'!$C$5)*AA235, (1-'Investor Input'!$C$4)*AA235)), AA235)</f>
        <v/>
      </c>
      <c r="AC235" s="94" t="str">
        <f t="shared" si="52"/>
        <v/>
      </c>
      <c r="AD235" s="60" t="str">
        <f>IF(AND(M235&lt;&gt;"", M235&lt;&gt;0), N235/$N$505*MATCH(AC235,'Misc Lists'!$K$2:$K$25,0), "")</f>
        <v/>
      </c>
      <c r="AE235" s="90" t="str">
        <f t="shared" si="53"/>
        <v/>
      </c>
      <c r="AF235" s="99" t="str">
        <f>IF(AND(M235&lt;&gt;"", M235&lt;&gt;0), N235/$N$505*MATCH(AE235,'Misc Lists'!$L$2:$L$25,0), "")</f>
        <v/>
      </c>
    </row>
    <row r="236" spans="2:32" hidden="1" outlineLevel="1" x14ac:dyDescent="0.5">
      <c r="B236" s="65" t="str">
        <f ca="1"/>
        <v>90634PKS7</v>
      </c>
      <c r="C236" s="66" t="str">
        <f ca="1"/>
        <v>NJ</v>
      </c>
      <c r="D236" s="65" t="str">
        <f ca="1"/>
        <v>UNION CNTY N J VAR  PURP BDS SER.B      02.00000% 03/01/2029</v>
      </c>
      <c r="E236" s="66" t="str">
        <f ca="1"/>
        <v>Muni</v>
      </c>
      <c r="F236" s="67">
        <f ca="1"/>
        <v>2</v>
      </c>
      <c r="G236" s="68">
        <f ca="1"/>
        <v>47178</v>
      </c>
      <c r="H236" s="66" t="str">
        <f ca="1"/>
        <v>AAA</v>
      </c>
      <c r="I236" s="66" t="str">
        <f ca="1"/>
        <v>AA+</v>
      </c>
      <c r="J236" s="69">
        <f ca="1"/>
        <v>93.477000000000004</v>
      </c>
      <c r="K236" s="70">
        <f ca="1"/>
        <v>3.7570000000000001</v>
      </c>
      <c r="L236" s="70" t="str">
        <f ca="1"/>
        <v>70(10)</v>
      </c>
      <c r="M236" s="83"/>
      <c r="N236" s="84" t="str">
        <f t="shared" si="54"/>
        <v/>
      </c>
      <c r="O236" s="20" t="str">
        <f t="shared" si="55"/>
        <v/>
      </c>
      <c r="P236" s="64" t="str">
        <f t="shared" si="56"/>
        <v/>
      </c>
      <c r="Q236" s="85" t="str">
        <f t="shared" ca="1" si="57"/>
        <v/>
      </c>
      <c r="R236" s="86" t="str">
        <f t="shared" si="58"/>
        <v/>
      </c>
      <c r="S236" s="86" t="str">
        <f t="shared" si="59"/>
        <v/>
      </c>
      <c r="T236" s="104" t="str">
        <f t="shared" si="45"/>
        <v/>
      </c>
      <c r="U236" s="19" t="str">
        <f>IF(AND(M236&lt;&gt;"",M236&lt;&gt;0), IF(E236 = "Muni", T236, IF(E236="Corp", T236*(1 -'Investor Input'!$C$4-'Investor Input'!$C$5), T236*(1 -'Investor Input'!$C$4))), T236)</f>
        <v/>
      </c>
      <c r="V236" s="84" t="str">
        <f t="shared" si="46"/>
        <v/>
      </c>
      <c r="W236" s="84" t="str">
        <f t="shared" si="47"/>
        <v/>
      </c>
      <c r="X236" s="46" t="str">
        <f t="shared" si="48"/>
        <v/>
      </c>
      <c r="Y236" s="60" t="str">
        <f t="shared" si="49"/>
        <v/>
      </c>
      <c r="Z236" s="60" t="str">
        <f t="shared" si="50"/>
        <v/>
      </c>
      <c r="AA236" s="64" t="str">
        <f t="shared" si="51"/>
        <v/>
      </c>
      <c r="AB236" s="64" t="str">
        <f>IF(AND(AA236&lt;&gt;"",AA236&lt;&gt;0), IF(E236="Muni", AA236, IF(E236 = "Corp", (1-'Investor Input'!$C$4-'Investor Input'!$C$5)*AA236, (1-'Investor Input'!$C$4)*AA236)), AA236)</f>
        <v/>
      </c>
      <c r="AC236" s="94" t="str">
        <f t="shared" si="52"/>
        <v/>
      </c>
      <c r="AD236" s="60" t="str">
        <f>IF(AND(M236&lt;&gt;"", M236&lt;&gt;0), N236/$N$505*MATCH(AC236,'Misc Lists'!$K$2:$K$25,0), "")</f>
        <v/>
      </c>
      <c r="AE236" s="90" t="str">
        <f t="shared" si="53"/>
        <v/>
      </c>
      <c r="AF236" s="99" t="str">
        <f>IF(AND(M236&lt;&gt;"", M236&lt;&gt;0), N236/$N$505*MATCH(AE236,'Misc Lists'!$L$2:$L$25,0), "")</f>
        <v/>
      </c>
    </row>
    <row r="237" spans="2:32" outlineLevel="1" x14ac:dyDescent="0.5">
      <c r="B237" s="65" t="str">
        <f ca="1"/>
        <v>050897DZ7</v>
      </c>
      <c r="C237" s="66" t="str">
        <f ca="1"/>
        <v>NJ</v>
      </c>
      <c r="D237" s="65" t="str">
        <f ca="1"/>
        <v>AUDUBON N J GO BDS  SER. 2019           02.25000% 11/01/2029</v>
      </c>
      <c r="E237" s="66" t="str">
        <f ca="1"/>
        <v>Muni</v>
      </c>
      <c r="F237" s="67">
        <f ca="1"/>
        <v>2.25</v>
      </c>
      <c r="G237" s="68">
        <f ca="1"/>
        <v>47423</v>
      </c>
      <c r="H237" s="66" t="str">
        <f ca="1"/>
        <v>AA3</v>
      </c>
      <c r="I237" s="66" t="str">
        <f ca="1"/>
        <v>--</v>
      </c>
      <c r="J237" s="69">
        <f ca="1"/>
        <v>93.555000000000007</v>
      </c>
      <c r="K237" s="70">
        <f ca="1"/>
        <v>3.7570000000000001</v>
      </c>
      <c r="L237" s="70" t="str">
        <f ca="1"/>
        <v>10(5)</v>
      </c>
      <c r="M237" s="83">
        <v>50</v>
      </c>
      <c r="N237" s="84">
        <f t="shared" ca="1" si="54"/>
        <v>46777.5</v>
      </c>
      <c r="O237" s="20">
        <f t="shared" ca="1" si="55"/>
        <v>4.6428139854628882E-2</v>
      </c>
      <c r="P237" s="64">
        <f t="shared" ca="1" si="56"/>
        <v>22.5</v>
      </c>
      <c r="Q237" s="85">
        <f t="shared" ca="1" si="57"/>
        <v>45791.491364930553</v>
      </c>
      <c r="R237" s="86">
        <f t="shared" ca="1" si="58"/>
        <v>4</v>
      </c>
      <c r="S237" s="86">
        <f t="shared" ca="1" si="59"/>
        <v>4.1823192394682911</v>
      </c>
      <c r="T237" s="104">
        <f t="shared" ca="1" si="45"/>
        <v>3.8344860284480503E-2</v>
      </c>
      <c r="U237" s="19">
        <f ca="1">IF(AND(M237&lt;&gt;"",M237&lt;&gt;0), IF(E237 = "Muni", T237, IF(E237="Corp", T237*(1 -'Investor Input'!$C$4-'Investor Input'!$C$5), T237*(1 -'Investor Input'!$C$4))), T237)</f>
        <v>3.8344860284480503E-2</v>
      </c>
      <c r="V237" s="84">
        <f t="shared" ca="1" si="46"/>
        <v>49824.628255638359</v>
      </c>
      <c r="W237" s="84">
        <f t="shared" ca="1" si="47"/>
        <v>3047.1282556383594</v>
      </c>
      <c r="X237" s="46">
        <f t="shared" ca="1" si="48"/>
        <v>6.5140895850320332E-2</v>
      </c>
      <c r="Y237" s="60">
        <f t="shared" ca="1" si="49"/>
        <v>11</v>
      </c>
      <c r="Z237" s="60">
        <f t="shared" ca="1" si="50"/>
        <v>5</v>
      </c>
      <c r="AA237" s="64">
        <f t="shared" ca="1" si="51"/>
        <v>562.5</v>
      </c>
      <c r="AB237" s="64">
        <f ca="1">IF(AND(AA237&lt;&gt;"",AA237&lt;&gt;0), IF(E237="Muni", AA237, IF(E237 = "Corp", (1-'Investor Input'!$C$4-'Investor Input'!$C$5)*AA237, (1-'Investor Input'!$C$4)*AA237)), AA237)</f>
        <v>562.5</v>
      </c>
      <c r="AC237" s="94" t="str">
        <f t="shared" ca="1" si="52"/>
        <v>AA3</v>
      </c>
      <c r="AD237" s="60">
        <f ca="1">IF(AND(M237&lt;&gt;"", M237&lt;&gt;0), N237/$N$505*MATCH(AC237,'Misc Lists'!$K$2:$K$25,0), "")</f>
        <v>0.2321406992731444</v>
      </c>
      <c r="AE237" s="90" t="str">
        <f t="shared" ca="1" si="53"/>
        <v>--</v>
      </c>
      <c r="AF237" s="99">
        <f ca="1">IF(AND(M237&lt;&gt;"", M237&lt;&gt;0), N237/$N$505*MATCH(AE237,'Misc Lists'!$L$2:$L$25,0), "")</f>
        <v>1.0678472166564643</v>
      </c>
    </row>
    <row r="238" spans="2:32" hidden="1" outlineLevel="1" x14ac:dyDescent="0.5">
      <c r="B238" s="65" t="str">
        <f ca="1"/>
        <v>296804WJ2</v>
      </c>
      <c r="C238" s="66" t="str">
        <f ca="1"/>
        <v>NJ</v>
      </c>
      <c r="D238" s="65" t="str">
        <f ca="1"/>
        <v>ESSEX CNTY N J GO   BDS SER. A          02.12500% 09/01/2029</v>
      </c>
      <c r="E238" s="66" t="str">
        <f ca="1"/>
        <v>Muni</v>
      </c>
      <c r="F238" s="67">
        <f ca="1"/>
        <v>2.125</v>
      </c>
      <c r="G238" s="68">
        <f ca="1"/>
        <v>47362</v>
      </c>
      <c r="H238" s="66" t="str">
        <f ca="1"/>
        <v>AA1</v>
      </c>
      <c r="I238" s="66" t="str">
        <f ca="1"/>
        <v>--</v>
      </c>
      <c r="J238" s="69">
        <f ca="1"/>
        <v>93.409000000000006</v>
      </c>
      <c r="K238" s="70">
        <f ca="1"/>
        <v>3.7170000000000001</v>
      </c>
      <c r="L238" s="70" t="str">
        <f ca="1"/>
        <v>15(5)</v>
      </c>
      <c r="M238" s="83"/>
      <c r="N238" s="84" t="str">
        <f t="shared" si="54"/>
        <v/>
      </c>
      <c r="O238" s="20" t="str">
        <f t="shared" si="55"/>
        <v/>
      </c>
      <c r="P238" s="64" t="str">
        <f t="shared" si="56"/>
        <v/>
      </c>
      <c r="Q238" s="85" t="str">
        <f t="shared" ca="1" si="57"/>
        <v/>
      </c>
      <c r="R238" s="86" t="str">
        <f t="shared" si="58"/>
        <v/>
      </c>
      <c r="S238" s="86" t="str">
        <f t="shared" si="59"/>
        <v/>
      </c>
      <c r="T238" s="104" t="str">
        <f t="shared" si="45"/>
        <v/>
      </c>
      <c r="U238" s="19" t="str">
        <f>IF(AND(M238&lt;&gt;"",M238&lt;&gt;0), IF(E238 = "Muni", T238, IF(E238="Corp", T238*(1 -'Investor Input'!$C$4-'Investor Input'!$C$5), T238*(1 -'Investor Input'!$C$4))), T238)</f>
        <v/>
      </c>
      <c r="V238" s="84" t="str">
        <f t="shared" si="46"/>
        <v/>
      </c>
      <c r="W238" s="84" t="str">
        <f t="shared" si="47"/>
        <v/>
      </c>
      <c r="X238" s="46" t="str">
        <f t="shared" si="48"/>
        <v/>
      </c>
      <c r="Y238" s="60" t="str">
        <f t="shared" si="49"/>
        <v/>
      </c>
      <c r="Z238" s="60" t="str">
        <f t="shared" si="50"/>
        <v/>
      </c>
      <c r="AA238" s="64" t="str">
        <f t="shared" si="51"/>
        <v/>
      </c>
      <c r="AB238" s="64" t="str">
        <f>IF(AND(AA238&lt;&gt;"",AA238&lt;&gt;0), IF(E238="Muni", AA238, IF(E238 = "Corp", (1-'Investor Input'!$C$4-'Investor Input'!$C$5)*AA238, (1-'Investor Input'!$C$4)*AA238)), AA238)</f>
        <v/>
      </c>
      <c r="AC238" s="94" t="str">
        <f t="shared" si="52"/>
        <v/>
      </c>
      <c r="AD238" s="60" t="str">
        <f>IF(AND(M238&lt;&gt;"", M238&lt;&gt;0), N238/$N$505*MATCH(AC238,'Misc Lists'!$K$2:$K$25,0), "")</f>
        <v/>
      </c>
      <c r="AE238" s="90" t="str">
        <f t="shared" si="53"/>
        <v/>
      </c>
      <c r="AF238" s="99" t="str">
        <f>IF(AND(M238&lt;&gt;"", M238&lt;&gt;0), N238/$N$505*MATCH(AE238,'Misc Lists'!$L$2:$L$25,0), "")</f>
        <v/>
      </c>
    </row>
    <row r="239" spans="2:32" outlineLevel="1" x14ac:dyDescent="0.5">
      <c r="B239" s="65" t="str">
        <f ca="1"/>
        <v>674736BQ5</v>
      </c>
      <c r="C239" s="66" t="str">
        <f ca="1"/>
        <v>NJ</v>
      </c>
      <c r="D239" s="65" t="str">
        <f ca="1"/>
        <v>OCEAN CNTY N J GEN  IMPT BDS SER. 2016  02.00000% 10/01/2028</v>
      </c>
      <c r="E239" s="66" t="str">
        <f ca="1"/>
        <v>Muni</v>
      </c>
      <c r="F239" s="67">
        <f ca="1"/>
        <v>2</v>
      </c>
      <c r="G239" s="68">
        <f ca="1"/>
        <v>47027</v>
      </c>
      <c r="H239" s="66" t="str">
        <f ca="1"/>
        <v>AAA</v>
      </c>
      <c r="I239" s="66" t="str">
        <f ca="1"/>
        <v>--</v>
      </c>
      <c r="J239" s="69">
        <f ca="1"/>
        <v>94.25</v>
      </c>
      <c r="K239" s="70">
        <f ca="1"/>
        <v>3.7120000000000002</v>
      </c>
      <c r="L239" s="70" t="str">
        <f ca="1"/>
        <v>20(20)</v>
      </c>
      <c r="M239" s="83">
        <v>50</v>
      </c>
      <c r="N239" s="84">
        <f t="shared" ca="1" si="54"/>
        <v>47125</v>
      </c>
      <c r="O239" s="20">
        <f t="shared" ca="1" si="55"/>
        <v>4.6773044533149184E-2</v>
      </c>
      <c r="P239" s="64">
        <f t="shared" ca="1" si="56"/>
        <v>20</v>
      </c>
      <c r="Q239" s="85">
        <f t="shared" ca="1" si="57"/>
        <v>45791.491364930553</v>
      </c>
      <c r="R239" s="86">
        <f t="shared" ca="1" si="58"/>
        <v>3</v>
      </c>
      <c r="S239" s="86">
        <f t="shared" ca="1" si="59"/>
        <v>3.2149730271143548</v>
      </c>
      <c r="T239" s="104">
        <f t="shared" ca="1" si="45"/>
        <v>3.8290229898895273E-2</v>
      </c>
      <c r="U239" s="19">
        <f ca="1">IF(AND(M239&lt;&gt;"",M239&lt;&gt;0), IF(E239 = "Muni", T239, IF(E239="Corp", T239*(1 -'Investor Input'!$C$4-'Investor Input'!$C$5), T239*(1 -'Investor Input'!$C$4))), T239)</f>
        <v>3.8290229898895273E-2</v>
      </c>
      <c r="V239" s="84">
        <f t="shared" ca="1" si="46"/>
        <v>49801.162082896379</v>
      </c>
      <c r="W239" s="84">
        <f t="shared" ca="1" si="47"/>
        <v>2676.1620828963787</v>
      </c>
      <c r="X239" s="46">
        <f t="shared" ca="1" si="48"/>
        <v>5.6788585313451004E-2</v>
      </c>
      <c r="Y239" s="60">
        <f t="shared" ca="1" si="49"/>
        <v>10</v>
      </c>
      <c r="Z239" s="60">
        <f t="shared" ca="1" si="50"/>
        <v>4</v>
      </c>
      <c r="AA239" s="64">
        <f t="shared" ca="1" si="51"/>
        <v>500</v>
      </c>
      <c r="AB239" s="64">
        <f ca="1">IF(AND(AA239&lt;&gt;"",AA239&lt;&gt;0), IF(E239="Muni", AA239, IF(E239 = "Corp", (1-'Investor Input'!$C$4-'Investor Input'!$C$5)*AA239, (1-'Investor Input'!$C$4)*AA239)), AA239)</f>
        <v>500</v>
      </c>
      <c r="AC239" s="94" t="str">
        <f t="shared" ca="1" si="52"/>
        <v>AAA</v>
      </c>
      <c r="AD239" s="60">
        <f ca="1">IF(AND(M239&lt;&gt;"", M239&lt;&gt;0), N239/$N$505*MATCH(AC239,'Misc Lists'!$K$2:$K$25,0), "")</f>
        <v>9.3546089066298369E-2</v>
      </c>
      <c r="AE239" s="90" t="str">
        <f t="shared" ca="1" si="53"/>
        <v>--</v>
      </c>
      <c r="AF239" s="99">
        <f ca="1">IF(AND(M239&lt;&gt;"", M239&lt;&gt;0), N239/$N$505*MATCH(AE239,'Misc Lists'!$L$2:$L$25,0), "")</f>
        <v>1.0757800242624311</v>
      </c>
    </row>
    <row r="240" spans="2:32" hidden="1" outlineLevel="1" x14ac:dyDescent="0.5">
      <c r="B240" s="65" t="str">
        <f ca="1"/>
        <v>570833HW6</v>
      </c>
      <c r="C240" s="66" t="str">
        <f ca="1"/>
        <v>NJ</v>
      </c>
      <c r="D240" s="65" t="str">
        <f ca="1"/>
        <v>MARLBORO TWP N J    IMPT WTR REC UTIL GO02.00000% 05/01/2029BDS SER. 2021</v>
      </c>
      <c r="E240" s="66" t="str">
        <f ca="1"/>
        <v>Muni</v>
      </c>
      <c r="F240" s="67">
        <f ca="1"/>
        <v>2</v>
      </c>
      <c r="G240" s="68">
        <f ca="1"/>
        <v>47239</v>
      </c>
      <c r="H240" s="66" t="str">
        <f ca="1"/>
        <v>AAA</v>
      </c>
      <c r="I240" s="66" t="str">
        <f ca="1"/>
        <v>--</v>
      </c>
      <c r="J240" s="69">
        <f ca="1"/>
        <v>93.599000000000004</v>
      </c>
      <c r="K240" s="70">
        <f ca="1"/>
        <v>3.6560000000000001</v>
      </c>
      <c r="L240" s="70" t="str">
        <f ca="1"/>
        <v>5(5)</v>
      </c>
      <c r="M240" s="83"/>
      <c r="N240" s="84" t="str">
        <f t="shared" si="54"/>
        <v/>
      </c>
      <c r="O240" s="20" t="str">
        <f t="shared" si="55"/>
        <v/>
      </c>
      <c r="P240" s="64" t="str">
        <f t="shared" si="56"/>
        <v/>
      </c>
      <c r="Q240" s="85" t="str">
        <f t="shared" ca="1" si="57"/>
        <v/>
      </c>
      <c r="R240" s="86" t="str">
        <f t="shared" si="58"/>
        <v/>
      </c>
      <c r="S240" s="86" t="str">
        <f t="shared" si="59"/>
        <v/>
      </c>
      <c r="T240" s="104" t="str">
        <f t="shared" si="45"/>
        <v/>
      </c>
      <c r="U240" s="19" t="str">
        <f>IF(AND(M240&lt;&gt;"",M240&lt;&gt;0), IF(E240 = "Muni", T240, IF(E240="Corp", T240*(1 -'Investor Input'!$C$4-'Investor Input'!$C$5), T240*(1 -'Investor Input'!$C$4))), T240)</f>
        <v/>
      </c>
      <c r="V240" s="84" t="str">
        <f t="shared" si="46"/>
        <v/>
      </c>
      <c r="W240" s="84" t="str">
        <f t="shared" si="47"/>
        <v/>
      </c>
      <c r="X240" s="46" t="str">
        <f t="shared" si="48"/>
        <v/>
      </c>
      <c r="Y240" s="60" t="str">
        <f t="shared" si="49"/>
        <v/>
      </c>
      <c r="Z240" s="60" t="str">
        <f t="shared" si="50"/>
        <v/>
      </c>
      <c r="AA240" s="64" t="str">
        <f t="shared" si="51"/>
        <v/>
      </c>
      <c r="AB240" s="64" t="str">
        <f>IF(AND(AA240&lt;&gt;"",AA240&lt;&gt;0), IF(E240="Muni", AA240, IF(E240 = "Corp", (1-'Investor Input'!$C$4-'Investor Input'!$C$5)*AA240, (1-'Investor Input'!$C$4)*AA240)), AA240)</f>
        <v/>
      </c>
      <c r="AC240" s="94" t="str">
        <f t="shared" si="52"/>
        <v/>
      </c>
      <c r="AD240" s="60" t="str">
        <f>IF(AND(M240&lt;&gt;"", M240&lt;&gt;0), N240/$N$505*MATCH(AC240,'Misc Lists'!$K$2:$K$25,0), "")</f>
        <v/>
      </c>
      <c r="AE240" s="90" t="str">
        <f t="shared" si="53"/>
        <v/>
      </c>
      <c r="AF240" s="99" t="str">
        <f>IF(AND(M240&lt;&gt;"", M240&lt;&gt;0), N240/$N$505*MATCH(AE240,'Misc Lists'!$L$2:$L$25,0), "")</f>
        <v/>
      </c>
    </row>
    <row r="241" spans="2:32" hidden="1" outlineLevel="1" x14ac:dyDescent="0.5">
      <c r="B241" s="65" t="str">
        <f ca="1"/>
        <v>752176GM3</v>
      </c>
      <c r="C241" s="66" t="str">
        <f ca="1"/>
        <v>NJ</v>
      </c>
      <c r="D241" s="65" t="str">
        <f ca="1"/>
        <v>RANCOCAS VALLEY N J REGL HIGH SCH DIST  02.25000% 03/15/2029BDS SER. 2019</v>
      </c>
      <c r="E241" s="66" t="str">
        <f ca="1"/>
        <v>Muni</v>
      </c>
      <c r="F241" s="67">
        <f ca="1"/>
        <v>2.25</v>
      </c>
      <c r="G241" s="68">
        <f ca="1"/>
        <v>47192</v>
      </c>
      <c r="H241" s="66" t="str">
        <f ca="1"/>
        <v>AA2</v>
      </c>
      <c r="I241" s="66" t="str">
        <f ca="1"/>
        <v>--</v>
      </c>
      <c r="J241" s="69">
        <f ca="1"/>
        <v>94.79</v>
      </c>
      <c r="K241" s="70">
        <f ca="1"/>
        <v>3.637</v>
      </c>
      <c r="L241" s="70" t="str">
        <f ca="1"/>
        <v>10(5)</v>
      </c>
      <c r="M241" s="83"/>
      <c r="N241" s="84" t="str">
        <f t="shared" si="54"/>
        <v/>
      </c>
      <c r="O241" s="20" t="str">
        <f t="shared" si="55"/>
        <v/>
      </c>
      <c r="P241" s="64" t="str">
        <f t="shared" si="56"/>
        <v/>
      </c>
      <c r="Q241" s="85" t="str">
        <f t="shared" ca="1" si="57"/>
        <v/>
      </c>
      <c r="R241" s="86" t="str">
        <f t="shared" si="58"/>
        <v/>
      </c>
      <c r="S241" s="86" t="str">
        <f t="shared" si="59"/>
        <v/>
      </c>
      <c r="T241" s="104" t="str">
        <f t="shared" si="45"/>
        <v/>
      </c>
      <c r="U241" s="19" t="str">
        <f>IF(AND(M241&lt;&gt;"",M241&lt;&gt;0), IF(E241 = "Muni", T241, IF(E241="Corp", T241*(1 -'Investor Input'!$C$4-'Investor Input'!$C$5), T241*(1 -'Investor Input'!$C$4))), T241)</f>
        <v/>
      </c>
      <c r="V241" s="84" t="str">
        <f t="shared" si="46"/>
        <v/>
      </c>
      <c r="W241" s="84" t="str">
        <f t="shared" si="47"/>
        <v/>
      </c>
      <c r="X241" s="46" t="str">
        <f t="shared" si="48"/>
        <v/>
      </c>
      <c r="Y241" s="60" t="str">
        <f t="shared" si="49"/>
        <v/>
      </c>
      <c r="Z241" s="60" t="str">
        <f t="shared" si="50"/>
        <v/>
      </c>
      <c r="AA241" s="64" t="str">
        <f t="shared" si="51"/>
        <v/>
      </c>
      <c r="AB241" s="64" t="str">
        <f>IF(AND(AA241&lt;&gt;"",AA241&lt;&gt;0), IF(E241="Muni", AA241, IF(E241 = "Corp", (1-'Investor Input'!$C$4-'Investor Input'!$C$5)*AA241, (1-'Investor Input'!$C$4)*AA241)), AA241)</f>
        <v/>
      </c>
      <c r="AC241" s="94" t="str">
        <f t="shared" si="52"/>
        <v/>
      </c>
      <c r="AD241" s="60" t="str">
        <f>IF(AND(M241&lt;&gt;"", M241&lt;&gt;0), N241/$N$505*MATCH(AC241,'Misc Lists'!$K$2:$K$25,0), "")</f>
        <v/>
      </c>
      <c r="AE241" s="90" t="str">
        <f t="shared" si="53"/>
        <v/>
      </c>
      <c r="AF241" s="99" t="str">
        <f>IF(AND(M241&lt;&gt;"", M241&lt;&gt;0), N241/$N$505*MATCH(AE241,'Misc Lists'!$L$2:$L$25,0), "")</f>
        <v/>
      </c>
    </row>
    <row r="242" spans="2:32" hidden="1" outlineLevel="1" x14ac:dyDescent="0.5">
      <c r="B242" s="65" t="str">
        <f ca="1"/>
        <v>00828EEX3</v>
      </c>
      <c r="C242" s="66" t="str">
        <f ca="1"/>
        <v>N/A</v>
      </c>
      <c r="D242" s="65" t="str">
        <f ca="1"/>
        <v>AFRICAN DEV BK MTN  SB NTS BE NOTE      5.50000% 11/10/2028</v>
      </c>
      <c r="E242" s="66" t="str">
        <f ca="1"/>
        <v>Corp</v>
      </c>
      <c r="F242" s="67">
        <f ca="1"/>
        <v>5.5</v>
      </c>
      <c r="G242" s="68">
        <f ca="1"/>
        <v>47067</v>
      </c>
      <c r="H242" s="66" t="str">
        <f ca="1"/>
        <v>AAA</v>
      </c>
      <c r="I242" s="66" t="str">
        <f ca="1"/>
        <v>AAA</v>
      </c>
      <c r="J242" s="69">
        <f ca="1"/>
        <v>100.91800000000001</v>
      </c>
      <c r="K242" s="70">
        <f ca="1"/>
        <v>5.2089999999999996</v>
      </c>
      <c r="L242" s="70" t="str">
        <f ca="1"/>
        <v>316(100)</v>
      </c>
      <c r="M242" s="83"/>
      <c r="N242" s="84" t="str">
        <f t="shared" si="54"/>
        <v/>
      </c>
      <c r="O242" s="20" t="str">
        <f t="shared" si="55"/>
        <v/>
      </c>
      <c r="P242" s="64" t="str">
        <f t="shared" si="56"/>
        <v/>
      </c>
      <c r="Q242" s="85" t="str">
        <f t="shared" ca="1" si="57"/>
        <v/>
      </c>
      <c r="R242" s="86" t="str">
        <f t="shared" si="58"/>
        <v/>
      </c>
      <c r="S242" s="86" t="str">
        <f t="shared" si="59"/>
        <v/>
      </c>
      <c r="T242" s="104" t="str">
        <f t="shared" si="45"/>
        <v/>
      </c>
      <c r="U242" s="19" t="str">
        <f>IF(AND(M242&lt;&gt;"",M242&lt;&gt;0), IF(E242 = "Muni", T242, IF(E242="Corp", T242*(1 -'Investor Input'!$C$4-'Investor Input'!$C$5), T242*(1 -'Investor Input'!$C$4))), T242)</f>
        <v/>
      </c>
      <c r="V242" s="84" t="str">
        <f t="shared" si="46"/>
        <v/>
      </c>
      <c r="W242" s="84" t="str">
        <f t="shared" si="47"/>
        <v/>
      </c>
      <c r="X242" s="46" t="str">
        <f t="shared" si="48"/>
        <v/>
      </c>
      <c r="Y242" s="60" t="str">
        <f t="shared" si="49"/>
        <v/>
      </c>
      <c r="Z242" s="60" t="str">
        <f t="shared" si="50"/>
        <v/>
      </c>
      <c r="AA242" s="64" t="str">
        <f t="shared" si="51"/>
        <v/>
      </c>
      <c r="AB242" s="64" t="str">
        <f>IF(AND(AA242&lt;&gt;"",AA242&lt;&gt;0), IF(E242="Muni", AA242, IF(E242 = "Corp", (1-'Investor Input'!$C$4-'Investor Input'!$C$5)*AA242, (1-'Investor Input'!$C$4)*AA242)), AA242)</f>
        <v/>
      </c>
      <c r="AC242" s="94" t="str">
        <f t="shared" si="52"/>
        <v/>
      </c>
      <c r="AD242" s="60" t="str">
        <f>IF(AND(M242&lt;&gt;"", M242&lt;&gt;0), N242/$N$505*MATCH(AC242,'Misc Lists'!$K$2:$K$25,0), "")</f>
        <v/>
      </c>
      <c r="AE242" s="90" t="str">
        <f t="shared" si="53"/>
        <v/>
      </c>
      <c r="AF242" s="99" t="str">
        <f>IF(AND(M242&lt;&gt;"", M242&lt;&gt;0), N242/$N$505*MATCH(AE242,'Misc Lists'!$L$2:$L$25,0), "")</f>
        <v/>
      </c>
    </row>
    <row r="243" spans="2:32" hidden="1" outlineLevel="1" x14ac:dyDescent="0.5">
      <c r="B243" s="65" t="str">
        <f ca="1"/>
        <v>22552XXR9</v>
      </c>
      <c r="C243" s="66" t="str">
        <f ca="1"/>
        <v>N/A</v>
      </c>
      <c r="D243" s="65" t="str">
        <f ca="1"/>
        <v>UBS AG LONDON BRANCHMTN                 2.00000% 10/29/2029 ISIN #US22552XXR96</v>
      </c>
      <c r="E243" s="66" t="str">
        <f ca="1"/>
        <v>Corp</v>
      </c>
      <c r="F243" s="67">
        <f ca="1"/>
        <v>2</v>
      </c>
      <c r="G243" s="68">
        <f ca="1"/>
        <v>47420</v>
      </c>
      <c r="H243" s="66" t="str">
        <f ca="1"/>
        <v>AA2</v>
      </c>
      <c r="I243" s="66" t="str">
        <f ca="1"/>
        <v>--</v>
      </c>
      <c r="J243" s="69">
        <f ca="1"/>
        <v>86.968000000000004</v>
      </c>
      <c r="K243" s="70">
        <f ca="1"/>
        <v>5.2030000000000003</v>
      </c>
      <c r="L243" s="70" t="str">
        <f ca="1"/>
        <v>75(5)</v>
      </c>
      <c r="M243" s="83"/>
      <c r="N243" s="84" t="str">
        <f t="shared" si="54"/>
        <v/>
      </c>
      <c r="O243" s="20" t="str">
        <f t="shared" si="55"/>
        <v/>
      </c>
      <c r="P243" s="64" t="str">
        <f t="shared" si="56"/>
        <v/>
      </c>
      <c r="Q243" s="85" t="str">
        <f t="shared" ca="1" si="57"/>
        <v/>
      </c>
      <c r="R243" s="86" t="str">
        <f t="shared" si="58"/>
        <v/>
      </c>
      <c r="S243" s="86" t="str">
        <f t="shared" si="59"/>
        <v/>
      </c>
      <c r="T243" s="104" t="str">
        <f t="shared" si="45"/>
        <v/>
      </c>
      <c r="U243" s="19" t="str">
        <f>IF(AND(M243&lt;&gt;"",M243&lt;&gt;0), IF(E243 = "Muni", T243, IF(E243="Corp", T243*(1 -'Investor Input'!$C$4-'Investor Input'!$C$5), T243*(1 -'Investor Input'!$C$4))), T243)</f>
        <v/>
      </c>
      <c r="V243" s="84" t="str">
        <f t="shared" si="46"/>
        <v/>
      </c>
      <c r="W243" s="84" t="str">
        <f t="shared" si="47"/>
        <v/>
      </c>
      <c r="X243" s="46" t="str">
        <f t="shared" si="48"/>
        <v/>
      </c>
      <c r="Y243" s="60" t="str">
        <f t="shared" si="49"/>
        <v/>
      </c>
      <c r="Z243" s="60" t="str">
        <f t="shared" si="50"/>
        <v/>
      </c>
      <c r="AA243" s="64" t="str">
        <f t="shared" si="51"/>
        <v/>
      </c>
      <c r="AB243" s="64" t="str">
        <f>IF(AND(AA243&lt;&gt;"",AA243&lt;&gt;0), IF(E243="Muni", AA243, IF(E243 = "Corp", (1-'Investor Input'!$C$4-'Investor Input'!$C$5)*AA243, (1-'Investor Input'!$C$4)*AA243)), AA243)</f>
        <v/>
      </c>
      <c r="AC243" s="94" t="str">
        <f t="shared" si="52"/>
        <v/>
      </c>
      <c r="AD243" s="60" t="str">
        <f>IF(AND(M243&lt;&gt;"", M243&lt;&gt;0), N243/$N$505*MATCH(AC243,'Misc Lists'!$K$2:$K$25,0), "")</f>
        <v/>
      </c>
      <c r="AE243" s="90" t="str">
        <f t="shared" si="53"/>
        <v/>
      </c>
      <c r="AF243" s="99" t="str">
        <f>IF(AND(M243&lt;&gt;"", M243&lt;&gt;0), N243/$N$505*MATCH(AE243,'Misc Lists'!$L$2:$L$25,0), "")</f>
        <v/>
      </c>
    </row>
    <row r="244" spans="2:32" hidden="1" outlineLevel="1" x14ac:dyDescent="0.5">
      <c r="B244" s="65" t="str">
        <f ca="1"/>
        <v>63305MDA6</v>
      </c>
      <c r="C244" s="66" t="str">
        <f ca="1"/>
        <v>N/A</v>
      </c>
      <c r="D244" s="65" t="str">
        <f ca="1"/>
        <v>NATL BANK OF CANADA NOTE                5.00000% 08/28/2028</v>
      </c>
      <c r="E244" s="66" t="str">
        <f ca="1"/>
        <v>Corp</v>
      </c>
      <c r="F244" s="67">
        <f ca="1"/>
        <v>5</v>
      </c>
      <c r="G244" s="68">
        <f ca="1"/>
        <v>46993</v>
      </c>
      <c r="H244" s="66" t="str">
        <f ca="1"/>
        <v>AA2</v>
      </c>
      <c r="I244" s="66" t="str">
        <f ca="1"/>
        <v>A+</v>
      </c>
      <c r="J244" s="69">
        <f ca="1"/>
        <v>99.95</v>
      </c>
      <c r="K244" s="70">
        <f ca="1"/>
        <v>5.0229999999999997</v>
      </c>
      <c r="L244" s="70" t="str">
        <f ca="1"/>
        <v>725(100)</v>
      </c>
      <c r="M244" s="83"/>
      <c r="N244" s="84" t="str">
        <f t="shared" si="54"/>
        <v/>
      </c>
      <c r="O244" s="20" t="str">
        <f t="shared" si="55"/>
        <v/>
      </c>
      <c r="P244" s="64" t="str">
        <f t="shared" si="56"/>
        <v/>
      </c>
      <c r="Q244" s="85" t="str">
        <f t="shared" ca="1" si="57"/>
        <v/>
      </c>
      <c r="R244" s="86" t="str">
        <f t="shared" si="58"/>
        <v/>
      </c>
      <c r="S244" s="86" t="str">
        <f t="shared" si="59"/>
        <v/>
      </c>
      <c r="T244" s="104" t="str">
        <f t="shared" si="45"/>
        <v/>
      </c>
      <c r="U244" s="19" t="str">
        <f>IF(AND(M244&lt;&gt;"",M244&lt;&gt;0), IF(E244 = "Muni", T244, IF(E244="Corp", T244*(1 -'Investor Input'!$C$4-'Investor Input'!$C$5), T244*(1 -'Investor Input'!$C$4))), T244)</f>
        <v/>
      </c>
      <c r="V244" s="84" t="str">
        <f t="shared" si="46"/>
        <v/>
      </c>
      <c r="W244" s="84" t="str">
        <f t="shared" si="47"/>
        <v/>
      </c>
      <c r="X244" s="46" t="str">
        <f t="shared" si="48"/>
        <v/>
      </c>
      <c r="Y244" s="60" t="str">
        <f t="shared" si="49"/>
        <v/>
      </c>
      <c r="Z244" s="60" t="str">
        <f t="shared" si="50"/>
        <v/>
      </c>
      <c r="AA244" s="64" t="str">
        <f t="shared" si="51"/>
        <v/>
      </c>
      <c r="AB244" s="64" t="str">
        <f>IF(AND(AA244&lt;&gt;"",AA244&lt;&gt;0), IF(E244="Muni", AA244, IF(E244 = "Corp", (1-'Investor Input'!$C$4-'Investor Input'!$C$5)*AA244, (1-'Investor Input'!$C$4)*AA244)), AA244)</f>
        <v/>
      </c>
      <c r="AC244" s="94" t="str">
        <f t="shared" si="52"/>
        <v/>
      </c>
      <c r="AD244" s="60" t="str">
        <f>IF(AND(M244&lt;&gt;"", M244&lt;&gt;0), N244/$N$505*MATCH(AC244,'Misc Lists'!$K$2:$K$25,0), "")</f>
        <v/>
      </c>
      <c r="AE244" s="90" t="str">
        <f t="shared" si="53"/>
        <v/>
      </c>
      <c r="AF244" s="99" t="str">
        <f>IF(AND(M244&lt;&gt;"", M244&lt;&gt;0), N244/$N$505*MATCH(AE244,'Misc Lists'!$L$2:$L$25,0), "")</f>
        <v/>
      </c>
    </row>
    <row r="245" spans="2:32" hidden="1" outlineLevel="1" x14ac:dyDescent="0.5">
      <c r="B245" s="65" t="str">
        <f ca="1"/>
        <v>63305MAE1</v>
      </c>
      <c r="C245" s="66" t="str">
        <f ca="1"/>
        <v>N/A</v>
      </c>
      <c r="D245" s="65" t="str">
        <f ca="1"/>
        <v>NATL BANK OF CANADA MTN                 5.05000% 08/10/2028</v>
      </c>
      <c r="E245" s="66" t="str">
        <f ca="1"/>
        <v>Corp</v>
      </c>
      <c r="F245" s="67">
        <f ca="1"/>
        <v>5.05</v>
      </c>
      <c r="G245" s="68">
        <f ca="1"/>
        <v>46975</v>
      </c>
      <c r="H245" s="66" t="str">
        <f ca="1"/>
        <v>AA2</v>
      </c>
      <c r="I245" s="66" t="str">
        <f ca="1"/>
        <v>A+</v>
      </c>
      <c r="J245" s="69">
        <f ca="1"/>
        <v>100.3</v>
      </c>
      <c r="K245" s="70">
        <f ca="1"/>
        <v>4.952</v>
      </c>
      <c r="L245" s="70" t="str">
        <f ca="1"/>
        <v>895(1)</v>
      </c>
      <c r="M245" s="83"/>
      <c r="N245" s="84" t="str">
        <f t="shared" si="54"/>
        <v/>
      </c>
      <c r="O245" s="20" t="str">
        <f t="shared" si="55"/>
        <v/>
      </c>
      <c r="P245" s="64" t="str">
        <f t="shared" si="56"/>
        <v/>
      </c>
      <c r="Q245" s="85" t="str">
        <f t="shared" ca="1" si="57"/>
        <v/>
      </c>
      <c r="R245" s="86" t="str">
        <f t="shared" si="58"/>
        <v/>
      </c>
      <c r="S245" s="86" t="str">
        <f t="shared" si="59"/>
        <v/>
      </c>
      <c r="T245" s="104" t="str">
        <f t="shared" si="45"/>
        <v/>
      </c>
      <c r="U245" s="19" t="str">
        <f>IF(AND(M245&lt;&gt;"",M245&lt;&gt;0), IF(E245 = "Muni", T245, IF(E245="Corp", T245*(1 -'Investor Input'!$C$4-'Investor Input'!$C$5), T245*(1 -'Investor Input'!$C$4))), T245)</f>
        <v/>
      </c>
      <c r="V245" s="84" t="str">
        <f t="shared" si="46"/>
        <v/>
      </c>
      <c r="W245" s="84" t="str">
        <f t="shared" si="47"/>
        <v/>
      </c>
      <c r="X245" s="46" t="str">
        <f t="shared" si="48"/>
        <v/>
      </c>
      <c r="Y245" s="60" t="str">
        <f t="shared" si="49"/>
        <v/>
      </c>
      <c r="Z245" s="60" t="str">
        <f t="shared" si="50"/>
        <v/>
      </c>
      <c r="AA245" s="64" t="str">
        <f t="shared" si="51"/>
        <v/>
      </c>
      <c r="AB245" s="64" t="str">
        <f>IF(AND(AA245&lt;&gt;"",AA245&lt;&gt;0), IF(E245="Muni", AA245, IF(E245 = "Corp", (1-'Investor Input'!$C$4-'Investor Input'!$C$5)*AA245, (1-'Investor Input'!$C$4)*AA245)), AA245)</f>
        <v/>
      </c>
      <c r="AC245" s="94" t="str">
        <f t="shared" si="52"/>
        <v/>
      </c>
      <c r="AD245" s="60" t="str">
        <f>IF(AND(M245&lt;&gt;"", M245&lt;&gt;0), N245/$N$505*MATCH(AC245,'Misc Lists'!$K$2:$K$25,0), "")</f>
        <v/>
      </c>
      <c r="AE245" s="90" t="str">
        <f t="shared" si="53"/>
        <v/>
      </c>
      <c r="AF245" s="99" t="str">
        <f>IF(AND(M245&lt;&gt;"", M245&lt;&gt;0), N245/$N$505*MATCH(AE245,'Misc Lists'!$L$2:$L$25,0), "")</f>
        <v/>
      </c>
    </row>
    <row r="246" spans="2:32" outlineLevel="1" x14ac:dyDescent="0.5">
      <c r="B246" s="65" t="str">
        <f ca="1"/>
        <v>842434CU4</v>
      </c>
      <c r="C246" s="66" t="str">
        <f ca="1"/>
        <v>N/A</v>
      </c>
      <c r="D246" s="65" t="str">
        <f ca="1"/>
        <v>SOUTHERN CALIF GAS  CO SER XX BOND      2.55000% 02/01/2030 CALL MAKE WHOLE</v>
      </c>
      <c r="E246" s="66" t="str">
        <f ca="1"/>
        <v>Corp</v>
      </c>
      <c r="F246" s="67">
        <f ca="1"/>
        <v>2.5499999999999998</v>
      </c>
      <c r="G246" s="68">
        <f ca="1"/>
        <v>47515</v>
      </c>
      <c r="H246" s="66" t="str">
        <f ca="1"/>
        <v>AA3</v>
      </c>
      <c r="I246" s="66" t="str">
        <f ca="1"/>
        <v>A</v>
      </c>
      <c r="J246" s="69">
        <f ca="1"/>
        <v>90.465999999999994</v>
      </c>
      <c r="K246" s="70">
        <f ca="1"/>
        <v>4.7590000000000003</v>
      </c>
      <c r="L246" s="70" t="str">
        <f ca="1"/>
        <v>450(1)</v>
      </c>
      <c r="M246" s="83">
        <v>75</v>
      </c>
      <c r="N246" s="84">
        <f t="shared" ca="1" si="54"/>
        <v>75000</v>
      </c>
      <c r="O246" s="20">
        <f t="shared" ca="1" si="55"/>
        <v>7.4439858673446976E-2</v>
      </c>
      <c r="P246" s="64">
        <f t="shared" ca="1" si="56"/>
        <v>25.5</v>
      </c>
      <c r="Q246" s="85">
        <f t="shared" ca="1" si="57"/>
        <v>45791.491364930553</v>
      </c>
      <c r="R246" s="86">
        <f t="shared" ca="1" si="58"/>
        <v>5</v>
      </c>
      <c r="S246" s="86">
        <f t="shared" ca="1" si="59"/>
        <v>4.3191903480054847</v>
      </c>
      <c r="T246" s="104">
        <f t="shared" ca="1" si="45"/>
        <v>2.5495521546848088E-2</v>
      </c>
      <c r="U246" s="19">
        <f ca="1">IF(AND(M246&lt;&gt;"",M246&lt;&gt;0), IF(E246 = "Muni", T246, IF(E246="Corp", T246*(1 -'Investor Input'!$C$4-'Investor Input'!$C$5), T246*(1 -'Investor Input'!$C$4))), T246)</f>
        <v>1.3767581635297968E-2</v>
      </c>
      <c r="V246" s="84">
        <f t="shared" ca="1" si="46"/>
        <v>83657.219318016418</v>
      </c>
      <c r="W246" s="84">
        <f t="shared" ca="1" si="47"/>
        <v>8657.2193180164177</v>
      </c>
      <c r="X246" s="46">
        <f t="shared" ca="1" si="48"/>
        <v>0.11542959090688557</v>
      </c>
      <c r="Y246" s="60">
        <f t="shared" ca="1" si="49"/>
        <v>2</v>
      </c>
      <c r="Z246" s="60">
        <f t="shared" ca="1" si="50"/>
        <v>8</v>
      </c>
      <c r="AA246" s="64">
        <f t="shared" ca="1" si="51"/>
        <v>956.25</v>
      </c>
      <c r="AB246" s="64">
        <f ca="1">IF(AND(AA246&lt;&gt;"",AA246&lt;&gt;0), IF(E246="Muni", AA246, IF(E246 = "Corp", (1-'Investor Input'!$C$4-'Investor Input'!$C$5)*AA246, (1-'Investor Input'!$C$4)*AA246)), AA246)</f>
        <v>516.375</v>
      </c>
      <c r="AC246" s="94" t="str">
        <f t="shared" ca="1" si="52"/>
        <v>AA3</v>
      </c>
      <c r="AD246" s="60">
        <f ca="1">IF(AND(M246&lt;&gt;"", M246&lt;&gt;0), N246/$N$505*MATCH(AC246,'Misc Lists'!$K$2:$K$25,0), "")</f>
        <v>0.3721992933672349</v>
      </c>
      <c r="AE246" s="90" t="str">
        <f t="shared" ca="1" si="53"/>
        <v>A</v>
      </c>
      <c r="AF246" s="99">
        <f ca="1">IF(AND(M246&lt;&gt;"", M246&lt;&gt;0), N246/$N$505*MATCH(AE246,'Misc Lists'!$L$2:$L$25,0), "")</f>
        <v>0.52107901071412888</v>
      </c>
    </row>
    <row r="247" spans="2:32" hidden="1" outlineLevel="1" x14ac:dyDescent="0.5">
      <c r="B247" s="65" t="str">
        <f ca="1"/>
        <v>26442CBP8</v>
      </c>
      <c r="C247" s="66" t="str">
        <f ca="1"/>
        <v>N/A</v>
      </c>
      <c r="D247" s="65" t="str">
        <f ca="1"/>
        <v>DUKE ENERGY         CAROLINAS LLC BOND  4.85000% 03/15/2030 CALL MAKE WHOLE</v>
      </c>
      <c r="E247" s="66" t="str">
        <f ca="1"/>
        <v>Corp</v>
      </c>
      <c r="F247" s="67">
        <f ca="1"/>
        <v>4.8499999999999996</v>
      </c>
      <c r="G247" s="68">
        <f ca="1"/>
        <v>47557</v>
      </c>
      <c r="H247" s="66" t="str">
        <f ca="1"/>
        <v>AA3</v>
      </c>
      <c r="I247" s="66" t="str">
        <f ca="1"/>
        <v>A</v>
      </c>
      <c r="J247" s="69">
        <f ca="1"/>
        <v>100.601</v>
      </c>
      <c r="K247" s="70">
        <f ca="1"/>
        <v>4.7089999999999996</v>
      </c>
      <c r="L247" s="70" t="str">
        <f ca="1"/>
        <v>1,000(15)</v>
      </c>
      <c r="M247" s="83"/>
      <c r="N247" s="84" t="str">
        <f t="shared" si="54"/>
        <v/>
      </c>
      <c r="O247" s="20" t="str">
        <f t="shared" si="55"/>
        <v/>
      </c>
      <c r="P247" s="64" t="str">
        <f t="shared" si="56"/>
        <v/>
      </c>
      <c r="Q247" s="85" t="str">
        <f t="shared" ca="1" si="57"/>
        <v/>
      </c>
      <c r="R247" s="86" t="str">
        <f t="shared" si="58"/>
        <v/>
      </c>
      <c r="S247" s="86" t="str">
        <f t="shared" si="59"/>
        <v/>
      </c>
      <c r="T247" s="104" t="str">
        <f t="shared" si="45"/>
        <v/>
      </c>
      <c r="U247" s="19" t="str">
        <f>IF(AND(M247&lt;&gt;"",M247&lt;&gt;0), IF(E247 = "Muni", T247, IF(E247="Corp", T247*(1 -'Investor Input'!$C$4-'Investor Input'!$C$5), T247*(1 -'Investor Input'!$C$4))), T247)</f>
        <v/>
      </c>
      <c r="V247" s="84" t="str">
        <f t="shared" si="46"/>
        <v/>
      </c>
      <c r="W247" s="84" t="str">
        <f t="shared" si="47"/>
        <v/>
      </c>
      <c r="X247" s="46" t="str">
        <f t="shared" si="48"/>
        <v/>
      </c>
      <c r="Y247" s="60" t="str">
        <f t="shared" si="49"/>
        <v/>
      </c>
      <c r="Z247" s="60" t="str">
        <f t="shared" si="50"/>
        <v/>
      </c>
      <c r="AA247" s="64" t="str">
        <f t="shared" si="51"/>
        <v/>
      </c>
      <c r="AB247" s="64" t="str">
        <f>IF(AND(AA247&lt;&gt;"",AA247&lt;&gt;0), IF(E247="Muni", AA247, IF(E247 = "Corp", (1-'Investor Input'!$C$4-'Investor Input'!$C$5)*AA247, (1-'Investor Input'!$C$4)*AA247)), AA247)</f>
        <v/>
      </c>
      <c r="AC247" s="94" t="str">
        <f t="shared" si="52"/>
        <v/>
      </c>
      <c r="AD247" s="60" t="str">
        <f>IF(AND(M247&lt;&gt;"", M247&lt;&gt;0), N247/$N$505*MATCH(AC247,'Misc Lists'!$K$2:$K$25,0), "")</f>
        <v/>
      </c>
      <c r="AE247" s="90" t="str">
        <f t="shared" si="53"/>
        <v/>
      </c>
      <c r="AF247" s="99" t="str">
        <f>IF(AND(M247&lt;&gt;"", M247&lt;&gt;0), N247/$N$505*MATCH(AE247,'Misc Lists'!$L$2:$L$25,0), "")</f>
        <v/>
      </c>
    </row>
    <row r="248" spans="2:32" hidden="1" outlineLevel="1" x14ac:dyDescent="0.5">
      <c r="B248" s="65" t="str">
        <f ca="1"/>
        <v>822905AB1</v>
      </c>
      <c r="C248" s="66" t="str">
        <f ca="1"/>
        <v>N/A</v>
      </c>
      <c r="D248" s="65" t="str">
        <f ca="1"/>
        <v>SHELL FIN US INC    SER B NOTE          2.75000% 04/06/2030 CALL MAKE WHOLE</v>
      </c>
      <c r="E248" s="66" t="str">
        <f ca="1"/>
        <v>Corp</v>
      </c>
      <c r="F248" s="67">
        <f ca="1"/>
        <v>2.75</v>
      </c>
      <c r="G248" s="68">
        <f ca="1"/>
        <v>47579</v>
      </c>
      <c r="H248" s="66" t="str">
        <f ca="1"/>
        <v>AA2</v>
      </c>
      <c r="I248" s="66" t="str">
        <f ca="1"/>
        <v>A+</v>
      </c>
      <c r="J248" s="69">
        <f ca="1"/>
        <v>91.364999999999995</v>
      </c>
      <c r="K248" s="70">
        <f ca="1"/>
        <v>4.6840000000000002</v>
      </c>
      <c r="L248" s="70" t="str">
        <f ca="1"/>
        <v>500(1)</v>
      </c>
      <c r="M248" s="83"/>
      <c r="N248" s="84" t="str">
        <f t="shared" si="54"/>
        <v/>
      </c>
      <c r="O248" s="20" t="str">
        <f t="shared" si="55"/>
        <v/>
      </c>
      <c r="P248" s="64" t="str">
        <f t="shared" si="56"/>
        <v/>
      </c>
      <c r="Q248" s="85" t="str">
        <f t="shared" ca="1" si="57"/>
        <v/>
      </c>
      <c r="R248" s="86" t="str">
        <f t="shared" si="58"/>
        <v/>
      </c>
      <c r="S248" s="86" t="str">
        <f t="shared" si="59"/>
        <v/>
      </c>
      <c r="T248" s="104" t="str">
        <f t="shared" si="45"/>
        <v/>
      </c>
      <c r="U248" s="19" t="str">
        <f>IF(AND(M248&lt;&gt;"",M248&lt;&gt;0), IF(E248 = "Muni", T248, IF(E248="Corp", T248*(1 -'Investor Input'!$C$4-'Investor Input'!$C$5), T248*(1 -'Investor Input'!$C$4))), T248)</f>
        <v/>
      </c>
      <c r="V248" s="84" t="str">
        <f t="shared" si="46"/>
        <v/>
      </c>
      <c r="W248" s="84" t="str">
        <f t="shared" si="47"/>
        <v/>
      </c>
      <c r="X248" s="46" t="str">
        <f t="shared" si="48"/>
        <v/>
      </c>
      <c r="Y248" s="60" t="str">
        <f t="shared" si="49"/>
        <v/>
      </c>
      <c r="Z248" s="60" t="str">
        <f t="shared" si="50"/>
        <v/>
      </c>
      <c r="AA248" s="64" t="str">
        <f t="shared" si="51"/>
        <v/>
      </c>
      <c r="AB248" s="64" t="str">
        <f>IF(AND(AA248&lt;&gt;"",AA248&lt;&gt;0), IF(E248="Muni", AA248, IF(E248 = "Corp", (1-'Investor Input'!$C$4-'Investor Input'!$C$5)*AA248, (1-'Investor Input'!$C$4)*AA248)), AA248)</f>
        <v/>
      </c>
      <c r="AC248" s="94" t="str">
        <f t="shared" si="52"/>
        <v/>
      </c>
      <c r="AD248" s="60" t="str">
        <f>IF(AND(M248&lt;&gt;"", M248&lt;&gt;0), N248/$N$505*MATCH(AC248,'Misc Lists'!$K$2:$K$25,0), "")</f>
        <v/>
      </c>
      <c r="AE248" s="90" t="str">
        <f t="shared" si="53"/>
        <v/>
      </c>
      <c r="AF248" s="99" t="str">
        <f>IF(AND(M248&lt;&gt;"", M248&lt;&gt;0), N248/$N$505*MATCH(AE248,'Misc Lists'!$L$2:$L$25,0), "")</f>
        <v/>
      </c>
    </row>
    <row r="249" spans="2:32" hidden="1" outlineLevel="1" x14ac:dyDescent="0.5">
      <c r="B249" s="65" t="str">
        <f ca="1"/>
        <v>23338VAK2</v>
      </c>
      <c r="C249" s="66" t="str">
        <f ca="1"/>
        <v>N/A</v>
      </c>
      <c r="D249" s="65" t="str">
        <f ca="1"/>
        <v>DTE ELEC CO         SER 2020 A BOND     2.25000% 03/01/2030 CALL MAKE WHOLE</v>
      </c>
      <c r="E249" s="66" t="str">
        <f ca="1"/>
        <v>Corp</v>
      </c>
      <c r="F249" s="67">
        <f ca="1"/>
        <v>2.25</v>
      </c>
      <c r="G249" s="68">
        <f ca="1"/>
        <v>47543</v>
      </c>
      <c r="H249" s="66" t="str">
        <f ca="1"/>
        <v>AA3</v>
      </c>
      <c r="I249" s="66" t="str">
        <f ca="1"/>
        <v>A</v>
      </c>
      <c r="J249" s="69">
        <f ca="1"/>
        <v>89.361000000000004</v>
      </c>
      <c r="K249" s="70">
        <f ca="1"/>
        <v>4.6740000000000004</v>
      </c>
      <c r="L249" s="70" t="str">
        <f ca="1"/>
        <v>500(2)</v>
      </c>
      <c r="M249" s="83"/>
      <c r="N249" s="84" t="str">
        <f t="shared" si="54"/>
        <v/>
      </c>
      <c r="O249" s="20" t="str">
        <f t="shared" si="55"/>
        <v/>
      </c>
      <c r="P249" s="64" t="str">
        <f t="shared" si="56"/>
        <v/>
      </c>
      <c r="Q249" s="85" t="str">
        <f t="shared" ca="1" si="57"/>
        <v/>
      </c>
      <c r="R249" s="86" t="str">
        <f t="shared" si="58"/>
        <v/>
      </c>
      <c r="S249" s="86" t="str">
        <f t="shared" si="59"/>
        <v/>
      </c>
      <c r="T249" s="104" t="str">
        <f t="shared" si="45"/>
        <v/>
      </c>
      <c r="U249" s="19" t="str">
        <f>IF(AND(M249&lt;&gt;"",M249&lt;&gt;0), IF(E249 = "Muni", T249, IF(E249="Corp", T249*(1 -'Investor Input'!$C$4-'Investor Input'!$C$5), T249*(1 -'Investor Input'!$C$4))), T249)</f>
        <v/>
      </c>
      <c r="V249" s="84" t="str">
        <f t="shared" si="46"/>
        <v/>
      </c>
      <c r="W249" s="84" t="str">
        <f t="shared" si="47"/>
        <v/>
      </c>
      <c r="X249" s="46" t="str">
        <f t="shared" si="48"/>
        <v/>
      </c>
      <c r="Y249" s="60" t="str">
        <f t="shared" si="49"/>
        <v/>
      </c>
      <c r="Z249" s="60" t="str">
        <f t="shared" si="50"/>
        <v/>
      </c>
      <c r="AA249" s="64" t="str">
        <f t="shared" si="51"/>
        <v/>
      </c>
      <c r="AB249" s="64" t="str">
        <f>IF(AND(AA249&lt;&gt;"",AA249&lt;&gt;0), IF(E249="Muni", AA249, IF(E249 = "Corp", (1-'Investor Input'!$C$4-'Investor Input'!$C$5)*AA249, (1-'Investor Input'!$C$4)*AA249)), AA249)</f>
        <v/>
      </c>
      <c r="AC249" s="94" t="str">
        <f t="shared" si="52"/>
        <v/>
      </c>
      <c r="AD249" s="60" t="str">
        <f>IF(AND(M249&lt;&gt;"", M249&lt;&gt;0), N249/$N$505*MATCH(AC249,'Misc Lists'!$K$2:$K$25,0), "")</f>
        <v/>
      </c>
      <c r="AE249" s="90" t="str">
        <f t="shared" si="53"/>
        <v/>
      </c>
      <c r="AF249" s="99" t="str">
        <f>IF(AND(M249&lt;&gt;"", M249&lt;&gt;0), N249/$N$505*MATCH(AE249,'Misc Lists'!$L$2:$L$25,0), "")</f>
        <v/>
      </c>
    </row>
    <row r="250" spans="2:32" hidden="1" outlineLevel="1" x14ac:dyDescent="0.5">
      <c r="B250" s="65" t="str">
        <f ca="1"/>
        <v>22553QFC6</v>
      </c>
      <c r="C250" s="66" t="str">
        <f ca="1"/>
        <v>N/A</v>
      </c>
      <c r="D250" s="65" t="str">
        <f ca="1"/>
        <v>UBS AG LONDON BRANCHMTN                 4.25000% 08/17/2025</v>
      </c>
      <c r="E250" s="66" t="str">
        <f ca="1"/>
        <v>Corp</v>
      </c>
      <c r="F250" s="67">
        <f ca="1"/>
        <v>4.25</v>
      </c>
      <c r="G250" s="68">
        <f ca="1"/>
        <v>45886</v>
      </c>
      <c r="H250" s="66" t="str">
        <f ca="1"/>
        <v>AA2</v>
      </c>
      <c r="I250" s="66" t="str">
        <f ca="1"/>
        <v>--</v>
      </c>
      <c r="J250" s="69">
        <f ca="1"/>
        <v>99.820999999999998</v>
      </c>
      <c r="K250" s="70">
        <f ca="1"/>
        <v>4.6689999999999996</v>
      </c>
      <c r="L250" s="70" t="str">
        <f ca="1"/>
        <v>40(20)</v>
      </c>
      <c r="M250" s="83"/>
      <c r="N250" s="84" t="str">
        <f t="shared" si="54"/>
        <v/>
      </c>
      <c r="O250" s="20" t="str">
        <f t="shared" si="55"/>
        <v/>
      </c>
      <c r="P250" s="64" t="str">
        <f t="shared" si="56"/>
        <v/>
      </c>
      <c r="Q250" s="85" t="str">
        <f t="shared" ca="1" si="57"/>
        <v/>
      </c>
      <c r="R250" s="86" t="str">
        <f t="shared" si="58"/>
        <v/>
      </c>
      <c r="S250" s="86" t="str">
        <f t="shared" si="59"/>
        <v/>
      </c>
      <c r="T250" s="104" t="str">
        <f t="shared" si="45"/>
        <v/>
      </c>
      <c r="U250" s="19" t="str">
        <f>IF(AND(M250&lt;&gt;"",M250&lt;&gt;0), IF(E250 = "Muni", T250, IF(E250="Corp", T250*(1 -'Investor Input'!$C$4-'Investor Input'!$C$5), T250*(1 -'Investor Input'!$C$4))), T250)</f>
        <v/>
      </c>
      <c r="V250" s="84" t="str">
        <f t="shared" si="46"/>
        <v/>
      </c>
      <c r="W250" s="84" t="str">
        <f t="shared" si="47"/>
        <v/>
      </c>
      <c r="X250" s="46" t="str">
        <f t="shared" si="48"/>
        <v/>
      </c>
      <c r="Y250" s="60" t="str">
        <f t="shared" si="49"/>
        <v/>
      </c>
      <c r="Z250" s="60" t="str">
        <f t="shared" si="50"/>
        <v/>
      </c>
      <c r="AA250" s="64" t="str">
        <f t="shared" si="51"/>
        <v/>
      </c>
      <c r="AB250" s="64" t="str">
        <f>IF(AND(AA250&lt;&gt;"",AA250&lt;&gt;0), IF(E250="Muni", AA250, IF(E250 = "Corp", (1-'Investor Input'!$C$4-'Investor Input'!$C$5)*AA250, (1-'Investor Input'!$C$4)*AA250)), AA250)</f>
        <v/>
      </c>
      <c r="AC250" s="94" t="str">
        <f t="shared" si="52"/>
        <v/>
      </c>
      <c r="AD250" s="60" t="str">
        <f>IF(AND(M250&lt;&gt;"", M250&lt;&gt;0), N250/$N$505*MATCH(AC250,'Misc Lists'!$K$2:$K$25,0), "")</f>
        <v/>
      </c>
      <c r="AE250" s="90" t="str">
        <f t="shared" si="53"/>
        <v/>
      </c>
      <c r="AF250" s="99" t="str">
        <f>IF(AND(M250&lt;&gt;"", M250&lt;&gt;0), N250/$N$505*MATCH(AE250,'Misc Lists'!$L$2:$L$25,0), "")</f>
        <v/>
      </c>
    </row>
    <row r="251" spans="2:32" hidden="1" outlineLevel="1" x14ac:dyDescent="0.5">
      <c r="B251" s="65" t="str">
        <f ca="1"/>
        <v>17325FBK3</v>
      </c>
      <c r="C251" s="66" t="str">
        <f ca="1"/>
        <v>N/A</v>
      </c>
      <c r="D251" s="65" t="str">
        <f ca="1"/>
        <v>CITIBANK N A        NOTE CALL MAKE WHOLE4.83800% 08/06/2029</v>
      </c>
      <c r="E251" s="66" t="str">
        <f ca="1"/>
        <v>Corp</v>
      </c>
      <c r="F251" s="67">
        <f ca="1"/>
        <v>4.8380000000000001</v>
      </c>
      <c r="G251" s="68">
        <f ca="1"/>
        <v>47336</v>
      </c>
      <c r="H251" s="66" t="str">
        <f ca="1"/>
        <v>AA3</v>
      </c>
      <c r="I251" s="66" t="str">
        <f ca="1"/>
        <v>A+</v>
      </c>
      <c r="J251" s="69">
        <f ca="1"/>
        <v>100.65900000000001</v>
      </c>
      <c r="K251" s="70">
        <f ca="1"/>
        <v>4.6689999999999996</v>
      </c>
      <c r="L251" s="70" t="str">
        <f ca="1"/>
        <v>1,500(250)</v>
      </c>
      <c r="M251" s="83"/>
      <c r="N251" s="84" t="str">
        <f t="shared" si="54"/>
        <v/>
      </c>
      <c r="O251" s="20" t="str">
        <f t="shared" si="55"/>
        <v/>
      </c>
      <c r="P251" s="64" t="str">
        <f t="shared" si="56"/>
        <v/>
      </c>
      <c r="Q251" s="85" t="str">
        <f t="shared" ca="1" si="57"/>
        <v/>
      </c>
      <c r="R251" s="86" t="str">
        <f t="shared" si="58"/>
        <v/>
      </c>
      <c r="S251" s="86" t="str">
        <f t="shared" si="59"/>
        <v/>
      </c>
      <c r="T251" s="104" t="str">
        <f t="shared" si="45"/>
        <v/>
      </c>
      <c r="U251" s="19" t="str">
        <f>IF(AND(M251&lt;&gt;"",M251&lt;&gt;0), IF(E251 = "Muni", T251, IF(E251="Corp", T251*(1 -'Investor Input'!$C$4-'Investor Input'!$C$5), T251*(1 -'Investor Input'!$C$4))), T251)</f>
        <v/>
      </c>
      <c r="V251" s="84" t="str">
        <f t="shared" si="46"/>
        <v/>
      </c>
      <c r="W251" s="84" t="str">
        <f t="shared" si="47"/>
        <v/>
      </c>
      <c r="X251" s="46" t="str">
        <f t="shared" si="48"/>
        <v/>
      </c>
      <c r="Y251" s="60" t="str">
        <f t="shared" si="49"/>
        <v/>
      </c>
      <c r="Z251" s="60" t="str">
        <f t="shared" si="50"/>
        <v/>
      </c>
      <c r="AA251" s="64" t="str">
        <f t="shared" si="51"/>
        <v/>
      </c>
      <c r="AB251" s="64" t="str">
        <f>IF(AND(AA251&lt;&gt;"",AA251&lt;&gt;0), IF(E251="Muni", AA251, IF(E251 = "Corp", (1-'Investor Input'!$C$4-'Investor Input'!$C$5)*AA251, (1-'Investor Input'!$C$4)*AA251)), AA251)</f>
        <v/>
      </c>
      <c r="AC251" s="94" t="str">
        <f t="shared" si="52"/>
        <v/>
      </c>
      <c r="AD251" s="60" t="str">
        <f>IF(AND(M251&lt;&gt;"", M251&lt;&gt;0), N251/$N$505*MATCH(AC251,'Misc Lists'!$K$2:$K$25,0), "")</f>
        <v/>
      </c>
      <c r="AE251" s="90" t="str">
        <f t="shared" si="53"/>
        <v/>
      </c>
      <c r="AF251" s="99" t="str">
        <f>IF(AND(M251&lt;&gt;"", M251&lt;&gt;0), N251/$N$505*MATCH(AE251,'Misc Lists'!$L$2:$L$25,0), "")</f>
        <v/>
      </c>
    </row>
    <row r="252" spans="2:32" hidden="1" outlineLevel="1" x14ac:dyDescent="0.5">
      <c r="B252" s="65" t="str">
        <f ca="1"/>
        <v>902674ZW3</v>
      </c>
      <c r="C252" s="66" t="str">
        <f ca="1"/>
        <v>N/A</v>
      </c>
      <c r="D252" s="65" t="str">
        <f ca="1"/>
        <v>UBS AG LONDON BRANCHNOTE                5.65000% 09/11/2028 ISIN #US902674ZW39  SEDOL #BNSP5W4</v>
      </c>
      <c r="E252" s="66" t="str">
        <f ca="1"/>
        <v>Corp</v>
      </c>
      <c r="F252" s="67">
        <f ca="1"/>
        <v>5.65</v>
      </c>
      <c r="G252" s="68">
        <f ca="1"/>
        <v>47007</v>
      </c>
      <c r="H252" s="66" t="str">
        <f ca="1"/>
        <v>AA2</v>
      </c>
      <c r="I252" s="66" t="str">
        <f ca="1"/>
        <v>A+</v>
      </c>
      <c r="J252" s="69">
        <f ca="1"/>
        <v>103.22199999999999</v>
      </c>
      <c r="K252" s="70">
        <f ca="1"/>
        <v>4.641</v>
      </c>
      <c r="L252" s="70" t="str">
        <f ca="1"/>
        <v>200(200)</v>
      </c>
      <c r="M252" s="83"/>
      <c r="N252" s="84" t="str">
        <f t="shared" si="54"/>
        <v/>
      </c>
      <c r="O252" s="20" t="str">
        <f t="shared" si="55"/>
        <v/>
      </c>
      <c r="P252" s="64" t="str">
        <f t="shared" si="56"/>
        <v/>
      </c>
      <c r="Q252" s="85" t="str">
        <f t="shared" ca="1" si="57"/>
        <v/>
      </c>
      <c r="R252" s="86" t="str">
        <f t="shared" si="58"/>
        <v/>
      </c>
      <c r="S252" s="86" t="str">
        <f t="shared" si="59"/>
        <v/>
      </c>
      <c r="T252" s="104" t="str">
        <f t="shared" si="45"/>
        <v/>
      </c>
      <c r="U252" s="19" t="str">
        <f>IF(AND(M252&lt;&gt;"",M252&lt;&gt;0), IF(E252 = "Muni", T252, IF(E252="Corp", T252*(1 -'Investor Input'!$C$4-'Investor Input'!$C$5), T252*(1 -'Investor Input'!$C$4))), T252)</f>
        <v/>
      </c>
      <c r="V252" s="84" t="str">
        <f t="shared" si="46"/>
        <v/>
      </c>
      <c r="W252" s="84" t="str">
        <f t="shared" si="47"/>
        <v/>
      </c>
      <c r="X252" s="46" t="str">
        <f t="shared" si="48"/>
        <v/>
      </c>
      <c r="Y252" s="60" t="str">
        <f t="shared" si="49"/>
        <v/>
      </c>
      <c r="Z252" s="60" t="str">
        <f t="shared" si="50"/>
        <v/>
      </c>
      <c r="AA252" s="64" t="str">
        <f t="shared" si="51"/>
        <v/>
      </c>
      <c r="AB252" s="64" t="str">
        <f>IF(AND(AA252&lt;&gt;"",AA252&lt;&gt;0), IF(E252="Muni", AA252, IF(E252 = "Corp", (1-'Investor Input'!$C$4-'Investor Input'!$C$5)*AA252, (1-'Investor Input'!$C$4)*AA252)), AA252)</f>
        <v/>
      </c>
      <c r="AC252" s="94" t="str">
        <f t="shared" si="52"/>
        <v/>
      </c>
      <c r="AD252" s="60" t="str">
        <f>IF(AND(M252&lt;&gt;"", M252&lt;&gt;0), N252/$N$505*MATCH(AC252,'Misc Lists'!$K$2:$K$25,0), "")</f>
        <v/>
      </c>
      <c r="AE252" s="90" t="str">
        <f t="shared" si="53"/>
        <v/>
      </c>
      <c r="AF252" s="99" t="str">
        <f>IF(AND(M252&lt;&gt;"", M252&lt;&gt;0), N252/$N$505*MATCH(AE252,'Misc Lists'!$L$2:$L$25,0), "")</f>
        <v/>
      </c>
    </row>
    <row r="253" spans="2:32" hidden="1" outlineLevel="1" x14ac:dyDescent="0.5">
      <c r="B253" s="65" t="str">
        <f ca="1"/>
        <v>857449AE2</v>
      </c>
      <c r="C253" s="66" t="str">
        <f ca="1"/>
        <v>N/A</v>
      </c>
      <c r="D253" s="65" t="str">
        <f ca="1"/>
        <v>STATE STREET BANK &amp;TRUST NOTE         4.78200% 11/23/2029</v>
      </c>
      <c r="E253" s="66" t="str">
        <f ca="1"/>
        <v>Corp</v>
      </c>
      <c r="F253" s="67">
        <f ca="1"/>
        <v>4.782</v>
      </c>
      <c r="G253" s="68">
        <f ca="1"/>
        <v>47445</v>
      </c>
      <c r="H253" s="66" t="str">
        <f ca="1"/>
        <v>AA2</v>
      </c>
      <c r="I253" s="66" t="str">
        <f ca="1"/>
        <v>AA-</v>
      </c>
      <c r="J253" s="69">
        <f ca="1"/>
        <v>100.586</v>
      </c>
      <c r="K253" s="70">
        <f ca="1"/>
        <v>4.6399999999999997</v>
      </c>
      <c r="L253" s="70" t="str">
        <f ca="1"/>
        <v>750(250)</v>
      </c>
      <c r="M253" s="83"/>
      <c r="N253" s="84" t="str">
        <f t="shared" si="54"/>
        <v/>
      </c>
      <c r="O253" s="20" t="str">
        <f t="shared" si="55"/>
        <v/>
      </c>
      <c r="P253" s="64" t="str">
        <f t="shared" si="56"/>
        <v/>
      </c>
      <c r="Q253" s="85" t="str">
        <f t="shared" ca="1" si="57"/>
        <v/>
      </c>
      <c r="R253" s="86" t="str">
        <f t="shared" si="58"/>
        <v/>
      </c>
      <c r="S253" s="86" t="str">
        <f t="shared" si="59"/>
        <v/>
      </c>
      <c r="T253" s="104" t="str">
        <f t="shared" si="45"/>
        <v/>
      </c>
      <c r="U253" s="19" t="str">
        <f>IF(AND(M253&lt;&gt;"",M253&lt;&gt;0), IF(E253 = "Muni", T253, IF(E253="Corp", T253*(1 -'Investor Input'!$C$4-'Investor Input'!$C$5), T253*(1 -'Investor Input'!$C$4))), T253)</f>
        <v/>
      </c>
      <c r="V253" s="84" t="str">
        <f t="shared" si="46"/>
        <v/>
      </c>
      <c r="W253" s="84" t="str">
        <f t="shared" si="47"/>
        <v/>
      </c>
      <c r="X253" s="46" t="str">
        <f t="shared" si="48"/>
        <v/>
      </c>
      <c r="Y253" s="60" t="str">
        <f t="shared" si="49"/>
        <v/>
      </c>
      <c r="Z253" s="60" t="str">
        <f t="shared" si="50"/>
        <v/>
      </c>
      <c r="AA253" s="64" t="str">
        <f t="shared" si="51"/>
        <v/>
      </c>
      <c r="AB253" s="64" t="str">
        <f>IF(AND(AA253&lt;&gt;"",AA253&lt;&gt;0), IF(E253="Muni", AA253, IF(E253 = "Corp", (1-'Investor Input'!$C$4-'Investor Input'!$C$5)*AA253, (1-'Investor Input'!$C$4)*AA253)), AA253)</f>
        <v/>
      </c>
      <c r="AC253" s="94" t="str">
        <f t="shared" si="52"/>
        <v/>
      </c>
      <c r="AD253" s="60" t="str">
        <f>IF(AND(M253&lt;&gt;"", M253&lt;&gt;0), N253/$N$505*MATCH(AC253,'Misc Lists'!$K$2:$K$25,0), "")</f>
        <v/>
      </c>
      <c r="AE253" s="90" t="str">
        <f t="shared" si="53"/>
        <v/>
      </c>
      <c r="AF253" s="99" t="str">
        <f>IF(AND(M253&lt;&gt;"", M253&lt;&gt;0), N253/$N$505*MATCH(AE253,'Misc Lists'!$L$2:$L$25,0), "")</f>
        <v/>
      </c>
    </row>
    <row r="254" spans="2:32" hidden="1" outlineLevel="1" x14ac:dyDescent="0.5">
      <c r="B254" s="65" t="str">
        <f ca="1"/>
        <v>26442CBA1</v>
      </c>
      <c r="C254" s="66" t="str">
        <f ca="1"/>
        <v>N/A</v>
      </c>
      <c r="D254" s="65" t="str">
        <f ca="1"/>
        <v>DUKE ENERGY         CAROLINAS LLC BOND  2.45000% 02/01/2030 CALL MAKE WHOLE</v>
      </c>
      <c r="E254" s="66" t="str">
        <f ca="1"/>
        <v>Corp</v>
      </c>
      <c r="F254" s="67">
        <f ca="1"/>
        <v>2.4500000000000002</v>
      </c>
      <c r="G254" s="68">
        <f ca="1"/>
        <v>47515</v>
      </c>
      <c r="H254" s="66" t="str">
        <f ca="1"/>
        <v>AA3</v>
      </c>
      <c r="I254" s="66" t="str">
        <f ca="1"/>
        <v>A</v>
      </c>
      <c r="J254" s="69">
        <f ca="1"/>
        <v>90.549000000000007</v>
      </c>
      <c r="K254" s="70">
        <f ca="1"/>
        <v>4.633</v>
      </c>
      <c r="L254" s="70" t="str">
        <f ca="1"/>
        <v>250(10)</v>
      </c>
      <c r="M254" s="83"/>
      <c r="N254" s="84" t="str">
        <f t="shared" si="54"/>
        <v/>
      </c>
      <c r="O254" s="20" t="str">
        <f t="shared" si="55"/>
        <v/>
      </c>
      <c r="P254" s="64" t="str">
        <f t="shared" si="56"/>
        <v/>
      </c>
      <c r="Q254" s="85" t="str">
        <f t="shared" ca="1" si="57"/>
        <v/>
      </c>
      <c r="R254" s="86" t="str">
        <f t="shared" si="58"/>
        <v/>
      </c>
      <c r="S254" s="86" t="str">
        <f t="shared" si="59"/>
        <v/>
      </c>
      <c r="T254" s="104" t="str">
        <f t="shared" si="45"/>
        <v/>
      </c>
      <c r="U254" s="19" t="str">
        <f>IF(AND(M254&lt;&gt;"",M254&lt;&gt;0), IF(E254 = "Muni", T254, IF(E254="Corp", T254*(1 -'Investor Input'!$C$4-'Investor Input'!$C$5), T254*(1 -'Investor Input'!$C$4))), T254)</f>
        <v/>
      </c>
      <c r="V254" s="84" t="str">
        <f t="shared" si="46"/>
        <v/>
      </c>
      <c r="W254" s="84" t="str">
        <f t="shared" si="47"/>
        <v/>
      </c>
      <c r="X254" s="46" t="str">
        <f t="shared" si="48"/>
        <v/>
      </c>
      <c r="Y254" s="60" t="str">
        <f t="shared" si="49"/>
        <v/>
      </c>
      <c r="Z254" s="60" t="str">
        <f t="shared" si="50"/>
        <v/>
      </c>
      <c r="AA254" s="64" t="str">
        <f t="shared" si="51"/>
        <v/>
      </c>
      <c r="AB254" s="64" t="str">
        <f>IF(AND(AA254&lt;&gt;"",AA254&lt;&gt;0), IF(E254="Muni", AA254, IF(E254 = "Corp", (1-'Investor Input'!$C$4-'Investor Input'!$C$5)*AA254, (1-'Investor Input'!$C$4)*AA254)), AA254)</f>
        <v/>
      </c>
      <c r="AC254" s="94" t="str">
        <f t="shared" si="52"/>
        <v/>
      </c>
      <c r="AD254" s="60" t="str">
        <f>IF(AND(M254&lt;&gt;"", M254&lt;&gt;0), N254/$N$505*MATCH(AC254,'Misc Lists'!$K$2:$K$25,0), "")</f>
        <v/>
      </c>
      <c r="AE254" s="90" t="str">
        <f t="shared" si="53"/>
        <v/>
      </c>
      <c r="AF254" s="99" t="str">
        <f>IF(AND(M254&lt;&gt;"", M254&lt;&gt;0), N254/$N$505*MATCH(AE254,'Misc Lists'!$L$2:$L$25,0), "")</f>
        <v/>
      </c>
    </row>
    <row r="255" spans="2:32" hidden="1" outlineLevel="1" x14ac:dyDescent="0.5">
      <c r="B255" s="65" t="str">
        <f ca="1"/>
        <v>29446MAF9</v>
      </c>
      <c r="C255" s="66" t="str">
        <f ca="1"/>
        <v>N/A</v>
      </c>
      <c r="D255" s="65" t="str">
        <f ca="1"/>
        <v>EQUINOR ASA         NOTE CALL MAKE WHOLE3.12500% 04/06/2030</v>
      </c>
      <c r="E255" s="66" t="str">
        <f ca="1"/>
        <v>Corp</v>
      </c>
      <c r="F255" s="67">
        <f ca="1"/>
        <v>3.125</v>
      </c>
      <c r="G255" s="68">
        <f ca="1"/>
        <v>47579</v>
      </c>
      <c r="H255" s="66" t="str">
        <f ca="1"/>
        <v>AA2</v>
      </c>
      <c r="I255" s="66" t="str">
        <f ca="1"/>
        <v>AA-</v>
      </c>
      <c r="J255" s="69">
        <f ca="1"/>
        <v>93.293999999999997</v>
      </c>
      <c r="K255" s="70">
        <f ca="1"/>
        <v>4.6239999999999997</v>
      </c>
      <c r="L255" s="70" t="str">
        <f ca="1"/>
        <v>500(1)</v>
      </c>
      <c r="M255" s="83"/>
      <c r="N255" s="84" t="str">
        <f t="shared" si="54"/>
        <v/>
      </c>
      <c r="O255" s="20" t="str">
        <f t="shared" si="55"/>
        <v/>
      </c>
      <c r="P255" s="64" t="str">
        <f t="shared" si="56"/>
        <v/>
      </c>
      <c r="Q255" s="85" t="str">
        <f t="shared" ca="1" si="57"/>
        <v/>
      </c>
      <c r="R255" s="86" t="str">
        <f t="shared" si="58"/>
        <v/>
      </c>
      <c r="S255" s="86" t="str">
        <f t="shared" si="59"/>
        <v/>
      </c>
      <c r="T255" s="104" t="str">
        <f t="shared" si="45"/>
        <v/>
      </c>
      <c r="U255" s="19" t="str">
        <f>IF(AND(M255&lt;&gt;"",M255&lt;&gt;0), IF(E255 = "Muni", T255, IF(E255="Corp", T255*(1 -'Investor Input'!$C$4-'Investor Input'!$C$5), T255*(1 -'Investor Input'!$C$4))), T255)</f>
        <v/>
      </c>
      <c r="V255" s="84" t="str">
        <f t="shared" si="46"/>
        <v/>
      </c>
      <c r="W255" s="84" t="str">
        <f t="shared" si="47"/>
        <v/>
      </c>
      <c r="X255" s="46" t="str">
        <f t="shared" si="48"/>
        <v/>
      </c>
      <c r="Y255" s="60" t="str">
        <f t="shared" si="49"/>
        <v/>
      </c>
      <c r="Z255" s="60" t="str">
        <f t="shared" si="50"/>
        <v/>
      </c>
      <c r="AA255" s="64" t="str">
        <f t="shared" si="51"/>
        <v/>
      </c>
      <c r="AB255" s="64" t="str">
        <f>IF(AND(AA255&lt;&gt;"",AA255&lt;&gt;0), IF(E255="Muni", AA255, IF(E255 = "Corp", (1-'Investor Input'!$C$4-'Investor Input'!$C$5)*AA255, (1-'Investor Input'!$C$4)*AA255)), AA255)</f>
        <v/>
      </c>
      <c r="AC255" s="94" t="str">
        <f t="shared" si="52"/>
        <v/>
      </c>
      <c r="AD255" s="60" t="str">
        <f>IF(AND(M255&lt;&gt;"", M255&lt;&gt;0), N255/$N$505*MATCH(AC255,'Misc Lists'!$K$2:$K$25,0), "")</f>
        <v/>
      </c>
      <c r="AE255" s="90" t="str">
        <f t="shared" si="53"/>
        <v/>
      </c>
      <c r="AF255" s="99" t="str">
        <f>IF(AND(M255&lt;&gt;"", M255&lt;&gt;0), N255/$N$505*MATCH(AE255,'Misc Lists'!$L$2:$L$25,0), "")</f>
        <v/>
      </c>
    </row>
    <row r="256" spans="2:32" hidden="1" outlineLevel="1" x14ac:dyDescent="0.5">
      <c r="B256" s="65" t="str">
        <f ca="1"/>
        <v>22550L2M2</v>
      </c>
      <c r="C256" s="66" t="str">
        <f ca="1"/>
        <v>N/A</v>
      </c>
      <c r="D256" s="65" t="str">
        <f ca="1"/>
        <v>UBS AG N Y BRH      MTN                 7.50000% 02/15/2028</v>
      </c>
      <c r="E256" s="66" t="str">
        <f ca="1"/>
        <v>Corp</v>
      </c>
      <c r="F256" s="67">
        <f ca="1"/>
        <v>7.5</v>
      </c>
      <c r="G256" s="68">
        <f ca="1"/>
        <v>46798</v>
      </c>
      <c r="H256" s="66" t="str">
        <f ca="1"/>
        <v>AA2</v>
      </c>
      <c r="I256" s="66" t="str">
        <f ca="1"/>
        <v>A+</v>
      </c>
      <c r="J256" s="69">
        <f ca="1"/>
        <v>107.839</v>
      </c>
      <c r="K256" s="70">
        <f ca="1"/>
        <v>4.6029999999999998</v>
      </c>
      <c r="L256" s="70" t="str">
        <f ca="1"/>
        <v>500(250)</v>
      </c>
      <c r="M256" s="83"/>
      <c r="N256" s="84" t="str">
        <f t="shared" si="54"/>
        <v/>
      </c>
      <c r="O256" s="20" t="str">
        <f t="shared" si="55"/>
        <v/>
      </c>
      <c r="P256" s="64" t="str">
        <f t="shared" si="56"/>
        <v/>
      </c>
      <c r="Q256" s="85" t="str">
        <f t="shared" ca="1" si="57"/>
        <v/>
      </c>
      <c r="R256" s="86" t="str">
        <f t="shared" si="58"/>
        <v/>
      </c>
      <c r="S256" s="86" t="str">
        <f t="shared" si="59"/>
        <v/>
      </c>
      <c r="T256" s="104" t="str">
        <f t="shared" si="45"/>
        <v/>
      </c>
      <c r="U256" s="19" t="str">
        <f>IF(AND(M256&lt;&gt;"",M256&lt;&gt;0), IF(E256 = "Muni", T256, IF(E256="Corp", T256*(1 -'Investor Input'!$C$4-'Investor Input'!$C$5), T256*(1 -'Investor Input'!$C$4))), T256)</f>
        <v/>
      </c>
      <c r="V256" s="84" t="str">
        <f t="shared" si="46"/>
        <v/>
      </c>
      <c r="W256" s="84" t="str">
        <f t="shared" si="47"/>
        <v/>
      </c>
      <c r="X256" s="46" t="str">
        <f t="shared" si="48"/>
        <v/>
      </c>
      <c r="Y256" s="60" t="str">
        <f t="shared" si="49"/>
        <v/>
      </c>
      <c r="Z256" s="60" t="str">
        <f t="shared" si="50"/>
        <v/>
      </c>
      <c r="AA256" s="64" t="str">
        <f t="shared" si="51"/>
        <v/>
      </c>
      <c r="AB256" s="64" t="str">
        <f>IF(AND(AA256&lt;&gt;"",AA256&lt;&gt;0), IF(E256="Muni", AA256, IF(E256 = "Corp", (1-'Investor Input'!$C$4-'Investor Input'!$C$5)*AA256, (1-'Investor Input'!$C$4)*AA256)), AA256)</f>
        <v/>
      </c>
      <c r="AC256" s="94" t="str">
        <f t="shared" si="52"/>
        <v/>
      </c>
      <c r="AD256" s="60" t="str">
        <f>IF(AND(M256&lt;&gt;"", M256&lt;&gt;0), N256/$N$505*MATCH(AC256,'Misc Lists'!$K$2:$K$25,0), "")</f>
        <v/>
      </c>
      <c r="AE256" s="90" t="str">
        <f t="shared" si="53"/>
        <v/>
      </c>
      <c r="AF256" s="99" t="str">
        <f>IF(AND(M256&lt;&gt;"", M256&lt;&gt;0), N256/$N$505*MATCH(AE256,'Misc Lists'!$L$2:$L$25,0), "")</f>
        <v/>
      </c>
    </row>
    <row r="257" spans="2:32" hidden="1" outlineLevel="1" x14ac:dyDescent="0.5">
      <c r="B257" s="65" t="str">
        <f ca="1"/>
        <v>12572QAL9</v>
      </c>
      <c r="C257" s="66" t="str">
        <f ca="1"/>
        <v>N/A</v>
      </c>
      <c r="D257" s="65" t="str">
        <f ca="1"/>
        <v>CME GROUP INC       NOTE CALL MAKE WHOLE4.40000% 03/15/2030</v>
      </c>
      <c r="E257" s="66" t="str">
        <f ca="1"/>
        <v>Corp</v>
      </c>
      <c r="F257" s="67">
        <f ca="1"/>
        <v>4.4000000000000004</v>
      </c>
      <c r="G257" s="68">
        <f ca="1"/>
        <v>47557</v>
      </c>
      <c r="H257" s="66" t="str">
        <f ca="1"/>
        <v>AA3</v>
      </c>
      <c r="I257" s="66" t="str">
        <f ca="1"/>
        <v>AA-</v>
      </c>
      <c r="J257" s="69">
        <f ca="1"/>
        <v>99.108999999999995</v>
      </c>
      <c r="K257" s="70">
        <f ca="1"/>
        <v>4.601</v>
      </c>
      <c r="L257" s="70" t="str">
        <f ca="1"/>
        <v>500(15)</v>
      </c>
      <c r="M257" s="83"/>
      <c r="N257" s="84" t="str">
        <f t="shared" si="54"/>
        <v/>
      </c>
      <c r="O257" s="20" t="str">
        <f t="shared" si="55"/>
        <v/>
      </c>
      <c r="P257" s="64" t="str">
        <f t="shared" si="56"/>
        <v/>
      </c>
      <c r="Q257" s="85" t="str">
        <f t="shared" ca="1" si="57"/>
        <v/>
      </c>
      <c r="R257" s="86" t="str">
        <f t="shared" si="58"/>
        <v/>
      </c>
      <c r="S257" s="86" t="str">
        <f t="shared" si="59"/>
        <v/>
      </c>
      <c r="T257" s="104" t="str">
        <f t="shared" si="45"/>
        <v/>
      </c>
      <c r="U257" s="19" t="str">
        <f>IF(AND(M257&lt;&gt;"",M257&lt;&gt;0), IF(E257 = "Muni", T257, IF(E257="Corp", T257*(1 -'Investor Input'!$C$4-'Investor Input'!$C$5), T257*(1 -'Investor Input'!$C$4))), T257)</f>
        <v/>
      </c>
      <c r="V257" s="84" t="str">
        <f t="shared" si="46"/>
        <v/>
      </c>
      <c r="W257" s="84" t="str">
        <f t="shared" si="47"/>
        <v/>
      </c>
      <c r="X257" s="46" t="str">
        <f t="shared" si="48"/>
        <v/>
      </c>
      <c r="Y257" s="60" t="str">
        <f t="shared" si="49"/>
        <v/>
      </c>
      <c r="Z257" s="60" t="str">
        <f t="shared" si="50"/>
        <v/>
      </c>
      <c r="AA257" s="64" t="str">
        <f t="shared" si="51"/>
        <v/>
      </c>
      <c r="AB257" s="64" t="str">
        <f>IF(AND(AA257&lt;&gt;"",AA257&lt;&gt;0), IF(E257="Muni", AA257, IF(E257 = "Corp", (1-'Investor Input'!$C$4-'Investor Input'!$C$5)*AA257, (1-'Investor Input'!$C$4)*AA257)), AA257)</f>
        <v/>
      </c>
      <c r="AC257" s="94" t="str">
        <f t="shared" si="52"/>
        <v/>
      </c>
      <c r="AD257" s="60" t="str">
        <f>IF(AND(M257&lt;&gt;"", M257&lt;&gt;0), N257/$N$505*MATCH(AC257,'Misc Lists'!$K$2:$K$25,0), "")</f>
        <v/>
      </c>
      <c r="AE257" s="90" t="str">
        <f t="shared" si="53"/>
        <v/>
      </c>
      <c r="AF257" s="99" t="str">
        <f>IF(AND(M257&lt;&gt;"", M257&lt;&gt;0), N257/$N$505*MATCH(AE257,'Misc Lists'!$L$2:$L$25,0), "")</f>
        <v/>
      </c>
    </row>
    <row r="258" spans="2:32" hidden="1" outlineLevel="1" x14ac:dyDescent="0.5">
      <c r="B258" s="65" t="str">
        <f ca="1"/>
        <v>57636QAP9</v>
      </c>
      <c r="C258" s="66" t="str">
        <f ca="1"/>
        <v>N/A</v>
      </c>
      <c r="D258" s="65" t="str">
        <f ca="1"/>
        <v>MASTERCARD          INCORPORATED NOTE   3.35000% 03/26/2030 CALL MAKE WHOLE</v>
      </c>
      <c r="E258" s="66" t="str">
        <f ca="1"/>
        <v>Corp</v>
      </c>
      <c r="F258" s="67">
        <f ca="1"/>
        <v>3.35</v>
      </c>
      <c r="G258" s="68">
        <f ca="1"/>
        <v>47568</v>
      </c>
      <c r="H258" s="66" t="str">
        <f ca="1"/>
        <v>AA3</v>
      </c>
      <c r="I258" s="66" t="str">
        <f ca="1"/>
        <v>A+</v>
      </c>
      <c r="J258" s="69">
        <f ca="1"/>
        <v>94.444999999999993</v>
      </c>
      <c r="K258" s="70">
        <f ca="1"/>
        <v>4.5970000000000004</v>
      </c>
      <c r="L258" s="70" t="str">
        <f ca="1"/>
        <v>250(10)</v>
      </c>
      <c r="M258" s="83"/>
      <c r="N258" s="84" t="str">
        <f t="shared" si="54"/>
        <v/>
      </c>
      <c r="O258" s="20" t="str">
        <f t="shared" si="55"/>
        <v/>
      </c>
      <c r="P258" s="64" t="str">
        <f t="shared" si="56"/>
        <v/>
      </c>
      <c r="Q258" s="85" t="str">
        <f t="shared" ca="1" si="57"/>
        <v/>
      </c>
      <c r="R258" s="86" t="str">
        <f t="shared" si="58"/>
        <v/>
      </c>
      <c r="S258" s="86" t="str">
        <f t="shared" si="59"/>
        <v/>
      </c>
      <c r="T258" s="104" t="str">
        <f t="shared" si="45"/>
        <v/>
      </c>
      <c r="U258" s="19" t="str">
        <f>IF(AND(M258&lt;&gt;"",M258&lt;&gt;0), IF(E258 = "Muni", T258, IF(E258="Corp", T258*(1 -'Investor Input'!$C$4-'Investor Input'!$C$5), T258*(1 -'Investor Input'!$C$4))), T258)</f>
        <v/>
      </c>
      <c r="V258" s="84" t="str">
        <f t="shared" si="46"/>
        <v/>
      </c>
      <c r="W258" s="84" t="str">
        <f t="shared" si="47"/>
        <v/>
      </c>
      <c r="X258" s="46" t="str">
        <f t="shared" si="48"/>
        <v/>
      </c>
      <c r="Y258" s="60" t="str">
        <f t="shared" si="49"/>
        <v/>
      </c>
      <c r="Z258" s="60" t="str">
        <f t="shared" si="50"/>
        <v/>
      </c>
      <c r="AA258" s="64" t="str">
        <f t="shared" si="51"/>
        <v/>
      </c>
      <c r="AB258" s="64" t="str">
        <f>IF(AND(AA258&lt;&gt;"",AA258&lt;&gt;0), IF(E258="Muni", AA258, IF(E258 = "Corp", (1-'Investor Input'!$C$4-'Investor Input'!$C$5)*AA258, (1-'Investor Input'!$C$4)*AA258)), AA258)</f>
        <v/>
      </c>
      <c r="AC258" s="94" t="str">
        <f t="shared" si="52"/>
        <v/>
      </c>
      <c r="AD258" s="60" t="str">
        <f>IF(AND(M258&lt;&gt;"", M258&lt;&gt;0), N258/$N$505*MATCH(AC258,'Misc Lists'!$K$2:$K$25,0), "")</f>
        <v/>
      </c>
      <c r="AE258" s="90" t="str">
        <f t="shared" si="53"/>
        <v/>
      </c>
      <c r="AF258" s="99" t="str">
        <f>IF(AND(M258&lt;&gt;"", M258&lt;&gt;0), N258/$N$505*MATCH(AE258,'Misc Lists'!$L$2:$L$25,0), "")</f>
        <v/>
      </c>
    </row>
    <row r="259" spans="2:32" hidden="1" outlineLevel="1" x14ac:dyDescent="0.5">
      <c r="B259" s="65" t="str">
        <f ca="1"/>
        <v>166756BD7</v>
      </c>
      <c r="C259" s="66" t="str">
        <f ca="1"/>
        <v>N/A</v>
      </c>
      <c r="D259" s="65" t="str">
        <f ca="1"/>
        <v>CHEVRON USA INC     NOTE CALL MAKE WHOLE4.68700% 04/15/2030</v>
      </c>
      <c r="E259" s="66" t="str">
        <f ca="1"/>
        <v>Corp</v>
      </c>
      <c r="F259" s="67">
        <f ca="1"/>
        <v>4.6870000000000003</v>
      </c>
      <c r="G259" s="68">
        <f ca="1"/>
        <v>47588</v>
      </c>
      <c r="H259" s="66" t="str">
        <f ca="1"/>
        <v>AA2</v>
      </c>
      <c r="I259" s="66" t="str">
        <f ca="1"/>
        <v>AA-</v>
      </c>
      <c r="J259" s="69">
        <f ca="1"/>
        <v>100.398</v>
      </c>
      <c r="K259" s="70">
        <f ca="1"/>
        <v>4.5960000000000001</v>
      </c>
      <c r="L259" s="70" t="str">
        <f ca="1"/>
        <v>500(2)</v>
      </c>
      <c r="M259" s="83"/>
      <c r="N259" s="84" t="str">
        <f t="shared" si="54"/>
        <v/>
      </c>
      <c r="O259" s="20" t="str">
        <f t="shared" si="55"/>
        <v/>
      </c>
      <c r="P259" s="64" t="str">
        <f t="shared" si="56"/>
        <v/>
      </c>
      <c r="Q259" s="85" t="str">
        <f t="shared" ca="1" si="57"/>
        <v/>
      </c>
      <c r="R259" s="86" t="str">
        <f t="shared" si="58"/>
        <v/>
      </c>
      <c r="S259" s="86" t="str">
        <f t="shared" si="59"/>
        <v/>
      </c>
      <c r="T259" s="104" t="str">
        <f t="shared" si="45"/>
        <v/>
      </c>
      <c r="U259" s="19" t="str">
        <f>IF(AND(M259&lt;&gt;"",M259&lt;&gt;0), IF(E259 = "Muni", T259, IF(E259="Corp", T259*(1 -'Investor Input'!$C$4-'Investor Input'!$C$5), T259*(1 -'Investor Input'!$C$4))), T259)</f>
        <v/>
      </c>
      <c r="V259" s="84" t="str">
        <f t="shared" si="46"/>
        <v/>
      </c>
      <c r="W259" s="84" t="str">
        <f t="shared" si="47"/>
        <v/>
      </c>
      <c r="X259" s="46" t="str">
        <f t="shared" si="48"/>
        <v/>
      </c>
      <c r="Y259" s="60" t="str">
        <f t="shared" si="49"/>
        <v/>
      </c>
      <c r="Z259" s="60" t="str">
        <f t="shared" si="50"/>
        <v/>
      </c>
      <c r="AA259" s="64" t="str">
        <f t="shared" si="51"/>
        <v/>
      </c>
      <c r="AB259" s="64" t="str">
        <f>IF(AND(AA259&lt;&gt;"",AA259&lt;&gt;0), IF(E259="Muni", AA259, IF(E259 = "Corp", (1-'Investor Input'!$C$4-'Investor Input'!$C$5)*AA259, (1-'Investor Input'!$C$4)*AA259)), AA259)</f>
        <v/>
      </c>
      <c r="AC259" s="94" t="str">
        <f t="shared" si="52"/>
        <v/>
      </c>
      <c r="AD259" s="60" t="str">
        <f>IF(AND(M259&lt;&gt;"", M259&lt;&gt;0), N259/$N$505*MATCH(AC259,'Misc Lists'!$K$2:$K$25,0), "")</f>
        <v/>
      </c>
      <c r="AE259" s="90" t="str">
        <f t="shared" si="53"/>
        <v/>
      </c>
      <c r="AF259" s="99" t="str">
        <f>IF(AND(M259&lt;&gt;"", M259&lt;&gt;0), N259/$N$505*MATCH(AE259,'Misc Lists'!$L$2:$L$25,0), "")</f>
        <v/>
      </c>
    </row>
    <row r="260" spans="2:32" hidden="1" outlineLevel="1" x14ac:dyDescent="0.5">
      <c r="B260" s="65" t="str">
        <f ca="1"/>
        <v>166764BY5</v>
      </c>
      <c r="C260" s="66" t="str">
        <f ca="1"/>
        <v>N/A</v>
      </c>
      <c r="D260" s="65" t="str">
        <f ca="1"/>
        <v>CHEVRON CORPORATION NOTE CALL MAKE WHOLE2.23600% 05/11/2030</v>
      </c>
      <c r="E260" s="66" t="str">
        <f ca="1"/>
        <v>Corp</v>
      </c>
      <c r="F260" s="67">
        <f ca="1"/>
        <v>2.2360000000000002</v>
      </c>
      <c r="G260" s="68">
        <f ca="1"/>
        <v>47614</v>
      </c>
      <c r="H260" s="66" t="str">
        <f ca="1"/>
        <v>AA2</v>
      </c>
      <c r="I260" s="66" t="str">
        <f ca="1"/>
        <v>AA-</v>
      </c>
      <c r="J260" s="69">
        <f ca="1"/>
        <v>89.266999999999996</v>
      </c>
      <c r="K260" s="70">
        <f ca="1"/>
        <v>4.5940000000000003</v>
      </c>
      <c r="L260" s="70" t="str">
        <f ca="1"/>
        <v>500(2)</v>
      </c>
      <c r="M260" s="83"/>
      <c r="N260" s="84" t="str">
        <f t="shared" si="54"/>
        <v/>
      </c>
      <c r="O260" s="20" t="str">
        <f t="shared" si="55"/>
        <v/>
      </c>
      <c r="P260" s="64" t="str">
        <f t="shared" si="56"/>
        <v/>
      </c>
      <c r="Q260" s="85" t="str">
        <f t="shared" ca="1" si="57"/>
        <v/>
      </c>
      <c r="R260" s="86" t="str">
        <f t="shared" si="58"/>
        <v/>
      </c>
      <c r="S260" s="86" t="str">
        <f t="shared" si="59"/>
        <v/>
      </c>
      <c r="T260" s="104" t="str">
        <f t="shared" ref="T260:T323" si="60">IF(AND(M260&lt;&gt;"",M260&lt;&gt;0),YIELD(Q260,G260,F260/100,N260/(M260*10),100,2),"")</f>
        <v/>
      </c>
      <c r="U260" s="19" t="str">
        <f>IF(AND(M260&lt;&gt;"",M260&lt;&gt;0), IF(E260 = "Muni", T260, IF(E260="Corp", T260*(1 -'Investor Input'!$C$4-'Investor Input'!$C$5), T260*(1 -'Investor Input'!$C$4))), T260)</f>
        <v/>
      </c>
      <c r="V260" s="84" t="str">
        <f t="shared" ref="V260:V323" si="61">IF(AND(M260&lt;&gt;"",M260&lt;&gt;0),(FV(K260/(2*100),(G260-Q260)*2/365, F260*1000/(2*100), -N260/M260))*M260, "")</f>
        <v/>
      </c>
      <c r="W260" s="84" t="str">
        <f t="shared" ref="W260:W323" si="62">IF(AND(M260&lt;&gt;"",M260&lt;&gt;0),V260-N260,"")</f>
        <v/>
      </c>
      <c r="X260" s="46" t="str">
        <f t="shared" ref="X260:X323" si="63">IF(AND(M260&lt;&gt;"",M260&lt;&gt;0),W260/N260,"")</f>
        <v/>
      </c>
      <c r="Y260" s="60" t="str">
        <f t="shared" ref="Y260:Y323" si="64">IF(AND(M260&lt;&gt;"", M260&lt;&gt;0), MONTH(G260), "")</f>
        <v/>
      </c>
      <c r="Z260" s="60" t="str">
        <f t="shared" ref="Z260:Z323" si="65">IF(AND(M260&lt;&gt;"", M260&lt;&gt;0), MONTH(EDATE(G260, 6)), "")</f>
        <v/>
      </c>
      <c r="AA260" s="64" t="str">
        <f t="shared" ref="AA260:AA323" si="66">IF(AND(M260&lt;&gt;"", M260&lt;&gt;0), F260*1000*M260/(100*2), "")</f>
        <v/>
      </c>
      <c r="AB260" s="64" t="str">
        <f>IF(AND(AA260&lt;&gt;"",AA260&lt;&gt;0), IF(E260="Muni", AA260, IF(E260 = "Corp", (1-'Investor Input'!$C$4-'Investor Input'!$C$5)*AA260, (1-'Investor Input'!$C$4)*AA260)), AA260)</f>
        <v/>
      </c>
      <c r="AC260" s="94" t="str">
        <f t="shared" ref="AC260:AC323" si="67">IF(AND(M260&lt;&gt;"", M260&lt;&gt;0), H260, "")</f>
        <v/>
      </c>
      <c r="AD260" s="60" t="str">
        <f>IF(AND(M260&lt;&gt;"", M260&lt;&gt;0), N260/$N$505*MATCH(AC260,'Misc Lists'!$K$2:$K$25,0), "")</f>
        <v/>
      </c>
      <c r="AE260" s="90" t="str">
        <f t="shared" ref="AE260:AE323" si="68">IF(AND(M260&lt;&gt;"", M260&lt;&gt;0), I260, "")</f>
        <v/>
      </c>
      <c r="AF260" s="99" t="str">
        <f>IF(AND(M260&lt;&gt;"", M260&lt;&gt;0), N260/$N$505*MATCH(AE260,'Misc Lists'!$L$2:$L$25,0), "")</f>
        <v/>
      </c>
    </row>
    <row r="261" spans="2:32" hidden="1" outlineLevel="1" x14ac:dyDescent="0.5">
      <c r="B261" s="65" t="str">
        <f ca="1"/>
        <v>26442CAY0</v>
      </c>
      <c r="C261" s="66" t="str">
        <f ca="1"/>
        <v>N/A</v>
      </c>
      <c r="D261" s="65" t="str">
        <f ca="1"/>
        <v>DUKE ENERGY         CAROLINAS LLC BOND  2.45000% 08/15/2029 CALL MAKE WHOLE</v>
      </c>
      <c r="E261" s="66" t="str">
        <f ca="1"/>
        <v>Corp</v>
      </c>
      <c r="F261" s="67">
        <f ca="1"/>
        <v>2.4500000000000002</v>
      </c>
      <c r="G261" s="68">
        <f ca="1"/>
        <v>47345</v>
      </c>
      <c r="H261" s="66" t="str">
        <f ca="1"/>
        <v>AA3</v>
      </c>
      <c r="I261" s="66" t="str">
        <f ca="1"/>
        <v>A</v>
      </c>
      <c r="J261" s="69">
        <f ca="1"/>
        <v>91.525000000000006</v>
      </c>
      <c r="K261" s="70">
        <f ca="1"/>
        <v>4.5880000000000001</v>
      </c>
      <c r="L261" s="70" t="str">
        <f ca="1"/>
        <v>500(2)</v>
      </c>
      <c r="M261" s="83"/>
      <c r="N261" s="84" t="str">
        <f t="shared" ref="N261:N324" si="69">IF(AND(M261&lt;&gt;"", M261&lt;&gt;0), IF(L261 &lt;&gt; "N/A", IF(M261&gt;=VALUE(LEFT(L261, FIND("(", L261)-1)), J261*10*M261, 1000*M261), 1000*M261), "")</f>
        <v/>
      </c>
      <c r="O261" s="20" t="str">
        <f t="shared" ref="O261:O324" si="70">IF(AND(M261&lt;&gt;"",M261&lt;&gt;0),N261/$N$505, "")</f>
        <v/>
      </c>
      <c r="P261" s="64" t="str">
        <f t="shared" ref="P261:P324" si="71">IF(AND(M261&lt;&gt;"", M261&lt;&gt;0), F261*1000/100, "")</f>
        <v/>
      </c>
      <c r="Q261" s="85" t="str">
        <f t="shared" ref="Q261:Q324" ca="1" si="72">IF(AND(M261&lt;&gt;"", M261&lt;&gt;0), NOW(), "")</f>
        <v/>
      </c>
      <c r="R261" s="86" t="str">
        <f t="shared" ref="R261:R324" si="73">IF(AND(M261&lt;&gt;"", M261&lt;&gt;0), ROUND((G261 - Q261)/365, 0), "")</f>
        <v/>
      </c>
      <c r="S261" s="86" t="str">
        <f t="shared" ref="S261:S324" si="74">IF(AND(M261&lt;&gt;"",M261&lt;&gt;0),MDURATION(Q261,G261,F261/100,K261/100,2), "")</f>
        <v/>
      </c>
      <c r="T261" s="104" t="str">
        <f t="shared" si="60"/>
        <v/>
      </c>
      <c r="U261" s="19" t="str">
        <f>IF(AND(M261&lt;&gt;"",M261&lt;&gt;0), IF(E261 = "Muni", T261, IF(E261="Corp", T261*(1 -'Investor Input'!$C$4-'Investor Input'!$C$5), T261*(1 -'Investor Input'!$C$4))), T261)</f>
        <v/>
      </c>
      <c r="V261" s="84" t="str">
        <f t="shared" si="61"/>
        <v/>
      </c>
      <c r="W261" s="84" t="str">
        <f t="shared" si="62"/>
        <v/>
      </c>
      <c r="X261" s="46" t="str">
        <f t="shared" si="63"/>
        <v/>
      </c>
      <c r="Y261" s="60" t="str">
        <f t="shared" si="64"/>
        <v/>
      </c>
      <c r="Z261" s="60" t="str">
        <f t="shared" si="65"/>
        <v/>
      </c>
      <c r="AA261" s="64" t="str">
        <f t="shared" si="66"/>
        <v/>
      </c>
      <c r="AB261" s="64" t="str">
        <f>IF(AND(AA261&lt;&gt;"",AA261&lt;&gt;0), IF(E261="Muni", AA261, IF(E261 = "Corp", (1-'Investor Input'!$C$4-'Investor Input'!$C$5)*AA261, (1-'Investor Input'!$C$4)*AA261)), AA261)</f>
        <v/>
      </c>
      <c r="AC261" s="94" t="str">
        <f t="shared" si="67"/>
        <v/>
      </c>
      <c r="AD261" s="60" t="str">
        <f>IF(AND(M261&lt;&gt;"", M261&lt;&gt;0), N261/$N$505*MATCH(AC261,'Misc Lists'!$K$2:$K$25,0), "")</f>
        <v/>
      </c>
      <c r="AE261" s="90" t="str">
        <f t="shared" si="68"/>
        <v/>
      </c>
      <c r="AF261" s="99" t="str">
        <f>IF(AND(M261&lt;&gt;"", M261&lt;&gt;0), N261/$N$505*MATCH(AE261,'Misc Lists'!$L$2:$L$25,0), "")</f>
        <v/>
      </c>
    </row>
    <row r="262" spans="2:32" hidden="1" outlineLevel="1" x14ac:dyDescent="0.5">
      <c r="B262" s="65" t="str">
        <f ca="1"/>
        <v>09247XAQ4</v>
      </c>
      <c r="C262" s="66" t="str">
        <f ca="1"/>
        <v>N/A</v>
      </c>
      <c r="D262" s="65" t="str">
        <f ca="1"/>
        <v>BLACKROCK INC       NOTE CALL MAKE WHOLE2.40000% 04/30/2030</v>
      </c>
      <c r="E262" s="66" t="str">
        <f ca="1"/>
        <v>Corp</v>
      </c>
      <c r="F262" s="67">
        <f ca="1"/>
        <v>2.4</v>
      </c>
      <c r="G262" s="68">
        <f ca="1"/>
        <v>47603</v>
      </c>
      <c r="H262" s="66" t="str">
        <f ca="1"/>
        <v>AA3</v>
      </c>
      <c r="I262" s="66" t="str">
        <f ca="1"/>
        <v>AA-</v>
      </c>
      <c r="J262" s="69">
        <f ca="1"/>
        <v>90.096999999999994</v>
      </c>
      <c r="K262" s="70">
        <f ca="1"/>
        <v>4.5869999999999997</v>
      </c>
      <c r="L262" s="70" t="str">
        <f ca="1"/>
        <v>500(2)</v>
      </c>
      <c r="M262" s="83"/>
      <c r="N262" s="84" t="str">
        <f t="shared" si="69"/>
        <v/>
      </c>
      <c r="O262" s="20" t="str">
        <f t="shared" si="70"/>
        <v/>
      </c>
      <c r="P262" s="64" t="str">
        <f t="shared" si="71"/>
        <v/>
      </c>
      <c r="Q262" s="85" t="str">
        <f t="shared" ca="1" si="72"/>
        <v/>
      </c>
      <c r="R262" s="86" t="str">
        <f t="shared" si="73"/>
        <v/>
      </c>
      <c r="S262" s="86" t="str">
        <f t="shared" si="74"/>
        <v/>
      </c>
      <c r="T262" s="104" t="str">
        <f t="shared" si="60"/>
        <v/>
      </c>
      <c r="U262" s="19" t="str">
        <f>IF(AND(M262&lt;&gt;"",M262&lt;&gt;0), IF(E262 = "Muni", T262, IF(E262="Corp", T262*(1 -'Investor Input'!$C$4-'Investor Input'!$C$5), T262*(1 -'Investor Input'!$C$4))), T262)</f>
        <v/>
      </c>
      <c r="V262" s="84" t="str">
        <f t="shared" si="61"/>
        <v/>
      </c>
      <c r="W262" s="84" t="str">
        <f t="shared" si="62"/>
        <v/>
      </c>
      <c r="X262" s="46" t="str">
        <f t="shared" si="63"/>
        <v/>
      </c>
      <c r="Y262" s="60" t="str">
        <f t="shared" si="64"/>
        <v/>
      </c>
      <c r="Z262" s="60" t="str">
        <f t="shared" si="65"/>
        <v/>
      </c>
      <c r="AA262" s="64" t="str">
        <f t="shared" si="66"/>
        <v/>
      </c>
      <c r="AB262" s="64" t="str">
        <f>IF(AND(AA262&lt;&gt;"",AA262&lt;&gt;0), IF(E262="Muni", AA262, IF(E262 = "Corp", (1-'Investor Input'!$C$4-'Investor Input'!$C$5)*AA262, (1-'Investor Input'!$C$4)*AA262)), AA262)</f>
        <v/>
      </c>
      <c r="AC262" s="94" t="str">
        <f t="shared" si="67"/>
        <v/>
      </c>
      <c r="AD262" s="60" t="str">
        <f>IF(AND(M262&lt;&gt;"", M262&lt;&gt;0), N262/$N$505*MATCH(AC262,'Misc Lists'!$K$2:$K$25,0), "")</f>
        <v/>
      </c>
      <c r="AE262" s="90" t="str">
        <f t="shared" si="68"/>
        <v/>
      </c>
      <c r="AF262" s="99" t="str">
        <f>IF(AND(M262&lt;&gt;"", M262&lt;&gt;0), N262/$N$505*MATCH(AE262,'Misc Lists'!$L$2:$L$25,0), "")</f>
        <v/>
      </c>
    </row>
    <row r="263" spans="2:32" hidden="1" outlineLevel="1" x14ac:dyDescent="0.5">
      <c r="B263" s="65" t="str">
        <f ca="1"/>
        <v>17325FBB3</v>
      </c>
      <c r="C263" s="66" t="str">
        <f ca="1"/>
        <v>N/A</v>
      </c>
      <c r="D263" s="65" t="str">
        <f ca="1"/>
        <v>CITIBANK N A        NOTE                5.80300% 09/29/2028</v>
      </c>
      <c r="E263" s="66" t="str">
        <f ca="1"/>
        <v>Corp</v>
      </c>
      <c r="F263" s="67">
        <f ca="1"/>
        <v>5.8029999999999999</v>
      </c>
      <c r="G263" s="68">
        <f ca="1"/>
        <v>47025</v>
      </c>
      <c r="H263" s="66" t="str">
        <f ca="1"/>
        <v>AA3</v>
      </c>
      <c r="I263" s="66" t="str">
        <f ca="1"/>
        <v>A+</v>
      </c>
      <c r="J263" s="69">
        <f ca="1"/>
        <v>103.98699999999999</v>
      </c>
      <c r="K263" s="70">
        <f ca="1"/>
        <v>4.5720000000000001</v>
      </c>
      <c r="L263" s="70" t="str">
        <f ca="1"/>
        <v>1,000(250)</v>
      </c>
      <c r="M263" s="83"/>
      <c r="N263" s="84" t="str">
        <f t="shared" si="69"/>
        <v/>
      </c>
      <c r="O263" s="20" t="str">
        <f t="shared" si="70"/>
        <v/>
      </c>
      <c r="P263" s="64" t="str">
        <f t="shared" si="71"/>
        <v/>
      </c>
      <c r="Q263" s="85" t="str">
        <f t="shared" ca="1" si="72"/>
        <v/>
      </c>
      <c r="R263" s="86" t="str">
        <f t="shared" si="73"/>
        <v/>
      </c>
      <c r="S263" s="86" t="str">
        <f t="shared" si="74"/>
        <v/>
      </c>
      <c r="T263" s="104" t="str">
        <f t="shared" si="60"/>
        <v/>
      </c>
      <c r="U263" s="19" t="str">
        <f>IF(AND(M263&lt;&gt;"",M263&lt;&gt;0), IF(E263 = "Muni", T263, IF(E263="Corp", T263*(1 -'Investor Input'!$C$4-'Investor Input'!$C$5), T263*(1 -'Investor Input'!$C$4))), T263)</f>
        <v/>
      </c>
      <c r="V263" s="84" t="str">
        <f t="shared" si="61"/>
        <v/>
      </c>
      <c r="W263" s="84" t="str">
        <f t="shared" si="62"/>
        <v/>
      </c>
      <c r="X263" s="46" t="str">
        <f t="shared" si="63"/>
        <v/>
      </c>
      <c r="Y263" s="60" t="str">
        <f t="shared" si="64"/>
        <v/>
      </c>
      <c r="Z263" s="60" t="str">
        <f t="shared" si="65"/>
        <v/>
      </c>
      <c r="AA263" s="64" t="str">
        <f t="shared" si="66"/>
        <v/>
      </c>
      <c r="AB263" s="64" t="str">
        <f>IF(AND(AA263&lt;&gt;"",AA263&lt;&gt;0), IF(E263="Muni", AA263, IF(E263 = "Corp", (1-'Investor Input'!$C$4-'Investor Input'!$C$5)*AA263, (1-'Investor Input'!$C$4)*AA263)), AA263)</f>
        <v/>
      </c>
      <c r="AC263" s="94" t="str">
        <f t="shared" si="67"/>
        <v/>
      </c>
      <c r="AD263" s="60" t="str">
        <f>IF(AND(M263&lt;&gt;"", M263&lt;&gt;0), N263/$N$505*MATCH(AC263,'Misc Lists'!$K$2:$K$25,0), "")</f>
        <v/>
      </c>
      <c r="AE263" s="90" t="str">
        <f t="shared" si="68"/>
        <v/>
      </c>
      <c r="AF263" s="99" t="str">
        <f>IF(AND(M263&lt;&gt;"", M263&lt;&gt;0), N263/$N$505*MATCH(AE263,'Misc Lists'!$L$2:$L$25,0), "")</f>
        <v/>
      </c>
    </row>
    <row r="264" spans="2:32" hidden="1" outlineLevel="1" x14ac:dyDescent="0.5">
      <c r="B264" s="65" t="str">
        <f ca="1"/>
        <v>595620AT2</v>
      </c>
      <c r="C264" s="66" t="str">
        <f ca="1"/>
        <v>N/A</v>
      </c>
      <c r="D264" s="65" t="str">
        <f ca="1"/>
        <v>MIDAMERICAN ENERGY  COMPANY BOND        3.65000% 04/15/2029 CALL MAKE WHOLE</v>
      </c>
      <c r="E264" s="66" t="str">
        <f ca="1"/>
        <v>Corp</v>
      </c>
      <c r="F264" s="67">
        <f ca="1"/>
        <v>3.65</v>
      </c>
      <c r="G264" s="68">
        <f ca="1"/>
        <v>47223</v>
      </c>
      <c r="H264" s="66" t="str">
        <f ca="1"/>
        <v>AA2</v>
      </c>
      <c r="I264" s="66" t="str">
        <f ca="1"/>
        <v>A</v>
      </c>
      <c r="J264" s="69">
        <f ca="1"/>
        <v>96.603999999999999</v>
      </c>
      <c r="K264" s="70">
        <f ca="1"/>
        <v>4.569</v>
      </c>
      <c r="L264" s="70" t="str">
        <f ca="1"/>
        <v>500(2)</v>
      </c>
      <c r="M264" s="83"/>
      <c r="N264" s="84" t="str">
        <f t="shared" si="69"/>
        <v/>
      </c>
      <c r="O264" s="20" t="str">
        <f t="shared" si="70"/>
        <v/>
      </c>
      <c r="P264" s="64" t="str">
        <f t="shared" si="71"/>
        <v/>
      </c>
      <c r="Q264" s="85" t="str">
        <f t="shared" ca="1" si="72"/>
        <v/>
      </c>
      <c r="R264" s="86" t="str">
        <f t="shared" si="73"/>
        <v/>
      </c>
      <c r="S264" s="86" t="str">
        <f t="shared" si="74"/>
        <v/>
      </c>
      <c r="T264" s="104" t="str">
        <f t="shared" si="60"/>
        <v/>
      </c>
      <c r="U264" s="19" t="str">
        <f>IF(AND(M264&lt;&gt;"",M264&lt;&gt;0), IF(E264 = "Muni", T264, IF(E264="Corp", T264*(1 -'Investor Input'!$C$4-'Investor Input'!$C$5), T264*(1 -'Investor Input'!$C$4))), T264)</f>
        <v/>
      </c>
      <c r="V264" s="84" t="str">
        <f t="shared" si="61"/>
        <v/>
      </c>
      <c r="W264" s="84" t="str">
        <f t="shared" si="62"/>
        <v/>
      </c>
      <c r="X264" s="46" t="str">
        <f t="shared" si="63"/>
        <v/>
      </c>
      <c r="Y264" s="60" t="str">
        <f t="shared" si="64"/>
        <v/>
      </c>
      <c r="Z264" s="60" t="str">
        <f t="shared" si="65"/>
        <v/>
      </c>
      <c r="AA264" s="64" t="str">
        <f t="shared" si="66"/>
        <v/>
      </c>
      <c r="AB264" s="64" t="str">
        <f>IF(AND(AA264&lt;&gt;"",AA264&lt;&gt;0), IF(E264="Muni", AA264, IF(E264 = "Corp", (1-'Investor Input'!$C$4-'Investor Input'!$C$5)*AA264, (1-'Investor Input'!$C$4)*AA264)), AA264)</f>
        <v/>
      </c>
      <c r="AC264" s="94" t="str">
        <f t="shared" si="67"/>
        <v/>
      </c>
      <c r="AD264" s="60" t="str">
        <f>IF(AND(M264&lt;&gt;"", M264&lt;&gt;0), N264/$N$505*MATCH(AC264,'Misc Lists'!$K$2:$K$25,0), "")</f>
        <v/>
      </c>
      <c r="AE264" s="90" t="str">
        <f t="shared" si="68"/>
        <v/>
      </c>
      <c r="AF264" s="99" t="str">
        <f>IF(AND(M264&lt;&gt;"", M264&lt;&gt;0), N264/$N$505*MATCH(AE264,'Misc Lists'!$L$2:$L$25,0), "")</f>
        <v/>
      </c>
    </row>
    <row r="265" spans="2:32" hidden="1" outlineLevel="1" x14ac:dyDescent="0.5">
      <c r="B265" s="65" t="str">
        <f ca="1"/>
        <v>822905AF2</v>
      </c>
      <c r="C265" s="66" t="str">
        <f ca="1"/>
        <v>N/A</v>
      </c>
      <c r="D265" s="65" t="str">
        <f ca="1"/>
        <v>SHELL FIN US INC    SER B NOTE          2.37500% 11/07/2029 CALL MAKE WHOLE</v>
      </c>
      <c r="E265" s="66" t="str">
        <f ca="1"/>
        <v>Corp</v>
      </c>
      <c r="F265" s="67">
        <f ca="1"/>
        <v>2.375</v>
      </c>
      <c r="G265" s="68">
        <f ca="1"/>
        <v>47429</v>
      </c>
      <c r="H265" s="66" t="str">
        <f ca="1"/>
        <v>AA2</v>
      </c>
      <c r="I265" s="66" t="str">
        <f ca="1"/>
        <v>A+</v>
      </c>
      <c r="J265" s="69">
        <f ca="1"/>
        <v>90.915999999999997</v>
      </c>
      <c r="K265" s="70">
        <f ca="1"/>
        <v>4.5629999999999997</v>
      </c>
      <c r="L265" s="70" t="str">
        <f ca="1"/>
        <v>500(1)</v>
      </c>
      <c r="M265" s="83"/>
      <c r="N265" s="84" t="str">
        <f t="shared" si="69"/>
        <v/>
      </c>
      <c r="O265" s="20" t="str">
        <f t="shared" si="70"/>
        <v/>
      </c>
      <c r="P265" s="64" t="str">
        <f t="shared" si="71"/>
        <v/>
      </c>
      <c r="Q265" s="85" t="str">
        <f t="shared" ca="1" si="72"/>
        <v/>
      </c>
      <c r="R265" s="86" t="str">
        <f t="shared" si="73"/>
        <v/>
      </c>
      <c r="S265" s="86" t="str">
        <f t="shared" si="74"/>
        <v/>
      </c>
      <c r="T265" s="104" t="str">
        <f t="shared" si="60"/>
        <v/>
      </c>
      <c r="U265" s="19" t="str">
        <f>IF(AND(M265&lt;&gt;"",M265&lt;&gt;0), IF(E265 = "Muni", T265, IF(E265="Corp", T265*(1 -'Investor Input'!$C$4-'Investor Input'!$C$5), T265*(1 -'Investor Input'!$C$4))), T265)</f>
        <v/>
      </c>
      <c r="V265" s="84" t="str">
        <f t="shared" si="61"/>
        <v/>
      </c>
      <c r="W265" s="84" t="str">
        <f t="shared" si="62"/>
        <v/>
      </c>
      <c r="X265" s="46" t="str">
        <f t="shared" si="63"/>
        <v/>
      </c>
      <c r="Y265" s="60" t="str">
        <f t="shared" si="64"/>
        <v/>
      </c>
      <c r="Z265" s="60" t="str">
        <f t="shared" si="65"/>
        <v/>
      </c>
      <c r="AA265" s="64" t="str">
        <f t="shared" si="66"/>
        <v/>
      </c>
      <c r="AB265" s="64" t="str">
        <f>IF(AND(AA265&lt;&gt;"",AA265&lt;&gt;0), IF(E265="Muni", AA265, IF(E265 = "Corp", (1-'Investor Input'!$C$4-'Investor Input'!$C$5)*AA265, (1-'Investor Input'!$C$4)*AA265)), AA265)</f>
        <v/>
      </c>
      <c r="AC265" s="94" t="str">
        <f t="shared" si="67"/>
        <v/>
      </c>
      <c r="AD265" s="60" t="str">
        <f>IF(AND(M265&lt;&gt;"", M265&lt;&gt;0), N265/$N$505*MATCH(AC265,'Misc Lists'!$K$2:$K$25,0), "")</f>
        <v/>
      </c>
      <c r="AE265" s="90" t="str">
        <f t="shared" si="68"/>
        <v/>
      </c>
      <c r="AF265" s="99" t="str">
        <f>IF(AND(M265&lt;&gt;"", M265&lt;&gt;0), N265/$N$505*MATCH(AE265,'Misc Lists'!$L$2:$L$25,0), "")</f>
        <v/>
      </c>
    </row>
    <row r="266" spans="2:32" hidden="1" outlineLevel="1" x14ac:dyDescent="0.5">
      <c r="B266" s="65" t="str">
        <f ca="1"/>
        <v>26442UAH7</v>
      </c>
      <c r="C266" s="66" t="str">
        <f ca="1"/>
        <v>N/A</v>
      </c>
      <c r="D266" s="65" t="str">
        <f ca="1"/>
        <v>DUKE ENERGY PROGRESSLLC BOND            3.45000% 03/15/2029 CALL MAKE WHOLE</v>
      </c>
      <c r="E266" s="66" t="str">
        <f ca="1"/>
        <v>Corp</v>
      </c>
      <c r="F266" s="67">
        <f ca="1"/>
        <v>3.45</v>
      </c>
      <c r="G266" s="68">
        <f ca="1"/>
        <v>47192</v>
      </c>
      <c r="H266" s="66" t="str">
        <f ca="1"/>
        <v>AA3</v>
      </c>
      <c r="I266" s="66" t="str">
        <f ca="1"/>
        <v>A</v>
      </c>
      <c r="J266" s="69">
        <f ca="1"/>
        <v>95.968000000000004</v>
      </c>
      <c r="K266" s="70">
        <f ca="1"/>
        <v>4.5620000000000003</v>
      </c>
      <c r="L266" s="70" t="str">
        <f ca="1"/>
        <v>200(2)</v>
      </c>
      <c r="M266" s="83"/>
      <c r="N266" s="84" t="str">
        <f t="shared" si="69"/>
        <v/>
      </c>
      <c r="O266" s="20" t="str">
        <f t="shared" si="70"/>
        <v/>
      </c>
      <c r="P266" s="64" t="str">
        <f t="shared" si="71"/>
        <v/>
      </c>
      <c r="Q266" s="85" t="str">
        <f t="shared" ca="1" si="72"/>
        <v/>
      </c>
      <c r="R266" s="86" t="str">
        <f t="shared" si="73"/>
        <v/>
      </c>
      <c r="S266" s="86" t="str">
        <f t="shared" si="74"/>
        <v/>
      </c>
      <c r="T266" s="104" t="str">
        <f t="shared" si="60"/>
        <v/>
      </c>
      <c r="U266" s="19" t="str">
        <f>IF(AND(M266&lt;&gt;"",M266&lt;&gt;0), IF(E266 = "Muni", T266, IF(E266="Corp", T266*(1 -'Investor Input'!$C$4-'Investor Input'!$C$5), T266*(1 -'Investor Input'!$C$4))), T266)</f>
        <v/>
      </c>
      <c r="V266" s="84" t="str">
        <f t="shared" si="61"/>
        <v/>
      </c>
      <c r="W266" s="84" t="str">
        <f t="shared" si="62"/>
        <v/>
      </c>
      <c r="X266" s="46" t="str">
        <f t="shared" si="63"/>
        <v/>
      </c>
      <c r="Y266" s="60" t="str">
        <f t="shared" si="64"/>
        <v/>
      </c>
      <c r="Z266" s="60" t="str">
        <f t="shared" si="65"/>
        <v/>
      </c>
      <c r="AA266" s="64" t="str">
        <f t="shared" si="66"/>
        <v/>
      </c>
      <c r="AB266" s="64" t="str">
        <f>IF(AND(AA266&lt;&gt;"",AA266&lt;&gt;0), IF(E266="Muni", AA266, IF(E266 = "Corp", (1-'Investor Input'!$C$4-'Investor Input'!$C$5)*AA266, (1-'Investor Input'!$C$4)*AA266)), AA266)</f>
        <v/>
      </c>
      <c r="AC266" s="94" t="str">
        <f t="shared" si="67"/>
        <v/>
      </c>
      <c r="AD266" s="60" t="str">
        <f>IF(AND(M266&lt;&gt;"", M266&lt;&gt;0), N266/$N$505*MATCH(AC266,'Misc Lists'!$K$2:$K$25,0), "")</f>
        <v/>
      </c>
      <c r="AE266" s="90" t="str">
        <f t="shared" si="68"/>
        <v/>
      </c>
      <c r="AF266" s="99" t="str">
        <f>IF(AND(M266&lt;&gt;"", M266&lt;&gt;0), N266/$N$505*MATCH(AE266,'Misc Lists'!$L$2:$L$25,0), "")</f>
        <v/>
      </c>
    </row>
    <row r="267" spans="2:32" hidden="1" outlineLevel="1" x14ac:dyDescent="0.5">
      <c r="B267" s="65" t="str">
        <f ca="1"/>
        <v>61690U7U8</v>
      </c>
      <c r="C267" s="66" t="str">
        <f ca="1"/>
        <v>N/A</v>
      </c>
      <c r="D267" s="65" t="str">
        <f ca="1"/>
        <v>MORGAN STANLEY BK N A NOTE              5.47900% 07/16/2025 CALL MAKE WHOLE</v>
      </c>
      <c r="E267" s="66" t="str">
        <f ca="1"/>
        <v>Corp</v>
      </c>
      <c r="F267" s="67">
        <f ca="1"/>
        <v>5.4790000000000001</v>
      </c>
      <c r="G267" s="68">
        <f ca="1"/>
        <v>45854</v>
      </c>
      <c r="H267" s="66" t="str">
        <f ca="1"/>
        <v>AA3</v>
      </c>
      <c r="I267" s="66" t="str">
        <f ca="1"/>
        <v>A+</v>
      </c>
      <c r="J267" s="69">
        <f ca="1"/>
        <v>100.298</v>
      </c>
      <c r="K267" s="70">
        <f ca="1"/>
        <v>4.5609999999999999</v>
      </c>
      <c r="L267" s="70" t="str">
        <f ca="1"/>
        <v>500(250)</v>
      </c>
      <c r="M267" s="83"/>
      <c r="N267" s="84" t="str">
        <f t="shared" si="69"/>
        <v/>
      </c>
      <c r="O267" s="20" t="str">
        <f t="shared" si="70"/>
        <v/>
      </c>
      <c r="P267" s="64" t="str">
        <f t="shared" si="71"/>
        <v/>
      </c>
      <c r="Q267" s="85" t="str">
        <f t="shared" ca="1" si="72"/>
        <v/>
      </c>
      <c r="R267" s="86" t="str">
        <f t="shared" si="73"/>
        <v/>
      </c>
      <c r="S267" s="86" t="str">
        <f t="shared" si="74"/>
        <v/>
      </c>
      <c r="T267" s="104" t="str">
        <f t="shared" si="60"/>
        <v/>
      </c>
      <c r="U267" s="19" t="str">
        <f>IF(AND(M267&lt;&gt;"",M267&lt;&gt;0), IF(E267 = "Muni", T267, IF(E267="Corp", T267*(1 -'Investor Input'!$C$4-'Investor Input'!$C$5), T267*(1 -'Investor Input'!$C$4))), T267)</f>
        <v/>
      </c>
      <c r="V267" s="84" t="str">
        <f t="shared" si="61"/>
        <v/>
      </c>
      <c r="W267" s="84" t="str">
        <f t="shared" si="62"/>
        <v/>
      </c>
      <c r="X267" s="46" t="str">
        <f t="shared" si="63"/>
        <v/>
      </c>
      <c r="Y267" s="60" t="str">
        <f t="shared" si="64"/>
        <v/>
      </c>
      <c r="Z267" s="60" t="str">
        <f t="shared" si="65"/>
        <v/>
      </c>
      <c r="AA267" s="64" t="str">
        <f t="shared" si="66"/>
        <v/>
      </c>
      <c r="AB267" s="64" t="str">
        <f>IF(AND(AA267&lt;&gt;"",AA267&lt;&gt;0), IF(E267="Muni", AA267, IF(E267 = "Corp", (1-'Investor Input'!$C$4-'Investor Input'!$C$5)*AA267, (1-'Investor Input'!$C$4)*AA267)), AA267)</f>
        <v/>
      </c>
      <c r="AC267" s="94" t="str">
        <f t="shared" si="67"/>
        <v/>
      </c>
      <c r="AD267" s="60" t="str">
        <f>IF(AND(M267&lt;&gt;"", M267&lt;&gt;0), N267/$N$505*MATCH(AC267,'Misc Lists'!$K$2:$K$25,0), "")</f>
        <v/>
      </c>
      <c r="AE267" s="90" t="str">
        <f t="shared" si="68"/>
        <v/>
      </c>
      <c r="AF267" s="99" t="str">
        <f>IF(AND(M267&lt;&gt;"", M267&lt;&gt;0), N267/$N$505*MATCH(AE267,'Misc Lists'!$L$2:$L$25,0), "")</f>
        <v/>
      </c>
    </row>
    <row r="268" spans="2:32" hidden="1" outlineLevel="1" x14ac:dyDescent="0.5">
      <c r="B268" s="65" t="str">
        <f ca="1"/>
        <v>857477BG7</v>
      </c>
      <c r="C268" s="66" t="str">
        <f ca="1"/>
        <v>N/A</v>
      </c>
      <c r="D268" s="65" t="str">
        <f ca="1"/>
        <v>STATE STR CORP      NOTE                2.40000% 01/24/2030</v>
      </c>
      <c r="E268" s="66" t="str">
        <f ca="1"/>
        <v>Corp</v>
      </c>
      <c r="F268" s="67">
        <f ca="1"/>
        <v>2.4</v>
      </c>
      <c r="G268" s="68">
        <f ca="1"/>
        <v>47507</v>
      </c>
      <c r="H268" s="66" t="str">
        <f ca="1"/>
        <v>AA3</v>
      </c>
      <c r="I268" s="66" t="str">
        <f ca="1"/>
        <v>A</v>
      </c>
      <c r="J268" s="69">
        <f ca="1"/>
        <v>90.671999999999997</v>
      </c>
      <c r="K268" s="70">
        <f ca="1"/>
        <v>4.5579999999999998</v>
      </c>
      <c r="L268" s="70" t="str">
        <f ca="1"/>
        <v>500(2)</v>
      </c>
      <c r="M268" s="83"/>
      <c r="N268" s="84" t="str">
        <f t="shared" si="69"/>
        <v/>
      </c>
      <c r="O268" s="20" t="str">
        <f t="shared" si="70"/>
        <v/>
      </c>
      <c r="P268" s="64" t="str">
        <f t="shared" si="71"/>
        <v/>
      </c>
      <c r="Q268" s="85" t="str">
        <f t="shared" ca="1" si="72"/>
        <v/>
      </c>
      <c r="R268" s="86" t="str">
        <f t="shared" si="73"/>
        <v/>
      </c>
      <c r="S268" s="86" t="str">
        <f t="shared" si="74"/>
        <v/>
      </c>
      <c r="T268" s="104" t="str">
        <f t="shared" si="60"/>
        <v/>
      </c>
      <c r="U268" s="19" t="str">
        <f>IF(AND(M268&lt;&gt;"",M268&lt;&gt;0), IF(E268 = "Muni", T268, IF(E268="Corp", T268*(1 -'Investor Input'!$C$4-'Investor Input'!$C$5), T268*(1 -'Investor Input'!$C$4))), T268)</f>
        <v/>
      </c>
      <c r="V268" s="84" t="str">
        <f t="shared" si="61"/>
        <v/>
      </c>
      <c r="W268" s="84" t="str">
        <f t="shared" si="62"/>
        <v/>
      </c>
      <c r="X268" s="46" t="str">
        <f t="shared" si="63"/>
        <v/>
      </c>
      <c r="Y268" s="60" t="str">
        <f t="shared" si="64"/>
        <v/>
      </c>
      <c r="Z268" s="60" t="str">
        <f t="shared" si="65"/>
        <v/>
      </c>
      <c r="AA268" s="64" t="str">
        <f t="shared" si="66"/>
        <v/>
      </c>
      <c r="AB268" s="64" t="str">
        <f>IF(AND(AA268&lt;&gt;"",AA268&lt;&gt;0), IF(E268="Muni", AA268, IF(E268 = "Corp", (1-'Investor Input'!$C$4-'Investor Input'!$C$5)*AA268, (1-'Investor Input'!$C$4)*AA268)), AA268)</f>
        <v/>
      </c>
      <c r="AC268" s="94" t="str">
        <f t="shared" si="67"/>
        <v/>
      </c>
      <c r="AD268" s="60" t="str">
        <f>IF(AND(M268&lt;&gt;"", M268&lt;&gt;0), N268/$N$505*MATCH(AC268,'Misc Lists'!$K$2:$K$25,0), "")</f>
        <v/>
      </c>
      <c r="AE268" s="90" t="str">
        <f t="shared" si="68"/>
        <v/>
      </c>
      <c r="AF268" s="99" t="str">
        <f>IF(AND(M268&lt;&gt;"", M268&lt;&gt;0), N268/$N$505*MATCH(AE268,'Misc Lists'!$L$2:$L$25,0), "")</f>
        <v/>
      </c>
    </row>
    <row r="269" spans="2:32" hidden="1" outlineLevel="1" x14ac:dyDescent="0.5">
      <c r="B269" s="65" t="str">
        <f ca="1"/>
        <v>89153VAT6</v>
      </c>
      <c r="C269" s="66" t="str">
        <f ca="1"/>
        <v>N/A</v>
      </c>
      <c r="D269" s="65" t="str">
        <f ca="1"/>
        <v>TOTALENERGIES       CAPITAL INTERNATIONA2.82900% 01/10/2030 BOND CALL MAKE WHOLE</v>
      </c>
      <c r="E269" s="66" t="str">
        <f ca="1"/>
        <v>Corp</v>
      </c>
      <c r="F269" s="67">
        <f ca="1"/>
        <v>2.8290000000000002</v>
      </c>
      <c r="G269" s="68">
        <f ca="1"/>
        <v>47493</v>
      </c>
      <c r="H269" s="66" t="str">
        <f ca="1"/>
        <v>AA3</v>
      </c>
      <c r="I269" s="66" t="str">
        <f ca="1"/>
        <v>A+</v>
      </c>
      <c r="J269" s="69">
        <f ca="1"/>
        <v>92.582999999999998</v>
      </c>
      <c r="K269" s="70">
        <f ca="1"/>
        <v>4.5570000000000004</v>
      </c>
      <c r="L269" s="70" t="str">
        <f ca="1"/>
        <v>250(2)</v>
      </c>
      <c r="M269" s="83"/>
      <c r="N269" s="84" t="str">
        <f t="shared" si="69"/>
        <v/>
      </c>
      <c r="O269" s="20" t="str">
        <f t="shared" si="70"/>
        <v/>
      </c>
      <c r="P269" s="64" t="str">
        <f t="shared" si="71"/>
        <v/>
      </c>
      <c r="Q269" s="85" t="str">
        <f t="shared" ca="1" si="72"/>
        <v/>
      </c>
      <c r="R269" s="86" t="str">
        <f t="shared" si="73"/>
        <v/>
      </c>
      <c r="S269" s="86" t="str">
        <f t="shared" si="74"/>
        <v/>
      </c>
      <c r="T269" s="104" t="str">
        <f t="shared" si="60"/>
        <v/>
      </c>
      <c r="U269" s="19" t="str">
        <f>IF(AND(M269&lt;&gt;"",M269&lt;&gt;0), IF(E269 = "Muni", T269, IF(E269="Corp", T269*(1 -'Investor Input'!$C$4-'Investor Input'!$C$5), T269*(1 -'Investor Input'!$C$4))), T269)</f>
        <v/>
      </c>
      <c r="V269" s="84" t="str">
        <f t="shared" si="61"/>
        <v/>
      </c>
      <c r="W269" s="84" t="str">
        <f t="shared" si="62"/>
        <v/>
      </c>
      <c r="X269" s="46" t="str">
        <f t="shared" si="63"/>
        <v/>
      </c>
      <c r="Y269" s="60" t="str">
        <f t="shared" si="64"/>
        <v/>
      </c>
      <c r="Z269" s="60" t="str">
        <f t="shared" si="65"/>
        <v/>
      </c>
      <c r="AA269" s="64" t="str">
        <f t="shared" si="66"/>
        <v/>
      </c>
      <c r="AB269" s="64" t="str">
        <f>IF(AND(AA269&lt;&gt;"",AA269&lt;&gt;0), IF(E269="Muni", AA269, IF(E269 = "Corp", (1-'Investor Input'!$C$4-'Investor Input'!$C$5)*AA269, (1-'Investor Input'!$C$4)*AA269)), AA269)</f>
        <v/>
      </c>
      <c r="AC269" s="94" t="str">
        <f t="shared" si="67"/>
        <v/>
      </c>
      <c r="AD269" s="60" t="str">
        <f>IF(AND(M269&lt;&gt;"", M269&lt;&gt;0), N269/$N$505*MATCH(AC269,'Misc Lists'!$K$2:$K$25,0), "")</f>
        <v/>
      </c>
      <c r="AE269" s="90" t="str">
        <f t="shared" si="68"/>
        <v/>
      </c>
      <c r="AF269" s="99" t="str">
        <f>IF(AND(M269&lt;&gt;"", M269&lt;&gt;0), N269/$N$505*MATCH(AE269,'Misc Lists'!$L$2:$L$25,0), "")</f>
        <v/>
      </c>
    </row>
    <row r="270" spans="2:32" hidden="1" outlineLevel="1" x14ac:dyDescent="0.5">
      <c r="B270" s="65" t="str">
        <f ca="1"/>
        <v>22160KAP0</v>
      </c>
      <c r="C270" s="66" t="str">
        <f ca="1"/>
        <v>N/A</v>
      </c>
      <c r="D270" s="65" t="str">
        <f ca="1"/>
        <v>COSTCO WHOLESALE    CORPORATION NOTE    1.60000% 04/20/2030 CALL MAKE</v>
      </c>
      <c r="E270" s="66" t="str">
        <f ca="1"/>
        <v>Corp</v>
      </c>
      <c r="F270" s="67">
        <f ca="1"/>
        <v>1.6</v>
      </c>
      <c r="G270" s="68">
        <f ca="1"/>
        <v>47593</v>
      </c>
      <c r="H270" s="66" t="str">
        <f ca="1"/>
        <v>AA3</v>
      </c>
      <c r="I270" s="66" t="str">
        <f ca="1"/>
        <v>AA</v>
      </c>
      <c r="J270" s="69">
        <f ca="1"/>
        <v>86.727999999999994</v>
      </c>
      <c r="K270" s="70">
        <f ca="1"/>
        <v>4.5410000000000004</v>
      </c>
      <c r="L270" s="70" t="str">
        <f ca="1"/>
        <v>500(2)</v>
      </c>
      <c r="M270" s="83"/>
      <c r="N270" s="84" t="str">
        <f t="shared" si="69"/>
        <v/>
      </c>
      <c r="O270" s="20" t="str">
        <f t="shared" si="70"/>
        <v/>
      </c>
      <c r="P270" s="64" t="str">
        <f t="shared" si="71"/>
        <v/>
      </c>
      <c r="Q270" s="85" t="str">
        <f t="shared" ca="1" si="72"/>
        <v/>
      </c>
      <c r="R270" s="86" t="str">
        <f t="shared" si="73"/>
        <v/>
      </c>
      <c r="S270" s="86" t="str">
        <f t="shared" si="74"/>
        <v/>
      </c>
      <c r="T270" s="104" t="str">
        <f t="shared" si="60"/>
        <v/>
      </c>
      <c r="U270" s="19" t="str">
        <f>IF(AND(M270&lt;&gt;"",M270&lt;&gt;0), IF(E270 = "Muni", T270, IF(E270="Corp", T270*(1 -'Investor Input'!$C$4-'Investor Input'!$C$5), T270*(1 -'Investor Input'!$C$4))), T270)</f>
        <v/>
      </c>
      <c r="V270" s="84" t="str">
        <f t="shared" si="61"/>
        <v/>
      </c>
      <c r="W270" s="84" t="str">
        <f t="shared" si="62"/>
        <v/>
      </c>
      <c r="X270" s="46" t="str">
        <f t="shared" si="63"/>
        <v/>
      </c>
      <c r="Y270" s="60" t="str">
        <f t="shared" si="64"/>
        <v/>
      </c>
      <c r="Z270" s="60" t="str">
        <f t="shared" si="65"/>
        <v/>
      </c>
      <c r="AA270" s="64" t="str">
        <f t="shared" si="66"/>
        <v/>
      </c>
      <c r="AB270" s="64" t="str">
        <f>IF(AND(AA270&lt;&gt;"",AA270&lt;&gt;0), IF(E270="Muni", AA270, IF(E270 = "Corp", (1-'Investor Input'!$C$4-'Investor Input'!$C$5)*AA270, (1-'Investor Input'!$C$4)*AA270)), AA270)</f>
        <v/>
      </c>
      <c r="AC270" s="94" t="str">
        <f t="shared" si="67"/>
        <v/>
      </c>
      <c r="AD270" s="60" t="str">
        <f>IF(AND(M270&lt;&gt;"", M270&lt;&gt;0), N270/$N$505*MATCH(AC270,'Misc Lists'!$K$2:$K$25,0), "")</f>
        <v/>
      </c>
      <c r="AE270" s="90" t="str">
        <f t="shared" si="68"/>
        <v/>
      </c>
      <c r="AF270" s="99" t="str">
        <f>IF(AND(M270&lt;&gt;"", M270&lt;&gt;0), N270/$N$505*MATCH(AE270,'Misc Lists'!$L$2:$L$25,0), "")</f>
        <v/>
      </c>
    </row>
    <row r="271" spans="2:32" hidden="1" outlineLevel="1" x14ac:dyDescent="0.5">
      <c r="B271" s="65" t="str">
        <f ca="1"/>
        <v>532457CV8</v>
      </c>
      <c r="C271" s="66" t="str">
        <f ca="1"/>
        <v>N/A</v>
      </c>
      <c r="D271" s="65" t="str">
        <f ca="1"/>
        <v>ELI LILLY &amp;CO       NOTE CALL MAKE WHOLE4.75000% 02/12/2030</v>
      </c>
      <c r="E271" s="66" t="str">
        <f ca="1"/>
        <v>Corp</v>
      </c>
      <c r="F271" s="67">
        <f ca="1"/>
        <v>4.75</v>
      </c>
      <c r="G271" s="68">
        <f ca="1"/>
        <v>47526</v>
      </c>
      <c r="H271" s="66" t="str">
        <f ca="1"/>
        <v>AA3</v>
      </c>
      <c r="I271" s="66" t="str">
        <f ca="1"/>
        <v>A+</v>
      </c>
      <c r="J271" s="69">
        <f ca="1"/>
        <v>100.962</v>
      </c>
      <c r="K271" s="70">
        <f ca="1"/>
        <v>4.5289999999999999</v>
      </c>
      <c r="L271" s="70" t="str">
        <f ca="1"/>
        <v>500(2)</v>
      </c>
      <c r="M271" s="83"/>
      <c r="N271" s="84" t="str">
        <f t="shared" si="69"/>
        <v/>
      </c>
      <c r="O271" s="20" t="str">
        <f t="shared" si="70"/>
        <v/>
      </c>
      <c r="P271" s="64" t="str">
        <f t="shared" si="71"/>
        <v/>
      </c>
      <c r="Q271" s="85" t="str">
        <f t="shared" ca="1" si="72"/>
        <v/>
      </c>
      <c r="R271" s="86" t="str">
        <f t="shared" si="73"/>
        <v/>
      </c>
      <c r="S271" s="86" t="str">
        <f t="shared" si="74"/>
        <v/>
      </c>
      <c r="T271" s="104" t="str">
        <f t="shared" si="60"/>
        <v/>
      </c>
      <c r="U271" s="19" t="str">
        <f>IF(AND(M271&lt;&gt;"",M271&lt;&gt;0), IF(E271 = "Muni", T271, IF(E271="Corp", T271*(1 -'Investor Input'!$C$4-'Investor Input'!$C$5), T271*(1 -'Investor Input'!$C$4))), T271)</f>
        <v/>
      </c>
      <c r="V271" s="84" t="str">
        <f t="shared" si="61"/>
        <v/>
      </c>
      <c r="W271" s="84" t="str">
        <f t="shared" si="62"/>
        <v/>
      </c>
      <c r="X271" s="46" t="str">
        <f t="shared" si="63"/>
        <v/>
      </c>
      <c r="Y271" s="60" t="str">
        <f t="shared" si="64"/>
        <v/>
      </c>
      <c r="Z271" s="60" t="str">
        <f t="shared" si="65"/>
        <v/>
      </c>
      <c r="AA271" s="64" t="str">
        <f t="shared" si="66"/>
        <v/>
      </c>
      <c r="AB271" s="64" t="str">
        <f>IF(AND(AA271&lt;&gt;"",AA271&lt;&gt;0), IF(E271="Muni", AA271, IF(E271 = "Corp", (1-'Investor Input'!$C$4-'Investor Input'!$C$5)*AA271, (1-'Investor Input'!$C$4)*AA271)), AA271)</f>
        <v/>
      </c>
      <c r="AC271" s="94" t="str">
        <f t="shared" si="67"/>
        <v/>
      </c>
      <c r="AD271" s="60" t="str">
        <f>IF(AND(M271&lt;&gt;"", M271&lt;&gt;0), N271/$N$505*MATCH(AC271,'Misc Lists'!$K$2:$K$25,0), "")</f>
        <v/>
      </c>
      <c r="AE271" s="90" t="str">
        <f t="shared" si="68"/>
        <v/>
      </c>
      <c r="AF271" s="99" t="str">
        <f>IF(AND(M271&lt;&gt;"", M271&lt;&gt;0), N271/$N$505*MATCH(AE271,'Misc Lists'!$L$2:$L$25,0), "")</f>
        <v/>
      </c>
    </row>
    <row r="272" spans="2:32" hidden="1" outlineLevel="1" x14ac:dyDescent="0.5">
      <c r="B272" s="65" t="str">
        <f ca="1"/>
        <v>882508BJ2</v>
      </c>
      <c r="C272" s="66" t="str">
        <f ca="1"/>
        <v>N/A</v>
      </c>
      <c r="D272" s="65" t="str">
        <f ca="1"/>
        <v>TEXAS INSTRS INC    NOTE CALL MAKE WHOLE1.75000% 05/04/2030</v>
      </c>
      <c r="E272" s="66" t="str">
        <f ca="1"/>
        <v>Corp</v>
      </c>
      <c r="F272" s="67">
        <f ca="1"/>
        <v>1.75</v>
      </c>
      <c r="G272" s="68">
        <f ca="1"/>
        <v>47607</v>
      </c>
      <c r="H272" s="66" t="str">
        <f ca="1"/>
        <v>AA3</v>
      </c>
      <c r="I272" s="66" t="str">
        <f ca="1"/>
        <v>A+</v>
      </c>
      <c r="J272" s="69">
        <f ca="1"/>
        <v>87.370999999999995</v>
      </c>
      <c r="K272" s="70">
        <f ca="1"/>
        <v>4.5289999999999999</v>
      </c>
      <c r="L272" s="70" t="str">
        <f ca="1"/>
        <v>500(2)</v>
      </c>
      <c r="M272" s="83"/>
      <c r="N272" s="84" t="str">
        <f t="shared" si="69"/>
        <v/>
      </c>
      <c r="O272" s="20" t="str">
        <f t="shared" si="70"/>
        <v/>
      </c>
      <c r="P272" s="64" t="str">
        <f t="shared" si="71"/>
        <v/>
      </c>
      <c r="Q272" s="85" t="str">
        <f t="shared" ca="1" si="72"/>
        <v/>
      </c>
      <c r="R272" s="86" t="str">
        <f t="shared" si="73"/>
        <v/>
      </c>
      <c r="S272" s="86" t="str">
        <f t="shared" si="74"/>
        <v/>
      </c>
      <c r="T272" s="104" t="str">
        <f t="shared" si="60"/>
        <v/>
      </c>
      <c r="U272" s="19" t="str">
        <f>IF(AND(M272&lt;&gt;"",M272&lt;&gt;0), IF(E272 = "Muni", T272, IF(E272="Corp", T272*(1 -'Investor Input'!$C$4-'Investor Input'!$C$5), T272*(1 -'Investor Input'!$C$4))), T272)</f>
        <v/>
      </c>
      <c r="V272" s="84" t="str">
        <f t="shared" si="61"/>
        <v/>
      </c>
      <c r="W272" s="84" t="str">
        <f t="shared" si="62"/>
        <v/>
      </c>
      <c r="X272" s="46" t="str">
        <f t="shared" si="63"/>
        <v/>
      </c>
      <c r="Y272" s="60" t="str">
        <f t="shared" si="64"/>
        <v/>
      </c>
      <c r="Z272" s="60" t="str">
        <f t="shared" si="65"/>
        <v/>
      </c>
      <c r="AA272" s="64" t="str">
        <f t="shared" si="66"/>
        <v/>
      </c>
      <c r="AB272" s="64" t="str">
        <f>IF(AND(AA272&lt;&gt;"",AA272&lt;&gt;0), IF(E272="Muni", AA272, IF(E272 = "Corp", (1-'Investor Input'!$C$4-'Investor Input'!$C$5)*AA272, (1-'Investor Input'!$C$4)*AA272)), AA272)</f>
        <v/>
      </c>
      <c r="AC272" s="94" t="str">
        <f t="shared" si="67"/>
        <v/>
      </c>
      <c r="AD272" s="60" t="str">
        <f>IF(AND(M272&lt;&gt;"", M272&lt;&gt;0), N272/$N$505*MATCH(AC272,'Misc Lists'!$K$2:$K$25,0), "")</f>
        <v/>
      </c>
      <c r="AE272" s="90" t="str">
        <f t="shared" si="68"/>
        <v/>
      </c>
      <c r="AF272" s="99" t="str">
        <f>IF(AND(M272&lt;&gt;"", M272&lt;&gt;0), N272/$N$505*MATCH(AE272,'Misc Lists'!$L$2:$L$25,0), "")</f>
        <v/>
      </c>
    </row>
    <row r="273" spans="2:32" hidden="1" outlineLevel="1" x14ac:dyDescent="0.5">
      <c r="B273" s="65" t="str">
        <f ca="1"/>
        <v>341081GT8</v>
      </c>
      <c r="C273" s="66" t="str">
        <f ca="1"/>
        <v>N/A</v>
      </c>
      <c r="D273" s="65" t="str">
        <f ca="1"/>
        <v>FLORIDA PWR &amp;LT CO  BOND CALL MAKE WHOLE5.15000% 06/15/2029</v>
      </c>
      <c r="E273" s="66" t="str">
        <f ca="1"/>
        <v>Corp</v>
      </c>
      <c r="F273" s="67">
        <f ca="1"/>
        <v>5.15</v>
      </c>
      <c r="G273" s="68">
        <f ca="1"/>
        <v>47284</v>
      </c>
      <c r="H273" s="66" t="str">
        <f ca="1"/>
        <v>AA2</v>
      </c>
      <c r="I273" s="66" t="str">
        <f ca="1"/>
        <v>A+</v>
      </c>
      <c r="J273" s="69">
        <f ca="1"/>
        <v>102.392</v>
      </c>
      <c r="K273" s="70">
        <f ca="1"/>
        <v>4.524</v>
      </c>
      <c r="L273" s="70" t="str">
        <f ca="1"/>
        <v>500(2)</v>
      </c>
      <c r="M273" s="83"/>
      <c r="N273" s="84" t="str">
        <f t="shared" si="69"/>
        <v/>
      </c>
      <c r="O273" s="20" t="str">
        <f t="shared" si="70"/>
        <v/>
      </c>
      <c r="P273" s="64" t="str">
        <f t="shared" si="71"/>
        <v/>
      </c>
      <c r="Q273" s="85" t="str">
        <f t="shared" ca="1" si="72"/>
        <v/>
      </c>
      <c r="R273" s="86" t="str">
        <f t="shared" si="73"/>
        <v/>
      </c>
      <c r="S273" s="86" t="str">
        <f t="shared" si="74"/>
        <v/>
      </c>
      <c r="T273" s="104" t="str">
        <f t="shared" si="60"/>
        <v/>
      </c>
      <c r="U273" s="19" t="str">
        <f>IF(AND(M273&lt;&gt;"",M273&lt;&gt;0), IF(E273 = "Muni", T273, IF(E273="Corp", T273*(1 -'Investor Input'!$C$4-'Investor Input'!$C$5), T273*(1 -'Investor Input'!$C$4))), T273)</f>
        <v/>
      </c>
      <c r="V273" s="84" t="str">
        <f t="shared" si="61"/>
        <v/>
      </c>
      <c r="W273" s="84" t="str">
        <f t="shared" si="62"/>
        <v/>
      </c>
      <c r="X273" s="46" t="str">
        <f t="shared" si="63"/>
        <v/>
      </c>
      <c r="Y273" s="60" t="str">
        <f t="shared" si="64"/>
        <v/>
      </c>
      <c r="Z273" s="60" t="str">
        <f t="shared" si="65"/>
        <v/>
      </c>
      <c r="AA273" s="64" t="str">
        <f t="shared" si="66"/>
        <v/>
      </c>
      <c r="AB273" s="64" t="str">
        <f>IF(AND(AA273&lt;&gt;"",AA273&lt;&gt;0), IF(E273="Muni", AA273, IF(E273 = "Corp", (1-'Investor Input'!$C$4-'Investor Input'!$C$5)*AA273, (1-'Investor Input'!$C$4)*AA273)), AA273)</f>
        <v/>
      </c>
      <c r="AC273" s="94" t="str">
        <f t="shared" si="67"/>
        <v/>
      </c>
      <c r="AD273" s="60" t="str">
        <f>IF(AND(M273&lt;&gt;"", M273&lt;&gt;0), N273/$N$505*MATCH(AC273,'Misc Lists'!$K$2:$K$25,0), "")</f>
        <v/>
      </c>
      <c r="AE273" s="90" t="str">
        <f t="shared" si="68"/>
        <v/>
      </c>
      <c r="AF273" s="99" t="str">
        <f>IF(AND(M273&lt;&gt;"", M273&lt;&gt;0), N273/$N$505*MATCH(AE273,'Misc Lists'!$L$2:$L$25,0), "")</f>
        <v/>
      </c>
    </row>
    <row r="274" spans="2:32" hidden="1" outlineLevel="1" x14ac:dyDescent="0.5">
      <c r="B274" s="65" t="str">
        <f ca="1"/>
        <v>30231GBH4</v>
      </c>
      <c r="C274" s="66" t="str">
        <f ca="1"/>
        <v>N/A</v>
      </c>
      <c r="D274" s="65" t="str">
        <f ca="1"/>
        <v>EXXON MOBIL CORP    NOTE                2.99200% 03/19/2025</v>
      </c>
      <c r="E274" s="66" t="str">
        <f ca="1"/>
        <v>Corp</v>
      </c>
      <c r="F274" s="67">
        <f ca="1"/>
        <v>2.992</v>
      </c>
      <c r="G274" s="68">
        <f ca="1"/>
        <v>45735</v>
      </c>
      <c r="H274" s="66" t="str">
        <f ca="1"/>
        <v>AA2</v>
      </c>
      <c r="I274" s="66" t="str">
        <f ca="1"/>
        <v>AA-</v>
      </c>
      <c r="J274" s="69">
        <f ca="1"/>
        <v>99.968999999999994</v>
      </c>
      <c r="K274" s="70">
        <f ca="1"/>
        <v>4.5229999999999997</v>
      </c>
      <c r="L274" s="70" t="str">
        <f ca="1"/>
        <v>750(2)</v>
      </c>
      <c r="M274" s="83"/>
      <c r="N274" s="84" t="str">
        <f t="shared" si="69"/>
        <v/>
      </c>
      <c r="O274" s="20" t="str">
        <f t="shared" si="70"/>
        <v/>
      </c>
      <c r="P274" s="64" t="str">
        <f t="shared" si="71"/>
        <v/>
      </c>
      <c r="Q274" s="85" t="str">
        <f t="shared" ca="1" si="72"/>
        <v/>
      </c>
      <c r="R274" s="86" t="str">
        <f t="shared" si="73"/>
        <v/>
      </c>
      <c r="S274" s="86" t="str">
        <f t="shared" si="74"/>
        <v/>
      </c>
      <c r="T274" s="104" t="str">
        <f t="shared" si="60"/>
        <v/>
      </c>
      <c r="U274" s="19" t="str">
        <f>IF(AND(M274&lt;&gt;"",M274&lt;&gt;0), IF(E274 = "Muni", T274, IF(E274="Corp", T274*(1 -'Investor Input'!$C$4-'Investor Input'!$C$5), T274*(1 -'Investor Input'!$C$4))), T274)</f>
        <v/>
      </c>
      <c r="V274" s="84" t="str">
        <f t="shared" si="61"/>
        <v/>
      </c>
      <c r="W274" s="84" t="str">
        <f t="shared" si="62"/>
        <v/>
      </c>
      <c r="X274" s="46" t="str">
        <f t="shared" si="63"/>
        <v/>
      </c>
      <c r="Y274" s="60" t="str">
        <f t="shared" si="64"/>
        <v/>
      </c>
      <c r="Z274" s="60" t="str">
        <f t="shared" si="65"/>
        <v/>
      </c>
      <c r="AA274" s="64" t="str">
        <f t="shared" si="66"/>
        <v/>
      </c>
      <c r="AB274" s="64" t="str">
        <f>IF(AND(AA274&lt;&gt;"",AA274&lt;&gt;0), IF(E274="Muni", AA274, IF(E274 = "Corp", (1-'Investor Input'!$C$4-'Investor Input'!$C$5)*AA274, (1-'Investor Input'!$C$4)*AA274)), AA274)</f>
        <v/>
      </c>
      <c r="AC274" s="94" t="str">
        <f t="shared" si="67"/>
        <v/>
      </c>
      <c r="AD274" s="60" t="str">
        <f>IF(AND(M274&lt;&gt;"", M274&lt;&gt;0), N274/$N$505*MATCH(AC274,'Misc Lists'!$K$2:$K$25,0), "")</f>
        <v/>
      </c>
      <c r="AE274" s="90" t="str">
        <f t="shared" si="68"/>
        <v/>
      </c>
      <c r="AF274" s="99" t="str">
        <f>IF(AND(M274&lt;&gt;"", M274&lt;&gt;0), N274/$N$505*MATCH(AE274,'Misc Lists'!$L$2:$L$25,0), "")</f>
        <v/>
      </c>
    </row>
    <row r="275" spans="2:32" hidden="1" outlineLevel="1" x14ac:dyDescent="0.5">
      <c r="B275" s="65" t="str">
        <f ca="1"/>
        <v>30231GBK7</v>
      </c>
      <c r="C275" s="66" t="str">
        <f ca="1"/>
        <v>N/A</v>
      </c>
      <c r="D275" s="65" t="str">
        <f ca="1"/>
        <v>EXXON MOBIL CORP    NOTE CALL MAKE WHOLE3.48200% 03/19/2030</v>
      </c>
      <c r="E275" s="66" t="str">
        <f ca="1"/>
        <v>Corp</v>
      </c>
      <c r="F275" s="67">
        <f ca="1"/>
        <v>3.4820000000000002</v>
      </c>
      <c r="G275" s="68">
        <f ca="1"/>
        <v>47561</v>
      </c>
      <c r="H275" s="66" t="str">
        <f ca="1"/>
        <v>AA2</v>
      </c>
      <c r="I275" s="66" t="str">
        <f ca="1"/>
        <v>AA-</v>
      </c>
      <c r="J275" s="69">
        <f ca="1"/>
        <v>95.370999999999995</v>
      </c>
      <c r="K275" s="70">
        <f ca="1"/>
        <v>4.5229999999999997</v>
      </c>
      <c r="L275" s="70" t="str">
        <f ca="1"/>
        <v>1,500(2)</v>
      </c>
      <c r="M275" s="83"/>
      <c r="N275" s="84" t="str">
        <f t="shared" si="69"/>
        <v/>
      </c>
      <c r="O275" s="20" t="str">
        <f t="shared" si="70"/>
        <v/>
      </c>
      <c r="P275" s="64" t="str">
        <f t="shared" si="71"/>
        <v/>
      </c>
      <c r="Q275" s="85" t="str">
        <f t="shared" ca="1" si="72"/>
        <v/>
      </c>
      <c r="R275" s="86" t="str">
        <f t="shared" si="73"/>
        <v/>
      </c>
      <c r="S275" s="86" t="str">
        <f t="shared" si="74"/>
        <v/>
      </c>
      <c r="T275" s="104" t="str">
        <f t="shared" si="60"/>
        <v/>
      </c>
      <c r="U275" s="19" t="str">
        <f>IF(AND(M275&lt;&gt;"",M275&lt;&gt;0), IF(E275 = "Muni", T275, IF(E275="Corp", T275*(1 -'Investor Input'!$C$4-'Investor Input'!$C$5), T275*(1 -'Investor Input'!$C$4))), T275)</f>
        <v/>
      </c>
      <c r="V275" s="84" t="str">
        <f t="shared" si="61"/>
        <v/>
      </c>
      <c r="W275" s="84" t="str">
        <f t="shared" si="62"/>
        <v/>
      </c>
      <c r="X275" s="46" t="str">
        <f t="shared" si="63"/>
        <v/>
      </c>
      <c r="Y275" s="60" t="str">
        <f t="shared" si="64"/>
        <v/>
      </c>
      <c r="Z275" s="60" t="str">
        <f t="shared" si="65"/>
        <v/>
      </c>
      <c r="AA275" s="64" t="str">
        <f t="shared" si="66"/>
        <v/>
      </c>
      <c r="AB275" s="64" t="str">
        <f>IF(AND(AA275&lt;&gt;"",AA275&lt;&gt;0), IF(E275="Muni", AA275, IF(E275 = "Corp", (1-'Investor Input'!$C$4-'Investor Input'!$C$5)*AA275, (1-'Investor Input'!$C$4)*AA275)), AA275)</f>
        <v/>
      </c>
      <c r="AC275" s="94" t="str">
        <f t="shared" si="67"/>
        <v/>
      </c>
      <c r="AD275" s="60" t="str">
        <f>IF(AND(M275&lt;&gt;"", M275&lt;&gt;0), N275/$N$505*MATCH(AC275,'Misc Lists'!$K$2:$K$25,0), "")</f>
        <v/>
      </c>
      <c r="AE275" s="90" t="str">
        <f t="shared" si="68"/>
        <v/>
      </c>
      <c r="AF275" s="99" t="str">
        <f>IF(AND(M275&lt;&gt;"", M275&lt;&gt;0), N275/$N$505*MATCH(AE275,'Misc Lists'!$L$2:$L$25,0), "")</f>
        <v/>
      </c>
    </row>
    <row r="276" spans="2:32" hidden="1" outlineLevel="1" x14ac:dyDescent="0.5">
      <c r="B276" s="65" t="str">
        <f ca="1"/>
        <v>961214EL3</v>
      </c>
      <c r="C276" s="66" t="str">
        <f ca="1"/>
        <v>N/A</v>
      </c>
      <c r="D276" s="65" t="str">
        <f ca="1"/>
        <v>WESTPAC BKG CORP    NOTE                2.65000% 01/16/2030</v>
      </c>
      <c r="E276" s="66" t="str">
        <f ca="1"/>
        <v>Corp</v>
      </c>
      <c r="F276" s="67">
        <f ca="1"/>
        <v>2.65</v>
      </c>
      <c r="G276" s="68">
        <f ca="1"/>
        <v>47499</v>
      </c>
      <c r="H276" s="66" t="str">
        <f ca="1"/>
        <v>AA2</v>
      </c>
      <c r="I276" s="66" t="str">
        <f ca="1"/>
        <v>AA-</v>
      </c>
      <c r="J276" s="69">
        <f ca="1"/>
        <v>91.98</v>
      </c>
      <c r="K276" s="70">
        <f ca="1"/>
        <v>4.5110000000000001</v>
      </c>
      <c r="L276" s="70" t="str">
        <f ca="1"/>
        <v>450(2)</v>
      </c>
      <c r="M276" s="83"/>
      <c r="N276" s="84" t="str">
        <f t="shared" si="69"/>
        <v/>
      </c>
      <c r="O276" s="20" t="str">
        <f t="shared" si="70"/>
        <v/>
      </c>
      <c r="P276" s="64" t="str">
        <f t="shared" si="71"/>
        <v/>
      </c>
      <c r="Q276" s="85" t="str">
        <f t="shared" ca="1" si="72"/>
        <v/>
      </c>
      <c r="R276" s="86" t="str">
        <f t="shared" si="73"/>
        <v/>
      </c>
      <c r="S276" s="86" t="str">
        <f t="shared" si="74"/>
        <v/>
      </c>
      <c r="T276" s="104" t="str">
        <f t="shared" si="60"/>
        <v/>
      </c>
      <c r="U276" s="19" t="str">
        <f>IF(AND(M276&lt;&gt;"",M276&lt;&gt;0), IF(E276 = "Muni", T276, IF(E276="Corp", T276*(1 -'Investor Input'!$C$4-'Investor Input'!$C$5), T276*(1 -'Investor Input'!$C$4))), T276)</f>
        <v/>
      </c>
      <c r="V276" s="84" t="str">
        <f t="shared" si="61"/>
        <v/>
      </c>
      <c r="W276" s="84" t="str">
        <f t="shared" si="62"/>
        <v/>
      </c>
      <c r="X276" s="46" t="str">
        <f t="shared" si="63"/>
        <v/>
      </c>
      <c r="Y276" s="60" t="str">
        <f t="shared" si="64"/>
        <v/>
      </c>
      <c r="Z276" s="60" t="str">
        <f t="shared" si="65"/>
        <v/>
      </c>
      <c r="AA276" s="64" t="str">
        <f t="shared" si="66"/>
        <v/>
      </c>
      <c r="AB276" s="64" t="str">
        <f>IF(AND(AA276&lt;&gt;"",AA276&lt;&gt;0), IF(E276="Muni", AA276, IF(E276 = "Corp", (1-'Investor Input'!$C$4-'Investor Input'!$C$5)*AA276, (1-'Investor Input'!$C$4)*AA276)), AA276)</f>
        <v/>
      </c>
      <c r="AC276" s="94" t="str">
        <f t="shared" si="67"/>
        <v/>
      </c>
      <c r="AD276" s="60" t="str">
        <f>IF(AND(M276&lt;&gt;"", M276&lt;&gt;0), N276/$N$505*MATCH(AC276,'Misc Lists'!$K$2:$K$25,0), "")</f>
        <v/>
      </c>
      <c r="AE276" s="90" t="str">
        <f t="shared" si="68"/>
        <v/>
      </c>
      <c r="AF276" s="99" t="str">
        <f>IF(AND(M276&lt;&gt;"", M276&lt;&gt;0), N276/$N$505*MATCH(AE276,'Misc Lists'!$L$2:$L$25,0), "")</f>
        <v/>
      </c>
    </row>
    <row r="277" spans="2:32" hidden="1" outlineLevel="1" x14ac:dyDescent="0.5">
      <c r="B277" s="65" t="str">
        <f ca="1"/>
        <v>00440KAB9</v>
      </c>
      <c r="C277" s="66" t="str">
        <f ca="1"/>
        <v>N/A</v>
      </c>
      <c r="D277" s="65" t="str">
        <f ca="1"/>
        <v>ACCENTURE CAPITAL   INC NOTE            4.05000% 10/04/2029 CALL MAKE WHOLE</v>
      </c>
      <c r="E277" s="66" t="str">
        <f ca="1"/>
        <v>Corp</v>
      </c>
      <c r="F277" s="67">
        <f ca="1"/>
        <v>4.05</v>
      </c>
      <c r="G277" s="68">
        <f ca="1"/>
        <v>47395</v>
      </c>
      <c r="H277" s="66" t="str">
        <f ca="1"/>
        <v>AA3</v>
      </c>
      <c r="I277" s="66" t="str">
        <f ca="1"/>
        <v>AA-</v>
      </c>
      <c r="J277" s="69">
        <f ca="1"/>
        <v>98.147999999999996</v>
      </c>
      <c r="K277" s="70">
        <f ca="1"/>
        <v>4.5030000000000001</v>
      </c>
      <c r="L277" s="70" t="str">
        <f ca="1"/>
        <v>500(2)</v>
      </c>
      <c r="M277" s="83"/>
      <c r="N277" s="84" t="str">
        <f t="shared" si="69"/>
        <v/>
      </c>
      <c r="O277" s="20" t="str">
        <f t="shared" si="70"/>
        <v/>
      </c>
      <c r="P277" s="64" t="str">
        <f t="shared" si="71"/>
        <v/>
      </c>
      <c r="Q277" s="85" t="str">
        <f t="shared" ca="1" si="72"/>
        <v/>
      </c>
      <c r="R277" s="86" t="str">
        <f t="shared" si="73"/>
        <v/>
      </c>
      <c r="S277" s="86" t="str">
        <f t="shared" si="74"/>
        <v/>
      </c>
      <c r="T277" s="104" t="str">
        <f t="shared" si="60"/>
        <v/>
      </c>
      <c r="U277" s="19" t="str">
        <f>IF(AND(M277&lt;&gt;"",M277&lt;&gt;0), IF(E277 = "Muni", T277, IF(E277="Corp", T277*(1 -'Investor Input'!$C$4-'Investor Input'!$C$5), T277*(1 -'Investor Input'!$C$4))), T277)</f>
        <v/>
      </c>
      <c r="V277" s="84" t="str">
        <f t="shared" si="61"/>
        <v/>
      </c>
      <c r="W277" s="84" t="str">
        <f t="shared" si="62"/>
        <v/>
      </c>
      <c r="X277" s="46" t="str">
        <f t="shared" si="63"/>
        <v/>
      </c>
      <c r="Y277" s="60" t="str">
        <f t="shared" si="64"/>
        <v/>
      </c>
      <c r="Z277" s="60" t="str">
        <f t="shared" si="65"/>
        <v/>
      </c>
      <c r="AA277" s="64" t="str">
        <f t="shared" si="66"/>
        <v/>
      </c>
      <c r="AB277" s="64" t="str">
        <f>IF(AND(AA277&lt;&gt;"",AA277&lt;&gt;0), IF(E277="Muni", AA277, IF(E277 = "Corp", (1-'Investor Input'!$C$4-'Investor Input'!$C$5)*AA277, (1-'Investor Input'!$C$4)*AA277)), AA277)</f>
        <v/>
      </c>
      <c r="AC277" s="94" t="str">
        <f t="shared" si="67"/>
        <v/>
      </c>
      <c r="AD277" s="60" t="str">
        <f>IF(AND(M277&lt;&gt;"", M277&lt;&gt;0), N277/$N$505*MATCH(AC277,'Misc Lists'!$K$2:$K$25,0), "")</f>
        <v/>
      </c>
      <c r="AE277" s="90" t="str">
        <f t="shared" si="68"/>
        <v/>
      </c>
      <c r="AF277" s="99" t="str">
        <f>IF(AND(M277&lt;&gt;"", M277&lt;&gt;0), N277/$N$505*MATCH(AE277,'Misc Lists'!$L$2:$L$25,0), "")</f>
        <v/>
      </c>
    </row>
    <row r="278" spans="2:32" hidden="1" outlineLevel="1" x14ac:dyDescent="0.5">
      <c r="B278" s="65" t="str">
        <f ca="1"/>
        <v>22550L2K6</v>
      </c>
      <c r="C278" s="66" t="str">
        <f ca="1"/>
        <v>N/A</v>
      </c>
      <c r="D278" s="65" t="str">
        <f ca="1"/>
        <v>UBS AG N Y BRH      MTN                 5.00000% 07/09/2027</v>
      </c>
      <c r="E278" s="66" t="str">
        <f ca="1"/>
        <v>Corp</v>
      </c>
      <c r="F278" s="67">
        <f ca="1"/>
        <v>5</v>
      </c>
      <c r="G278" s="68">
        <f ca="1"/>
        <v>46577</v>
      </c>
      <c r="H278" s="66" t="str">
        <f ca="1"/>
        <v>AA2</v>
      </c>
      <c r="I278" s="66" t="str">
        <f ca="1"/>
        <v>A+</v>
      </c>
      <c r="J278" s="69">
        <f ca="1"/>
        <v>101.08799999999999</v>
      </c>
      <c r="K278" s="70">
        <f ca="1"/>
        <v>4.4989999999999997</v>
      </c>
      <c r="L278" s="70" t="str">
        <f ca="1"/>
        <v>1,000(250)</v>
      </c>
      <c r="M278" s="83"/>
      <c r="N278" s="84" t="str">
        <f t="shared" si="69"/>
        <v/>
      </c>
      <c r="O278" s="20" t="str">
        <f t="shared" si="70"/>
        <v/>
      </c>
      <c r="P278" s="64" t="str">
        <f t="shared" si="71"/>
        <v/>
      </c>
      <c r="Q278" s="85" t="str">
        <f t="shared" ca="1" si="72"/>
        <v/>
      </c>
      <c r="R278" s="86" t="str">
        <f t="shared" si="73"/>
        <v/>
      </c>
      <c r="S278" s="86" t="str">
        <f t="shared" si="74"/>
        <v/>
      </c>
      <c r="T278" s="104" t="str">
        <f t="shared" si="60"/>
        <v/>
      </c>
      <c r="U278" s="19" t="str">
        <f>IF(AND(M278&lt;&gt;"",M278&lt;&gt;0), IF(E278 = "Muni", T278, IF(E278="Corp", T278*(1 -'Investor Input'!$C$4-'Investor Input'!$C$5), T278*(1 -'Investor Input'!$C$4))), T278)</f>
        <v/>
      </c>
      <c r="V278" s="84" t="str">
        <f t="shared" si="61"/>
        <v/>
      </c>
      <c r="W278" s="84" t="str">
        <f t="shared" si="62"/>
        <v/>
      </c>
      <c r="X278" s="46" t="str">
        <f t="shared" si="63"/>
        <v/>
      </c>
      <c r="Y278" s="60" t="str">
        <f t="shared" si="64"/>
        <v/>
      </c>
      <c r="Z278" s="60" t="str">
        <f t="shared" si="65"/>
        <v/>
      </c>
      <c r="AA278" s="64" t="str">
        <f t="shared" si="66"/>
        <v/>
      </c>
      <c r="AB278" s="64" t="str">
        <f>IF(AND(AA278&lt;&gt;"",AA278&lt;&gt;0), IF(E278="Muni", AA278, IF(E278 = "Corp", (1-'Investor Input'!$C$4-'Investor Input'!$C$5)*AA278, (1-'Investor Input'!$C$4)*AA278)), AA278)</f>
        <v/>
      </c>
      <c r="AC278" s="94" t="str">
        <f t="shared" si="67"/>
        <v/>
      </c>
      <c r="AD278" s="60" t="str">
        <f>IF(AND(M278&lt;&gt;"", M278&lt;&gt;0), N278/$N$505*MATCH(AC278,'Misc Lists'!$K$2:$K$25,0), "")</f>
        <v/>
      </c>
      <c r="AE278" s="90" t="str">
        <f t="shared" si="68"/>
        <v/>
      </c>
      <c r="AF278" s="99" t="str">
        <f>IF(AND(M278&lt;&gt;"", M278&lt;&gt;0), N278/$N$505*MATCH(AE278,'Misc Lists'!$L$2:$L$25,0), "")</f>
        <v/>
      </c>
    </row>
    <row r="279" spans="2:32" hidden="1" outlineLevel="1" x14ac:dyDescent="0.5">
      <c r="B279" s="65" t="str">
        <f ca="1"/>
        <v>89153VAQ2</v>
      </c>
      <c r="C279" s="66" t="str">
        <f ca="1"/>
        <v>N/A</v>
      </c>
      <c r="D279" s="65" t="str">
        <f ca="1"/>
        <v>TOTAL CAP INTL      NOTE CALL MAKE WHOLE3.45500% 02/19/2029 ISIN #US89153VAQ23  SEDOL #BHQ3T37</v>
      </c>
      <c r="E279" s="66" t="str">
        <f ca="1"/>
        <v>Corp</v>
      </c>
      <c r="F279" s="67">
        <f ca="1"/>
        <v>3.4550000000000001</v>
      </c>
      <c r="G279" s="68">
        <f ca="1"/>
        <v>47168</v>
      </c>
      <c r="H279" s="66" t="str">
        <f ca="1"/>
        <v>AA3</v>
      </c>
      <c r="I279" s="66" t="str">
        <f ca="1"/>
        <v>A+</v>
      </c>
      <c r="J279" s="69">
        <f ca="1"/>
        <v>96.277000000000001</v>
      </c>
      <c r="K279" s="70">
        <f ca="1"/>
        <v>4.4969999999999999</v>
      </c>
      <c r="L279" s="70" t="str">
        <f ca="1"/>
        <v>250(2)</v>
      </c>
      <c r="M279" s="83"/>
      <c r="N279" s="84" t="str">
        <f t="shared" si="69"/>
        <v/>
      </c>
      <c r="O279" s="20" t="str">
        <f t="shared" si="70"/>
        <v/>
      </c>
      <c r="P279" s="64" t="str">
        <f t="shared" si="71"/>
        <v/>
      </c>
      <c r="Q279" s="85" t="str">
        <f t="shared" ca="1" si="72"/>
        <v/>
      </c>
      <c r="R279" s="86" t="str">
        <f t="shared" si="73"/>
        <v/>
      </c>
      <c r="S279" s="86" t="str">
        <f t="shared" si="74"/>
        <v/>
      </c>
      <c r="T279" s="104" t="str">
        <f t="shared" si="60"/>
        <v/>
      </c>
      <c r="U279" s="19" t="str">
        <f>IF(AND(M279&lt;&gt;"",M279&lt;&gt;0), IF(E279 = "Muni", T279, IF(E279="Corp", T279*(1 -'Investor Input'!$C$4-'Investor Input'!$C$5), T279*(1 -'Investor Input'!$C$4))), T279)</f>
        <v/>
      </c>
      <c r="V279" s="84" t="str">
        <f t="shared" si="61"/>
        <v/>
      </c>
      <c r="W279" s="84" t="str">
        <f t="shared" si="62"/>
        <v/>
      </c>
      <c r="X279" s="46" t="str">
        <f t="shared" si="63"/>
        <v/>
      </c>
      <c r="Y279" s="60" t="str">
        <f t="shared" si="64"/>
        <v/>
      </c>
      <c r="Z279" s="60" t="str">
        <f t="shared" si="65"/>
        <v/>
      </c>
      <c r="AA279" s="64" t="str">
        <f t="shared" si="66"/>
        <v/>
      </c>
      <c r="AB279" s="64" t="str">
        <f>IF(AND(AA279&lt;&gt;"",AA279&lt;&gt;0), IF(E279="Muni", AA279, IF(E279 = "Corp", (1-'Investor Input'!$C$4-'Investor Input'!$C$5)*AA279, (1-'Investor Input'!$C$4)*AA279)), AA279)</f>
        <v/>
      </c>
      <c r="AC279" s="94" t="str">
        <f t="shared" si="67"/>
        <v/>
      </c>
      <c r="AD279" s="60" t="str">
        <f>IF(AND(M279&lt;&gt;"", M279&lt;&gt;0), N279/$N$505*MATCH(AC279,'Misc Lists'!$K$2:$K$25,0), "")</f>
        <v/>
      </c>
      <c r="AE279" s="90" t="str">
        <f t="shared" si="68"/>
        <v/>
      </c>
      <c r="AF279" s="99" t="str">
        <f>IF(AND(M279&lt;&gt;"", M279&lt;&gt;0), N279/$N$505*MATCH(AE279,'Misc Lists'!$L$2:$L$25,0), "")</f>
        <v/>
      </c>
    </row>
    <row r="280" spans="2:32" hidden="1" outlineLevel="1" x14ac:dyDescent="0.5">
      <c r="B280" s="65" t="str">
        <f ca="1"/>
        <v>872898AG6</v>
      </c>
      <c r="C280" s="66" t="str">
        <f ca="1"/>
        <v>N/A</v>
      </c>
      <c r="D280" s="65" t="str">
        <f ca="1"/>
        <v>TSMC ARIZ CORP      NOTE CALL MAKE WHOLE4.12500% 04/22/2029</v>
      </c>
      <c r="E280" s="66" t="str">
        <f ca="1"/>
        <v>Corp</v>
      </c>
      <c r="F280" s="67">
        <f ca="1"/>
        <v>4.125</v>
      </c>
      <c r="G280" s="68">
        <f ca="1"/>
        <v>47230</v>
      </c>
      <c r="H280" s="66" t="str">
        <f ca="1"/>
        <v>AA3</v>
      </c>
      <c r="I280" s="66" t="str">
        <f ca="1"/>
        <v>AA-</v>
      </c>
      <c r="J280" s="69">
        <f ca="1"/>
        <v>98.63</v>
      </c>
      <c r="K280" s="70">
        <f ca="1"/>
        <v>4.4930000000000003</v>
      </c>
      <c r="L280" s="70" t="str">
        <f ca="1"/>
        <v>475(200)</v>
      </c>
      <c r="M280" s="83"/>
      <c r="N280" s="84" t="str">
        <f t="shared" si="69"/>
        <v/>
      </c>
      <c r="O280" s="20" t="str">
        <f t="shared" si="70"/>
        <v/>
      </c>
      <c r="P280" s="64" t="str">
        <f t="shared" si="71"/>
        <v/>
      </c>
      <c r="Q280" s="85" t="str">
        <f t="shared" ca="1" si="72"/>
        <v/>
      </c>
      <c r="R280" s="86" t="str">
        <f t="shared" si="73"/>
        <v/>
      </c>
      <c r="S280" s="86" t="str">
        <f t="shared" si="74"/>
        <v/>
      </c>
      <c r="T280" s="104" t="str">
        <f t="shared" si="60"/>
        <v/>
      </c>
      <c r="U280" s="19" t="str">
        <f>IF(AND(M280&lt;&gt;"",M280&lt;&gt;0), IF(E280 = "Muni", T280, IF(E280="Corp", T280*(1 -'Investor Input'!$C$4-'Investor Input'!$C$5), T280*(1 -'Investor Input'!$C$4))), T280)</f>
        <v/>
      </c>
      <c r="V280" s="84" t="str">
        <f t="shared" si="61"/>
        <v/>
      </c>
      <c r="W280" s="84" t="str">
        <f t="shared" si="62"/>
        <v/>
      </c>
      <c r="X280" s="46" t="str">
        <f t="shared" si="63"/>
        <v/>
      </c>
      <c r="Y280" s="60" t="str">
        <f t="shared" si="64"/>
        <v/>
      </c>
      <c r="Z280" s="60" t="str">
        <f t="shared" si="65"/>
        <v/>
      </c>
      <c r="AA280" s="64" t="str">
        <f t="shared" si="66"/>
        <v/>
      </c>
      <c r="AB280" s="64" t="str">
        <f>IF(AND(AA280&lt;&gt;"",AA280&lt;&gt;0), IF(E280="Muni", AA280, IF(E280 = "Corp", (1-'Investor Input'!$C$4-'Investor Input'!$C$5)*AA280, (1-'Investor Input'!$C$4)*AA280)), AA280)</f>
        <v/>
      </c>
      <c r="AC280" s="94" t="str">
        <f t="shared" si="67"/>
        <v/>
      </c>
      <c r="AD280" s="60" t="str">
        <f>IF(AND(M280&lt;&gt;"", M280&lt;&gt;0), N280/$N$505*MATCH(AC280,'Misc Lists'!$K$2:$K$25,0), "")</f>
        <v/>
      </c>
      <c r="AE280" s="90" t="str">
        <f t="shared" si="68"/>
        <v/>
      </c>
      <c r="AF280" s="99" t="str">
        <f>IF(AND(M280&lt;&gt;"", M280&lt;&gt;0), N280/$N$505*MATCH(AE280,'Misc Lists'!$L$2:$L$25,0), "")</f>
        <v/>
      </c>
    </row>
    <row r="281" spans="2:32" hidden="1" outlineLevel="1" x14ac:dyDescent="0.5">
      <c r="B281" s="65" t="str">
        <f ca="1"/>
        <v>17325FBA5</v>
      </c>
      <c r="C281" s="66" t="str">
        <f ca="1"/>
        <v>N/A</v>
      </c>
      <c r="D281" s="65" t="str">
        <f ca="1"/>
        <v>CITIBANK N A        NOTE                5.86400% 09/29/2025</v>
      </c>
      <c r="E281" s="66" t="str">
        <f ca="1"/>
        <v>Corp</v>
      </c>
      <c r="F281" s="67">
        <f ca="1"/>
        <v>5.8639999999999999</v>
      </c>
      <c r="G281" s="68">
        <f ca="1"/>
        <v>45929</v>
      </c>
      <c r="H281" s="66" t="str">
        <f ca="1"/>
        <v>AA3</v>
      </c>
      <c r="I281" s="66" t="str">
        <f ca="1"/>
        <v>A+</v>
      </c>
      <c r="J281" s="69">
        <f ca="1"/>
        <v>100.73099999999999</v>
      </c>
      <c r="K281" s="70">
        <f ca="1"/>
        <v>4.492</v>
      </c>
      <c r="L281" s="70" t="str">
        <f ca="1"/>
        <v>625(250)</v>
      </c>
      <c r="M281" s="83"/>
      <c r="N281" s="84" t="str">
        <f t="shared" si="69"/>
        <v/>
      </c>
      <c r="O281" s="20" t="str">
        <f t="shared" si="70"/>
        <v/>
      </c>
      <c r="P281" s="64" t="str">
        <f t="shared" si="71"/>
        <v/>
      </c>
      <c r="Q281" s="85" t="str">
        <f t="shared" ca="1" si="72"/>
        <v/>
      </c>
      <c r="R281" s="86" t="str">
        <f t="shared" si="73"/>
        <v/>
      </c>
      <c r="S281" s="86" t="str">
        <f t="shared" si="74"/>
        <v/>
      </c>
      <c r="T281" s="104" t="str">
        <f t="shared" si="60"/>
        <v/>
      </c>
      <c r="U281" s="19" t="str">
        <f>IF(AND(M281&lt;&gt;"",M281&lt;&gt;0), IF(E281 = "Muni", T281, IF(E281="Corp", T281*(1 -'Investor Input'!$C$4-'Investor Input'!$C$5), T281*(1 -'Investor Input'!$C$4))), T281)</f>
        <v/>
      </c>
      <c r="V281" s="84" t="str">
        <f t="shared" si="61"/>
        <v/>
      </c>
      <c r="W281" s="84" t="str">
        <f t="shared" si="62"/>
        <v/>
      </c>
      <c r="X281" s="46" t="str">
        <f t="shared" si="63"/>
        <v/>
      </c>
      <c r="Y281" s="60" t="str">
        <f t="shared" si="64"/>
        <v/>
      </c>
      <c r="Z281" s="60" t="str">
        <f t="shared" si="65"/>
        <v/>
      </c>
      <c r="AA281" s="64" t="str">
        <f t="shared" si="66"/>
        <v/>
      </c>
      <c r="AB281" s="64" t="str">
        <f>IF(AND(AA281&lt;&gt;"",AA281&lt;&gt;0), IF(E281="Muni", AA281, IF(E281 = "Corp", (1-'Investor Input'!$C$4-'Investor Input'!$C$5)*AA281, (1-'Investor Input'!$C$4)*AA281)), AA281)</f>
        <v/>
      </c>
      <c r="AC281" s="94" t="str">
        <f t="shared" si="67"/>
        <v/>
      </c>
      <c r="AD281" s="60" t="str">
        <f>IF(AND(M281&lt;&gt;"", M281&lt;&gt;0), N281/$N$505*MATCH(AC281,'Misc Lists'!$K$2:$K$25,0), "")</f>
        <v/>
      </c>
      <c r="AE281" s="90" t="str">
        <f t="shared" si="68"/>
        <v/>
      </c>
      <c r="AF281" s="99" t="str">
        <f>IF(AND(M281&lt;&gt;"", M281&lt;&gt;0), N281/$N$505*MATCH(AE281,'Misc Lists'!$L$2:$L$25,0), "")</f>
        <v/>
      </c>
    </row>
    <row r="282" spans="2:32" hidden="1" outlineLevel="1" x14ac:dyDescent="0.5">
      <c r="B282" s="65" t="str">
        <f ca="1"/>
        <v>92826CAM4</v>
      </c>
      <c r="C282" s="66" t="str">
        <f ca="1"/>
        <v>N/A</v>
      </c>
      <c r="D282" s="65" t="str">
        <f ca="1"/>
        <v>VISA INC            NOTE CALL MAKE WHOLE2.05000% 04/15/2030</v>
      </c>
      <c r="E282" s="66" t="str">
        <f ca="1"/>
        <v>Corp</v>
      </c>
      <c r="F282" s="67">
        <f ca="1"/>
        <v>2.0499999999999998</v>
      </c>
      <c r="G282" s="68">
        <f ca="1"/>
        <v>47588</v>
      </c>
      <c r="H282" s="66" t="str">
        <f ca="1"/>
        <v>AA3</v>
      </c>
      <c r="I282" s="66" t="str">
        <f ca="1"/>
        <v>AA-</v>
      </c>
      <c r="J282" s="69">
        <f ca="1"/>
        <v>88.994</v>
      </c>
      <c r="K282" s="70">
        <f ca="1"/>
        <v>4.492</v>
      </c>
      <c r="L282" s="70" t="str">
        <f ca="1"/>
        <v>500(2)</v>
      </c>
      <c r="M282" s="83"/>
      <c r="N282" s="84" t="str">
        <f t="shared" si="69"/>
        <v/>
      </c>
      <c r="O282" s="20" t="str">
        <f t="shared" si="70"/>
        <v/>
      </c>
      <c r="P282" s="64" t="str">
        <f t="shared" si="71"/>
        <v/>
      </c>
      <c r="Q282" s="85" t="str">
        <f t="shared" ca="1" si="72"/>
        <v/>
      </c>
      <c r="R282" s="86" t="str">
        <f t="shared" si="73"/>
        <v/>
      </c>
      <c r="S282" s="86" t="str">
        <f t="shared" si="74"/>
        <v/>
      </c>
      <c r="T282" s="104" t="str">
        <f t="shared" si="60"/>
        <v/>
      </c>
      <c r="U282" s="19" t="str">
        <f>IF(AND(M282&lt;&gt;"",M282&lt;&gt;0), IF(E282 = "Muni", T282, IF(E282="Corp", T282*(1 -'Investor Input'!$C$4-'Investor Input'!$C$5), T282*(1 -'Investor Input'!$C$4))), T282)</f>
        <v/>
      </c>
      <c r="V282" s="84" t="str">
        <f t="shared" si="61"/>
        <v/>
      </c>
      <c r="W282" s="84" t="str">
        <f t="shared" si="62"/>
        <v/>
      </c>
      <c r="X282" s="46" t="str">
        <f t="shared" si="63"/>
        <v/>
      </c>
      <c r="Y282" s="60" t="str">
        <f t="shared" si="64"/>
        <v/>
      </c>
      <c r="Z282" s="60" t="str">
        <f t="shared" si="65"/>
        <v/>
      </c>
      <c r="AA282" s="64" t="str">
        <f t="shared" si="66"/>
        <v/>
      </c>
      <c r="AB282" s="64" t="str">
        <f>IF(AND(AA282&lt;&gt;"",AA282&lt;&gt;0), IF(E282="Muni", AA282, IF(E282 = "Corp", (1-'Investor Input'!$C$4-'Investor Input'!$C$5)*AA282, (1-'Investor Input'!$C$4)*AA282)), AA282)</f>
        <v/>
      </c>
      <c r="AC282" s="94" t="str">
        <f t="shared" si="67"/>
        <v/>
      </c>
      <c r="AD282" s="60" t="str">
        <f>IF(AND(M282&lt;&gt;"", M282&lt;&gt;0), N282/$N$505*MATCH(AC282,'Misc Lists'!$K$2:$K$25,0), "")</f>
        <v/>
      </c>
      <c r="AE282" s="90" t="str">
        <f t="shared" si="68"/>
        <v/>
      </c>
      <c r="AF282" s="99" t="str">
        <f>IF(AND(M282&lt;&gt;"", M282&lt;&gt;0), N282/$N$505*MATCH(AE282,'Misc Lists'!$L$2:$L$25,0), "")</f>
        <v/>
      </c>
    </row>
    <row r="283" spans="2:32" hidden="1" outlineLevel="1" x14ac:dyDescent="0.5">
      <c r="B283" s="65" t="str">
        <f ca="1"/>
        <v>665228BQ4</v>
      </c>
      <c r="C283" s="66" t="str">
        <f ca="1"/>
        <v>N/A</v>
      </c>
      <c r="D283" s="65" t="str">
        <f ca="1"/>
        <v>NORTHERN ILL GAS CO BOND                6.58000% 02/15/2028</v>
      </c>
      <c r="E283" s="66" t="str">
        <f ca="1"/>
        <v>Corp</v>
      </c>
      <c r="F283" s="67">
        <f ca="1"/>
        <v>6.58</v>
      </c>
      <c r="G283" s="68">
        <f ca="1"/>
        <v>46798</v>
      </c>
      <c r="H283" s="66" t="str">
        <f ca="1"/>
        <v>AA3</v>
      </c>
      <c r="I283" s="66" t="str">
        <f ca="1"/>
        <v>A</v>
      </c>
      <c r="J283" s="69">
        <f ca="1"/>
        <v>105.70099999999999</v>
      </c>
      <c r="K283" s="70">
        <f ca="1"/>
        <v>4.4770000000000003</v>
      </c>
      <c r="L283" s="70" t="str">
        <f ca="1"/>
        <v>4(4)</v>
      </c>
      <c r="M283" s="83"/>
      <c r="N283" s="84" t="str">
        <f t="shared" si="69"/>
        <v/>
      </c>
      <c r="O283" s="20" t="str">
        <f t="shared" si="70"/>
        <v/>
      </c>
      <c r="P283" s="64" t="str">
        <f t="shared" si="71"/>
        <v/>
      </c>
      <c r="Q283" s="85" t="str">
        <f t="shared" ca="1" si="72"/>
        <v/>
      </c>
      <c r="R283" s="86" t="str">
        <f t="shared" si="73"/>
        <v/>
      </c>
      <c r="S283" s="86" t="str">
        <f t="shared" si="74"/>
        <v/>
      </c>
      <c r="T283" s="104" t="str">
        <f t="shared" si="60"/>
        <v/>
      </c>
      <c r="U283" s="19" t="str">
        <f>IF(AND(M283&lt;&gt;"",M283&lt;&gt;0), IF(E283 = "Muni", T283, IF(E283="Corp", T283*(1 -'Investor Input'!$C$4-'Investor Input'!$C$5), T283*(1 -'Investor Input'!$C$4))), T283)</f>
        <v/>
      </c>
      <c r="V283" s="84" t="str">
        <f t="shared" si="61"/>
        <v/>
      </c>
      <c r="W283" s="84" t="str">
        <f t="shared" si="62"/>
        <v/>
      </c>
      <c r="X283" s="46" t="str">
        <f t="shared" si="63"/>
        <v/>
      </c>
      <c r="Y283" s="60" t="str">
        <f t="shared" si="64"/>
        <v/>
      </c>
      <c r="Z283" s="60" t="str">
        <f t="shared" si="65"/>
        <v/>
      </c>
      <c r="AA283" s="64" t="str">
        <f t="shared" si="66"/>
        <v/>
      </c>
      <c r="AB283" s="64" t="str">
        <f>IF(AND(AA283&lt;&gt;"",AA283&lt;&gt;0), IF(E283="Muni", AA283, IF(E283 = "Corp", (1-'Investor Input'!$C$4-'Investor Input'!$C$5)*AA283, (1-'Investor Input'!$C$4)*AA283)), AA283)</f>
        <v/>
      </c>
      <c r="AC283" s="94" t="str">
        <f t="shared" si="67"/>
        <v/>
      </c>
      <c r="AD283" s="60" t="str">
        <f>IF(AND(M283&lt;&gt;"", M283&lt;&gt;0), N283/$N$505*MATCH(AC283,'Misc Lists'!$K$2:$K$25,0), "")</f>
        <v/>
      </c>
      <c r="AE283" s="90" t="str">
        <f t="shared" si="68"/>
        <v/>
      </c>
      <c r="AF283" s="99" t="str">
        <f>IF(AND(M283&lt;&gt;"", M283&lt;&gt;0), N283/$N$505*MATCH(AE283,'Misc Lists'!$L$2:$L$25,0), "")</f>
        <v/>
      </c>
    </row>
    <row r="284" spans="2:32" hidden="1" outlineLevel="1" x14ac:dyDescent="0.5">
      <c r="B284" s="65" t="str">
        <f ca="1"/>
        <v>09247XAP6</v>
      </c>
      <c r="C284" s="66" t="str">
        <f ca="1"/>
        <v>N/A</v>
      </c>
      <c r="D284" s="65" t="str">
        <f ca="1"/>
        <v>BLACKROCK INC       NOTE CALL MAKE WHOLE3.25000% 04/30/2029</v>
      </c>
      <c r="E284" s="66" t="str">
        <f ca="1"/>
        <v>Corp</v>
      </c>
      <c r="F284" s="67">
        <f ca="1"/>
        <v>3.25</v>
      </c>
      <c r="G284" s="68">
        <f ca="1"/>
        <v>47238</v>
      </c>
      <c r="H284" s="66" t="str">
        <f ca="1"/>
        <v>AA3</v>
      </c>
      <c r="I284" s="66" t="str">
        <f ca="1"/>
        <v>AA-</v>
      </c>
      <c r="J284" s="69">
        <f ca="1"/>
        <v>95.412999999999997</v>
      </c>
      <c r="K284" s="70">
        <f ca="1"/>
        <v>4.4770000000000003</v>
      </c>
      <c r="L284" s="70" t="str">
        <f ca="1"/>
        <v>200(2)</v>
      </c>
      <c r="M284" s="83"/>
      <c r="N284" s="84" t="str">
        <f t="shared" si="69"/>
        <v/>
      </c>
      <c r="O284" s="20" t="str">
        <f t="shared" si="70"/>
        <v/>
      </c>
      <c r="P284" s="64" t="str">
        <f t="shared" si="71"/>
        <v/>
      </c>
      <c r="Q284" s="85" t="str">
        <f t="shared" ca="1" si="72"/>
        <v/>
      </c>
      <c r="R284" s="86" t="str">
        <f t="shared" si="73"/>
        <v/>
      </c>
      <c r="S284" s="86" t="str">
        <f t="shared" si="74"/>
        <v/>
      </c>
      <c r="T284" s="104" t="str">
        <f t="shared" si="60"/>
        <v/>
      </c>
      <c r="U284" s="19" t="str">
        <f>IF(AND(M284&lt;&gt;"",M284&lt;&gt;0), IF(E284 = "Muni", T284, IF(E284="Corp", T284*(1 -'Investor Input'!$C$4-'Investor Input'!$C$5), T284*(1 -'Investor Input'!$C$4))), T284)</f>
        <v/>
      </c>
      <c r="V284" s="84" t="str">
        <f t="shared" si="61"/>
        <v/>
      </c>
      <c r="W284" s="84" t="str">
        <f t="shared" si="62"/>
        <v/>
      </c>
      <c r="X284" s="46" t="str">
        <f t="shared" si="63"/>
        <v/>
      </c>
      <c r="Y284" s="60" t="str">
        <f t="shared" si="64"/>
        <v/>
      </c>
      <c r="Z284" s="60" t="str">
        <f t="shared" si="65"/>
        <v/>
      </c>
      <c r="AA284" s="64" t="str">
        <f t="shared" si="66"/>
        <v/>
      </c>
      <c r="AB284" s="64" t="str">
        <f>IF(AND(AA284&lt;&gt;"",AA284&lt;&gt;0), IF(E284="Muni", AA284, IF(E284 = "Corp", (1-'Investor Input'!$C$4-'Investor Input'!$C$5)*AA284, (1-'Investor Input'!$C$4)*AA284)), AA284)</f>
        <v/>
      </c>
      <c r="AC284" s="94" t="str">
        <f t="shared" si="67"/>
        <v/>
      </c>
      <c r="AD284" s="60" t="str">
        <f>IF(AND(M284&lt;&gt;"", M284&lt;&gt;0), N284/$N$505*MATCH(AC284,'Misc Lists'!$K$2:$K$25,0), "")</f>
        <v/>
      </c>
      <c r="AE284" s="90" t="str">
        <f t="shared" si="68"/>
        <v/>
      </c>
      <c r="AF284" s="99" t="str">
        <f>IF(AND(M284&lt;&gt;"", M284&lt;&gt;0), N284/$N$505*MATCH(AE284,'Misc Lists'!$L$2:$L$25,0), "")</f>
        <v/>
      </c>
    </row>
    <row r="285" spans="2:32" hidden="1" outlineLevel="1" x14ac:dyDescent="0.5">
      <c r="B285" s="65" t="str">
        <f ca="1"/>
        <v>166756AS5</v>
      </c>
      <c r="C285" s="66" t="str">
        <f ca="1"/>
        <v>N/A</v>
      </c>
      <c r="D285" s="65" t="str">
        <f ca="1"/>
        <v>CHEVRON USA INC     SER B NOTE          3.25000% 10/15/2029 CALL MAKE WHOLE</v>
      </c>
      <c r="E285" s="66" t="str">
        <f ca="1"/>
        <v>Corp</v>
      </c>
      <c r="F285" s="67">
        <f ca="1"/>
        <v>3.25</v>
      </c>
      <c r="G285" s="68">
        <f ca="1"/>
        <v>47406</v>
      </c>
      <c r="H285" s="66" t="str">
        <f ca="1"/>
        <v>AA2</v>
      </c>
      <c r="I285" s="66" t="str">
        <f ca="1"/>
        <v>AA-</v>
      </c>
      <c r="J285" s="69">
        <f ca="1"/>
        <v>94.966999999999999</v>
      </c>
      <c r="K285" s="70">
        <f ca="1"/>
        <v>4.4740000000000002</v>
      </c>
      <c r="L285" s="70" t="str">
        <f ca="1"/>
        <v>500(2)</v>
      </c>
      <c r="M285" s="83"/>
      <c r="N285" s="84" t="str">
        <f t="shared" si="69"/>
        <v/>
      </c>
      <c r="O285" s="20" t="str">
        <f t="shared" si="70"/>
        <v/>
      </c>
      <c r="P285" s="64" t="str">
        <f t="shared" si="71"/>
        <v/>
      </c>
      <c r="Q285" s="85" t="str">
        <f t="shared" ca="1" si="72"/>
        <v/>
      </c>
      <c r="R285" s="86" t="str">
        <f t="shared" si="73"/>
        <v/>
      </c>
      <c r="S285" s="86" t="str">
        <f t="shared" si="74"/>
        <v/>
      </c>
      <c r="T285" s="104" t="str">
        <f t="shared" si="60"/>
        <v/>
      </c>
      <c r="U285" s="19" t="str">
        <f>IF(AND(M285&lt;&gt;"",M285&lt;&gt;0), IF(E285 = "Muni", T285, IF(E285="Corp", T285*(1 -'Investor Input'!$C$4-'Investor Input'!$C$5), T285*(1 -'Investor Input'!$C$4))), T285)</f>
        <v/>
      </c>
      <c r="V285" s="84" t="str">
        <f t="shared" si="61"/>
        <v/>
      </c>
      <c r="W285" s="84" t="str">
        <f t="shared" si="62"/>
        <v/>
      </c>
      <c r="X285" s="46" t="str">
        <f t="shared" si="63"/>
        <v/>
      </c>
      <c r="Y285" s="60" t="str">
        <f t="shared" si="64"/>
        <v/>
      </c>
      <c r="Z285" s="60" t="str">
        <f t="shared" si="65"/>
        <v/>
      </c>
      <c r="AA285" s="64" t="str">
        <f t="shared" si="66"/>
        <v/>
      </c>
      <c r="AB285" s="64" t="str">
        <f>IF(AND(AA285&lt;&gt;"",AA285&lt;&gt;0), IF(E285="Muni", AA285, IF(E285 = "Corp", (1-'Investor Input'!$C$4-'Investor Input'!$C$5)*AA285, (1-'Investor Input'!$C$4)*AA285)), AA285)</f>
        <v/>
      </c>
      <c r="AC285" s="94" t="str">
        <f t="shared" si="67"/>
        <v/>
      </c>
      <c r="AD285" s="60" t="str">
        <f>IF(AND(M285&lt;&gt;"", M285&lt;&gt;0), N285/$N$505*MATCH(AC285,'Misc Lists'!$K$2:$K$25,0), "")</f>
        <v/>
      </c>
      <c r="AE285" s="90" t="str">
        <f t="shared" si="68"/>
        <v/>
      </c>
      <c r="AF285" s="99" t="str">
        <f>IF(AND(M285&lt;&gt;"", M285&lt;&gt;0), N285/$N$505*MATCH(AE285,'Misc Lists'!$L$2:$L$25,0), "")</f>
        <v/>
      </c>
    </row>
    <row r="286" spans="2:32" hidden="1" outlineLevel="1" x14ac:dyDescent="0.5">
      <c r="B286" s="65" t="str">
        <f ca="1"/>
        <v>857477AT0</v>
      </c>
      <c r="C286" s="66" t="str">
        <f ca="1"/>
        <v>N/A</v>
      </c>
      <c r="D286" s="65" t="str">
        <f ca="1"/>
        <v>STATE STR CORP      NOTE                3.55000% 08/18/2025</v>
      </c>
      <c r="E286" s="66" t="str">
        <f ca="1"/>
        <v>Corp</v>
      </c>
      <c r="F286" s="67">
        <f ca="1"/>
        <v>3.55</v>
      </c>
      <c r="G286" s="68">
        <f ca="1"/>
        <v>45887</v>
      </c>
      <c r="H286" s="66" t="str">
        <f ca="1"/>
        <v>AA3</v>
      </c>
      <c r="I286" s="66" t="str">
        <f ca="1"/>
        <v>A</v>
      </c>
      <c r="J286" s="69">
        <f ca="1"/>
        <v>99.605999999999995</v>
      </c>
      <c r="K286" s="70">
        <f ca="1"/>
        <v>4.4660000000000002</v>
      </c>
      <c r="L286" s="70" t="str">
        <f ca="1"/>
        <v>124(5)</v>
      </c>
      <c r="M286" s="83"/>
      <c r="N286" s="84" t="str">
        <f t="shared" si="69"/>
        <v/>
      </c>
      <c r="O286" s="20" t="str">
        <f t="shared" si="70"/>
        <v/>
      </c>
      <c r="P286" s="64" t="str">
        <f t="shared" si="71"/>
        <v/>
      </c>
      <c r="Q286" s="85" t="str">
        <f t="shared" ca="1" si="72"/>
        <v/>
      </c>
      <c r="R286" s="86" t="str">
        <f t="shared" si="73"/>
        <v/>
      </c>
      <c r="S286" s="86" t="str">
        <f t="shared" si="74"/>
        <v/>
      </c>
      <c r="T286" s="104" t="str">
        <f t="shared" si="60"/>
        <v/>
      </c>
      <c r="U286" s="19" t="str">
        <f>IF(AND(M286&lt;&gt;"",M286&lt;&gt;0), IF(E286 = "Muni", T286, IF(E286="Corp", T286*(1 -'Investor Input'!$C$4-'Investor Input'!$C$5), T286*(1 -'Investor Input'!$C$4))), T286)</f>
        <v/>
      </c>
      <c r="V286" s="84" t="str">
        <f t="shared" si="61"/>
        <v/>
      </c>
      <c r="W286" s="84" t="str">
        <f t="shared" si="62"/>
        <v/>
      </c>
      <c r="X286" s="46" t="str">
        <f t="shared" si="63"/>
        <v/>
      </c>
      <c r="Y286" s="60" t="str">
        <f t="shared" si="64"/>
        <v/>
      </c>
      <c r="Z286" s="60" t="str">
        <f t="shared" si="65"/>
        <v/>
      </c>
      <c r="AA286" s="64" t="str">
        <f t="shared" si="66"/>
        <v/>
      </c>
      <c r="AB286" s="64" t="str">
        <f>IF(AND(AA286&lt;&gt;"",AA286&lt;&gt;0), IF(E286="Muni", AA286, IF(E286 = "Corp", (1-'Investor Input'!$C$4-'Investor Input'!$C$5)*AA286, (1-'Investor Input'!$C$4)*AA286)), AA286)</f>
        <v/>
      </c>
      <c r="AC286" s="94" t="str">
        <f t="shared" si="67"/>
        <v/>
      </c>
      <c r="AD286" s="60" t="str">
        <f>IF(AND(M286&lt;&gt;"", M286&lt;&gt;0), N286/$N$505*MATCH(AC286,'Misc Lists'!$K$2:$K$25,0), "")</f>
        <v/>
      </c>
      <c r="AE286" s="90" t="str">
        <f t="shared" si="68"/>
        <v/>
      </c>
      <c r="AF286" s="99" t="str">
        <f>IF(AND(M286&lt;&gt;"", M286&lt;&gt;0), N286/$N$505*MATCH(AE286,'Misc Lists'!$L$2:$L$25,0), "")</f>
        <v/>
      </c>
    </row>
    <row r="287" spans="2:32" hidden="1" outlineLevel="1" x14ac:dyDescent="0.5">
      <c r="B287" s="65" t="str">
        <f ca="1"/>
        <v>67066GAF1</v>
      </c>
      <c r="C287" s="66" t="str">
        <f ca="1"/>
        <v>N/A</v>
      </c>
      <c r="D287" s="65" t="str">
        <f ca="1"/>
        <v>NVIDIA CORPORATION  NOTE CALL MAKE WHOLE2.85000% 04/01/2030 ISIN #US67066GAF19  SEDOL #BKMQMN2</v>
      </c>
      <c r="E287" s="66" t="str">
        <f ca="1"/>
        <v>Corp</v>
      </c>
      <c r="F287" s="67">
        <f ca="1"/>
        <v>2.85</v>
      </c>
      <c r="G287" s="68">
        <f ca="1"/>
        <v>47574</v>
      </c>
      <c r="H287" s="66" t="str">
        <f ca="1"/>
        <v>AA3</v>
      </c>
      <c r="I287" s="66" t="str">
        <f ca="1"/>
        <v>AA-</v>
      </c>
      <c r="J287" s="69">
        <f ca="1"/>
        <v>92.762</v>
      </c>
      <c r="K287" s="70">
        <f ca="1"/>
        <v>4.4660000000000002</v>
      </c>
      <c r="L287" s="70" t="str">
        <f ca="1"/>
        <v>250(10)</v>
      </c>
      <c r="M287" s="83"/>
      <c r="N287" s="84" t="str">
        <f t="shared" si="69"/>
        <v/>
      </c>
      <c r="O287" s="20" t="str">
        <f t="shared" si="70"/>
        <v/>
      </c>
      <c r="P287" s="64" t="str">
        <f t="shared" si="71"/>
        <v/>
      </c>
      <c r="Q287" s="85" t="str">
        <f t="shared" ca="1" si="72"/>
        <v/>
      </c>
      <c r="R287" s="86" t="str">
        <f t="shared" si="73"/>
        <v/>
      </c>
      <c r="S287" s="86" t="str">
        <f t="shared" si="74"/>
        <v/>
      </c>
      <c r="T287" s="104" t="str">
        <f t="shared" si="60"/>
        <v/>
      </c>
      <c r="U287" s="19" t="str">
        <f>IF(AND(M287&lt;&gt;"",M287&lt;&gt;0), IF(E287 = "Muni", T287, IF(E287="Corp", T287*(1 -'Investor Input'!$C$4-'Investor Input'!$C$5), T287*(1 -'Investor Input'!$C$4))), T287)</f>
        <v/>
      </c>
      <c r="V287" s="84" t="str">
        <f t="shared" si="61"/>
        <v/>
      </c>
      <c r="W287" s="84" t="str">
        <f t="shared" si="62"/>
        <v/>
      </c>
      <c r="X287" s="46" t="str">
        <f t="shared" si="63"/>
        <v/>
      </c>
      <c r="Y287" s="60" t="str">
        <f t="shared" si="64"/>
        <v/>
      </c>
      <c r="Z287" s="60" t="str">
        <f t="shared" si="65"/>
        <v/>
      </c>
      <c r="AA287" s="64" t="str">
        <f t="shared" si="66"/>
        <v/>
      </c>
      <c r="AB287" s="64" t="str">
        <f>IF(AND(AA287&lt;&gt;"",AA287&lt;&gt;0), IF(E287="Muni", AA287, IF(E287 = "Corp", (1-'Investor Input'!$C$4-'Investor Input'!$C$5)*AA287, (1-'Investor Input'!$C$4)*AA287)), AA287)</f>
        <v/>
      </c>
      <c r="AC287" s="94" t="str">
        <f t="shared" si="67"/>
        <v/>
      </c>
      <c r="AD287" s="60" t="str">
        <f>IF(AND(M287&lt;&gt;"", M287&lt;&gt;0), N287/$N$505*MATCH(AC287,'Misc Lists'!$K$2:$K$25,0), "")</f>
        <v/>
      </c>
      <c r="AE287" s="90" t="str">
        <f t="shared" si="68"/>
        <v/>
      </c>
      <c r="AF287" s="99" t="str">
        <f>IF(AND(M287&lt;&gt;"", M287&lt;&gt;0), N287/$N$505*MATCH(AE287,'Misc Lists'!$L$2:$L$25,0), "")</f>
        <v/>
      </c>
    </row>
    <row r="288" spans="2:32" hidden="1" outlineLevel="1" x14ac:dyDescent="0.5">
      <c r="B288" s="65" t="str">
        <f ca="1"/>
        <v>06406RBD8</v>
      </c>
      <c r="C288" s="66" t="str">
        <f ca="1"/>
        <v>N/A</v>
      </c>
      <c r="D288" s="65" t="str">
        <f ca="1"/>
        <v>BANK NEW YORK MELLONCORP MTN            3.85000% 04/26/2029</v>
      </c>
      <c r="E288" s="66" t="str">
        <f ca="1"/>
        <v>Corp</v>
      </c>
      <c r="F288" s="67">
        <f ca="1"/>
        <v>3.85</v>
      </c>
      <c r="G288" s="68">
        <f ca="1"/>
        <v>47234</v>
      </c>
      <c r="H288" s="66" t="str">
        <f ca="1"/>
        <v>AA3</v>
      </c>
      <c r="I288" s="66" t="str">
        <f ca="1"/>
        <v>A</v>
      </c>
      <c r="J288" s="69">
        <f ca="1"/>
        <v>97.721999999999994</v>
      </c>
      <c r="K288" s="70">
        <f ca="1"/>
        <v>4.46</v>
      </c>
      <c r="L288" s="70" t="str">
        <f ca="1"/>
        <v>475(1)</v>
      </c>
      <c r="M288" s="83"/>
      <c r="N288" s="84" t="str">
        <f t="shared" si="69"/>
        <v/>
      </c>
      <c r="O288" s="20" t="str">
        <f t="shared" si="70"/>
        <v/>
      </c>
      <c r="P288" s="64" t="str">
        <f t="shared" si="71"/>
        <v/>
      </c>
      <c r="Q288" s="85" t="str">
        <f t="shared" ca="1" si="72"/>
        <v/>
      </c>
      <c r="R288" s="86" t="str">
        <f t="shared" si="73"/>
        <v/>
      </c>
      <c r="S288" s="86" t="str">
        <f t="shared" si="74"/>
        <v/>
      </c>
      <c r="T288" s="104" t="str">
        <f t="shared" si="60"/>
        <v/>
      </c>
      <c r="U288" s="19" t="str">
        <f>IF(AND(M288&lt;&gt;"",M288&lt;&gt;0), IF(E288 = "Muni", T288, IF(E288="Corp", T288*(1 -'Investor Input'!$C$4-'Investor Input'!$C$5), T288*(1 -'Investor Input'!$C$4))), T288)</f>
        <v/>
      </c>
      <c r="V288" s="84" t="str">
        <f t="shared" si="61"/>
        <v/>
      </c>
      <c r="W288" s="84" t="str">
        <f t="shared" si="62"/>
        <v/>
      </c>
      <c r="X288" s="46" t="str">
        <f t="shared" si="63"/>
        <v/>
      </c>
      <c r="Y288" s="60" t="str">
        <f t="shared" si="64"/>
        <v/>
      </c>
      <c r="Z288" s="60" t="str">
        <f t="shared" si="65"/>
        <v/>
      </c>
      <c r="AA288" s="64" t="str">
        <f t="shared" si="66"/>
        <v/>
      </c>
      <c r="AB288" s="64" t="str">
        <f>IF(AND(AA288&lt;&gt;"",AA288&lt;&gt;0), IF(E288="Muni", AA288, IF(E288 = "Corp", (1-'Investor Input'!$C$4-'Investor Input'!$C$5)*AA288, (1-'Investor Input'!$C$4)*AA288)), AA288)</f>
        <v/>
      </c>
      <c r="AC288" s="94" t="str">
        <f t="shared" si="67"/>
        <v/>
      </c>
      <c r="AD288" s="60" t="str">
        <f>IF(AND(M288&lt;&gt;"", M288&lt;&gt;0), N288/$N$505*MATCH(AC288,'Misc Lists'!$K$2:$K$25,0), "")</f>
        <v/>
      </c>
      <c r="AE288" s="90" t="str">
        <f t="shared" si="68"/>
        <v/>
      </c>
      <c r="AF288" s="99" t="str">
        <f>IF(AND(M288&lt;&gt;"", M288&lt;&gt;0), N288/$N$505*MATCH(AE288,'Misc Lists'!$L$2:$L$25,0), "")</f>
        <v/>
      </c>
    </row>
    <row r="289" spans="2:32" hidden="1" outlineLevel="1" x14ac:dyDescent="0.5">
      <c r="B289" s="65" t="str">
        <f ca="1"/>
        <v>882508BG8</v>
      </c>
      <c r="C289" s="66" t="str">
        <f ca="1"/>
        <v>N/A</v>
      </c>
      <c r="D289" s="65" t="str">
        <f ca="1"/>
        <v>TEXAS INSTRS INC    NOTE CALL MAKE WHOLE2.25000% 09/04/2029</v>
      </c>
      <c r="E289" s="66" t="str">
        <f ca="1"/>
        <v>Corp</v>
      </c>
      <c r="F289" s="67">
        <f ca="1"/>
        <v>2.25</v>
      </c>
      <c r="G289" s="68">
        <f ca="1"/>
        <v>47365</v>
      </c>
      <c r="H289" s="66" t="str">
        <f ca="1"/>
        <v>AA3</v>
      </c>
      <c r="I289" s="66" t="str">
        <f ca="1"/>
        <v>A+</v>
      </c>
      <c r="J289" s="69">
        <f ca="1"/>
        <v>91.122</v>
      </c>
      <c r="K289" s="70">
        <f ca="1"/>
        <v>4.4589999999999996</v>
      </c>
      <c r="L289" s="70" t="str">
        <f ca="1"/>
        <v>100(10)</v>
      </c>
      <c r="M289" s="83"/>
      <c r="N289" s="84" t="str">
        <f t="shared" si="69"/>
        <v/>
      </c>
      <c r="O289" s="20" t="str">
        <f t="shared" si="70"/>
        <v/>
      </c>
      <c r="P289" s="64" t="str">
        <f t="shared" si="71"/>
        <v/>
      </c>
      <c r="Q289" s="85" t="str">
        <f t="shared" ca="1" si="72"/>
        <v/>
      </c>
      <c r="R289" s="86" t="str">
        <f t="shared" si="73"/>
        <v/>
      </c>
      <c r="S289" s="86" t="str">
        <f t="shared" si="74"/>
        <v/>
      </c>
      <c r="T289" s="104" t="str">
        <f t="shared" si="60"/>
        <v/>
      </c>
      <c r="U289" s="19" t="str">
        <f>IF(AND(M289&lt;&gt;"",M289&lt;&gt;0), IF(E289 = "Muni", T289, IF(E289="Corp", T289*(1 -'Investor Input'!$C$4-'Investor Input'!$C$5), T289*(1 -'Investor Input'!$C$4))), T289)</f>
        <v/>
      </c>
      <c r="V289" s="84" t="str">
        <f t="shared" si="61"/>
        <v/>
      </c>
      <c r="W289" s="84" t="str">
        <f t="shared" si="62"/>
        <v/>
      </c>
      <c r="X289" s="46" t="str">
        <f t="shared" si="63"/>
        <v/>
      </c>
      <c r="Y289" s="60" t="str">
        <f t="shared" si="64"/>
        <v/>
      </c>
      <c r="Z289" s="60" t="str">
        <f t="shared" si="65"/>
        <v/>
      </c>
      <c r="AA289" s="64" t="str">
        <f t="shared" si="66"/>
        <v/>
      </c>
      <c r="AB289" s="64" t="str">
        <f>IF(AND(AA289&lt;&gt;"",AA289&lt;&gt;0), IF(E289="Muni", AA289, IF(E289 = "Corp", (1-'Investor Input'!$C$4-'Investor Input'!$C$5)*AA289, (1-'Investor Input'!$C$4)*AA289)), AA289)</f>
        <v/>
      </c>
      <c r="AC289" s="94" t="str">
        <f t="shared" si="67"/>
        <v/>
      </c>
      <c r="AD289" s="60" t="str">
        <f>IF(AND(M289&lt;&gt;"", M289&lt;&gt;0), N289/$N$505*MATCH(AC289,'Misc Lists'!$K$2:$K$25,0), "")</f>
        <v/>
      </c>
      <c r="AE289" s="90" t="str">
        <f t="shared" si="68"/>
        <v/>
      </c>
      <c r="AF289" s="99" t="str">
        <f>IF(AND(M289&lt;&gt;"", M289&lt;&gt;0), N289/$N$505*MATCH(AE289,'Misc Lists'!$L$2:$L$25,0), "")</f>
        <v/>
      </c>
    </row>
    <row r="290" spans="2:32" hidden="1" outlineLevel="1" x14ac:dyDescent="0.5">
      <c r="B290" s="65" t="str">
        <f ca="1"/>
        <v>532457CQ9</v>
      </c>
      <c r="C290" s="66" t="str">
        <f ca="1"/>
        <v>N/A</v>
      </c>
      <c r="D290" s="65" t="str">
        <f ca="1"/>
        <v>ELI LILLY &amp;CO       NOTE CALL MAKE WHOLE4.20000% 08/14/2029</v>
      </c>
      <c r="E290" s="66" t="str">
        <f ca="1"/>
        <v>Corp</v>
      </c>
      <c r="F290" s="67">
        <f ca="1"/>
        <v>4.2</v>
      </c>
      <c r="G290" s="68">
        <f ca="1"/>
        <v>47344</v>
      </c>
      <c r="H290" s="66" t="str">
        <f ca="1"/>
        <v>AA3</v>
      </c>
      <c r="I290" s="66" t="str">
        <f ca="1"/>
        <v>A+</v>
      </c>
      <c r="J290" s="69">
        <f ca="1"/>
        <v>98.977000000000004</v>
      </c>
      <c r="K290" s="70">
        <f ca="1"/>
        <v>4.4569999999999999</v>
      </c>
      <c r="L290" s="70" t="str">
        <f ca="1"/>
        <v>500(2)</v>
      </c>
      <c r="M290" s="83"/>
      <c r="N290" s="84" t="str">
        <f t="shared" si="69"/>
        <v/>
      </c>
      <c r="O290" s="20" t="str">
        <f t="shared" si="70"/>
        <v/>
      </c>
      <c r="P290" s="64" t="str">
        <f t="shared" si="71"/>
        <v/>
      </c>
      <c r="Q290" s="85" t="str">
        <f t="shared" ca="1" si="72"/>
        <v/>
      </c>
      <c r="R290" s="86" t="str">
        <f t="shared" si="73"/>
        <v/>
      </c>
      <c r="S290" s="86" t="str">
        <f t="shared" si="74"/>
        <v/>
      </c>
      <c r="T290" s="104" t="str">
        <f t="shared" si="60"/>
        <v/>
      </c>
      <c r="U290" s="19" t="str">
        <f>IF(AND(M290&lt;&gt;"",M290&lt;&gt;0), IF(E290 = "Muni", T290, IF(E290="Corp", T290*(1 -'Investor Input'!$C$4-'Investor Input'!$C$5), T290*(1 -'Investor Input'!$C$4))), T290)</f>
        <v/>
      </c>
      <c r="V290" s="84" t="str">
        <f t="shared" si="61"/>
        <v/>
      </c>
      <c r="W290" s="84" t="str">
        <f t="shared" si="62"/>
        <v/>
      </c>
      <c r="X290" s="46" t="str">
        <f t="shared" si="63"/>
        <v/>
      </c>
      <c r="Y290" s="60" t="str">
        <f t="shared" si="64"/>
        <v/>
      </c>
      <c r="Z290" s="60" t="str">
        <f t="shared" si="65"/>
        <v/>
      </c>
      <c r="AA290" s="64" t="str">
        <f t="shared" si="66"/>
        <v/>
      </c>
      <c r="AB290" s="64" t="str">
        <f>IF(AND(AA290&lt;&gt;"",AA290&lt;&gt;0), IF(E290="Muni", AA290, IF(E290 = "Corp", (1-'Investor Input'!$C$4-'Investor Input'!$C$5)*AA290, (1-'Investor Input'!$C$4)*AA290)), AA290)</f>
        <v/>
      </c>
      <c r="AC290" s="94" t="str">
        <f t="shared" si="67"/>
        <v/>
      </c>
      <c r="AD290" s="60" t="str">
        <f>IF(AND(M290&lt;&gt;"", M290&lt;&gt;0), N290/$N$505*MATCH(AC290,'Misc Lists'!$K$2:$K$25,0), "")</f>
        <v/>
      </c>
      <c r="AE290" s="90" t="str">
        <f t="shared" si="68"/>
        <v/>
      </c>
      <c r="AF290" s="99" t="str">
        <f>IF(AND(M290&lt;&gt;"", M290&lt;&gt;0), N290/$N$505*MATCH(AE290,'Misc Lists'!$L$2:$L$25,0), "")</f>
        <v/>
      </c>
    </row>
    <row r="291" spans="2:32" hidden="1" outlineLevel="1" x14ac:dyDescent="0.5">
      <c r="B291" s="65" t="str">
        <f ca="1"/>
        <v>500630EH7</v>
      </c>
      <c r="C291" s="66" t="str">
        <f ca="1"/>
        <v>N/A</v>
      </c>
      <c r="D291" s="65" t="str">
        <f ca="1"/>
        <v>KOREA DEVELOPMENT   BANK NOTE           4.87500% 02/03/2030 ISIN #US500630EH79  SEDOL #BM8BMG8</v>
      </c>
      <c r="E291" s="66" t="str">
        <f ca="1"/>
        <v>Corp</v>
      </c>
      <c r="F291" s="67">
        <f ca="1"/>
        <v>4.875</v>
      </c>
      <c r="G291" s="68">
        <f ca="1"/>
        <v>47517</v>
      </c>
      <c r="H291" s="66" t="str">
        <f ca="1"/>
        <v>AA2</v>
      </c>
      <c r="I291" s="66" t="str">
        <f ca="1"/>
        <v>AA</v>
      </c>
      <c r="J291" s="69">
        <f ca="1"/>
        <v>101.833</v>
      </c>
      <c r="K291" s="70">
        <f ca="1"/>
        <v>4.4530000000000003</v>
      </c>
      <c r="L291" s="70" t="str">
        <f ca="1"/>
        <v>200(200)</v>
      </c>
      <c r="M291" s="83"/>
      <c r="N291" s="84" t="str">
        <f t="shared" si="69"/>
        <v/>
      </c>
      <c r="O291" s="20" t="str">
        <f t="shared" si="70"/>
        <v/>
      </c>
      <c r="P291" s="64" t="str">
        <f t="shared" si="71"/>
        <v/>
      </c>
      <c r="Q291" s="85" t="str">
        <f t="shared" ca="1" si="72"/>
        <v/>
      </c>
      <c r="R291" s="86" t="str">
        <f t="shared" si="73"/>
        <v/>
      </c>
      <c r="S291" s="86" t="str">
        <f t="shared" si="74"/>
        <v/>
      </c>
      <c r="T291" s="104" t="str">
        <f t="shared" si="60"/>
        <v/>
      </c>
      <c r="U291" s="19" t="str">
        <f>IF(AND(M291&lt;&gt;"",M291&lt;&gt;0), IF(E291 = "Muni", T291, IF(E291="Corp", T291*(1 -'Investor Input'!$C$4-'Investor Input'!$C$5), T291*(1 -'Investor Input'!$C$4))), T291)</f>
        <v/>
      </c>
      <c r="V291" s="84" t="str">
        <f t="shared" si="61"/>
        <v/>
      </c>
      <c r="W291" s="84" t="str">
        <f t="shared" si="62"/>
        <v/>
      </c>
      <c r="X291" s="46" t="str">
        <f t="shared" si="63"/>
        <v/>
      </c>
      <c r="Y291" s="60" t="str">
        <f t="shared" si="64"/>
        <v/>
      </c>
      <c r="Z291" s="60" t="str">
        <f t="shared" si="65"/>
        <v/>
      </c>
      <c r="AA291" s="64" t="str">
        <f t="shared" si="66"/>
        <v/>
      </c>
      <c r="AB291" s="64" t="str">
        <f>IF(AND(AA291&lt;&gt;"",AA291&lt;&gt;0), IF(E291="Muni", AA291, IF(E291 = "Corp", (1-'Investor Input'!$C$4-'Investor Input'!$C$5)*AA291, (1-'Investor Input'!$C$4)*AA291)), AA291)</f>
        <v/>
      </c>
      <c r="AC291" s="94" t="str">
        <f t="shared" si="67"/>
        <v/>
      </c>
      <c r="AD291" s="60" t="str">
        <f>IF(AND(M291&lt;&gt;"", M291&lt;&gt;0), N291/$N$505*MATCH(AC291,'Misc Lists'!$K$2:$K$25,0), "")</f>
        <v/>
      </c>
      <c r="AE291" s="90" t="str">
        <f t="shared" si="68"/>
        <v/>
      </c>
      <c r="AF291" s="99" t="str">
        <f>IF(AND(M291&lt;&gt;"", M291&lt;&gt;0), N291/$N$505*MATCH(AE291,'Misc Lists'!$L$2:$L$25,0), "")</f>
        <v/>
      </c>
    </row>
    <row r="292" spans="2:32" hidden="1" outlineLevel="1" x14ac:dyDescent="0.5">
      <c r="B292" s="65" t="str">
        <f ca="1"/>
        <v>166756AE6</v>
      </c>
      <c r="C292" s="66" t="str">
        <f ca="1"/>
        <v>N/A</v>
      </c>
      <c r="D292" s="65" t="str">
        <f ca="1"/>
        <v>CHEVRON USA INC     NOTE CALL MAKE WHOLE0.68700% 08/12/2025</v>
      </c>
      <c r="E292" s="66" t="str">
        <f ca="1"/>
        <v>Corp</v>
      </c>
      <c r="F292" s="67">
        <f ca="1"/>
        <v>0.68700000000000006</v>
      </c>
      <c r="G292" s="68">
        <f ca="1"/>
        <v>45881</v>
      </c>
      <c r="H292" s="66" t="str">
        <f ca="1"/>
        <v>AA2</v>
      </c>
      <c r="I292" s="66" t="str">
        <f ca="1"/>
        <v>AA-</v>
      </c>
      <c r="J292" s="69">
        <f ca="1"/>
        <v>98.460999999999999</v>
      </c>
      <c r="K292" s="70">
        <f ca="1"/>
        <v>4.4459999999999997</v>
      </c>
      <c r="L292" s="70" t="str">
        <f ca="1"/>
        <v>8(2)</v>
      </c>
      <c r="M292" s="83"/>
      <c r="N292" s="84" t="str">
        <f t="shared" si="69"/>
        <v/>
      </c>
      <c r="O292" s="20" t="str">
        <f t="shared" si="70"/>
        <v/>
      </c>
      <c r="P292" s="64" t="str">
        <f t="shared" si="71"/>
        <v/>
      </c>
      <c r="Q292" s="85" t="str">
        <f t="shared" ca="1" si="72"/>
        <v/>
      </c>
      <c r="R292" s="86" t="str">
        <f t="shared" si="73"/>
        <v/>
      </c>
      <c r="S292" s="86" t="str">
        <f t="shared" si="74"/>
        <v/>
      </c>
      <c r="T292" s="104" t="str">
        <f t="shared" si="60"/>
        <v/>
      </c>
      <c r="U292" s="19" t="str">
        <f>IF(AND(M292&lt;&gt;"",M292&lt;&gt;0), IF(E292 = "Muni", T292, IF(E292="Corp", T292*(1 -'Investor Input'!$C$4-'Investor Input'!$C$5), T292*(1 -'Investor Input'!$C$4))), T292)</f>
        <v/>
      </c>
      <c r="V292" s="84" t="str">
        <f t="shared" si="61"/>
        <v/>
      </c>
      <c r="W292" s="84" t="str">
        <f t="shared" si="62"/>
        <v/>
      </c>
      <c r="X292" s="46" t="str">
        <f t="shared" si="63"/>
        <v/>
      </c>
      <c r="Y292" s="60" t="str">
        <f t="shared" si="64"/>
        <v/>
      </c>
      <c r="Z292" s="60" t="str">
        <f t="shared" si="65"/>
        <v/>
      </c>
      <c r="AA292" s="64" t="str">
        <f t="shared" si="66"/>
        <v/>
      </c>
      <c r="AB292" s="64" t="str">
        <f>IF(AND(AA292&lt;&gt;"",AA292&lt;&gt;0), IF(E292="Muni", AA292, IF(E292 = "Corp", (1-'Investor Input'!$C$4-'Investor Input'!$C$5)*AA292, (1-'Investor Input'!$C$4)*AA292)), AA292)</f>
        <v/>
      </c>
      <c r="AC292" s="94" t="str">
        <f t="shared" si="67"/>
        <v/>
      </c>
      <c r="AD292" s="60" t="str">
        <f>IF(AND(M292&lt;&gt;"", M292&lt;&gt;0), N292/$N$505*MATCH(AC292,'Misc Lists'!$K$2:$K$25,0), "")</f>
        <v/>
      </c>
      <c r="AE292" s="90" t="str">
        <f t="shared" si="68"/>
        <v/>
      </c>
      <c r="AF292" s="99" t="str">
        <f>IF(AND(M292&lt;&gt;"", M292&lt;&gt;0), N292/$N$505*MATCH(AE292,'Misc Lists'!$L$2:$L$25,0), "")</f>
        <v/>
      </c>
    </row>
    <row r="293" spans="2:32" hidden="1" outlineLevel="1" x14ac:dyDescent="0.5">
      <c r="B293" s="65" t="str">
        <f ca="1"/>
        <v>857477CU5</v>
      </c>
      <c r="C293" s="66" t="str">
        <f ca="1"/>
        <v>N/A</v>
      </c>
      <c r="D293" s="65" t="str">
        <f ca="1"/>
        <v>STATE STR CORP      NOTE                4.53600% 02/28/2028</v>
      </c>
      <c r="E293" s="66" t="str">
        <f ca="1"/>
        <v>Corp</v>
      </c>
      <c r="F293" s="67">
        <f ca="1"/>
        <v>4.5359999999999996</v>
      </c>
      <c r="G293" s="68">
        <f ca="1"/>
        <v>46811</v>
      </c>
      <c r="H293" s="66" t="str">
        <f ca="1"/>
        <v>AA3</v>
      </c>
      <c r="I293" s="66" t="str">
        <f ca="1"/>
        <v>A</v>
      </c>
      <c r="J293" s="69">
        <f ca="1"/>
        <v>100.25</v>
      </c>
      <c r="K293" s="70">
        <f ca="1"/>
        <v>4.444</v>
      </c>
      <c r="L293" s="70" t="str">
        <f ca="1"/>
        <v>500( 2)</v>
      </c>
      <c r="M293" s="83"/>
      <c r="N293" s="84" t="str">
        <f t="shared" si="69"/>
        <v/>
      </c>
      <c r="O293" s="20" t="str">
        <f t="shared" si="70"/>
        <v/>
      </c>
      <c r="P293" s="64" t="str">
        <f t="shared" si="71"/>
        <v/>
      </c>
      <c r="Q293" s="85" t="str">
        <f t="shared" ca="1" si="72"/>
        <v/>
      </c>
      <c r="R293" s="86" t="str">
        <f t="shared" si="73"/>
        <v/>
      </c>
      <c r="S293" s="86" t="str">
        <f t="shared" si="74"/>
        <v/>
      </c>
      <c r="T293" s="104" t="str">
        <f t="shared" si="60"/>
        <v/>
      </c>
      <c r="U293" s="19" t="str">
        <f>IF(AND(M293&lt;&gt;"",M293&lt;&gt;0), IF(E293 = "Muni", T293, IF(E293="Corp", T293*(1 -'Investor Input'!$C$4-'Investor Input'!$C$5), T293*(1 -'Investor Input'!$C$4))), T293)</f>
        <v/>
      </c>
      <c r="V293" s="84" t="str">
        <f t="shared" si="61"/>
        <v/>
      </c>
      <c r="W293" s="84" t="str">
        <f t="shared" si="62"/>
        <v/>
      </c>
      <c r="X293" s="46" t="str">
        <f t="shared" si="63"/>
        <v/>
      </c>
      <c r="Y293" s="60" t="str">
        <f t="shared" si="64"/>
        <v/>
      </c>
      <c r="Z293" s="60" t="str">
        <f t="shared" si="65"/>
        <v/>
      </c>
      <c r="AA293" s="64" t="str">
        <f t="shared" si="66"/>
        <v/>
      </c>
      <c r="AB293" s="64" t="str">
        <f>IF(AND(AA293&lt;&gt;"",AA293&lt;&gt;0), IF(E293="Muni", AA293, IF(E293 = "Corp", (1-'Investor Input'!$C$4-'Investor Input'!$C$5)*AA293, (1-'Investor Input'!$C$4)*AA293)), AA293)</f>
        <v/>
      </c>
      <c r="AC293" s="94" t="str">
        <f t="shared" si="67"/>
        <v/>
      </c>
      <c r="AD293" s="60" t="str">
        <f>IF(AND(M293&lt;&gt;"", M293&lt;&gt;0), N293/$N$505*MATCH(AC293,'Misc Lists'!$K$2:$K$25,0), "")</f>
        <v/>
      </c>
      <c r="AE293" s="90" t="str">
        <f t="shared" si="68"/>
        <v/>
      </c>
      <c r="AF293" s="99" t="str">
        <f>IF(AND(M293&lt;&gt;"", M293&lt;&gt;0), N293/$N$505*MATCH(AE293,'Misc Lists'!$L$2:$L$25,0), "")</f>
        <v/>
      </c>
    </row>
    <row r="294" spans="2:32" hidden="1" outlineLevel="1" x14ac:dyDescent="0.5">
      <c r="B294" s="65" t="str">
        <f ca="1"/>
        <v>822582BD3</v>
      </c>
      <c r="C294" s="66" t="str">
        <f ca="1"/>
        <v>N/A</v>
      </c>
      <c r="D294" s="65" t="str">
        <f ca="1"/>
        <v>SHELL INTERNATIONAL FIN BV NOTE          3.25000% 05/11/2025CALL MAKE WHOLE     ISIN #US822582BD31</v>
      </c>
      <c r="E294" s="66" t="str">
        <f ca="1"/>
        <v>Corp</v>
      </c>
      <c r="F294" s="67">
        <f ca="1"/>
        <v>3.25</v>
      </c>
      <c r="G294" s="68">
        <f ca="1"/>
        <v>45788</v>
      </c>
      <c r="H294" s="66" t="str">
        <f ca="1"/>
        <v>AA2</v>
      </c>
      <c r="I294" s="66" t="str">
        <f ca="1"/>
        <v>A+</v>
      </c>
      <c r="J294" s="69">
        <f ca="1"/>
        <v>99.798000000000002</v>
      </c>
      <c r="K294" s="70">
        <f ca="1"/>
        <v>4.4429999999999996</v>
      </c>
      <c r="L294" s="70" t="str">
        <f ca="1"/>
        <v>6(1)</v>
      </c>
      <c r="M294" s="83"/>
      <c r="N294" s="84" t="str">
        <f t="shared" si="69"/>
        <v/>
      </c>
      <c r="O294" s="20" t="str">
        <f t="shared" si="70"/>
        <v/>
      </c>
      <c r="P294" s="64" t="str">
        <f t="shared" si="71"/>
        <v/>
      </c>
      <c r="Q294" s="85" t="str">
        <f t="shared" ca="1" si="72"/>
        <v/>
      </c>
      <c r="R294" s="86" t="str">
        <f t="shared" si="73"/>
        <v/>
      </c>
      <c r="S294" s="86" t="str">
        <f t="shared" si="74"/>
        <v/>
      </c>
      <c r="T294" s="104" t="str">
        <f t="shared" si="60"/>
        <v/>
      </c>
      <c r="U294" s="19" t="str">
        <f>IF(AND(M294&lt;&gt;"",M294&lt;&gt;0), IF(E294 = "Muni", T294, IF(E294="Corp", T294*(1 -'Investor Input'!$C$4-'Investor Input'!$C$5), T294*(1 -'Investor Input'!$C$4))), T294)</f>
        <v/>
      </c>
      <c r="V294" s="84" t="str">
        <f t="shared" si="61"/>
        <v/>
      </c>
      <c r="W294" s="84" t="str">
        <f t="shared" si="62"/>
        <v/>
      </c>
      <c r="X294" s="46" t="str">
        <f t="shared" si="63"/>
        <v/>
      </c>
      <c r="Y294" s="60" t="str">
        <f t="shared" si="64"/>
        <v/>
      </c>
      <c r="Z294" s="60" t="str">
        <f t="shared" si="65"/>
        <v/>
      </c>
      <c r="AA294" s="64" t="str">
        <f t="shared" si="66"/>
        <v/>
      </c>
      <c r="AB294" s="64" t="str">
        <f>IF(AND(AA294&lt;&gt;"",AA294&lt;&gt;0), IF(E294="Muni", AA294, IF(E294 = "Corp", (1-'Investor Input'!$C$4-'Investor Input'!$C$5)*AA294, (1-'Investor Input'!$C$4)*AA294)), AA294)</f>
        <v/>
      </c>
      <c r="AC294" s="94" t="str">
        <f t="shared" si="67"/>
        <v/>
      </c>
      <c r="AD294" s="60" t="str">
        <f>IF(AND(M294&lt;&gt;"", M294&lt;&gt;0), N294/$N$505*MATCH(AC294,'Misc Lists'!$K$2:$K$25,0), "")</f>
        <v/>
      </c>
      <c r="AE294" s="90" t="str">
        <f t="shared" si="68"/>
        <v/>
      </c>
      <c r="AF294" s="99" t="str">
        <f>IF(AND(M294&lt;&gt;"", M294&lt;&gt;0), N294/$N$505*MATCH(AE294,'Misc Lists'!$L$2:$L$25,0), "")</f>
        <v/>
      </c>
    </row>
    <row r="295" spans="2:32" hidden="1" outlineLevel="1" x14ac:dyDescent="0.5">
      <c r="B295" s="65" t="str">
        <f ca="1"/>
        <v>842434CQ3</v>
      </c>
      <c r="C295" s="66" t="str">
        <f ca="1"/>
        <v>N/A</v>
      </c>
      <c r="D295" s="65" t="str">
        <f ca="1"/>
        <v>SOUTHERN CALIF GAS  CO SER TT BOND      2.60000% 06/15/2026 CALL MAKE WHOLE</v>
      </c>
      <c r="E295" s="66" t="str">
        <f ca="1"/>
        <v>Corp</v>
      </c>
      <c r="F295" s="67">
        <f ca="1"/>
        <v>2.6</v>
      </c>
      <c r="G295" s="68">
        <f ca="1"/>
        <v>46188</v>
      </c>
      <c r="H295" s="66" t="str">
        <f ca="1"/>
        <v>AA3</v>
      </c>
      <c r="I295" s="66" t="str">
        <f ca="1"/>
        <v>A</v>
      </c>
      <c r="J295" s="69">
        <f ca="1"/>
        <v>97.769000000000005</v>
      </c>
      <c r="K295" s="70">
        <f ca="1"/>
        <v>4.4400000000000004</v>
      </c>
      <c r="L295" s="70" t="str">
        <f ca="1"/>
        <v>3(3)</v>
      </c>
      <c r="M295" s="83"/>
      <c r="N295" s="84" t="str">
        <f t="shared" si="69"/>
        <v/>
      </c>
      <c r="O295" s="20" t="str">
        <f t="shared" si="70"/>
        <v/>
      </c>
      <c r="P295" s="64" t="str">
        <f t="shared" si="71"/>
        <v/>
      </c>
      <c r="Q295" s="85" t="str">
        <f t="shared" ca="1" si="72"/>
        <v/>
      </c>
      <c r="R295" s="86" t="str">
        <f t="shared" si="73"/>
        <v/>
      </c>
      <c r="S295" s="86" t="str">
        <f t="shared" si="74"/>
        <v/>
      </c>
      <c r="T295" s="104" t="str">
        <f t="shared" si="60"/>
        <v/>
      </c>
      <c r="U295" s="19" t="str">
        <f>IF(AND(M295&lt;&gt;"",M295&lt;&gt;0), IF(E295 = "Muni", T295, IF(E295="Corp", T295*(1 -'Investor Input'!$C$4-'Investor Input'!$C$5), T295*(1 -'Investor Input'!$C$4))), T295)</f>
        <v/>
      </c>
      <c r="V295" s="84" t="str">
        <f t="shared" si="61"/>
        <v/>
      </c>
      <c r="W295" s="84" t="str">
        <f t="shared" si="62"/>
        <v/>
      </c>
      <c r="X295" s="46" t="str">
        <f t="shared" si="63"/>
        <v/>
      </c>
      <c r="Y295" s="60" t="str">
        <f t="shared" si="64"/>
        <v/>
      </c>
      <c r="Z295" s="60" t="str">
        <f t="shared" si="65"/>
        <v/>
      </c>
      <c r="AA295" s="64" t="str">
        <f t="shared" si="66"/>
        <v/>
      </c>
      <c r="AB295" s="64" t="str">
        <f>IF(AND(AA295&lt;&gt;"",AA295&lt;&gt;0), IF(E295="Muni", AA295, IF(E295 = "Corp", (1-'Investor Input'!$C$4-'Investor Input'!$C$5)*AA295, (1-'Investor Input'!$C$4)*AA295)), AA295)</f>
        <v/>
      </c>
      <c r="AC295" s="94" t="str">
        <f t="shared" si="67"/>
        <v/>
      </c>
      <c r="AD295" s="60" t="str">
        <f>IF(AND(M295&lt;&gt;"", M295&lt;&gt;0), N295/$N$505*MATCH(AC295,'Misc Lists'!$K$2:$K$25,0), "")</f>
        <v/>
      </c>
      <c r="AE295" s="90" t="str">
        <f t="shared" si="68"/>
        <v/>
      </c>
      <c r="AF295" s="99" t="str">
        <f>IF(AND(M295&lt;&gt;"", M295&lt;&gt;0), N295/$N$505*MATCH(AE295,'Misc Lists'!$L$2:$L$25,0), "")</f>
        <v/>
      </c>
    </row>
    <row r="296" spans="2:32" hidden="1" outlineLevel="1" x14ac:dyDescent="0.5">
      <c r="B296" s="65" t="str">
        <f ca="1"/>
        <v>26442UAG9</v>
      </c>
      <c r="C296" s="66" t="str">
        <f ca="1"/>
        <v>N/A</v>
      </c>
      <c r="D296" s="65" t="str">
        <f ca="1"/>
        <v>DUKE ENERGY PROGRESSLLC BOND            3.70000% 09/01/2028 CALL MAKE WHOLE</v>
      </c>
      <c r="E296" s="66" t="str">
        <f ca="1"/>
        <v>Corp</v>
      </c>
      <c r="F296" s="67">
        <f ca="1"/>
        <v>3.7</v>
      </c>
      <c r="G296" s="68">
        <f ca="1"/>
        <v>46997</v>
      </c>
      <c r="H296" s="66" t="str">
        <f ca="1"/>
        <v>AA3</v>
      </c>
      <c r="I296" s="66" t="str">
        <f ca="1"/>
        <v>A</v>
      </c>
      <c r="J296" s="69">
        <f ca="1"/>
        <v>97.646000000000001</v>
      </c>
      <c r="K296" s="70">
        <f ca="1"/>
        <v>4.4390000000000001</v>
      </c>
      <c r="L296" s="70" t="str">
        <f ca="1"/>
        <v>125(15)</v>
      </c>
      <c r="M296" s="83"/>
      <c r="N296" s="84" t="str">
        <f t="shared" si="69"/>
        <v/>
      </c>
      <c r="O296" s="20" t="str">
        <f t="shared" si="70"/>
        <v/>
      </c>
      <c r="P296" s="64" t="str">
        <f t="shared" si="71"/>
        <v/>
      </c>
      <c r="Q296" s="85" t="str">
        <f t="shared" ca="1" si="72"/>
        <v/>
      </c>
      <c r="R296" s="86" t="str">
        <f t="shared" si="73"/>
        <v/>
      </c>
      <c r="S296" s="86" t="str">
        <f t="shared" si="74"/>
        <v/>
      </c>
      <c r="T296" s="104" t="str">
        <f t="shared" si="60"/>
        <v/>
      </c>
      <c r="U296" s="19" t="str">
        <f>IF(AND(M296&lt;&gt;"",M296&lt;&gt;0), IF(E296 = "Muni", T296, IF(E296="Corp", T296*(1 -'Investor Input'!$C$4-'Investor Input'!$C$5), T296*(1 -'Investor Input'!$C$4))), T296)</f>
        <v/>
      </c>
      <c r="V296" s="84" t="str">
        <f t="shared" si="61"/>
        <v/>
      </c>
      <c r="W296" s="84" t="str">
        <f t="shared" si="62"/>
        <v/>
      </c>
      <c r="X296" s="46" t="str">
        <f t="shared" si="63"/>
        <v/>
      </c>
      <c r="Y296" s="60" t="str">
        <f t="shared" si="64"/>
        <v/>
      </c>
      <c r="Z296" s="60" t="str">
        <f t="shared" si="65"/>
        <v/>
      </c>
      <c r="AA296" s="64" t="str">
        <f t="shared" si="66"/>
        <v/>
      </c>
      <c r="AB296" s="64" t="str">
        <f>IF(AND(AA296&lt;&gt;"",AA296&lt;&gt;0), IF(E296="Muni", AA296, IF(E296 = "Corp", (1-'Investor Input'!$C$4-'Investor Input'!$C$5)*AA296, (1-'Investor Input'!$C$4)*AA296)), AA296)</f>
        <v/>
      </c>
      <c r="AC296" s="94" t="str">
        <f t="shared" si="67"/>
        <v/>
      </c>
      <c r="AD296" s="60" t="str">
        <f>IF(AND(M296&lt;&gt;"", M296&lt;&gt;0), N296/$N$505*MATCH(AC296,'Misc Lists'!$K$2:$K$25,0), "")</f>
        <v/>
      </c>
      <c r="AE296" s="90" t="str">
        <f t="shared" si="68"/>
        <v/>
      </c>
      <c r="AF296" s="99" t="str">
        <f>IF(AND(M296&lt;&gt;"", M296&lt;&gt;0), N296/$N$505*MATCH(AE296,'Misc Lists'!$L$2:$L$25,0), "")</f>
        <v/>
      </c>
    </row>
    <row r="297" spans="2:32" hidden="1" outlineLevel="1" x14ac:dyDescent="0.5">
      <c r="B297" s="65" t="str">
        <f ca="1"/>
        <v>341081GK7</v>
      </c>
      <c r="C297" s="66" t="str">
        <f ca="1"/>
        <v>N/A</v>
      </c>
      <c r="D297" s="65" t="str">
        <f ca="1"/>
        <v>FLORIDA PWR &amp;LT CO  BOND CALL MAKE WHOLE5.05000% 04/01/2028</v>
      </c>
      <c r="E297" s="66" t="str">
        <f ca="1"/>
        <v>Corp</v>
      </c>
      <c r="F297" s="67">
        <f ca="1"/>
        <v>5.05</v>
      </c>
      <c r="G297" s="68">
        <f ca="1"/>
        <v>46844</v>
      </c>
      <c r="H297" s="66" t="str">
        <f ca="1"/>
        <v>AA2</v>
      </c>
      <c r="I297" s="66" t="str">
        <f ca="1"/>
        <v>A+</v>
      </c>
      <c r="J297" s="69">
        <f ca="1"/>
        <v>101.735</v>
      </c>
      <c r="K297" s="70">
        <f ca="1"/>
        <v>4.4349999999999996</v>
      </c>
      <c r="L297" s="70" t="str">
        <f ca="1"/>
        <v>500(2)</v>
      </c>
      <c r="M297" s="83"/>
      <c r="N297" s="84" t="str">
        <f t="shared" si="69"/>
        <v/>
      </c>
      <c r="O297" s="20" t="str">
        <f t="shared" si="70"/>
        <v/>
      </c>
      <c r="P297" s="64" t="str">
        <f t="shared" si="71"/>
        <v/>
      </c>
      <c r="Q297" s="85" t="str">
        <f t="shared" ca="1" si="72"/>
        <v/>
      </c>
      <c r="R297" s="86" t="str">
        <f t="shared" si="73"/>
        <v/>
      </c>
      <c r="S297" s="86" t="str">
        <f t="shared" si="74"/>
        <v/>
      </c>
      <c r="T297" s="104" t="str">
        <f t="shared" si="60"/>
        <v/>
      </c>
      <c r="U297" s="19" t="str">
        <f>IF(AND(M297&lt;&gt;"",M297&lt;&gt;0), IF(E297 = "Muni", T297, IF(E297="Corp", T297*(1 -'Investor Input'!$C$4-'Investor Input'!$C$5), T297*(1 -'Investor Input'!$C$4))), T297)</f>
        <v/>
      </c>
      <c r="V297" s="84" t="str">
        <f t="shared" si="61"/>
        <v/>
      </c>
      <c r="W297" s="84" t="str">
        <f t="shared" si="62"/>
        <v/>
      </c>
      <c r="X297" s="46" t="str">
        <f t="shared" si="63"/>
        <v/>
      </c>
      <c r="Y297" s="60" t="str">
        <f t="shared" si="64"/>
        <v/>
      </c>
      <c r="Z297" s="60" t="str">
        <f t="shared" si="65"/>
        <v/>
      </c>
      <c r="AA297" s="64" t="str">
        <f t="shared" si="66"/>
        <v/>
      </c>
      <c r="AB297" s="64" t="str">
        <f>IF(AND(AA297&lt;&gt;"",AA297&lt;&gt;0), IF(E297="Muni", AA297, IF(E297 = "Corp", (1-'Investor Input'!$C$4-'Investor Input'!$C$5)*AA297, (1-'Investor Input'!$C$4)*AA297)), AA297)</f>
        <v/>
      </c>
      <c r="AC297" s="94" t="str">
        <f t="shared" si="67"/>
        <v/>
      </c>
      <c r="AD297" s="60" t="str">
        <f>IF(AND(M297&lt;&gt;"", M297&lt;&gt;0), N297/$N$505*MATCH(AC297,'Misc Lists'!$K$2:$K$25,0), "")</f>
        <v/>
      </c>
      <c r="AE297" s="90" t="str">
        <f t="shared" si="68"/>
        <v/>
      </c>
      <c r="AF297" s="99" t="str">
        <f>IF(AND(M297&lt;&gt;"", M297&lt;&gt;0), N297/$N$505*MATCH(AE297,'Misc Lists'!$L$2:$L$25,0), "")</f>
        <v/>
      </c>
    </row>
    <row r="298" spans="2:32" hidden="1" outlineLevel="1" x14ac:dyDescent="0.5">
      <c r="B298" s="65" t="str">
        <f ca="1"/>
        <v>66989HAT5</v>
      </c>
      <c r="C298" s="66" t="str">
        <f ca="1"/>
        <v>N/A</v>
      </c>
      <c r="D298" s="65" t="str">
        <f ca="1"/>
        <v>NOVARTIS CAPITAL    CORP NOTE           3.80000% 09/18/2029 CALL MAKE WHOLE</v>
      </c>
      <c r="E298" s="66" t="str">
        <f ca="1"/>
        <v>Corp</v>
      </c>
      <c r="F298" s="67">
        <f ca="1"/>
        <v>3.8</v>
      </c>
      <c r="G298" s="68">
        <f ca="1"/>
        <v>47379</v>
      </c>
      <c r="H298" s="66" t="str">
        <f ca="1"/>
        <v>AA3</v>
      </c>
      <c r="I298" s="66" t="str">
        <f ca="1"/>
        <v>AA-</v>
      </c>
      <c r="J298" s="69">
        <f ca="1"/>
        <v>97.43</v>
      </c>
      <c r="K298" s="70">
        <f ca="1"/>
        <v>4.4340000000000002</v>
      </c>
      <c r="L298" s="70" t="str">
        <f ca="1"/>
        <v>250(10)</v>
      </c>
      <c r="M298" s="83"/>
      <c r="N298" s="84" t="str">
        <f t="shared" si="69"/>
        <v/>
      </c>
      <c r="O298" s="20" t="str">
        <f t="shared" si="70"/>
        <v/>
      </c>
      <c r="P298" s="64" t="str">
        <f t="shared" si="71"/>
        <v/>
      </c>
      <c r="Q298" s="85" t="str">
        <f t="shared" ca="1" si="72"/>
        <v/>
      </c>
      <c r="R298" s="86" t="str">
        <f t="shared" si="73"/>
        <v/>
      </c>
      <c r="S298" s="86" t="str">
        <f t="shared" si="74"/>
        <v/>
      </c>
      <c r="T298" s="104" t="str">
        <f t="shared" si="60"/>
        <v/>
      </c>
      <c r="U298" s="19" t="str">
        <f>IF(AND(M298&lt;&gt;"",M298&lt;&gt;0), IF(E298 = "Muni", T298, IF(E298="Corp", T298*(1 -'Investor Input'!$C$4-'Investor Input'!$C$5), T298*(1 -'Investor Input'!$C$4))), T298)</f>
        <v/>
      </c>
      <c r="V298" s="84" t="str">
        <f t="shared" si="61"/>
        <v/>
      </c>
      <c r="W298" s="84" t="str">
        <f t="shared" si="62"/>
        <v/>
      </c>
      <c r="X298" s="46" t="str">
        <f t="shared" si="63"/>
        <v/>
      </c>
      <c r="Y298" s="60" t="str">
        <f t="shared" si="64"/>
        <v/>
      </c>
      <c r="Z298" s="60" t="str">
        <f t="shared" si="65"/>
        <v/>
      </c>
      <c r="AA298" s="64" t="str">
        <f t="shared" si="66"/>
        <v/>
      </c>
      <c r="AB298" s="64" t="str">
        <f>IF(AND(AA298&lt;&gt;"",AA298&lt;&gt;0), IF(E298="Muni", AA298, IF(E298 = "Corp", (1-'Investor Input'!$C$4-'Investor Input'!$C$5)*AA298, (1-'Investor Input'!$C$4)*AA298)), AA298)</f>
        <v/>
      </c>
      <c r="AC298" s="94" t="str">
        <f t="shared" si="67"/>
        <v/>
      </c>
      <c r="AD298" s="60" t="str">
        <f>IF(AND(M298&lt;&gt;"", M298&lt;&gt;0), N298/$N$505*MATCH(AC298,'Misc Lists'!$K$2:$K$25,0), "")</f>
        <v/>
      </c>
      <c r="AE298" s="90" t="str">
        <f t="shared" si="68"/>
        <v/>
      </c>
      <c r="AF298" s="99" t="str">
        <f>IF(AND(M298&lt;&gt;"", M298&lt;&gt;0), N298/$N$505*MATCH(AE298,'Misc Lists'!$L$2:$L$25,0), "")</f>
        <v/>
      </c>
    </row>
    <row r="299" spans="2:32" hidden="1" outlineLevel="1" x14ac:dyDescent="0.5">
      <c r="B299" s="65" t="str">
        <f ca="1"/>
        <v>29446MAD4</v>
      </c>
      <c r="C299" s="66" t="str">
        <f ca="1"/>
        <v>N/A</v>
      </c>
      <c r="D299" s="65" t="str">
        <f ca="1"/>
        <v>EQUINOR ASA         NOTE                2.87500% 04/06/2025</v>
      </c>
      <c r="E299" s="66" t="str">
        <f ca="1"/>
        <v>Corp</v>
      </c>
      <c r="F299" s="67">
        <f ca="1"/>
        <v>2.875</v>
      </c>
      <c r="G299" s="68">
        <f ca="1"/>
        <v>45753</v>
      </c>
      <c r="H299" s="66" t="str">
        <f ca="1"/>
        <v>AA2</v>
      </c>
      <c r="I299" s="66" t="str">
        <f ca="1"/>
        <v>AA-</v>
      </c>
      <c r="J299" s="69">
        <f ca="1"/>
        <v>99.893000000000001</v>
      </c>
      <c r="K299" s="70">
        <f ca="1"/>
        <v>4.43</v>
      </c>
      <c r="L299" s="70" t="str">
        <f ca="1"/>
        <v xml:space="preserve"> 250(1)</v>
      </c>
      <c r="M299" s="83"/>
      <c r="N299" s="84" t="str">
        <f t="shared" si="69"/>
        <v/>
      </c>
      <c r="O299" s="20" t="str">
        <f t="shared" si="70"/>
        <v/>
      </c>
      <c r="P299" s="64" t="str">
        <f t="shared" si="71"/>
        <v/>
      </c>
      <c r="Q299" s="85" t="str">
        <f t="shared" ca="1" si="72"/>
        <v/>
      </c>
      <c r="R299" s="86" t="str">
        <f t="shared" si="73"/>
        <v/>
      </c>
      <c r="S299" s="86" t="str">
        <f t="shared" si="74"/>
        <v/>
      </c>
      <c r="T299" s="104" t="str">
        <f t="shared" si="60"/>
        <v/>
      </c>
      <c r="U299" s="19" t="str">
        <f>IF(AND(M299&lt;&gt;"",M299&lt;&gt;0), IF(E299 = "Muni", T299, IF(E299="Corp", T299*(1 -'Investor Input'!$C$4-'Investor Input'!$C$5), T299*(1 -'Investor Input'!$C$4))), T299)</f>
        <v/>
      </c>
      <c r="V299" s="84" t="str">
        <f t="shared" si="61"/>
        <v/>
      </c>
      <c r="W299" s="84" t="str">
        <f t="shared" si="62"/>
        <v/>
      </c>
      <c r="X299" s="46" t="str">
        <f t="shared" si="63"/>
        <v/>
      </c>
      <c r="Y299" s="60" t="str">
        <f t="shared" si="64"/>
        <v/>
      </c>
      <c r="Z299" s="60" t="str">
        <f t="shared" si="65"/>
        <v/>
      </c>
      <c r="AA299" s="64" t="str">
        <f t="shared" si="66"/>
        <v/>
      </c>
      <c r="AB299" s="64" t="str">
        <f>IF(AND(AA299&lt;&gt;"",AA299&lt;&gt;0), IF(E299="Muni", AA299, IF(E299 = "Corp", (1-'Investor Input'!$C$4-'Investor Input'!$C$5)*AA299, (1-'Investor Input'!$C$4)*AA299)), AA299)</f>
        <v/>
      </c>
      <c r="AC299" s="94" t="str">
        <f t="shared" si="67"/>
        <v/>
      </c>
      <c r="AD299" s="60" t="str">
        <f>IF(AND(M299&lt;&gt;"", M299&lt;&gt;0), N299/$N$505*MATCH(AC299,'Misc Lists'!$K$2:$K$25,0), "")</f>
        <v/>
      </c>
      <c r="AE299" s="90" t="str">
        <f t="shared" si="68"/>
        <v/>
      </c>
      <c r="AF299" s="99" t="str">
        <f>IF(AND(M299&lt;&gt;"", M299&lt;&gt;0), N299/$N$505*MATCH(AE299,'Misc Lists'!$L$2:$L$25,0), "")</f>
        <v/>
      </c>
    </row>
    <row r="300" spans="2:32" hidden="1" outlineLevel="1" x14ac:dyDescent="0.5">
      <c r="B300" s="65" t="str">
        <f ca="1"/>
        <v>822582CB6</v>
      </c>
      <c r="C300" s="66" t="str">
        <f ca="1"/>
        <v>N/A</v>
      </c>
      <c r="D300" s="65" t="str">
        <f ca="1"/>
        <v>SHELL INTL.FIN.BV   NOTE CALL MAKE WHOLE3.87500% 11/13/2028</v>
      </c>
      <c r="E300" s="66" t="str">
        <f ca="1"/>
        <v>Corp</v>
      </c>
      <c r="F300" s="67">
        <f ca="1"/>
        <v>3.875</v>
      </c>
      <c r="G300" s="68">
        <f ca="1"/>
        <v>47070</v>
      </c>
      <c r="H300" s="66" t="str">
        <f ca="1"/>
        <v>AA2</v>
      </c>
      <c r="I300" s="66" t="str">
        <f ca="1"/>
        <v>A+</v>
      </c>
      <c r="J300" s="69">
        <f ca="1"/>
        <v>98.146000000000001</v>
      </c>
      <c r="K300" s="70">
        <f ca="1"/>
        <v>4.4269999999999996</v>
      </c>
      <c r="L300" s="70" t="str">
        <f ca="1"/>
        <v>500(1)</v>
      </c>
      <c r="M300" s="83"/>
      <c r="N300" s="84" t="str">
        <f t="shared" si="69"/>
        <v/>
      </c>
      <c r="O300" s="20" t="str">
        <f t="shared" si="70"/>
        <v/>
      </c>
      <c r="P300" s="64" t="str">
        <f t="shared" si="71"/>
        <v/>
      </c>
      <c r="Q300" s="85" t="str">
        <f t="shared" ca="1" si="72"/>
        <v/>
      </c>
      <c r="R300" s="86" t="str">
        <f t="shared" si="73"/>
        <v/>
      </c>
      <c r="S300" s="86" t="str">
        <f t="shared" si="74"/>
        <v/>
      </c>
      <c r="T300" s="104" t="str">
        <f t="shared" si="60"/>
        <v/>
      </c>
      <c r="U300" s="19" t="str">
        <f>IF(AND(M300&lt;&gt;"",M300&lt;&gt;0), IF(E300 = "Muni", T300, IF(E300="Corp", T300*(1 -'Investor Input'!$C$4-'Investor Input'!$C$5), T300*(1 -'Investor Input'!$C$4))), T300)</f>
        <v/>
      </c>
      <c r="V300" s="84" t="str">
        <f t="shared" si="61"/>
        <v/>
      </c>
      <c r="W300" s="84" t="str">
        <f t="shared" si="62"/>
        <v/>
      </c>
      <c r="X300" s="46" t="str">
        <f t="shared" si="63"/>
        <v/>
      </c>
      <c r="Y300" s="60" t="str">
        <f t="shared" si="64"/>
        <v/>
      </c>
      <c r="Z300" s="60" t="str">
        <f t="shared" si="65"/>
        <v/>
      </c>
      <c r="AA300" s="64" t="str">
        <f t="shared" si="66"/>
        <v/>
      </c>
      <c r="AB300" s="64" t="str">
        <f>IF(AND(AA300&lt;&gt;"",AA300&lt;&gt;0), IF(E300="Muni", AA300, IF(E300 = "Corp", (1-'Investor Input'!$C$4-'Investor Input'!$C$5)*AA300, (1-'Investor Input'!$C$4)*AA300)), AA300)</f>
        <v/>
      </c>
      <c r="AC300" s="94" t="str">
        <f t="shared" si="67"/>
        <v/>
      </c>
      <c r="AD300" s="60" t="str">
        <f>IF(AND(M300&lt;&gt;"", M300&lt;&gt;0), N300/$N$505*MATCH(AC300,'Misc Lists'!$K$2:$K$25,0), "")</f>
        <v/>
      </c>
      <c r="AE300" s="90" t="str">
        <f t="shared" si="68"/>
        <v/>
      </c>
      <c r="AF300" s="99" t="str">
        <f>IF(AND(M300&lt;&gt;"", M300&lt;&gt;0), N300/$N$505*MATCH(AE300,'Misc Lists'!$L$2:$L$25,0), "")</f>
        <v/>
      </c>
    </row>
    <row r="301" spans="2:32" hidden="1" outlineLevel="1" x14ac:dyDescent="0.5">
      <c r="B301" s="65" t="str">
        <f ca="1"/>
        <v>478160DJ0</v>
      </c>
      <c r="C301" s="66" t="str">
        <f ca="1"/>
        <v>N/A</v>
      </c>
      <c r="D301" s="65" t="str">
        <f ca="1"/>
        <v>JOHNSON &amp;JOHNSON    NOTE CALL MAKE WHOLE4.70000% 03/01/2030</v>
      </c>
      <c r="E301" s="66" t="str">
        <f ca="1"/>
        <v>Corp</v>
      </c>
      <c r="F301" s="67">
        <f ca="1"/>
        <v>4.7</v>
      </c>
      <c r="G301" s="68">
        <f ca="1"/>
        <v>47543</v>
      </c>
      <c r="H301" s="66" t="str">
        <f ca="1"/>
        <v>AAA</v>
      </c>
      <c r="I301" s="66" t="str">
        <f ca="1"/>
        <v>AAA</v>
      </c>
      <c r="J301" s="69">
        <f ca="1"/>
        <v>101.20699999999999</v>
      </c>
      <c r="K301" s="70">
        <f ca="1"/>
        <v>4.4260000000000002</v>
      </c>
      <c r="L301" s="70" t="str">
        <f ca="1"/>
        <v>316(2)</v>
      </c>
      <c r="M301" s="83"/>
      <c r="N301" s="84" t="str">
        <f t="shared" si="69"/>
        <v/>
      </c>
      <c r="O301" s="20" t="str">
        <f t="shared" si="70"/>
        <v/>
      </c>
      <c r="P301" s="64" t="str">
        <f t="shared" si="71"/>
        <v/>
      </c>
      <c r="Q301" s="85" t="str">
        <f t="shared" ca="1" si="72"/>
        <v/>
      </c>
      <c r="R301" s="86" t="str">
        <f t="shared" si="73"/>
        <v/>
      </c>
      <c r="S301" s="86" t="str">
        <f t="shared" si="74"/>
        <v/>
      </c>
      <c r="T301" s="104" t="str">
        <f t="shared" si="60"/>
        <v/>
      </c>
      <c r="U301" s="19" t="str">
        <f>IF(AND(M301&lt;&gt;"",M301&lt;&gt;0), IF(E301 = "Muni", T301, IF(E301="Corp", T301*(1 -'Investor Input'!$C$4-'Investor Input'!$C$5), T301*(1 -'Investor Input'!$C$4))), T301)</f>
        <v/>
      </c>
      <c r="V301" s="84" t="str">
        <f t="shared" si="61"/>
        <v/>
      </c>
      <c r="W301" s="84" t="str">
        <f t="shared" si="62"/>
        <v/>
      </c>
      <c r="X301" s="46" t="str">
        <f t="shared" si="63"/>
        <v/>
      </c>
      <c r="Y301" s="60" t="str">
        <f t="shared" si="64"/>
        <v/>
      </c>
      <c r="Z301" s="60" t="str">
        <f t="shared" si="65"/>
        <v/>
      </c>
      <c r="AA301" s="64" t="str">
        <f t="shared" si="66"/>
        <v/>
      </c>
      <c r="AB301" s="64" t="str">
        <f>IF(AND(AA301&lt;&gt;"",AA301&lt;&gt;0), IF(E301="Muni", AA301, IF(E301 = "Corp", (1-'Investor Input'!$C$4-'Investor Input'!$C$5)*AA301, (1-'Investor Input'!$C$4)*AA301)), AA301)</f>
        <v/>
      </c>
      <c r="AC301" s="94" t="str">
        <f t="shared" si="67"/>
        <v/>
      </c>
      <c r="AD301" s="60" t="str">
        <f>IF(AND(M301&lt;&gt;"", M301&lt;&gt;0), N301/$N$505*MATCH(AC301,'Misc Lists'!$K$2:$K$25,0), "")</f>
        <v/>
      </c>
      <c r="AE301" s="90" t="str">
        <f t="shared" si="68"/>
        <v/>
      </c>
      <c r="AF301" s="99" t="str">
        <f>IF(AND(M301&lt;&gt;"", M301&lt;&gt;0), N301/$N$505*MATCH(AE301,'Misc Lists'!$L$2:$L$25,0), "")</f>
        <v/>
      </c>
    </row>
    <row r="302" spans="2:32" hidden="1" outlineLevel="1" x14ac:dyDescent="0.5">
      <c r="B302" s="65" t="str">
        <f ca="1"/>
        <v>742718FH7</v>
      </c>
      <c r="C302" s="66" t="str">
        <f ca="1"/>
        <v>N/A</v>
      </c>
      <c r="D302" s="65" t="str">
        <f ca="1"/>
        <v>PROCTER &amp;GAMBLE CO  NOTE CALL MAKE WHOLE3.00000% 03/25/2030</v>
      </c>
      <c r="E302" s="66" t="str">
        <f ca="1"/>
        <v>Corp</v>
      </c>
      <c r="F302" s="67">
        <f ca="1"/>
        <v>3</v>
      </c>
      <c r="G302" s="68">
        <f ca="1"/>
        <v>47567</v>
      </c>
      <c r="H302" s="66" t="str">
        <f ca="1"/>
        <v>AA3</v>
      </c>
      <c r="I302" s="66" t="str">
        <f ca="1"/>
        <v>AA-</v>
      </c>
      <c r="J302" s="69">
        <f ca="1"/>
        <v>93.63</v>
      </c>
      <c r="K302" s="70">
        <f ca="1"/>
        <v>4.4249999999999998</v>
      </c>
      <c r="L302" s="70" t="str">
        <f ca="1"/>
        <v>475(2)</v>
      </c>
      <c r="M302" s="83"/>
      <c r="N302" s="84" t="str">
        <f t="shared" si="69"/>
        <v/>
      </c>
      <c r="O302" s="20" t="str">
        <f t="shared" si="70"/>
        <v/>
      </c>
      <c r="P302" s="64" t="str">
        <f t="shared" si="71"/>
        <v/>
      </c>
      <c r="Q302" s="85" t="str">
        <f t="shared" ca="1" si="72"/>
        <v/>
      </c>
      <c r="R302" s="86" t="str">
        <f t="shared" si="73"/>
        <v/>
      </c>
      <c r="S302" s="86" t="str">
        <f t="shared" si="74"/>
        <v/>
      </c>
      <c r="T302" s="104" t="str">
        <f t="shared" si="60"/>
        <v/>
      </c>
      <c r="U302" s="19" t="str">
        <f>IF(AND(M302&lt;&gt;"",M302&lt;&gt;0), IF(E302 = "Muni", T302, IF(E302="Corp", T302*(1 -'Investor Input'!$C$4-'Investor Input'!$C$5), T302*(1 -'Investor Input'!$C$4))), T302)</f>
        <v/>
      </c>
      <c r="V302" s="84" t="str">
        <f t="shared" si="61"/>
        <v/>
      </c>
      <c r="W302" s="84" t="str">
        <f t="shared" si="62"/>
        <v/>
      </c>
      <c r="X302" s="46" t="str">
        <f t="shared" si="63"/>
        <v/>
      </c>
      <c r="Y302" s="60" t="str">
        <f t="shared" si="64"/>
        <v/>
      </c>
      <c r="Z302" s="60" t="str">
        <f t="shared" si="65"/>
        <v/>
      </c>
      <c r="AA302" s="64" t="str">
        <f t="shared" si="66"/>
        <v/>
      </c>
      <c r="AB302" s="64" t="str">
        <f>IF(AND(AA302&lt;&gt;"",AA302&lt;&gt;0), IF(E302="Muni", AA302, IF(E302 = "Corp", (1-'Investor Input'!$C$4-'Investor Input'!$C$5)*AA302, (1-'Investor Input'!$C$4)*AA302)), AA302)</f>
        <v/>
      </c>
      <c r="AC302" s="94" t="str">
        <f t="shared" si="67"/>
        <v/>
      </c>
      <c r="AD302" s="60" t="str">
        <f>IF(AND(M302&lt;&gt;"", M302&lt;&gt;0), N302/$N$505*MATCH(AC302,'Misc Lists'!$K$2:$K$25,0), "")</f>
        <v/>
      </c>
      <c r="AE302" s="90" t="str">
        <f t="shared" si="68"/>
        <v/>
      </c>
      <c r="AF302" s="99" t="str">
        <f>IF(AND(M302&lt;&gt;"", M302&lt;&gt;0), N302/$N$505*MATCH(AE302,'Misc Lists'!$L$2:$L$25,0), "")</f>
        <v/>
      </c>
    </row>
    <row r="303" spans="2:32" hidden="1" outlineLevel="1" x14ac:dyDescent="0.5">
      <c r="B303" s="65" t="str">
        <f ca="1"/>
        <v>30303M8S4</v>
      </c>
      <c r="C303" s="66" t="str">
        <f ca="1"/>
        <v>N/A</v>
      </c>
      <c r="D303" s="65" t="str">
        <f ca="1"/>
        <v>META PLATFORMS INC  NOTE CALL MAKE WHOLE4.30000% 08/15/2029</v>
      </c>
      <c r="E303" s="66" t="str">
        <f ca="1"/>
        <v>Corp</v>
      </c>
      <c r="F303" s="67">
        <f ca="1"/>
        <v>4.3</v>
      </c>
      <c r="G303" s="68">
        <f ca="1"/>
        <v>47345</v>
      </c>
      <c r="H303" s="66" t="str">
        <f ca="1"/>
        <v>AA3</v>
      </c>
      <c r="I303" s="66" t="str">
        <f ca="1"/>
        <v>AA-</v>
      </c>
      <c r="J303" s="69">
        <f ca="1"/>
        <v>99.509</v>
      </c>
      <c r="K303" s="70">
        <f ca="1"/>
        <v>4.423</v>
      </c>
      <c r="L303" s="70" t="str">
        <f ca="1"/>
        <v>500(2)</v>
      </c>
      <c r="M303" s="83"/>
      <c r="N303" s="84" t="str">
        <f t="shared" si="69"/>
        <v/>
      </c>
      <c r="O303" s="20" t="str">
        <f t="shared" si="70"/>
        <v/>
      </c>
      <c r="P303" s="64" t="str">
        <f t="shared" si="71"/>
        <v/>
      </c>
      <c r="Q303" s="85" t="str">
        <f t="shared" ca="1" si="72"/>
        <v/>
      </c>
      <c r="R303" s="86" t="str">
        <f t="shared" si="73"/>
        <v/>
      </c>
      <c r="S303" s="86" t="str">
        <f t="shared" si="74"/>
        <v/>
      </c>
      <c r="T303" s="104" t="str">
        <f t="shared" si="60"/>
        <v/>
      </c>
      <c r="U303" s="19" t="str">
        <f>IF(AND(M303&lt;&gt;"",M303&lt;&gt;0), IF(E303 = "Muni", T303, IF(E303="Corp", T303*(1 -'Investor Input'!$C$4-'Investor Input'!$C$5), T303*(1 -'Investor Input'!$C$4))), T303)</f>
        <v/>
      </c>
      <c r="V303" s="84" t="str">
        <f t="shared" si="61"/>
        <v/>
      </c>
      <c r="W303" s="84" t="str">
        <f t="shared" si="62"/>
        <v/>
      </c>
      <c r="X303" s="46" t="str">
        <f t="shared" si="63"/>
        <v/>
      </c>
      <c r="Y303" s="60" t="str">
        <f t="shared" si="64"/>
        <v/>
      </c>
      <c r="Z303" s="60" t="str">
        <f t="shared" si="65"/>
        <v/>
      </c>
      <c r="AA303" s="64" t="str">
        <f t="shared" si="66"/>
        <v/>
      </c>
      <c r="AB303" s="64" t="str">
        <f>IF(AND(AA303&lt;&gt;"",AA303&lt;&gt;0), IF(E303="Muni", AA303, IF(E303 = "Corp", (1-'Investor Input'!$C$4-'Investor Input'!$C$5)*AA303, (1-'Investor Input'!$C$4)*AA303)), AA303)</f>
        <v/>
      </c>
      <c r="AC303" s="94" t="str">
        <f t="shared" si="67"/>
        <v/>
      </c>
      <c r="AD303" s="60" t="str">
        <f>IF(AND(M303&lt;&gt;"", M303&lt;&gt;0), N303/$N$505*MATCH(AC303,'Misc Lists'!$K$2:$K$25,0), "")</f>
        <v/>
      </c>
      <c r="AE303" s="90" t="str">
        <f t="shared" si="68"/>
        <v/>
      </c>
      <c r="AF303" s="99" t="str">
        <f>IF(AND(M303&lt;&gt;"", M303&lt;&gt;0), N303/$N$505*MATCH(AE303,'Misc Lists'!$L$2:$L$25,0), "")</f>
        <v/>
      </c>
    </row>
    <row r="304" spans="2:32" hidden="1" outlineLevel="1" x14ac:dyDescent="0.5">
      <c r="B304" s="65" t="str">
        <f ca="1"/>
        <v>23338VAN6</v>
      </c>
      <c r="C304" s="66" t="str">
        <f ca="1"/>
        <v>N/A</v>
      </c>
      <c r="D304" s="65" t="str">
        <f ca="1"/>
        <v>DTE ELEC CO         SER A BOND          1.90000% 04/01/2028 CALL MAKE WHOLE</v>
      </c>
      <c r="E304" s="66" t="str">
        <f ca="1"/>
        <v>Corp</v>
      </c>
      <c r="F304" s="67">
        <f ca="1"/>
        <v>1.9</v>
      </c>
      <c r="G304" s="68">
        <f ca="1"/>
        <v>46844</v>
      </c>
      <c r="H304" s="66" t="str">
        <f ca="1"/>
        <v>AA3</v>
      </c>
      <c r="I304" s="66" t="str">
        <f ca="1"/>
        <v>A</v>
      </c>
      <c r="J304" s="69">
        <f ca="1"/>
        <v>92.873000000000005</v>
      </c>
      <c r="K304" s="70">
        <f ca="1"/>
        <v>4.4210000000000003</v>
      </c>
      <c r="L304" s="70" t="str">
        <f ca="1"/>
        <v>500(2)</v>
      </c>
      <c r="M304" s="83"/>
      <c r="N304" s="84" t="str">
        <f t="shared" si="69"/>
        <v/>
      </c>
      <c r="O304" s="20" t="str">
        <f t="shared" si="70"/>
        <v/>
      </c>
      <c r="P304" s="64" t="str">
        <f t="shared" si="71"/>
        <v/>
      </c>
      <c r="Q304" s="85" t="str">
        <f t="shared" ca="1" si="72"/>
        <v/>
      </c>
      <c r="R304" s="86" t="str">
        <f t="shared" si="73"/>
        <v/>
      </c>
      <c r="S304" s="86" t="str">
        <f t="shared" si="74"/>
        <v/>
      </c>
      <c r="T304" s="104" t="str">
        <f t="shared" si="60"/>
        <v/>
      </c>
      <c r="U304" s="19" t="str">
        <f>IF(AND(M304&lt;&gt;"",M304&lt;&gt;0), IF(E304 = "Muni", T304, IF(E304="Corp", T304*(1 -'Investor Input'!$C$4-'Investor Input'!$C$5), T304*(1 -'Investor Input'!$C$4))), T304)</f>
        <v/>
      </c>
      <c r="V304" s="84" t="str">
        <f t="shared" si="61"/>
        <v/>
      </c>
      <c r="W304" s="84" t="str">
        <f t="shared" si="62"/>
        <v/>
      </c>
      <c r="X304" s="46" t="str">
        <f t="shared" si="63"/>
        <v/>
      </c>
      <c r="Y304" s="60" t="str">
        <f t="shared" si="64"/>
        <v/>
      </c>
      <c r="Z304" s="60" t="str">
        <f t="shared" si="65"/>
        <v/>
      </c>
      <c r="AA304" s="64" t="str">
        <f t="shared" si="66"/>
        <v/>
      </c>
      <c r="AB304" s="64" t="str">
        <f>IF(AND(AA304&lt;&gt;"",AA304&lt;&gt;0), IF(E304="Muni", AA304, IF(E304 = "Corp", (1-'Investor Input'!$C$4-'Investor Input'!$C$5)*AA304, (1-'Investor Input'!$C$4)*AA304)), AA304)</f>
        <v/>
      </c>
      <c r="AC304" s="94" t="str">
        <f t="shared" si="67"/>
        <v/>
      </c>
      <c r="AD304" s="60" t="str">
        <f>IF(AND(M304&lt;&gt;"", M304&lt;&gt;0), N304/$N$505*MATCH(AC304,'Misc Lists'!$K$2:$K$25,0), "")</f>
        <v/>
      </c>
      <c r="AE304" s="90" t="str">
        <f t="shared" si="68"/>
        <v/>
      </c>
      <c r="AF304" s="99" t="str">
        <f>IF(AND(M304&lt;&gt;"", M304&lt;&gt;0), N304/$N$505*MATCH(AE304,'Misc Lists'!$L$2:$L$25,0), "")</f>
        <v/>
      </c>
    </row>
    <row r="305" spans="2:32" outlineLevel="1" x14ac:dyDescent="0.5">
      <c r="B305" s="65" t="str">
        <f ca="1"/>
        <v>57636QAM6</v>
      </c>
      <c r="C305" s="66" t="str">
        <f ca="1"/>
        <v>N/A</v>
      </c>
      <c r="D305" s="65" t="str">
        <f ca="1"/>
        <v>MASTERCARD          INCORPORATED NOTE   2.95000% 06/01/2029 CALL MAKE WHOLE</v>
      </c>
      <c r="E305" s="66" t="str">
        <f ca="1"/>
        <v>Corp</v>
      </c>
      <c r="F305" s="67">
        <f ca="1"/>
        <v>2.95</v>
      </c>
      <c r="G305" s="68">
        <f ca="1"/>
        <v>47270</v>
      </c>
      <c r="H305" s="66" t="str">
        <f ca="1"/>
        <v>AA3</v>
      </c>
      <c r="I305" s="66" t="str">
        <f ca="1"/>
        <v>A+</v>
      </c>
      <c r="J305" s="69">
        <f ca="1"/>
        <v>94.411000000000001</v>
      </c>
      <c r="K305" s="70">
        <f ca="1"/>
        <v>4.415</v>
      </c>
      <c r="L305" s="70" t="str">
        <f ca="1"/>
        <v>500(2)</v>
      </c>
      <c r="M305" s="83">
        <v>50</v>
      </c>
      <c r="N305" s="84">
        <f t="shared" ca="1" si="69"/>
        <v>50000</v>
      </c>
      <c r="O305" s="20">
        <f t="shared" ca="1" si="70"/>
        <v>4.9626572448964651E-2</v>
      </c>
      <c r="P305" s="64">
        <f t="shared" ca="1" si="71"/>
        <v>29.5</v>
      </c>
      <c r="Q305" s="85">
        <f t="shared" ca="1" si="72"/>
        <v>45791.491364930553</v>
      </c>
      <c r="R305" s="86">
        <f t="shared" ca="1" si="73"/>
        <v>4</v>
      </c>
      <c r="S305" s="86">
        <f t="shared" ca="1" si="74"/>
        <v>3.7028439602426015</v>
      </c>
      <c r="T305" s="104">
        <f t="shared" ca="1" si="60"/>
        <v>2.9497557732416885E-2</v>
      </c>
      <c r="U305" s="19">
        <f ca="1">IF(AND(M305&lt;&gt;"",M305&lt;&gt;0), IF(E305 = "Muni", T305, IF(E305="Corp", T305*(1 -'Investor Input'!$C$4-'Investor Input'!$C$5), T305*(1 -'Investor Input'!$C$4))), T305)</f>
        <v>1.5928681175505117E-2</v>
      </c>
      <c r="V305" s="84">
        <f t="shared" ca="1" si="61"/>
        <v>53210.455295136766</v>
      </c>
      <c r="W305" s="84">
        <f t="shared" ca="1" si="62"/>
        <v>3210.4552951367659</v>
      </c>
      <c r="X305" s="46">
        <f t="shared" ca="1" si="63"/>
        <v>6.4209105902735319E-2</v>
      </c>
      <c r="Y305" s="60">
        <f t="shared" ca="1" si="64"/>
        <v>6</v>
      </c>
      <c r="Z305" s="60">
        <f t="shared" ca="1" si="65"/>
        <v>12</v>
      </c>
      <c r="AA305" s="64">
        <f t="shared" ca="1" si="66"/>
        <v>737.5</v>
      </c>
      <c r="AB305" s="64">
        <f ca="1">IF(AND(AA305&lt;&gt;"",AA305&lt;&gt;0), IF(E305="Muni", AA305, IF(E305 = "Corp", (1-'Investor Input'!$C$4-'Investor Input'!$C$5)*AA305, (1-'Investor Input'!$C$4)*AA305)), AA305)</f>
        <v>398.25</v>
      </c>
      <c r="AC305" s="94" t="str">
        <f t="shared" ca="1" si="67"/>
        <v>AA3</v>
      </c>
      <c r="AD305" s="60">
        <f ca="1">IF(AND(M305&lt;&gt;"", M305&lt;&gt;0), N305/$N$505*MATCH(AC305,'Misc Lists'!$K$2:$K$25,0), "")</f>
        <v>0.24813286224482325</v>
      </c>
      <c r="AE305" s="90" t="str">
        <f t="shared" ca="1" si="68"/>
        <v>A+</v>
      </c>
      <c r="AF305" s="99">
        <f ca="1">IF(AND(M305&lt;&gt;"", M305&lt;&gt;0), N305/$N$505*MATCH(AE305,'Misc Lists'!$L$2:$L$25,0), "")</f>
        <v>0.29775943469378791</v>
      </c>
    </row>
    <row r="306" spans="2:32" hidden="1" outlineLevel="1" x14ac:dyDescent="0.5">
      <c r="B306" s="65" t="str">
        <f ca="1"/>
        <v>037833DU1</v>
      </c>
      <c r="C306" s="66" t="str">
        <f ca="1"/>
        <v>N/A</v>
      </c>
      <c r="D306" s="65" t="str">
        <f ca="1"/>
        <v>APPLE INC           NOTE CALL MAKE WHOLE1.65000% 05/11/2030</v>
      </c>
      <c r="E306" s="66" t="str">
        <f ca="1"/>
        <v>Corp</v>
      </c>
      <c r="F306" s="67">
        <f ca="1"/>
        <v>1.65</v>
      </c>
      <c r="G306" s="68">
        <f ca="1"/>
        <v>47614</v>
      </c>
      <c r="H306" s="66" t="str">
        <f ca="1"/>
        <v>AAA</v>
      </c>
      <c r="I306" s="66" t="str">
        <f ca="1"/>
        <v>AA+</v>
      </c>
      <c r="J306" s="69">
        <f ca="1"/>
        <v>87.36</v>
      </c>
      <c r="K306" s="70">
        <f ca="1"/>
        <v>4.4139999999999997</v>
      </c>
      <c r="L306" s="70" t="str">
        <f ca="1"/>
        <v>500(2)</v>
      </c>
      <c r="M306" s="83"/>
      <c r="N306" s="84" t="str">
        <f t="shared" si="69"/>
        <v/>
      </c>
      <c r="O306" s="20" t="str">
        <f t="shared" si="70"/>
        <v/>
      </c>
      <c r="P306" s="64" t="str">
        <f t="shared" si="71"/>
        <v/>
      </c>
      <c r="Q306" s="85" t="str">
        <f t="shared" ca="1" si="72"/>
        <v/>
      </c>
      <c r="R306" s="86" t="str">
        <f t="shared" si="73"/>
        <v/>
      </c>
      <c r="S306" s="86" t="str">
        <f t="shared" si="74"/>
        <v/>
      </c>
      <c r="T306" s="104" t="str">
        <f t="shared" si="60"/>
        <v/>
      </c>
      <c r="U306" s="19" t="str">
        <f>IF(AND(M306&lt;&gt;"",M306&lt;&gt;0), IF(E306 = "Muni", T306, IF(E306="Corp", T306*(1 -'Investor Input'!$C$4-'Investor Input'!$C$5), T306*(1 -'Investor Input'!$C$4))), T306)</f>
        <v/>
      </c>
      <c r="V306" s="84" t="str">
        <f t="shared" si="61"/>
        <v/>
      </c>
      <c r="W306" s="84" t="str">
        <f t="shared" si="62"/>
        <v/>
      </c>
      <c r="X306" s="46" t="str">
        <f t="shared" si="63"/>
        <v/>
      </c>
      <c r="Y306" s="60" t="str">
        <f t="shared" si="64"/>
        <v/>
      </c>
      <c r="Z306" s="60" t="str">
        <f t="shared" si="65"/>
        <v/>
      </c>
      <c r="AA306" s="64" t="str">
        <f t="shared" si="66"/>
        <v/>
      </c>
      <c r="AB306" s="64" t="str">
        <f>IF(AND(AA306&lt;&gt;"",AA306&lt;&gt;0), IF(E306="Muni", AA306, IF(E306 = "Corp", (1-'Investor Input'!$C$4-'Investor Input'!$C$5)*AA306, (1-'Investor Input'!$C$4)*AA306)), AA306)</f>
        <v/>
      </c>
      <c r="AC306" s="94" t="str">
        <f t="shared" si="67"/>
        <v/>
      </c>
      <c r="AD306" s="60" t="str">
        <f>IF(AND(M306&lt;&gt;"", M306&lt;&gt;0), N306/$N$505*MATCH(AC306,'Misc Lists'!$K$2:$K$25,0), "")</f>
        <v/>
      </c>
      <c r="AE306" s="90" t="str">
        <f t="shared" si="68"/>
        <v/>
      </c>
      <c r="AF306" s="99" t="str">
        <f>IF(AND(M306&lt;&gt;"", M306&lt;&gt;0), N306/$N$505*MATCH(AE306,'Misc Lists'!$L$2:$L$25,0), "")</f>
        <v/>
      </c>
    </row>
    <row r="307" spans="2:32" hidden="1" outlineLevel="1" x14ac:dyDescent="0.5">
      <c r="B307" s="65" t="str">
        <f ca="1"/>
        <v>09290DAA9</v>
      </c>
      <c r="C307" s="66" t="str">
        <f ca="1"/>
        <v>N/A</v>
      </c>
      <c r="D307" s="65" t="str">
        <f ca="1"/>
        <v>BLACKROCK INC       NOTE CALL MAKE WHOLE4.70000% 03/14/2029</v>
      </c>
      <c r="E307" s="66" t="str">
        <f ca="1"/>
        <v>Corp</v>
      </c>
      <c r="F307" s="67">
        <f ca="1"/>
        <v>4.7</v>
      </c>
      <c r="G307" s="68">
        <f ca="1"/>
        <v>47191</v>
      </c>
      <c r="H307" s="66" t="str">
        <f ca="1"/>
        <v>AA3</v>
      </c>
      <c r="I307" s="66" t="str">
        <f ca="1"/>
        <v>AA-</v>
      </c>
      <c r="J307" s="69">
        <f ca="1"/>
        <v>101.057</v>
      </c>
      <c r="K307" s="70">
        <f ca="1"/>
        <v>4.4089999999999998</v>
      </c>
      <c r="L307" s="70" t="str">
        <f ca="1"/>
        <v>200(2)</v>
      </c>
      <c r="M307" s="83"/>
      <c r="N307" s="84" t="str">
        <f t="shared" si="69"/>
        <v/>
      </c>
      <c r="O307" s="20" t="str">
        <f t="shared" si="70"/>
        <v/>
      </c>
      <c r="P307" s="64" t="str">
        <f t="shared" si="71"/>
        <v/>
      </c>
      <c r="Q307" s="85" t="str">
        <f t="shared" ca="1" si="72"/>
        <v/>
      </c>
      <c r="R307" s="86" t="str">
        <f t="shared" si="73"/>
        <v/>
      </c>
      <c r="S307" s="86" t="str">
        <f t="shared" si="74"/>
        <v/>
      </c>
      <c r="T307" s="104" t="str">
        <f t="shared" si="60"/>
        <v/>
      </c>
      <c r="U307" s="19" t="str">
        <f>IF(AND(M307&lt;&gt;"",M307&lt;&gt;0), IF(E307 = "Muni", T307, IF(E307="Corp", T307*(1 -'Investor Input'!$C$4-'Investor Input'!$C$5), T307*(1 -'Investor Input'!$C$4))), T307)</f>
        <v/>
      </c>
      <c r="V307" s="84" t="str">
        <f t="shared" si="61"/>
        <v/>
      </c>
      <c r="W307" s="84" t="str">
        <f t="shared" si="62"/>
        <v/>
      </c>
      <c r="X307" s="46" t="str">
        <f t="shared" si="63"/>
        <v/>
      </c>
      <c r="Y307" s="60" t="str">
        <f t="shared" si="64"/>
        <v/>
      </c>
      <c r="Z307" s="60" t="str">
        <f t="shared" si="65"/>
        <v/>
      </c>
      <c r="AA307" s="64" t="str">
        <f t="shared" si="66"/>
        <v/>
      </c>
      <c r="AB307" s="64" t="str">
        <f>IF(AND(AA307&lt;&gt;"",AA307&lt;&gt;0), IF(E307="Muni", AA307, IF(E307 = "Corp", (1-'Investor Input'!$C$4-'Investor Input'!$C$5)*AA307, (1-'Investor Input'!$C$4)*AA307)), AA307)</f>
        <v/>
      </c>
      <c r="AC307" s="94" t="str">
        <f t="shared" si="67"/>
        <v/>
      </c>
      <c r="AD307" s="60" t="str">
        <f>IF(AND(M307&lt;&gt;"", M307&lt;&gt;0), N307/$N$505*MATCH(AC307,'Misc Lists'!$K$2:$K$25,0), "")</f>
        <v/>
      </c>
      <c r="AE307" s="90" t="str">
        <f t="shared" si="68"/>
        <v/>
      </c>
      <c r="AF307" s="99" t="str">
        <f>IF(AND(M307&lt;&gt;"", M307&lt;&gt;0), N307/$N$505*MATCH(AE307,'Misc Lists'!$L$2:$L$25,0), "")</f>
        <v/>
      </c>
    </row>
    <row r="308" spans="2:32" hidden="1" outlineLevel="1" x14ac:dyDescent="0.5">
      <c r="B308" s="65" t="str">
        <f ca="1"/>
        <v>842434CP5</v>
      </c>
      <c r="C308" s="66" t="str">
        <f ca="1"/>
        <v>N/A</v>
      </c>
      <c r="D308" s="65" t="str">
        <f ca="1"/>
        <v>SOUTHERN CALIF GAS  CO BOND             3.20000% 06/15/2025 CALL MAKE WHOLE</v>
      </c>
      <c r="E308" s="66" t="str">
        <f ca="1"/>
        <v>Corp</v>
      </c>
      <c r="F308" s="67">
        <f ca="1"/>
        <v>3.2</v>
      </c>
      <c r="G308" s="68">
        <f ca="1"/>
        <v>45823</v>
      </c>
      <c r="H308" s="66" t="str">
        <f ca="1"/>
        <v>AA3</v>
      </c>
      <c r="I308" s="66" t="str">
        <f ca="1"/>
        <v>A</v>
      </c>
      <c r="J308" s="69">
        <f ca="1"/>
        <v>99.683000000000007</v>
      </c>
      <c r="K308" s="70">
        <f ca="1"/>
        <v>4.407</v>
      </c>
      <c r="L308" s="70" t="str">
        <f ca="1"/>
        <v>5(1)</v>
      </c>
      <c r="M308" s="83"/>
      <c r="N308" s="84" t="str">
        <f t="shared" si="69"/>
        <v/>
      </c>
      <c r="O308" s="20" t="str">
        <f t="shared" si="70"/>
        <v/>
      </c>
      <c r="P308" s="64" t="str">
        <f t="shared" si="71"/>
        <v/>
      </c>
      <c r="Q308" s="85" t="str">
        <f t="shared" ca="1" si="72"/>
        <v/>
      </c>
      <c r="R308" s="86" t="str">
        <f t="shared" si="73"/>
        <v/>
      </c>
      <c r="S308" s="86" t="str">
        <f t="shared" si="74"/>
        <v/>
      </c>
      <c r="T308" s="104" t="str">
        <f t="shared" si="60"/>
        <v/>
      </c>
      <c r="U308" s="19" t="str">
        <f>IF(AND(M308&lt;&gt;"",M308&lt;&gt;0), IF(E308 = "Muni", T308, IF(E308="Corp", T308*(1 -'Investor Input'!$C$4-'Investor Input'!$C$5), T308*(1 -'Investor Input'!$C$4))), T308)</f>
        <v/>
      </c>
      <c r="V308" s="84" t="str">
        <f t="shared" si="61"/>
        <v/>
      </c>
      <c r="W308" s="84" t="str">
        <f t="shared" si="62"/>
        <v/>
      </c>
      <c r="X308" s="46" t="str">
        <f t="shared" si="63"/>
        <v/>
      </c>
      <c r="Y308" s="60" t="str">
        <f t="shared" si="64"/>
        <v/>
      </c>
      <c r="Z308" s="60" t="str">
        <f t="shared" si="65"/>
        <v/>
      </c>
      <c r="AA308" s="64" t="str">
        <f t="shared" si="66"/>
        <v/>
      </c>
      <c r="AB308" s="64" t="str">
        <f>IF(AND(AA308&lt;&gt;"",AA308&lt;&gt;0), IF(E308="Muni", AA308, IF(E308 = "Corp", (1-'Investor Input'!$C$4-'Investor Input'!$C$5)*AA308, (1-'Investor Input'!$C$4)*AA308)), AA308)</f>
        <v/>
      </c>
      <c r="AC308" s="94" t="str">
        <f t="shared" si="67"/>
        <v/>
      </c>
      <c r="AD308" s="60" t="str">
        <f>IF(AND(M308&lt;&gt;"", M308&lt;&gt;0), N308/$N$505*MATCH(AC308,'Misc Lists'!$K$2:$K$25,0), "")</f>
        <v/>
      </c>
      <c r="AE308" s="90" t="str">
        <f t="shared" si="68"/>
        <v/>
      </c>
      <c r="AF308" s="99" t="str">
        <f>IF(AND(M308&lt;&gt;"", M308&lt;&gt;0), N308/$N$505*MATCH(AE308,'Misc Lists'!$L$2:$L$25,0), "")</f>
        <v/>
      </c>
    </row>
    <row r="309" spans="2:32" outlineLevel="1" x14ac:dyDescent="0.5">
      <c r="B309" s="65" t="str">
        <f ca="1"/>
        <v>26442CAX2</v>
      </c>
      <c r="C309" s="66" t="str">
        <f ca="1"/>
        <v>N/A</v>
      </c>
      <c r="D309" s="65" t="str">
        <f ca="1"/>
        <v>DUKE ENERGY         CAROLINAS LLC BOND  3.95000% 11/15/2028 CALL MAKE WHOLE</v>
      </c>
      <c r="E309" s="66" t="str">
        <f ca="1"/>
        <v>Corp</v>
      </c>
      <c r="F309" s="67">
        <f ca="1"/>
        <v>3.95</v>
      </c>
      <c r="G309" s="68">
        <f ca="1"/>
        <v>47072</v>
      </c>
      <c r="H309" s="66" t="str">
        <f ca="1"/>
        <v>AA3</v>
      </c>
      <c r="I309" s="66" t="str">
        <f ca="1"/>
        <v>A</v>
      </c>
      <c r="J309" s="69">
        <f ca="1"/>
        <v>98.468000000000004</v>
      </c>
      <c r="K309" s="70">
        <f ca="1"/>
        <v>4.4050000000000002</v>
      </c>
      <c r="L309" s="70" t="str">
        <f ca="1"/>
        <v>500(2)</v>
      </c>
      <c r="M309" s="83">
        <v>10</v>
      </c>
      <c r="N309" s="84">
        <f t="shared" ca="1" si="69"/>
        <v>10000</v>
      </c>
      <c r="O309" s="20">
        <f t="shared" ca="1" si="70"/>
        <v>9.9253144897929312E-3</v>
      </c>
      <c r="P309" s="64">
        <f t="shared" ca="1" si="71"/>
        <v>39.5</v>
      </c>
      <c r="Q309" s="85">
        <f t="shared" ca="1" si="72"/>
        <v>45791.491364930553</v>
      </c>
      <c r="R309" s="86">
        <f t="shared" ca="1" si="73"/>
        <v>4</v>
      </c>
      <c r="S309" s="86">
        <f t="shared" ca="1" si="74"/>
        <v>3.1694275826606737</v>
      </c>
      <c r="T309" s="104">
        <f t="shared" ca="1" si="60"/>
        <v>3.9499669778352814E-2</v>
      </c>
      <c r="U309" s="19">
        <f ca="1">IF(AND(M309&lt;&gt;"",M309&lt;&gt;0), IF(E309 = "Muni", T309, IF(E309="Corp", T309*(1 -'Investor Input'!$C$4-'Investor Input'!$C$5), T309*(1 -'Investor Input'!$C$4))), T309)</f>
        <v>2.1329821680310522E-2</v>
      </c>
      <c r="V309" s="84">
        <f t="shared" ca="1" si="61"/>
        <v>10170.599498478008</v>
      </c>
      <c r="W309" s="84">
        <f t="shared" ca="1" si="62"/>
        <v>170.59949847800817</v>
      </c>
      <c r="X309" s="46">
        <f t="shared" ca="1" si="63"/>
        <v>1.7059949847800817E-2</v>
      </c>
      <c r="Y309" s="60">
        <f t="shared" ca="1" si="64"/>
        <v>11</v>
      </c>
      <c r="Z309" s="60">
        <f t="shared" ca="1" si="65"/>
        <v>5</v>
      </c>
      <c r="AA309" s="64">
        <f t="shared" ca="1" si="66"/>
        <v>197.5</v>
      </c>
      <c r="AB309" s="64">
        <f ca="1">IF(AND(AA309&lt;&gt;"",AA309&lt;&gt;0), IF(E309="Muni", AA309, IF(E309 = "Corp", (1-'Investor Input'!$C$4-'Investor Input'!$C$5)*AA309, (1-'Investor Input'!$C$4)*AA309)), AA309)</f>
        <v>106.65</v>
      </c>
      <c r="AC309" s="94" t="str">
        <f t="shared" ca="1" si="67"/>
        <v>AA3</v>
      </c>
      <c r="AD309" s="60">
        <f ca="1">IF(AND(M309&lt;&gt;"", M309&lt;&gt;0), N309/$N$505*MATCH(AC309,'Misc Lists'!$K$2:$K$25,0), "")</f>
        <v>4.9626572448964658E-2</v>
      </c>
      <c r="AE309" s="90" t="str">
        <f t="shared" ca="1" si="68"/>
        <v>A</v>
      </c>
      <c r="AF309" s="99">
        <f ca="1">IF(AND(M309&lt;&gt;"", M309&lt;&gt;0), N309/$N$505*MATCH(AE309,'Misc Lists'!$L$2:$L$25,0), "")</f>
        <v>6.9477201428550517E-2</v>
      </c>
    </row>
    <row r="310" spans="2:32" hidden="1" outlineLevel="1" x14ac:dyDescent="0.5">
      <c r="B310" s="65" t="str">
        <f ca="1"/>
        <v>17325FBJ6</v>
      </c>
      <c r="C310" s="66" t="str">
        <f ca="1"/>
        <v>N/A</v>
      </c>
      <c r="D310" s="65" t="str">
        <f ca="1"/>
        <v>CITIBANK N A        NOTE CALL MAKE WHOLE4.92900% 08/06/2026</v>
      </c>
      <c r="E310" s="66" t="str">
        <f ca="1"/>
        <v>Corp</v>
      </c>
      <c r="F310" s="67">
        <f ca="1"/>
        <v>4.9290000000000003</v>
      </c>
      <c r="G310" s="68">
        <f ca="1"/>
        <v>46240</v>
      </c>
      <c r="H310" s="66" t="str">
        <f ca="1"/>
        <v>AA3</v>
      </c>
      <c r="I310" s="66" t="str">
        <f ca="1"/>
        <v>A+</v>
      </c>
      <c r="J310" s="69">
        <f ca="1"/>
        <v>100.703</v>
      </c>
      <c r="K310" s="70">
        <f ca="1"/>
        <v>4.4029999999999996</v>
      </c>
      <c r="L310" s="70" t="str">
        <f ca="1"/>
        <v>500(250)</v>
      </c>
      <c r="M310" s="83"/>
      <c r="N310" s="84" t="str">
        <f t="shared" si="69"/>
        <v/>
      </c>
      <c r="O310" s="20" t="str">
        <f t="shared" si="70"/>
        <v/>
      </c>
      <c r="P310" s="64" t="str">
        <f t="shared" si="71"/>
        <v/>
      </c>
      <c r="Q310" s="85" t="str">
        <f t="shared" ca="1" si="72"/>
        <v/>
      </c>
      <c r="R310" s="86" t="str">
        <f t="shared" si="73"/>
        <v/>
      </c>
      <c r="S310" s="86" t="str">
        <f t="shared" si="74"/>
        <v/>
      </c>
      <c r="T310" s="104" t="str">
        <f t="shared" si="60"/>
        <v/>
      </c>
      <c r="U310" s="19" t="str">
        <f>IF(AND(M310&lt;&gt;"",M310&lt;&gt;0), IF(E310 = "Muni", T310, IF(E310="Corp", T310*(1 -'Investor Input'!$C$4-'Investor Input'!$C$5), T310*(1 -'Investor Input'!$C$4))), T310)</f>
        <v/>
      </c>
      <c r="V310" s="84" t="str">
        <f t="shared" si="61"/>
        <v/>
      </c>
      <c r="W310" s="84" t="str">
        <f t="shared" si="62"/>
        <v/>
      </c>
      <c r="X310" s="46" t="str">
        <f t="shared" si="63"/>
        <v/>
      </c>
      <c r="Y310" s="60" t="str">
        <f t="shared" si="64"/>
        <v/>
      </c>
      <c r="Z310" s="60" t="str">
        <f t="shared" si="65"/>
        <v/>
      </c>
      <c r="AA310" s="64" t="str">
        <f t="shared" si="66"/>
        <v/>
      </c>
      <c r="AB310" s="64" t="str">
        <f>IF(AND(AA310&lt;&gt;"",AA310&lt;&gt;0), IF(E310="Muni", AA310, IF(E310 = "Corp", (1-'Investor Input'!$C$4-'Investor Input'!$C$5)*AA310, (1-'Investor Input'!$C$4)*AA310)), AA310)</f>
        <v/>
      </c>
      <c r="AC310" s="94" t="str">
        <f t="shared" si="67"/>
        <v/>
      </c>
      <c r="AD310" s="60" t="str">
        <f>IF(AND(M310&lt;&gt;"", M310&lt;&gt;0), N310/$N$505*MATCH(AC310,'Misc Lists'!$K$2:$K$25,0), "")</f>
        <v/>
      </c>
      <c r="AE310" s="90" t="str">
        <f t="shared" si="68"/>
        <v/>
      </c>
      <c r="AF310" s="99" t="str">
        <f>IF(AND(M310&lt;&gt;"", M310&lt;&gt;0), N310/$N$505*MATCH(AE310,'Misc Lists'!$L$2:$L$25,0), "")</f>
        <v/>
      </c>
    </row>
    <row r="311" spans="2:32" hidden="1" outlineLevel="1" x14ac:dyDescent="0.5">
      <c r="B311" s="65" t="str">
        <f ca="1"/>
        <v>06406RAZ0</v>
      </c>
      <c r="C311" s="66" t="str">
        <f ca="1"/>
        <v>N/A</v>
      </c>
      <c r="D311" s="65" t="str">
        <f ca="1"/>
        <v>BANK NEW YORK MELLONCORP SER J MTN      1.90000% 01/25/2029</v>
      </c>
      <c r="E311" s="66" t="str">
        <f ca="1"/>
        <v>Corp</v>
      </c>
      <c r="F311" s="67">
        <f ca="1"/>
        <v>1.9</v>
      </c>
      <c r="G311" s="68">
        <f ca="1"/>
        <v>47143</v>
      </c>
      <c r="H311" s="66" t="str">
        <f ca="1"/>
        <v>AA3</v>
      </c>
      <c r="I311" s="66" t="str">
        <f ca="1"/>
        <v>A</v>
      </c>
      <c r="J311" s="69">
        <f ca="1"/>
        <v>91.188999999999993</v>
      </c>
      <c r="K311" s="70">
        <f ca="1"/>
        <v>4.4009999999999998</v>
      </c>
      <c r="L311" s="70" t="str">
        <f ca="1"/>
        <v>425(1)</v>
      </c>
      <c r="M311" s="83"/>
      <c r="N311" s="84" t="str">
        <f t="shared" si="69"/>
        <v/>
      </c>
      <c r="O311" s="20" t="str">
        <f t="shared" si="70"/>
        <v/>
      </c>
      <c r="P311" s="64" t="str">
        <f t="shared" si="71"/>
        <v/>
      </c>
      <c r="Q311" s="85" t="str">
        <f t="shared" ca="1" si="72"/>
        <v/>
      </c>
      <c r="R311" s="86" t="str">
        <f t="shared" si="73"/>
        <v/>
      </c>
      <c r="S311" s="86" t="str">
        <f t="shared" si="74"/>
        <v/>
      </c>
      <c r="T311" s="104" t="str">
        <f t="shared" si="60"/>
        <v/>
      </c>
      <c r="U311" s="19" t="str">
        <f>IF(AND(M311&lt;&gt;"",M311&lt;&gt;0), IF(E311 = "Muni", T311, IF(E311="Corp", T311*(1 -'Investor Input'!$C$4-'Investor Input'!$C$5), T311*(1 -'Investor Input'!$C$4))), T311)</f>
        <v/>
      </c>
      <c r="V311" s="84" t="str">
        <f t="shared" si="61"/>
        <v/>
      </c>
      <c r="W311" s="84" t="str">
        <f t="shared" si="62"/>
        <v/>
      </c>
      <c r="X311" s="46" t="str">
        <f t="shared" si="63"/>
        <v/>
      </c>
      <c r="Y311" s="60" t="str">
        <f t="shared" si="64"/>
        <v/>
      </c>
      <c r="Z311" s="60" t="str">
        <f t="shared" si="65"/>
        <v/>
      </c>
      <c r="AA311" s="64" t="str">
        <f t="shared" si="66"/>
        <v/>
      </c>
      <c r="AB311" s="64" t="str">
        <f>IF(AND(AA311&lt;&gt;"",AA311&lt;&gt;0), IF(E311="Muni", AA311, IF(E311 = "Corp", (1-'Investor Input'!$C$4-'Investor Input'!$C$5)*AA311, (1-'Investor Input'!$C$4)*AA311)), AA311)</f>
        <v/>
      </c>
      <c r="AC311" s="94" t="str">
        <f t="shared" si="67"/>
        <v/>
      </c>
      <c r="AD311" s="60" t="str">
        <f>IF(AND(M311&lt;&gt;"", M311&lt;&gt;0), N311/$N$505*MATCH(AC311,'Misc Lists'!$K$2:$K$25,0), "")</f>
        <v/>
      </c>
      <c r="AE311" s="90" t="str">
        <f t="shared" si="68"/>
        <v/>
      </c>
      <c r="AF311" s="99" t="str">
        <f>IF(AND(M311&lt;&gt;"", M311&lt;&gt;0), N311/$N$505*MATCH(AE311,'Misc Lists'!$L$2:$L$25,0), "")</f>
        <v/>
      </c>
    </row>
    <row r="312" spans="2:32" hidden="1" outlineLevel="1" x14ac:dyDescent="0.5">
      <c r="B312" s="65" t="str">
        <f ca="1"/>
        <v>94988J6F9</v>
      </c>
      <c r="C312" s="66" t="str">
        <f ca="1"/>
        <v>N/A</v>
      </c>
      <c r="D312" s="65" t="str">
        <f ca="1"/>
        <v>WELLS FARGO BANK    NATL ASSN NOTE      5.25400% 12/11/2026 CALL MAKE WHOLE</v>
      </c>
      <c r="E312" s="66" t="str">
        <f ca="1"/>
        <v>Corp</v>
      </c>
      <c r="F312" s="67">
        <f ca="1"/>
        <v>5.2539999999999996</v>
      </c>
      <c r="G312" s="68">
        <f ca="1"/>
        <v>46367</v>
      </c>
      <c r="H312" s="66" t="str">
        <f ca="1"/>
        <v>AA2</v>
      </c>
      <c r="I312" s="66" t="str">
        <f ca="1"/>
        <v>A+</v>
      </c>
      <c r="J312" s="69">
        <f ca="1"/>
        <v>101.41800000000001</v>
      </c>
      <c r="K312" s="70">
        <f ca="1"/>
        <v>4.3979999999999997</v>
      </c>
      <c r="L312" s="70" t="str">
        <f ca="1"/>
        <v>500(250)</v>
      </c>
      <c r="M312" s="83"/>
      <c r="N312" s="84" t="str">
        <f t="shared" si="69"/>
        <v/>
      </c>
      <c r="O312" s="20" t="str">
        <f t="shared" si="70"/>
        <v/>
      </c>
      <c r="P312" s="64" t="str">
        <f t="shared" si="71"/>
        <v/>
      </c>
      <c r="Q312" s="85" t="str">
        <f t="shared" ca="1" si="72"/>
        <v/>
      </c>
      <c r="R312" s="86" t="str">
        <f t="shared" si="73"/>
        <v/>
      </c>
      <c r="S312" s="86" t="str">
        <f t="shared" si="74"/>
        <v/>
      </c>
      <c r="T312" s="104" t="str">
        <f t="shared" si="60"/>
        <v/>
      </c>
      <c r="U312" s="19" t="str">
        <f>IF(AND(M312&lt;&gt;"",M312&lt;&gt;0), IF(E312 = "Muni", T312, IF(E312="Corp", T312*(1 -'Investor Input'!$C$4-'Investor Input'!$C$5), T312*(1 -'Investor Input'!$C$4))), T312)</f>
        <v/>
      </c>
      <c r="V312" s="84" t="str">
        <f t="shared" si="61"/>
        <v/>
      </c>
      <c r="W312" s="84" t="str">
        <f t="shared" si="62"/>
        <v/>
      </c>
      <c r="X312" s="46" t="str">
        <f t="shared" si="63"/>
        <v/>
      </c>
      <c r="Y312" s="60" t="str">
        <f t="shared" si="64"/>
        <v/>
      </c>
      <c r="Z312" s="60" t="str">
        <f t="shared" si="65"/>
        <v/>
      </c>
      <c r="AA312" s="64" t="str">
        <f t="shared" si="66"/>
        <v/>
      </c>
      <c r="AB312" s="64" t="str">
        <f>IF(AND(AA312&lt;&gt;"",AA312&lt;&gt;0), IF(E312="Muni", AA312, IF(E312 = "Corp", (1-'Investor Input'!$C$4-'Investor Input'!$C$5)*AA312, (1-'Investor Input'!$C$4)*AA312)), AA312)</f>
        <v/>
      </c>
      <c r="AC312" s="94" t="str">
        <f t="shared" si="67"/>
        <v/>
      </c>
      <c r="AD312" s="60" t="str">
        <f>IF(AND(M312&lt;&gt;"", M312&lt;&gt;0), N312/$N$505*MATCH(AC312,'Misc Lists'!$K$2:$K$25,0), "")</f>
        <v/>
      </c>
      <c r="AE312" s="90" t="str">
        <f t="shared" si="68"/>
        <v/>
      </c>
      <c r="AF312" s="99" t="str">
        <f>IF(AND(M312&lt;&gt;"", M312&lt;&gt;0), N312/$N$505*MATCH(AE312,'Misc Lists'!$L$2:$L$25,0), "")</f>
        <v/>
      </c>
    </row>
    <row r="313" spans="2:32" hidden="1" outlineLevel="1" x14ac:dyDescent="0.5">
      <c r="B313" s="65" t="str">
        <f ca="1"/>
        <v>06428CAA2</v>
      </c>
      <c r="C313" s="66" t="str">
        <f ca="1"/>
        <v>N/A</v>
      </c>
      <c r="D313" s="65" t="str">
        <f ca="1"/>
        <v>BANK OF AMERICA NA  NOTE CALL MAKE WHOLE5.52600% 08/18/2026</v>
      </c>
      <c r="E313" s="66" t="str">
        <f ca="1"/>
        <v>Corp</v>
      </c>
      <c r="F313" s="67">
        <f ca="1"/>
        <v>5.5259999999999998</v>
      </c>
      <c r="G313" s="68">
        <f ca="1"/>
        <v>46252</v>
      </c>
      <c r="H313" s="66" t="str">
        <f ca="1"/>
        <v>AA1</v>
      </c>
      <c r="I313" s="66" t="str">
        <f ca="1"/>
        <v>A+</v>
      </c>
      <c r="J313" s="69">
        <f ca="1"/>
        <v>101.557</v>
      </c>
      <c r="K313" s="70">
        <f ca="1"/>
        <v>4.391</v>
      </c>
      <c r="L313" s="70" t="str">
        <f ca="1"/>
        <v>600(250)</v>
      </c>
      <c r="M313" s="83"/>
      <c r="N313" s="84" t="str">
        <f t="shared" si="69"/>
        <v/>
      </c>
      <c r="O313" s="20" t="str">
        <f t="shared" si="70"/>
        <v/>
      </c>
      <c r="P313" s="64" t="str">
        <f t="shared" si="71"/>
        <v/>
      </c>
      <c r="Q313" s="85" t="str">
        <f t="shared" ca="1" si="72"/>
        <v/>
      </c>
      <c r="R313" s="86" t="str">
        <f t="shared" si="73"/>
        <v/>
      </c>
      <c r="S313" s="86" t="str">
        <f t="shared" si="74"/>
        <v/>
      </c>
      <c r="T313" s="104" t="str">
        <f t="shared" si="60"/>
        <v/>
      </c>
      <c r="U313" s="19" t="str">
        <f>IF(AND(M313&lt;&gt;"",M313&lt;&gt;0), IF(E313 = "Muni", T313, IF(E313="Corp", T313*(1 -'Investor Input'!$C$4-'Investor Input'!$C$5), T313*(1 -'Investor Input'!$C$4))), T313)</f>
        <v/>
      </c>
      <c r="V313" s="84" t="str">
        <f t="shared" si="61"/>
        <v/>
      </c>
      <c r="W313" s="84" t="str">
        <f t="shared" si="62"/>
        <v/>
      </c>
      <c r="X313" s="46" t="str">
        <f t="shared" si="63"/>
        <v/>
      </c>
      <c r="Y313" s="60" t="str">
        <f t="shared" si="64"/>
        <v/>
      </c>
      <c r="Z313" s="60" t="str">
        <f t="shared" si="65"/>
        <v/>
      </c>
      <c r="AA313" s="64" t="str">
        <f t="shared" si="66"/>
        <v/>
      </c>
      <c r="AB313" s="64" t="str">
        <f>IF(AND(AA313&lt;&gt;"",AA313&lt;&gt;0), IF(E313="Muni", AA313, IF(E313 = "Corp", (1-'Investor Input'!$C$4-'Investor Input'!$C$5)*AA313, (1-'Investor Input'!$C$4)*AA313)), AA313)</f>
        <v/>
      </c>
      <c r="AC313" s="94" t="str">
        <f t="shared" si="67"/>
        <v/>
      </c>
      <c r="AD313" s="60" t="str">
        <f>IF(AND(M313&lt;&gt;"", M313&lt;&gt;0), N313/$N$505*MATCH(AC313,'Misc Lists'!$K$2:$K$25,0), "")</f>
        <v/>
      </c>
      <c r="AE313" s="90" t="str">
        <f t="shared" si="68"/>
        <v/>
      </c>
      <c r="AF313" s="99" t="str">
        <f>IF(AND(M313&lt;&gt;"", M313&lt;&gt;0), N313/$N$505*MATCH(AE313,'Misc Lists'!$L$2:$L$25,0), "")</f>
        <v/>
      </c>
    </row>
    <row r="314" spans="2:32" hidden="1" outlineLevel="1" x14ac:dyDescent="0.5">
      <c r="B314" s="65" t="str">
        <f ca="1"/>
        <v>961214EW9</v>
      </c>
      <c r="C314" s="66" t="str">
        <f ca="1"/>
        <v>N/A</v>
      </c>
      <c r="D314" s="65" t="str">
        <f ca="1"/>
        <v>WESTPAC BKG CORP    NOTE                1.95300% 11/20/2028 ISIN #US961214EW94  SEDOL #BLD8TQ6</v>
      </c>
      <c r="E314" s="66" t="str">
        <f ca="1"/>
        <v>Corp</v>
      </c>
      <c r="F314" s="67">
        <f ca="1"/>
        <v>1.9530000000000001</v>
      </c>
      <c r="G314" s="68">
        <f ca="1"/>
        <v>47077</v>
      </c>
      <c r="H314" s="66" t="str">
        <f ca="1"/>
        <v>AA2</v>
      </c>
      <c r="I314" s="66" t="str">
        <f ca="1"/>
        <v>AA-</v>
      </c>
      <c r="J314" s="69">
        <f ca="1"/>
        <v>91.781000000000006</v>
      </c>
      <c r="K314" s="70">
        <f ca="1"/>
        <v>4.3899999999999997</v>
      </c>
      <c r="L314" s="70" t="str">
        <f ca="1"/>
        <v>475(2)</v>
      </c>
      <c r="M314" s="83"/>
      <c r="N314" s="84" t="str">
        <f t="shared" si="69"/>
        <v/>
      </c>
      <c r="O314" s="20" t="str">
        <f t="shared" si="70"/>
        <v/>
      </c>
      <c r="P314" s="64" t="str">
        <f t="shared" si="71"/>
        <v/>
      </c>
      <c r="Q314" s="85" t="str">
        <f t="shared" ca="1" si="72"/>
        <v/>
      </c>
      <c r="R314" s="86" t="str">
        <f t="shared" si="73"/>
        <v/>
      </c>
      <c r="S314" s="86" t="str">
        <f t="shared" si="74"/>
        <v/>
      </c>
      <c r="T314" s="104" t="str">
        <f t="shared" si="60"/>
        <v/>
      </c>
      <c r="U314" s="19" t="str">
        <f>IF(AND(M314&lt;&gt;"",M314&lt;&gt;0), IF(E314 = "Muni", T314, IF(E314="Corp", T314*(1 -'Investor Input'!$C$4-'Investor Input'!$C$5), T314*(1 -'Investor Input'!$C$4))), T314)</f>
        <v/>
      </c>
      <c r="V314" s="84" t="str">
        <f t="shared" si="61"/>
        <v/>
      </c>
      <c r="W314" s="84" t="str">
        <f t="shared" si="62"/>
        <v/>
      </c>
      <c r="X314" s="46" t="str">
        <f t="shared" si="63"/>
        <v/>
      </c>
      <c r="Y314" s="60" t="str">
        <f t="shared" si="64"/>
        <v/>
      </c>
      <c r="Z314" s="60" t="str">
        <f t="shared" si="65"/>
        <v/>
      </c>
      <c r="AA314" s="64" t="str">
        <f t="shared" si="66"/>
        <v/>
      </c>
      <c r="AB314" s="64" t="str">
        <f>IF(AND(AA314&lt;&gt;"",AA314&lt;&gt;0), IF(E314="Muni", AA314, IF(E314 = "Corp", (1-'Investor Input'!$C$4-'Investor Input'!$C$5)*AA314, (1-'Investor Input'!$C$4)*AA314)), AA314)</f>
        <v/>
      </c>
      <c r="AC314" s="94" t="str">
        <f t="shared" si="67"/>
        <v/>
      </c>
      <c r="AD314" s="60" t="str">
        <f>IF(AND(M314&lt;&gt;"", M314&lt;&gt;0), N314/$N$505*MATCH(AC314,'Misc Lists'!$K$2:$K$25,0), "")</f>
        <v/>
      </c>
      <c r="AE314" s="90" t="str">
        <f t="shared" si="68"/>
        <v/>
      </c>
      <c r="AF314" s="99" t="str">
        <f>IF(AND(M314&lt;&gt;"", M314&lt;&gt;0), N314/$N$505*MATCH(AE314,'Misc Lists'!$L$2:$L$25,0), "")</f>
        <v/>
      </c>
    </row>
    <row r="315" spans="2:32" hidden="1" outlineLevel="1" x14ac:dyDescent="0.5">
      <c r="B315" s="65" t="str">
        <f ca="1"/>
        <v>857477CD3</v>
      </c>
      <c r="C315" s="66" t="str">
        <f ca="1"/>
        <v>N/A</v>
      </c>
      <c r="D315" s="65" t="str">
        <f ca="1"/>
        <v>STATE STR CORP      NOTE                5.27200% 08/03/2026</v>
      </c>
      <c r="E315" s="66" t="str">
        <f ca="1"/>
        <v>Corp</v>
      </c>
      <c r="F315" s="67">
        <f ca="1"/>
        <v>5.2720000000000002</v>
      </c>
      <c r="G315" s="68">
        <f ca="1"/>
        <v>46237</v>
      </c>
      <c r="H315" s="66" t="str">
        <f ca="1"/>
        <v>AA3</v>
      </c>
      <c r="I315" s="66" t="str">
        <f ca="1"/>
        <v>A</v>
      </c>
      <c r="J315" s="69">
        <f ca="1"/>
        <v>101.175</v>
      </c>
      <c r="K315" s="70">
        <f ca="1"/>
        <v>4.3890000000000002</v>
      </c>
      <c r="L315" s="70" t="str">
        <f ca="1"/>
        <v>500(9)</v>
      </c>
      <c r="M315" s="83"/>
      <c r="N315" s="84" t="str">
        <f t="shared" si="69"/>
        <v/>
      </c>
      <c r="O315" s="20" t="str">
        <f t="shared" si="70"/>
        <v/>
      </c>
      <c r="P315" s="64" t="str">
        <f t="shared" si="71"/>
        <v/>
      </c>
      <c r="Q315" s="85" t="str">
        <f t="shared" ca="1" si="72"/>
        <v/>
      </c>
      <c r="R315" s="86" t="str">
        <f t="shared" si="73"/>
        <v/>
      </c>
      <c r="S315" s="86" t="str">
        <f t="shared" si="74"/>
        <v/>
      </c>
      <c r="T315" s="104" t="str">
        <f t="shared" si="60"/>
        <v/>
      </c>
      <c r="U315" s="19" t="str">
        <f>IF(AND(M315&lt;&gt;"",M315&lt;&gt;0), IF(E315 = "Muni", T315, IF(E315="Corp", T315*(1 -'Investor Input'!$C$4-'Investor Input'!$C$5), T315*(1 -'Investor Input'!$C$4))), T315)</f>
        <v/>
      </c>
      <c r="V315" s="84" t="str">
        <f t="shared" si="61"/>
        <v/>
      </c>
      <c r="W315" s="84" t="str">
        <f t="shared" si="62"/>
        <v/>
      </c>
      <c r="X315" s="46" t="str">
        <f t="shared" si="63"/>
        <v/>
      </c>
      <c r="Y315" s="60" t="str">
        <f t="shared" si="64"/>
        <v/>
      </c>
      <c r="Z315" s="60" t="str">
        <f t="shared" si="65"/>
        <v/>
      </c>
      <c r="AA315" s="64" t="str">
        <f t="shared" si="66"/>
        <v/>
      </c>
      <c r="AB315" s="64" t="str">
        <f>IF(AND(AA315&lt;&gt;"",AA315&lt;&gt;0), IF(E315="Muni", AA315, IF(E315 = "Corp", (1-'Investor Input'!$C$4-'Investor Input'!$C$5)*AA315, (1-'Investor Input'!$C$4)*AA315)), AA315)</f>
        <v/>
      </c>
      <c r="AC315" s="94" t="str">
        <f t="shared" si="67"/>
        <v/>
      </c>
      <c r="AD315" s="60" t="str">
        <f>IF(AND(M315&lt;&gt;"", M315&lt;&gt;0), N315/$N$505*MATCH(AC315,'Misc Lists'!$K$2:$K$25,0), "")</f>
        <v/>
      </c>
      <c r="AE315" s="90" t="str">
        <f t="shared" si="68"/>
        <v/>
      </c>
      <c r="AF315" s="99" t="str">
        <f>IF(AND(M315&lt;&gt;"", M315&lt;&gt;0), N315/$N$505*MATCH(AE315,'Misc Lists'!$L$2:$L$25,0), "")</f>
        <v/>
      </c>
    </row>
    <row r="316" spans="2:32" hidden="1" outlineLevel="1" x14ac:dyDescent="0.5">
      <c r="B316" s="65" t="str">
        <f ca="1"/>
        <v>822582CD2</v>
      </c>
      <c r="C316" s="66" t="str">
        <f ca="1"/>
        <v>N/A</v>
      </c>
      <c r="D316" s="65" t="str">
        <f ca="1"/>
        <v>SHELL INTERNATIONAL FIN BV NOTE         2.37500% 11/07/2029 CALL MAKE WHOLE</v>
      </c>
      <c r="E316" s="66" t="str">
        <f ca="1"/>
        <v>Corp</v>
      </c>
      <c r="F316" s="67">
        <f ca="1"/>
        <v>2.375</v>
      </c>
      <c r="G316" s="68">
        <f ca="1"/>
        <v>47429</v>
      </c>
      <c r="H316" s="66" t="str">
        <f ca="1"/>
        <v>AA2</v>
      </c>
      <c r="I316" s="66" t="str">
        <f ca="1"/>
        <v>A+</v>
      </c>
      <c r="J316" s="69">
        <f ca="1"/>
        <v>91.605999999999995</v>
      </c>
      <c r="K316" s="70">
        <f ca="1"/>
        <v>4.3890000000000002</v>
      </c>
      <c r="L316" s="70" t="str">
        <f ca="1"/>
        <v>200(5)</v>
      </c>
      <c r="M316" s="83"/>
      <c r="N316" s="84" t="str">
        <f t="shared" si="69"/>
        <v/>
      </c>
      <c r="O316" s="20" t="str">
        <f t="shared" si="70"/>
        <v/>
      </c>
      <c r="P316" s="64" t="str">
        <f t="shared" si="71"/>
        <v/>
      </c>
      <c r="Q316" s="85" t="str">
        <f t="shared" ca="1" si="72"/>
        <v/>
      </c>
      <c r="R316" s="86" t="str">
        <f t="shared" si="73"/>
        <v/>
      </c>
      <c r="S316" s="86" t="str">
        <f t="shared" si="74"/>
        <v/>
      </c>
      <c r="T316" s="104" t="str">
        <f t="shared" si="60"/>
        <v/>
      </c>
      <c r="U316" s="19" t="str">
        <f>IF(AND(M316&lt;&gt;"",M316&lt;&gt;0), IF(E316 = "Muni", T316, IF(E316="Corp", T316*(1 -'Investor Input'!$C$4-'Investor Input'!$C$5), T316*(1 -'Investor Input'!$C$4))), T316)</f>
        <v/>
      </c>
      <c r="V316" s="84" t="str">
        <f t="shared" si="61"/>
        <v/>
      </c>
      <c r="W316" s="84" t="str">
        <f t="shared" si="62"/>
        <v/>
      </c>
      <c r="X316" s="46" t="str">
        <f t="shared" si="63"/>
        <v/>
      </c>
      <c r="Y316" s="60" t="str">
        <f t="shared" si="64"/>
        <v/>
      </c>
      <c r="Z316" s="60" t="str">
        <f t="shared" si="65"/>
        <v/>
      </c>
      <c r="AA316" s="64" t="str">
        <f t="shared" si="66"/>
        <v/>
      </c>
      <c r="AB316" s="64" t="str">
        <f>IF(AND(AA316&lt;&gt;"",AA316&lt;&gt;0), IF(E316="Muni", AA316, IF(E316 = "Corp", (1-'Investor Input'!$C$4-'Investor Input'!$C$5)*AA316, (1-'Investor Input'!$C$4)*AA316)), AA316)</f>
        <v/>
      </c>
      <c r="AC316" s="94" t="str">
        <f t="shared" si="67"/>
        <v/>
      </c>
      <c r="AD316" s="60" t="str">
        <f>IF(AND(M316&lt;&gt;"", M316&lt;&gt;0), N316/$N$505*MATCH(AC316,'Misc Lists'!$K$2:$K$25,0), "")</f>
        <v/>
      </c>
      <c r="AE316" s="90" t="str">
        <f t="shared" si="68"/>
        <v/>
      </c>
      <c r="AF316" s="99" t="str">
        <f>IF(AND(M316&lt;&gt;"", M316&lt;&gt;0), N316/$N$505*MATCH(AE316,'Misc Lists'!$L$2:$L$25,0), "")</f>
        <v/>
      </c>
    </row>
    <row r="317" spans="2:32" hidden="1" outlineLevel="1" x14ac:dyDescent="0.5">
      <c r="B317" s="65" t="str">
        <f ca="1"/>
        <v>961214FN8</v>
      </c>
      <c r="C317" s="66" t="str">
        <f ca="1"/>
        <v>N/A</v>
      </c>
      <c r="D317" s="65" t="str">
        <f ca="1"/>
        <v>WESTPAC BANKING     CORPORATION NOTE    5.53500% 11/17/2028 ISIN #US961214FN86  SEDOL #BMGC1Y4</v>
      </c>
      <c r="E317" s="66" t="str">
        <f ca="1"/>
        <v>Corp</v>
      </c>
      <c r="F317" s="67">
        <f ca="1"/>
        <v>5.5350000000000001</v>
      </c>
      <c r="G317" s="68">
        <f ca="1"/>
        <v>47074</v>
      </c>
      <c r="H317" s="66" t="str">
        <f ca="1"/>
        <v>AA2</v>
      </c>
      <c r="I317" s="66" t="str">
        <f ca="1"/>
        <v>AA-</v>
      </c>
      <c r="J317" s="69">
        <f ca="1"/>
        <v>103.858</v>
      </c>
      <c r="K317" s="70">
        <f ca="1"/>
        <v>4.3860000000000001</v>
      </c>
      <c r="L317" s="70" t="str">
        <f ca="1"/>
        <v>475(10)</v>
      </c>
      <c r="M317" s="83"/>
      <c r="N317" s="84" t="str">
        <f t="shared" si="69"/>
        <v/>
      </c>
      <c r="O317" s="20" t="str">
        <f t="shared" si="70"/>
        <v/>
      </c>
      <c r="P317" s="64" t="str">
        <f t="shared" si="71"/>
        <v/>
      </c>
      <c r="Q317" s="85" t="str">
        <f t="shared" ca="1" si="72"/>
        <v/>
      </c>
      <c r="R317" s="86" t="str">
        <f t="shared" si="73"/>
        <v/>
      </c>
      <c r="S317" s="86" t="str">
        <f t="shared" si="74"/>
        <v/>
      </c>
      <c r="T317" s="104" t="str">
        <f t="shared" si="60"/>
        <v/>
      </c>
      <c r="U317" s="19" t="str">
        <f>IF(AND(M317&lt;&gt;"",M317&lt;&gt;0), IF(E317 = "Muni", T317, IF(E317="Corp", T317*(1 -'Investor Input'!$C$4-'Investor Input'!$C$5), T317*(1 -'Investor Input'!$C$4))), T317)</f>
        <v/>
      </c>
      <c r="V317" s="84" t="str">
        <f t="shared" si="61"/>
        <v/>
      </c>
      <c r="W317" s="84" t="str">
        <f t="shared" si="62"/>
        <v/>
      </c>
      <c r="X317" s="46" t="str">
        <f t="shared" si="63"/>
        <v/>
      </c>
      <c r="Y317" s="60" t="str">
        <f t="shared" si="64"/>
        <v/>
      </c>
      <c r="Z317" s="60" t="str">
        <f t="shared" si="65"/>
        <v/>
      </c>
      <c r="AA317" s="64" t="str">
        <f t="shared" si="66"/>
        <v/>
      </c>
      <c r="AB317" s="64" t="str">
        <f>IF(AND(AA317&lt;&gt;"",AA317&lt;&gt;0), IF(E317="Muni", AA317, IF(E317 = "Corp", (1-'Investor Input'!$C$4-'Investor Input'!$C$5)*AA317, (1-'Investor Input'!$C$4)*AA317)), AA317)</f>
        <v/>
      </c>
      <c r="AC317" s="94" t="str">
        <f t="shared" si="67"/>
        <v/>
      </c>
      <c r="AD317" s="60" t="str">
        <f>IF(AND(M317&lt;&gt;"", M317&lt;&gt;0), N317/$N$505*MATCH(AC317,'Misc Lists'!$K$2:$K$25,0), "")</f>
        <v/>
      </c>
      <c r="AE317" s="90" t="str">
        <f t="shared" si="68"/>
        <v/>
      </c>
      <c r="AF317" s="99" t="str">
        <f>IF(AND(M317&lt;&gt;"", M317&lt;&gt;0), N317/$N$505*MATCH(AE317,'Misc Lists'!$L$2:$L$25,0), "")</f>
        <v/>
      </c>
    </row>
    <row r="318" spans="2:32" hidden="1" outlineLevel="1" x14ac:dyDescent="0.5">
      <c r="B318" s="65" t="str">
        <f ca="1"/>
        <v>882508CG7</v>
      </c>
      <c r="C318" s="66" t="str">
        <f ca="1"/>
        <v>N/A</v>
      </c>
      <c r="D318" s="65" t="str">
        <f ca="1"/>
        <v>TEXAS INSTRS INC    NOTE CALL MAKE WHOLE4.60000% 02/08/2029</v>
      </c>
      <c r="E318" s="66" t="str">
        <f ca="1"/>
        <v>Corp</v>
      </c>
      <c r="F318" s="67">
        <f ca="1"/>
        <v>4.5999999999999996</v>
      </c>
      <c r="G318" s="68">
        <f ca="1"/>
        <v>47157</v>
      </c>
      <c r="H318" s="66" t="str">
        <f ca="1"/>
        <v>AA3</v>
      </c>
      <c r="I318" s="66" t="str">
        <f ca="1"/>
        <v>A+</v>
      </c>
      <c r="J318" s="69">
        <f ca="1"/>
        <v>100.75700000000001</v>
      </c>
      <c r="K318" s="70">
        <f ca="1"/>
        <v>4.3860000000000001</v>
      </c>
      <c r="L318" s="70" t="str">
        <f ca="1"/>
        <v>500(2)</v>
      </c>
      <c r="M318" s="83"/>
      <c r="N318" s="84" t="str">
        <f t="shared" si="69"/>
        <v/>
      </c>
      <c r="O318" s="20" t="str">
        <f t="shared" si="70"/>
        <v/>
      </c>
      <c r="P318" s="64" t="str">
        <f t="shared" si="71"/>
        <v/>
      </c>
      <c r="Q318" s="85" t="str">
        <f t="shared" ca="1" si="72"/>
        <v/>
      </c>
      <c r="R318" s="86" t="str">
        <f t="shared" si="73"/>
        <v/>
      </c>
      <c r="S318" s="86" t="str">
        <f t="shared" si="74"/>
        <v/>
      </c>
      <c r="T318" s="104" t="str">
        <f t="shared" si="60"/>
        <v/>
      </c>
      <c r="U318" s="19" t="str">
        <f>IF(AND(M318&lt;&gt;"",M318&lt;&gt;0), IF(E318 = "Muni", T318, IF(E318="Corp", T318*(1 -'Investor Input'!$C$4-'Investor Input'!$C$5), T318*(1 -'Investor Input'!$C$4))), T318)</f>
        <v/>
      </c>
      <c r="V318" s="84" t="str">
        <f t="shared" si="61"/>
        <v/>
      </c>
      <c r="W318" s="84" t="str">
        <f t="shared" si="62"/>
        <v/>
      </c>
      <c r="X318" s="46" t="str">
        <f t="shared" si="63"/>
        <v/>
      </c>
      <c r="Y318" s="60" t="str">
        <f t="shared" si="64"/>
        <v/>
      </c>
      <c r="Z318" s="60" t="str">
        <f t="shared" si="65"/>
        <v/>
      </c>
      <c r="AA318" s="64" t="str">
        <f t="shared" si="66"/>
        <v/>
      </c>
      <c r="AB318" s="64" t="str">
        <f>IF(AND(AA318&lt;&gt;"",AA318&lt;&gt;0), IF(E318="Muni", AA318, IF(E318 = "Corp", (1-'Investor Input'!$C$4-'Investor Input'!$C$5)*AA318, (1-'Investor Input'!$C$4)*AA318)), AA318)</f>
        <v/>
      </c>
      <c r="AC318" s="94" t="str">
        <f t="shared" si="67"/>
        <v/>
      </c>
      <c r="AD318" s="60" t="str">
        <f>IF(AND(M318&lt;&gt;"", M318&lt;&gt;0), N318/$N$505*MATCH(AC318,'Misc Lists'!$K$2:$K$25,0), "")</f>
        <v/>
      </c>
      <c r="AE318" s="90" t="str">
        <f t="shared" si="68"/>
        <v/>
      </c>
      <c r="AF318" s="99" t="str">
        <f>IF(AND(M318&lt;&gt;"", M318&lt;&gt;0), N318/$N$505*MATCH(AE318,'Misc Lists'!$L$2:$L$25,0), "")</f>
        <v/>
      </c>
    </row>
    <row r="319" spans="2:32" hidden="1" outlineLevel="1" x14ac:dyDescent="0.5">
      <c r="B319" s="65" t="str">
        <f ca="1"/>
        <v>822582CG5</v>
      </c>
      <c r="C319" s="66" t="str">
        <f ca="1"/>
        <v>N/A</v>
      </c>
      <c r="D319" s="65" t="str">
        <f ca="1"/>
        <v>SHELL INTERNATIONAL FIN BV NOTE         2.75000% 04/06/2030 CALL MAKE WHOLE</v>
      </c>
      <c r="E319" s="66" t="str">
        <f ca="1"/>
        <v>Corp</v>
      </c>
      <c r="F319" s="67">
        <f ca="1"/>
        <v>2.75</v>
      </c>
      <c r="G319" s="68">
        <f ca="1"/>
        <v>47579</v>
      </c>
      <c r="H319" s="66" t="str">
        <f ca="1"/>
        <v>AA2</v>
      </c>
      <c r="I319" s="66" t="str">
        <f ca="1"/>
        <v>A+</v>
      </c>
      <c r="J319" s="69">
        <f ca="1"/>
        <v>92.638999999999996</v>
      </c>
      <c r="K319" s="70">
        <f ca="1"/>
        <v>4.3860000000000001</v>
      </c>
      <c r="L319" s="70" t="str">
        <f ca="1"/>
        <v>500(1)</v>
      </c>
      <c r="M319" s="83"/>
      <c r="N319" s="84" t="str">
        <f t="shared" si="69"/>
        <v/>
      </c>
      <c r="O319" s="20" t="str">
        <f t="shared" si="70"/>
        <v/>
      </c>
      <c r="P319" s="64" t="str">
        <f t="shared" si="71"/>
        <v/>
      </c>
      <c r="Q319" s="85" t="str">
        <f t="shared" ca="1" si="72"/>
        <v/>
      </c>
      <c r="R319" s="86" t="str">
        <f t="shared" si="73"/>
        <v/>
      </c>
      <c r="S319" s="86" t="str">
        <f t="shared" si="74"/>
        <v/>
      </c>
      <c r="T319" s="104" t="str">
        <f t="shared" si="60"/>
        <v/>
      </c>
      <c r="U319" s="19" t="str">
        <f>IF(AND(M319&lt;&gt;"",M319&lt;&gt;0), IF(E319 = "Muni", T319, IF(E319="Corp", T319*(1 -'Investor Input'!$C$4-'Investor Input'!$C$5), T319*(1 -'Investor Input'!$C$4))), T319)</f>
        <v/>
      </c>
      <c r="V319" s="84" t="str">
        <f t="shared" si="61"/>
        <v/>
      </c>
      <c r="W319" s="84" t="str">
        <f t="shared" si="62"/>
        <v/>
      </c>
      <c r="X319" s="46" t="str">
        <f t="shared" si="63"/>
        <v/>
      </c>
      <c r="Y319" s="60" t="str">
        <f t="shared" si="64"/>
        <v/>
      </c>
      <c r="Z319" s="60" t="str">
        <f t="shared" si="65"/>
        <v/>
      </c>
      <c r="AA319" s="64" t="str">
        <f t="shared" si="66"/>
        <v/>
      </c>
      <c r="AB319" s="64" t="str">
        <f>IF(AND(AA319&lt;&gt;"",AA319&lt;&gt;0), IF(E319="Muni", AA319, IF(E319 = "Corp", (1-'Investor Input'!$C$4-'Investor Input'!$C$5)*AA319, (1-'Investor Input'!$C$4)*AA319)), AA319)</f>
        <v/>
      </c>
      <c r="AC319" s="94" t="str">
        <f t="shared" si="67"/>
        <v/>
      </c>
      <c r="AD319" s="60" t="str">
        <f>IF(AND(M319&lt;&gt;"", M319&lt;&gt;0), N319/$N$505*MATCH(AC319,'Misc Lists'!$K$2:$K$25,0), "")</f>
        <v/>
      </c>
      <c r="AE319" s="90" t="str">
        <f t="shared" si="68"/>
        <v/>
      </c>
      <c r="AF319" s="99" t="str">
        <f>IF(AND(M319&lt;&gt;"", M319&lt;&gt;0), N319/$N$505*MATCH(AE319,'Misc Lists'!$L$2:$L$25,0), "")</f>
        <v/>
      </c>
    </row>
    <row r="320" spans="2:32" hidden="1" outlineLevel="1" x14ac:dyDescent="0.5">
      <c r="B320" s="65" t="str">
        <f ca="1"/>
        <v>341081GN1</v>
      </c>
      <c r="C320" s="66" t="str">
        <f ca="1"/>
        <v>N/A</v>
      </c>
      <c r="D320" s="65" t="str">
        <f ca="1"/>
        <v>FLORIDA PWR &amp;LT CO  BOND CALL MAKE WHOLE4.40000% 05/15/2028</v>
      </c>
      <c r="E320" s="66" t="str">
        <f ca="1"/>
        <v>Corp</v>
      </c>
      <c r="F320" s="67">
        <f ca="1"/>
        <v>4.4000000000000004</v>
      </c>
      <c r="G320" s="68">
        <f ca="1"/>
        <v>46888</v>
      </c>
      <c r="H320" s="66" t="str">
        <f ca="1"/>
        <v>AA2</v>
      </c>
      <c r="I320" s="66" t="str">
        <f ca="1"/>
        <v>A+</v>
      </c>
      <c r="J320" s="69">
        <f ca="1"/>
        <v>100.041</v>
      </c>
      <c r="K320" s="70">
        <f ca="1"/>
        <v>4.3840000000000003</v>
      </c>
      <c r="L320" s="70" t="str">
        <f ca="1"/>
        <v>550(2)</v>
      </c>
      <c r="M320" s="83"/>
      <c r="N320" s="84" t="str">
        <f t="shared" si="69"/>
        <v/>
      </c>
      <c r="O320" s="20" t="str">
        <f t="shared" si="70"/>
        <v/>
      </c>
      <c r="P320" s="64" t="str">
        <f t="shared" si="71"/>
        <v/>
      </c>
      <c r="Q320" s="85" t="str">
        <f t="shared" ca="1" si="72"/>
        <v/>
      </c>
      <c r="R320" s="86" t="str">
        <f t="shared" si="73"/>
        <v/>
      </c>
      <c r="S320" s="86" t="str">
        <f t="shared" si="74"/>
        <v/>
      </c>
      <c r="T320" s="104" t="str">
        <f t="shared" si="60"/>
        <v/>
      </c>
      <c r="U320" s="19" t="str">
        <f>IF(AND(M320&lt;&gt;"",M320&lt;&gt;0), IF(E320 = "Muni", T320, IF(E320="Corp", T320*(1 -'Investor Input'!$C$4-'Investor Input'!$C$5), T320*(1 -'Investor Input'!$C$4))), T320)</f>
        <v/>
      </c>
      <c r="V320" s="84" t="str">
        <f t="shared" si="61"/>
        <v/>
      </c>
      <c r="W320" s="84" t="str">
        <f t="shared" si="62"/>
        <v/>
      </c>
      <c r="X320" s="46" t="str">
        <f t="shared" si="63"/>
        <v/>
      </c>
      <c r="Y320" s="60" t="str">
        <f t="shared" si="64"/>
        <v/>
      </c>
      <c r="Z320" s="60" t="str">
        <f t="shared" si="65"/>
        <v/>
      </c>
      <c r="AA320" s="64" t="str">
        <f t="shared" si="66"/>
        <v/>
      </c>
      <c r="AB320" s="64" t="str">
        <f>IF(AND(AA320&lt;&gt;"",AA320&lt;&gt;0), IF(E320="Muni", AA320, IF(E320 = "Corp", (1-'Investor Input'!$C$4-'Investor Input'!$C$5)*AA320, (1-'Investor Input'!$C$4)*AA320)), AA320)</f>
        <v/>
      </c>
      <c r="AC320" s="94" t="str">
        <f t="shared" si="67"/>
        <v/>
      </c>
      <c r="AD320" s="60" t="str">
        <f>IF(AND(M320&lt;&gt;"", M320&lt;&gt;0), N320/$N$505*MATCH(AC320,'Misc Lists'!$K$2:$K$25,0), "")</f>
        <v/>
      </c>
      <c r="AE320" s="90" t="str">
        <f t="shared" si="68"/>
        <v/>
      </c>
      <c r="AF320" s="99" t="str">
        <f>IF(AND(M320&lt;&gt;"", M320&lt;&gt;0), N320/$N$505*MATCH(AE320,'Misc Lists'!$L$2:$L$25,0), "")</f>
        <v/>
      </c>
    </row>
    <row r="321" spans="2:32" hidden="1" outlineLevel="1" x14ac:dyDescent="0.5">
      <c r="B321" s="65" t="str">
        <f ca="1"/>
        <v>595620AQ8</v>
      </c>
      <c r="C321" s="66" t="str">
        <f ca="1"/>
        <v>N/A</v>
      </c>
      <c r="D321" s="65" t="str">
        <f ca="1"/>
        <v>MIDAMERICAN ENERGY  COMPANY BOND        3.10000% 05/01/2027 CALL MAKE WHOLE</v>
      </c>
      <c r="E321" s="66" t="str">
        <f ca="1"/>
        <v>Corp</v>
      </c>
      <c r="F321" s="67">
        <f ca="1"/>
        <v>3.1</v>
      </c>
      <c r="G321" s="68">
        <f ca="1"/>
        <v>46508</v>
      </c>
      <c r="H321" s="66" t="str">
        <f ca="1"/>
        <v>AA2</v>
      </c>
      <c r="I321" s="66" t="str">
        <f ca="1"/>
        <v>A</v>
      </c>
      <c r="J321" s="69">
        <f ca="1"/>
        <v>97.406999999999996</v>
      </c>
      <c r="K321" s="70">
        <f ca="1"/>
        <v>4.383</v>
      </c>
      <c r="L321" s="70" t="str">
        <f ca="1"/>
        <v>80(2)</v>
      </c>
      <c r="M321" s="83"/>
      <c r="N321" s="84" t="str">
        <f t="shared" si="69"/>
        <v/>
      </c>
      <c r="O321" s="20" t="str">
        <f t="shared" si="70"/>
        <v/>
      </c>
      <c r="P321" s="64" t="str">
        <f t="shared" si="71"/>
        <v/>
      </c>
      <c r="Q321" s="85" t="str">
        <f t="shared" ca="1" si="72"/>
        <v/>
      </c>
      <c r="R321" s="86" t="str">
        <f t="shared" si="73"/>
        <v/>
      </c>
      <c r="S321" s="86" t="str">
        <f t="shared" si="74"/>
        <v/>
      </c>
      <c r="T321" s="104" t="str">
        <f t="shared" si="60"/>
        <v/>
      </c>
      <c r="U321" s="19" t="str">
        <f>IF(AND(M321&lt;&gt;"",M321&lt;&gt;0), IF(E321 = "Muni", T321, IF(E321="Corp", T321*(1 -'Investor Input'!$C$4-'Investor Input'!$C$5), T321*(1 -'Investor Input'!$C$4))), T321)</f>
        <v/>
      </c>
      <c r="V321" s="84" t="str">
        <f t="shared" si="61"/>
        <v/>
      </c>
      <c r="W321" s="84" t="str">
        <f t="shared" si="62"/>
        <v/>
      </c>
      <c r="X321" s="46" t="str">
        <f t="shared" si="63"/>
        <v/>
      </c>
      <c r="Y321" s="60" t="str">
        <f t="shared" si="64"/>
        <v/>
      </c>
      <c r="Z321" s="60" t="str">
        <f t="shared" si="65"/>
        <v/>
      </c>
      <c r="AA321" s="64" t="str">
        <f t="shared" si="66"/>
        <v/>
      </c>
      <c r="AB321" s="64" t="str">
        <f>IF(AND(AA321&lt;&gt;"",AA321&lt;&gt;0), IF(E321="Muni", AA321, IF(E321 = "Corp", (1-'Investor Input'!$C$4-'Investor Input'!$C$5)*AA321, (1-'Investor Input'!$C$4)*AA321)), AA321)</f>
        <v/>
      </c>
      <c r="AC321" s="94" t="str">
        <f t="shared" si="67"/>
        <v/>
      </c>
      <c r="AD321" s="60" t="str">
        <f>IF(AND(M321&lt;&gt;"", M321&lt;&gt;0), N321/$N$505*MATCH(AC321,'Misc Lists'!$K$2:$K$25,0), "")</f>
        <v/>
      </c>
      <c r="AE321" s="90" t="str">
        <f t="shared" si="68"/>
        <v/>
      </c>
      <c r="AF321" s="99" t="str">
        <f>IF(AND(M321&lt;&gt;"", M321&lt;&gt;0), N321/$N$505*MATCH(AE321,'Misc Lists'!$L$2:$L$25,0), "")</f>
        <v/>
      </c>
    </row>
    <row r="322" spans="2:32" hidden="1" outlineLevel="1" x14ac:dyDescent="0.5">
      <c r="B322" s="65" t="str">
        <f ca="1"/>
        <v>06428CAC8</v>
      </c>
      <c r="C322" s="66" t="str">
        <f ca="1"/>
        <v>N/A</v>
      </c>
      <c r="D322" s="65" t="str">
        <f ca="1"/>
        <v>BANK OF AMERICA NA  NOTE CALL MAKE WHOLE5.65000% 08/18/2025</v>
      </c>
      <c r="E322" s="66" t="str">
        <f ca="1"/>
        <v>Corp</v>
      </c>
      <c r="F322" s="67">
        <f ca="1"/>
        <v>5.65</v>
      </c>
      <c r="G322" s="68">
        <f ca="1"/>
        <v>45887</v>
      </c>
      <c r="H322" s="66" t="str">
        <f ca="1"/>
        <v>AA1</v>
      </c>
      <c r="I322" s="66" t="str">
        <f ca="1"/>
        <v>A+</v>
      </c>
      <c r="J322" s="69">
        <f ca="1"/>
        <v>100.532</v>
      </c>
      <c r="K322" s="70">
        <f ca="1"/>
        <v>4.3819999999999997</v>
      </c>
      <c r="L322" s="70" t="str">
        <f ca="1"/>
        <v>725(250)</v>
      </c>
      <c r="M322" s="83"/>
      <c r="N322" s="84" t="str">
        <f t="shared" si="69"/>
        <v/>
      </c>
      <c r="O322" s="20" t="str">
        <f t="shared" si="70"/>
        <v/>
      </c>
      <c r="P322" s="64" t="str">
        <f t="shared" si="71"/>
        <v/>
      </c>
      <c r="Q322" s="85" t="str">
        <f t="shared" ca="1" si="72"/>
        <v/>
      </c>
      <c r="R322" s="86" t="str">
        <f t="shared" si="73"/>
        <v/>
      </c>
      <c r="S322" s="86" t="str">
        <f t="shared" si="74"/>
        <v/>
      </c>
      <c r="T322" s="104" t="str">
        <f t="shared" si="60"/>
        <v/>
      </c>
      <c r="U322" s="19" t="str">
        <f>IF(AND(M322&lt;&gt;"",M322&lt;&gt;0), IF(E322 = "Muni", T322, IF(E322="Corp", T322*(1 -'Investor Input'!$C$4-'Investor Input'!$C$5), T322*(1 -'Investor Input'!$C$4))), T322)</f>
        <v/>
      </c>
      <c r="V322" s="84" t="str">
        <f t="shared" si="61"/>
        <v/>
      </c>
      <c r="W322" s="84" t="str">
        <f t="shared" si="62"/>
        <v/>
      </c>
      <c r="X322" s="46" t="str">
        <f t="shared" si="63"/>
        <v/>
      </c>
      <c r="Y322" s="60" t="str">
        <f t="shared" si="64"/>
        <v/>
      </c>
      <c r="Z322" s="60" t="str">
        <f t="shared" si="65"/>
        <v/>
      </c>
      <c r="AA322" s="64" t="str">
        <f t="shared" si="66"/>
        <v/>
      </c>
      <c r="AB322" s="64" t="str">
        <f>IF(AND(AA322&lt;&gt;"",AA322&lt;&gt;0), IF(E322="Muni", AA322, IF(E322 = "Corp", (1-'Investor Input'!$C$4-'Investor Input'!$C$5)*AA322, (1-'Investor Input'!$C$4)*AA322)), AA322)</f>
        <v/>
      </c>
      <c r="AC322" s="94" t="str">
        <f t="shared" si="67"/>
        <v/>
      </c>
      <c r="AD322" s="60" t="str">
        <f>IF(AND(M322&lt;&gt;"", M322&lt;&gt;0), N322/$N$505*MATCH(AC322,'Misc Lists'!$K$2:$K$25,0), "")</f>
        <v/>
      </c>
      <c r="AE322" s="90" t="str">
        <f t="shared" si="68"/>
        <v/>
      </c>
      <c r="AF322" s="99" t="str">
        <f>IF(AND(M322&lt;&gt;"", M322&lt;&gt;0), N322/$N$505*MATCH(AE322,'Misc Lists'!$L$2:$L$25,0), "")</f>
        <v/>
      </c>
    </row>
    <row r="323" spans="2:32" hidden="1" outlineLevel="1" x14ac:dyDescent="0.5">
      <c r="B323" s="65" t="str">
        <f ca="1"/>
        <v>06406RAF4</v>
      </c>
      <c r="C323" s="66" t="str">
        <f ca="1"/>
        <v>N/A</v>
      </c>
      <c r="D323" s="65" t="str">
        <f ca="1"/>
        <v>BANK NEW YORK MELLONCORP SER J MTN      3.40000% 01/29/2028</v>
      </c>
      <c r="E323" s="66" t="str">
        <f ca="1"/>
        <v>Corp</v>
      </c>
      <c r="F323" s="67">
        <f ca="1"/>
        <v>3.4</v>
      </c>
      <c r="G323" s="68">
        <f ca="1"/>
        <v>46781</v>
      </c>
      <c r="H323" s="66" t="str">
        <f ca="1"/>
        <v>AA3</v>
      </c>
      <c r="I323" s="66" t="str">
        <f ca="1"/>
        <v>A</v>
      </c>
      <c r="J323" s="69">
        <f ca="1"/>
        <v>97.370999999999995</v>
      </c>
      <c r="K323" s="70">
        <f ca="1"/>
        <v>4.38</v>
      </c>
      <c r="L323" s="70" t="str">
        <f ca="1"/>
        <v>500(1)</v>
      </c>
      <c r="M323" s="83"/>
      <c r="N323" s="84" t="str">
        <f t="shared" si="69"/>
        <v/>
      </c>
      <c r="O323" s="20" t="str">
        <f t="shared" si="70"/>
        <v/>
      </c>
      <c r="P323" s="64" t="str">
        <f t="shared" si="71"/>
        <v/>
      </c>
      <c r="Q323" s="85" t="str">
        <f t="shared" ca="1" si="72"/>
        <v/>
      </c>
      <c r="R323" s="86" t="str">
        <f t="shared" si="73"/>
        <v/>
      </c>
      <c r="S323" s="86" t="str">
        <f t="shared" si="74"/>
        <v/>
      </c>
      <c r="T323" s="104" t="str">
        <f t="shared" si="60"/>
        <v/>
      </c>
      <c r="U323" s="19" t="str">
        <f>IF(AND(M323&lt;&gt;"",M323&lt;&gt;0), IF(E323 = "Muni", T323, IF(E323="Corp", T323*(1 -'Investor Input'!$C$4-'Investor Input'!$C$5), T323*(1 -'Investor Input'!$C$4))), T323)</f>
        <v/>
      </c>
      <c r="V323" s="84" t="str">
        <f t="shared" si="61"/>
        <v/>
      </c>
      <c r="W323" s="84" t="str">
        <f t="shared" si="62"/>
        <v/>
      </c>
      <c r="X323" s="46" t="str">
        <f t="shared" si="63"/>
        <v/>
      </c>
      <c r="Y323" s="60" t="str">
        <f t="shared" si="64"/>
        <v/>
      </c>
      <c r="Z323" s="60" t="str">
        <f t="shared" si="65"/>
        <v/>
      </c>
      <c r="AA323" s="64" t="str">
        <f t="shared" si="66"/>
        <v/>
      </c>
      <c r="AB323" s="64" t="str">
        <f>IF(AND(AA323&lt;&gt;"",AA323&lt;&gt;0), IF(E323="Muni", AA323, IF(E323 = "Corp", (1-'Investor Input'!$C$4-'Investor Input'!$C$5)*AA323, (1-'Investor Input'!$C$4)*AA323)), AA323)</f>
        <v/>
      </c>
      <c r="AC323" s="94" t="str">
        <f t="shared" si="67"/>
        <v/>
      </c>
      <c r="AD323" s="60" t="str">
        <f>IF(AND(M323&lt;&gt;"", M323&lt;&gt;0), N323/$N$505*MATCH(AC323,'Misc Lists'!$K$2:$K$25,0), "")</f>
        <v/>
      </c>
      <c r="AE323" s="90" t="str">
        <f t="shared" si="68"/>
        <v/>
      </c>
      <c r="AF323" s="99" t="str">
        <f>IF(AND(M323&lt;&gt;"", M323&lt;&gt;0), N323/$N$505*MATCH(AE323,'Misc Lists'!$L$2:$L$25,0), "")</f>
        <v/>
      </c>
    </row>
    <row r="324" spans="2:32" hidden="1" outlineLevel="1" x14ac:dyDescent="0.5">
      <c r="B324" s="65" t="str">
        <f ca="1"/>
        <v>532457BV9</v>
      </c>
      <c r="C324" s="66" t="str">
        <f ca="1"/>
        <v>N/A</v>
      </c>
      <c r="D324" s="65" t="str">
        <f ca="1"/>
        <v>ELI LILLY &amp;CO       NOTE CALL MAKE WHOLE3.37500% 03/15/2029</v>
      </c>
      <c r="E324" s="66" t="str">
        <f ca="1"/>
        <v>Corp</v>
      </c>
      <c r="F324" s="67">
        <f ca="1"/>
        <v>3.375</v>
      </c>
      <c r="G324" s="68">
        <f ca="1"/>
        <v>47192</v>
      </c>
      <c r="H324" s="66" t="str">
        <f ca="1"/>
        <v>AA3</v>
      </c>
      <c r="I324" s="66" t="str">
        <f ca="1"/>
        <v>A+</v>
      </c>
      <c r="J324" s="69">
        <f ca="1"/>
        <v>96.349000000000004</v>
      </c>
      <c r="K324" s="70">
        <f ca="1"/>
        <v>4.3780000000000001</v>
      </c>
      <c r="L324" s="70" t="str">
        <f ca="1"/>
        <v>200(2)</v>
      </c>
      <c r="M324" s="83"/>
      <c r="N324" s="84" t="str">
        <f t="shared" si="69"/>
        <v/>
      </c>
      <c r="O324" s="20" t="str">
        <f t="shared" si="70"/>
        <v/>
      </c>
      <c r="P324" s="64" t="str">
        <f t="shared" si="71"/>
        <v/>
      </c>
      <c r="Q324" s="85" t="str">
        <f t="shared" ca="1" si="72"/>
        <v/>
      </c>
      <c r="R324" s="86" t="str">
        <f t="shared" si="73"/>
        <v/>
      </c>
      <c r="S324" s="86" t="str">
        <f t="shared" si="74"/>
        <v/>
      </c>
      <c r="T324" s="104" t="str">
        <f t="shared" ref="T324:T387" si="75">IF(AND(M324&lt;&gt;"",M324&lt;&gt;0),YIELD(Q324,G324,F324/100,N324/(M324*10),100,2),"")</f>
        <v/>
      </c>
      <c r="U324" s="19" t="str">
        <f>IF(AND(M324&lt;&gt;"",M324&lt;&gt;0), IF(E324 = "Muni", T324, IF(E324="Corp", T324*(1 -'Investor Input'!$C$4-'Investor Input'!$C$5), T324*(1 -'Investor Input'!$C$4))), T324)</f>
        <v/>
      </c>
      <c r="V324" s="84" t="str">
        <f t="shared" ref="V324:V387" si="76">IF(AND(M324&lt;&gt;"",M324&lt;&gt;0),(FV(K324/(2*100),(G324-Q324)*2/365, F324*1000/(2*100), -N324/M324))*M324, "")</f>
        <v/>
      </c>
      <c r="W324" s="84" t="str">
        <f t="shared" ref="W324:W387" si="77">IF(AND(M324&lt;&gt;"",M324&lt;&gt;0),V324-N324,"")</f>
        <v/>
      </c>
      <c r="X324" s="46" t="str">
        <f t="shared" ref="X324:X387" si="78">IF(AND(M324&lt;&gt;"",M324&lt;&gt;0),W324/N324,"")</f>
        <v/>
      </c>
      <c r="Y324" s="60" t="str">
        <f t="shared" ref="Y324:Y387" si="79">IF(AND(M324&lt;&gt;"", M324&lt;&gt;0), MONTH(G324), "")</f>
        <v/>
      </c>
      <c r="Z324" s="60" t="str">
        <f t="shared" ref="Z324:Z387" si="80">IF(AND(M324&lt;&gt;"", M324&lt;&gt;0), MONTH(EDATE(G324, 6)), "")</f>
        <v/>
      </c>
      <c r="AA324" s="64" t="str">
        <f t="shared" ref="AA324:AA387" si="81">IF(AND(M324&lt;&gt;"", M324&lt;&gt;0), F324*1000*M324/(100*2), "")</f>
        <v/>
      </c>
      <c r="AB324" s="64" t="str">
        <f>IF(AND(AA324&lt;&gt;"",AA324&lt;&gt;0), IF(E324="Muni", AA324, IF(E324 = "Corp", (1-'Investor Input'!$C$4-'Investor Input'!$C$5)*AA324, (1-'Investor Input'!$C$4)*AA324)), AA324)</f>
        <v/>
      </c>
      <c r="AC324" s="94" t="str">
        <f t="shared" ref="AC324:AC387" si="82">IF(AND(M324&lt;&gt;"", M324&lt;&gt;0), H324, "")</f>
        <v/>
      </c>
      <c r="AD324" s="60" t="str">
        <f>IF(AND(M324&lt;&gt;"", M324&lt;&gt;0), N324/$N$505*MATCH(AC324,'Misc Lists'!$K$2:$K$25,0), "")</f>
        <v/>
      </c>
      <c r="AE324" s="90" t="str">
        <f t="shared" ref="AE324:AE387" si="83">IF(AND(M324&lt;&gt;"", M324&lt;&gt;0), I324, "")</f>
        <v/>
      </c>
      <c r="AF324" s="99" t="str">
        <f>IF(AND(M324&lt;&gt;"", M324&lt;&gt;0), N324/$N$505*MATCH(AE324,'Misc Lists'!$L$2:$L$25,0), "")</f>
        <v/>
      </c>
    </row>
    <row r="325" spans="2:32" hidden="1" outlineLevel="1" x14ac:dyDescent="0.5">
      <c r="B325" s="65" t="str">
        <f ca="1"/>
        <v>084664CU3</v>
      </c>
      <c r="C325" s="66" t="str">
        <f ca="1"/>
        <v>N/A</v>
      </c>
      <c r="D325" s="65" t="str">
        <f ca="1"/>
        <v>BERKSHIRE HATHAWAY  FIN CORP NOTE       1.85000% 03/12/2030 CALL MAKE WHOLE</v>
      </c>
      <c r="E325" s="66" t="str">
        <f ca="1"/>
        <v>Corp</v>
      </c>
      <c r="F325" s="67">
        <f ca="1"/>
        <v>1.85</v>
      </c>
      <c r="G325" s="68">
        <f ca="1"/>
        <v>47554</v>
      </c>
      <c r="H325" s="66" t="str">
        <f ca="1"/>
        <v>AA2</v>
      </c>
      <c r="I325" s="66" t="str">
        <f ca="1"/>
        <v>AA</v>
      </c>
      <c r="J325" s="69">
        <f ca="1"/>
        <v>88.762</v>
      </c>
      <c r="K325" s="70">
        <f ca="1"/>
        <v>4.3769999999999998</v>
      </c>
      <c r="L325" s="70" t="str">
        <f ca="1"/>
        <v>10(2)</v>
      </c>
      <c r="M325" s="83"/>
      <c r="N325" s="84" t="str">
        <f t="shared" ref="N325:N388" si="84">IF(AND(M325&lt;&gt;"", M325&lt;&gt;0), IF(L325 &lt;&gt; "N/A", IF(M325&gt;=VALUE(LEFT(L325, FIND("(", L325)-1)), J325*10*M325, 1000*M325), 1000*M325), "")</f>
        <v/>
      </c>
      <c r="O325" s="20" t="str">
        <f t="shared" ref="O325:O388" si="85">IF(AND(M325&lt;&gt;"",M325&lt;&gt;0),N325/$N$505, "")</f>
        <v/>
      </c>
      <c r="P325" s="64" t="str">
        <f t="shared" ref="P325:P388" si="86">IF(AND(M325&lt;&gt;"", M325&lt;&gt;0), F325*1000/100, "")</f>
        <v/>
      </c>
      <c r="Q325" s="85" t="str">
        <f t="shared" ref="Q325:Q388" ca="1" si="87">IF(AND(M325&lt;&gt;"", M325&lt;&gt;0), NOW(), "")</f>
        <v/>
      </c>
      <c r="R325" s="86" t="str">
        <f t="shared" ref="R325:R388" si="88">IF(AND(M325&lt;&gt;"", M325&lt;&gt;0), ROUND((G325 - Q325)/365, 0), "")</f>
        <v/>
      </c>
      <c r="S325" s="86" t="str">
        <f t="shared" ref="S325:S388" si="89">IF(AND(M325&lt;&gt;"",M325&lt;&gt;0),MDURATION(Q325,G325,F325/100,K325/100,2), "")</f>
        <v/>
      </c>
      <c r="T325" s="104" t="str">
        <f t="shared" si="75"/>
        <v/>
      </c>
      <c r="U325" s="19" t="str">
        <f>IF(AND(M325&lt;&gt;"",M325&lt;&gt;0), IF(E325 = "Muni", T325, IF(E325="Corp", T325*(1 -'Investor Input'!$C$4-'Investor Input'!$C$5), T325*(1 -'Investor Input'!$C$4))), T325)</f>
        <v/>
      </c>
      <c r="V325" s="84" t="str">
        <f t="shared" si="76"/>
        <v/>
      </c>
      <c r="W325" s="84" t="str">
        <f t="shared" si="77"/>
        <v/>
      </c>
      <c r="X325" s="46" t="str">
        <f t="shared" si="78"/>
        <v/>
      </c>
      <c r="Y325" s="60" t="str">
        <f t="shared" si="79"/>
        <v/>
      </c>
      <c r="Z325" s="60" t="str">
        <f t="shared" si="80"/>
        <v/>
      </c>
      <c r="AA325" s="64" t="str">
        <f t="shared" si="81"/>
        <v/>
      </c>
      <c r="AB325" s="64" t="str">
        <f>IF(AND(AA325&lt;&gt;"",AA325&lt;&gt;0), IF(E325="Muni", AA325, IF(E325 = "Corp", (1-'Investor Input'!$C$4-'Investor Input'!$C$5)*AA325, (1-'Investor Input'!$C$4)*AA325)), AA325)</f>
        <v/>
      </c>
      <c r="AC325" s="94" t="str">
        <f t="shared" si="82"/>
        <v/>
      </c>
      <c r="AD325" s="60" t="str">
        <f>IF(AND(M325&lt;&gt;"", M325&lt;&gt;0), N325/$N$505*MATCH(AC325,'Misc Lists'!$K$2:$K$25,0), "")</f>
        <v/>
      </c>
      <c r="AE325" s="90" t="str">
        <f t="shared" si="83"/>
        <v/>
      </c>
      <c r="AF325" s="99" t="str">
        <f>IF(AND(M325&lt;&gt;"", M325&lt;&gt;0), N325/$N$505*MATCH(AE325,'Misc Lists'!$L$2:$L$25,0), "")</f>
        <v/>
      </c>
    </row>
    <row r="326" spans="2:32" hidden="1" outlineLevel="1" x14ac:dyDescent="0.5">
      <c r="B326" s="65" t="str">
        <f ca="1"/>
        <v>29446MAB8</v>
      </c>
      <c r="C326" s="66" t="str">
        <f ca="1"/>
        <v>N/A</v>
      </c>
      <c r="D326" s="65" t="str">
        <f ca="1"/>
        <v>EQUINOR ASA         NOTE CALL MAKE WHOLE3.62500% 09/10/2028</v>
      </c>
      <c r="E326" s="66" t="str">
        <f ca="1"/>
        <v>Corp</v>
      </c>
      <c r="F326" s="67">
        <f ca="1"/>
        <v>3.625</v>
      </c>
      <c r="G326" s="68">
        <f ca="1"/>
        <v>47006</v>
      </c>
      <c r="H326" s="66" t="str">
        <f ca="1"/>
        <v>AA2</v>
      </c>
      <c r="I326" s="66" t="str">
        <f ca="1"/>
        <v>AA-</v>
      </c>
      <c r="J326" s="69">
        <f ca="1"/>
        <v>97.597999999999999</v>
      </c>
      <c r="K326" s="70">
        <f ca="1"/>
        <v>4.3739999999999997</v>
      </c>
      <c r="L326" s="70" t="str">
        <f ca="1"/>
        <v>500(1)</v>
      </c>
      <c r="M326" s="83"/>
      <c r="N326" s="84" t="str">
        <f t="shared" si="84"/>
        <v/>
      </c>
      <c r="O326" s="20" t="str">
        <f t="shared" si="85"/>
        <v/>
      </c>
      <c r="P326" s="64" t="str">
        <f t="shared" si="86"/>
        <v/>
      </c>
      <c r="Q326" s="85" t="str">
        <f t="shared" ca="1" si="87"/>
        <v/>
      </c>
      <c r="R326" s="86" t="str">
        <f t="shared" si="88"/>
        <v/>
      </c>
      <c r="S326" s="86" t="str">
        <f t="shared" si="89"/>
        <v/>
      </c>
      <c r="T326" s="104" t="str">
        <f t="shared" si="75"/>
        <v/>
      </c>
      <c r="U326" s="19" t="str">
        <f>IF(AND(M326&lt;&gt;"",M326&lt;&gt;0), IF(E326 = "Muni", T326, IF(E326="Corp", T326*(1 -'Investor Input'!$C$4-'Investor Input'!$C$5), T326*(1 -'Investor Input'!$C$4))), T326)</f>
        <v/>
      </c>
      <c r="V326" s="84" t="str">
        <f t="shared" si="76"/>
        <v/>
      </c>
      <c r="W326" s="84" t="str">
        <f t="shared" si="77"/>
        <v/>
      </c>
      <c r="X326" s="46" t="str">
        <f t="shared" si="78"/>
        <v/>
      </c>
      <c r="Y326" s="60" t="str">
        <f t="shared" si="79"/>
        <v/>
      </c>
      <c r="Z326" s="60" t="str">
        <f t="shared" si="80"/>
        <v/>
      </c>
      <c r="AA326" s="64" t="str">
        <f t="shared" si="81"/>
        <v/>
      </c>
      <c r="AB326" s="64" t="str">
        <f>IF(AND(AA326&lt;&gt;"",AA326&lt;&gt;0), IF(E326="Muni", AA326, IF(E326 = "Corp", (1-'Investor Input'!$C$4-'Investor Input'!$C$5)*AA326, (1-'Investor Input'!$C$4)*AA326)), AA326)</f>
        <v/>
      </c>
      <c r="AC326" s="94" t="str">
        <f t="shared" si="82"/>
        <v/>
      </c>
      <c r="AD326" s="60" t="str">
        <f>IF(AND(M326&lt;&gt;"", M326&lt;&gt;0), N326/$N$505*MATCH(AC326,'Misc Lists'!$K$2:$K$25,0), "")</f>
        <v/>
      </c>
      <c r="AE326" s="90" t="str">
        <f t="shared" si="83"/>
        <v/>
      </c>
      <c r="AF326" s="99" t="str">
        <f>IF(AND(M326&lt;&gt;"", M326&lt;&gt;0), N326/$N$505*MATCH(AE326,'Misc Lists'!$L$2:$L$25,0), "")</f>
        <v/>
      </c>
    </row>
    <row r="327" spans="2:32" hidden="1" outlineLevel="1" x14ac:dyDescent="0.5">
      <c r="B327" s="65" t="str">
        <f ca="1"/>
        <v>872898AA9</v>
      </c>
      <c r="C327" s="66" t="str">
        <f ca="1"/>
        <v>N/A</v>
      </c>
      <c r="D327" s="65" t="str">
        <f ca="1"/>
        <v>TSMC ARIZ CORP      NOTE CALL MAKE WHOLE1.75000% 10/25/2026</v>
      </c>
      <c r="E327" s="66" t="str">
        <f ca="1"/>
        <v>Corp</v>
      </c>
      <c r="F327" s="67">
        <f ca="1"/>
        <v>1.75</v>
      </c>
      <c r="G327" s="68">
        <f ca="1"/>
        <v>46320</v>
      </c>
      <c r="H327" s="66" t="str">
        <f ca="1"/>
        <v>AA3</v>
      </c>
      <c r="I327" s="66" t="str">
        <f ca="1"/>
        <v>AA-</v>
      </c>
      <c r="J327" s="69">
        <f ca="1"/>
        <v>95.941999999999993</v>
      </c>
      <c r="K327" s="70">
        <f ca="1"/>
        <v>4.3719999999999999</v>
      </c>
      <c r="L327" s="70" t="str">
        <f ca="1"/>
        <v>550(200)</v>
      </c>
      <c r="M327" s="83"/>
      <c r="N327" s="84" t="str">
        <f t="shared" si="84"/>
        <v/>
      </c>
      <c r="O327" s="20" t="str">
        <f t="shared" si="85"/>
        <v/>
      </c>
      <c r="P327" s="64" t="str">
        <f t="shared" si="86"/>
        <v/>
      </c>
      <c r="Q327" s="85" t="str">
        <f t="shared" ca="1" si="87"/>
        <v/>
      </c>
      <c r="R327" s="86" t="str">
        <f t="shared" si="88"/>
        <v/>
      </c>
      <c r="S327" s="86" t="str">
        <f t="shared" si="89"/>
        <v/>
      </c>
      <c r="T327" s="104" t="str">
        <f t="shared" si="75"/>
        <v/>
      </c>
      <c r="U327" s="19" t="str">
        <f>IF(AND(M327&lt;&gt;"",M327&lt;&gt;0), IF(E327 = "Muni", T327, IF(E327="Corp", T327*(1 -'Investor Input'!$C$4-'Investor Input'!$C$5), T327*(1 -'Investor Input'!$C$4))), T327)</f>
        <v/>
      </c>
      <c r="V327" s="84" t="str">
        <f t="shared" si="76"/>
        <v/>
      </c>
      <c r="W327" s="84" t="str">
        <f t="shared" si="77"/>
        <v/>
      </c>
      <c r="X327" s="46" t="str">
        <f t="shared" si="78"/>
        <v/>
      </c>
      <c r="Y327" s="60" t="str">
        <f t="shared" si="79"/>
        <v/>
      </c>
      <c r="Z327" s="60" t="str">
        <f t="shared" si="80"/>
        <v/>
      </c>
      <c r="AA327" s="64" t="str">
        <f t="shared" si="81"/>
        <v/>
      </c>
      <c r="AB327" s="64" t="str">
        <f>IF(AND(AA327&lt;&gt;"",AA327&lt;&gt;0), IF(E327="Muni", AA327, IF(E327 = "Corp", (1-'Investor Input'!$C$4-'Investor Input'!$C$5)*AA327, (1-'Investor Input'!$C$4)*AA327)), AA327)</f>
        <v/>
      </c>
      <c r="AC327" s="94" t="str">
        <f t="shared" si="82"/>
        <v/>
      </c>
      <c r="AD327" s="60" t="str">
        <f>IF(AND(M327&lt;&gt;"", M327&lt;&gt;0), N327/$N$505*MATCH(AC327,'Misc Lists'!$K$2:$K$25,0), "")</f>
        <v/>
      </c>
      <c r="AE327" s="90" t="str">
        <f t="shared" si="83"/>
        <v/>
      </c>
      <c r="AF327" s="99" t="str">
        <f>IF(AND(M327&lt;&gt;"", M327&lt;&gt;0), N327/$N$505*MATCH(AE327,'Misc Lists'!$L$2:$L$25,0), "")</f>
        <v/>
      </c>
    </row>
    <row r="328" spans="2:32" hidden="1" outlineLevel="1" x14ac:dyDescent="0.5">
      <c r="B328" s="65" t="str">
        <f ca="1"/>
        <v>857477CL5</v>
      </c>
      <c r="C328" s="66" t="str">
        <f ca="1"/>
        <v>N/A</v>
      </c>
      <c r="D328" s="65" t="str">
        <f ca="1"/>
        <v>STATE STR CORP      NOTE                4.99300% 03/18/2027</v>
      </c>
      <c r="E328" s="66" t="str">
        <f ca="1"/>
        <v>Corp</v>
      </c>
      <c r="F328" s="67">
        <f ca="1"/>
        <v>4.9930000000000003</v>
      </c>
      <c r="G328" s="68">
        <f ca="1"/>
        <v>46464</v>
      </c>
      <c r="H328" s="66" t="str">
        <f ca="1"/>
        <v>AA3</v>
      </c>
      <c r="I328" s="66" t="str">
        <f ca="1"/>
        <v>A</v>
      </c>
      <c r="J328" s="69">
        <f ca="1"/>
        <v>101.193</v>
      </c>
      <c r="K328" s="70">
        <f ca="1"/>
        <v>4.3680000000000003</v>
      </c>
      <c r="L328" s="70" t="str">
        <f ca="1"/>
        <v>500(2)</v>
      </c>
      <c r="M328" s="83"/>
      <c r="N328" s="84" t="str">
        <f t="shared" si="84"/>
        <v/>
      </c>
      <c r="O328" s="20" t="str">
        <f t="shared" si="85"/>
        <v/>
      </c>
      <c r="P328" s="64" t="str">
        <f t="shared" si="86"/>
        <v/>
      </c>
      <c r="Q328" s="85" t="str">
        <f t="shared" ca="1" si="87"/>
        <v/>
      </c>
      <c r="R328" s="86" t="str">
        <f t="shared" si="88"/>
        <v/>
      </c>
      <c r="S328" s="86" t="str">
        <f t="shared" si="89"/>
        <v/>
      </c>
      <c r="T328" s="104" t="str">
        <f t="shared" si="75"/>
        <v/>
      </c>
      <c r="U328" s="19" t="str">
        <f>IF(AND(M328&lt;&gt;"",M328&lt;&gt;0), IF(E328 = "Muni", T328, IF(E328="Corp", T328*(1 -'Investor Input'!$C$4-'Investor Input'!$C$5), T328*(1 -'Investor Input'!$C$4))), T328)</f>
        <v/>
      </c>
      <c r="V328" s="84" t="str">
        <f t="shared" si="76"/>
        <v/>
      </c>
      <c r="W328" s="84" t="str">
        <f t="shared" si="77"/>
        <v/>
      </c>
      <c r="X328" s="46" t="str">
        <f t="shared" si="78"/>
        <v/>
      </c>
      <c r="Y328" s="60" t="str">
        <f t="shared" si="79"/>
        <v/>
      </c>
      <c r="Z328" s="60" t="str">
        <f t="shared" si="80"/>
        <v/>
      </c>
      <c r="AA328" s="64" t="str">
        <f t="shared" si="81"/>
        <v/>
      </c>
      <c r="AB328" s="64" t="str">
        <f>IF(AND(AA328&lt;&gt;"",AA328&lt;&gt;0), IF(E328="Muni", AA328, IF(E328 = "Corp", (1-'Investor Input'!$C$4-'Investor Input'!$C$5)*AA328, (1-'Investor Input'!$C$4)*AA328)), AA328)</f>
        <v/>
      </c>
      <c r="AC328" s="94" t="str">
        <f t="shared" si="82"/>
        <v/>
      </c>
      <c r="AD328" s="60" t="str">
        <f>IF(AND(M328&lt;&gt;"", M328&lt;&gt;0), N328/$N$505*MATCH(AC328,'Misc Lists'!$K$2:$K$25,0), "")</f>
        <v/>
      </c>
      <c r="AE328" s="90" t="str">
        <f t="shared" si="83"/>
        <v/>
      </c>
      <c r="AF328" s="99" t="str">
        <f>IF(AND(M328&lt;&gt;"", M328&lt;&gt;0), N328/$N$505*MATCH(AE328,'Misc Lists'!$L$2:$L$25,0), "")</f>
        <v/>
      </c>
    </row>
    <row r="329" spans="2:32" hidden="1" outlineLevel="1" x14ac:dyDescent="0.5">
      <c r="B329" s="65" t="str">
        <f ca="1"/>
        <v>532457CK2</v>
      </c>
      <c r="C329" s="66" t="str">
        <f ca="1"/>
        <v>N/A</v>
      </c>
      <c r="D329" s="65" t="str">
        <f ca="1"/>
        <v>ELI LILLY &amp;CO       NOTE CALL MAKE WHOLE4.50000% 02/09/2029</v>
      </c>
      <c r="E329" s="66" t="str">
        <f ca="1"/>
        <v>Corp</v>
      </c>
      <c r="F329" s="67">
        <f ca="1"/>
        <v>4.5</v>
      </c>
      <c r="G329" s="68">
        <f ca="1"/>
        <v>47158</v>
      </c>
      <c r="H329" s="66" t="str">
        <f ca="1"/>
        <v>AA3</v>
      </c>
      <c r="I329" s="66" t="str">
        <f ca="1"/>
        <v>A+</v>
      </c>
      <c r="J329" s="69">
        <f ca="1"/>
        <v>100.46599999999999</v>
      </c>
      <c r="K329" s="70">
        <f ca="1"/>
        <v>4.3680000000000003</v>
      </c>
      <c r="L329" s="70" t="str">
        <f ca="1"/>
        <v>750(2)</v>
      </c>
      <c r="M329" s="83"/>
      <c r="N329" s="84" t="str">
        <f t="shared" si="84"/>
        <v/>
      </c>
      <c r="O329" s="20" t="str">
        <f t="shared" si="85"/>
        <v/>
      </c>
      <c r="P329" s="64" t="str">
        <f t="shared" si="86"/>
        <v/>
      </c>
      <c r="Q329" s="85" t="str">
        <f t="shared" ca="1" si="87"/>
        <v/>
      </c>
      <c r="R329" s="86" t="str">
        <f t="shared" si="88"/>
        <v/>
      </c>
      <c r="S329" s="86" t="str">
        <f t="shared" si="89"/>
        <v/>
      </c>
      <c r="T329" s="104" t="str">
        <f t="shared" si="75"/>
        <v/>
      </c>
      <c r="U329" s="19" t="str">
        <f>IF(AND(M329&lt;&gt;"",M329&lt;&gt;0), IF(E329 = "Muni", T329, IF(E329="Corp", T329*(1 -'Investor Input'!$C$4-'Investor Input'!$C$5), T329*(1 -'Investor Input'!$C$4))), T329)</f>
        <v/>
      </c>
      <c r="V329" s="84" t="str">
        <f t="shared" si="76"/>
        <v/>
      </c>
      <c r="W329" s="84" t="str">
        <f t="shared" si="77"/>
        <v/>
      </c>
      <c r="X329" s="46" t="str">
        <f t="shared" si="78"/>
        <v/>
      </c>
      <c r="Y329" s="60" t="str">
        <f t="shared" si="79"/>
        <v/>
      </c>
      <c r="Z329" s="60" t="str">
        <f t="shared" si="80"/>
        <v/>
      </c>
      <c r="AA329" s="64" t="str">
        <f t="shared" si="81"/>
        <v/>
      </c>
      <c r="AB329" s="64" t="str">
        <f>IF(AND(AA329&lt;&gt;"",AA329&lt;&gt;0), IF(E329="Muni", AA329, IF(E329 = "Corp", (1-'Investor Input'!$C$4-'Investor Input'!$C$5)*AA329, (1-'Investor Input'!$C$4)*AA329)), AA329)</f>
        <v/>
      </c>
      <c r="AC329" s="94" t="str">
        <f t="shared" si="82"/>
        <v/>
      </c>
      <c r="AD329" s="60" t="str">
        <f>IF(AND(M329&lt;&gt;"", M329&lt;&gt;0), N329/$N$505*MATCH(AC329,'Misc Lists'!$K$2:$K$25,0), "")</f>
        <v/>
      </c>
      <c r="AE329" s="90" t="str">
        <f t="shared" si="83"/>
        <v/>
      </c>
      <c r="AF329" s="99" t="str">
        <f>IF(AND(M329&lt;&gt;"", M329&lt;&gt;0), N329/$N$505*MATCH(AE329,'Misc Lists'!$L$2:$L$25,0), "")</f>
        <v/>
      </c>
    </row>
    <row r="330" spans="2:32" hidden="1" outlineLevel="1" x14ac:dyDescent="0.5">
      <c r="B330" s="65" t="str">
        <f ca="1"/>
        <v>166764BW9</v>
      </c>
      <c r="C330" s="66" t="str">
        <f ca="1"/>
        <v>N/A</v>
      </c>
      <c r="D330" s="65" t="str">
        <f ca="1"/>
        <v>CHEVRON CORPORATION NOTE CALL MAKE WHOLE1.55400% 05/11/2025</v>
      </c>
      <c r="E330" s="66" t="str">
        <f ca="1"/>
        <v>Corp</v>
      </c>
      <c r="F330" s="67">
        <f ca="1"/>
        <v>1.554</v>
      </c>
      <c r="G330" s="68">
        <f ca="1"/>
        <v>45788</v>
      </c>
      <c r="H330" s="66" t="str">
        <f ca="1"/>
        <v>AA2</v>
      </c>
      <c r="I330" s="66" t="str">
        <f ca="1"/>
        <v>AA-</v>
      </c>
      <c r="J330" s="69">
        <f ca="1"/>
        <v>99.539000000000001</v>
      </c>
      <c r="K330" s="70">
        <f ca="1"/>
        <v>4.3639999999999999</v>
      </c>
      <c r="L330" s="70" t="str">
        <f ca="1"/>
        <v>145(10)</v>
      </c>
      <c r="M330" s="83"/>
      <c r="N330" s="84" t="str">
        <f t="shared" si="84"/>
        <v/>
      </c>
      <c r="O330" s="20" t="str">
        <f t="shared" si="85"/>
        <v/>
      </c>
      <c r="P330" s="64" t="str">
        <f t="shared" si="86"/>
        <v/>
      </c>
      <c r="Q330" s="85" t="str">
        <f t="shared" ca="1" si="87"/>
        <v/>
      </c>
      <c r="R330" s="86" t="str">
        <f t="shared" si="88"/>
        <v/>
      </c>
      <c r="S330" s="86" t="str">
        <f t="shared" si="89"/>
        <v/>
      </c>
      <c r="T330" s="104" t="str">
        <f t="shared" si="75"/>
        <v/>
      </c>
      <c r="U330" s="19" t="str">
        <f>IF(AND(M330&lt;&gt;"",M330&lt;&gt;0), IF(E330 = "Muni", T330, IF(E330="Corp", T330*(1 -'Investor Input'!$C$4-'Investor Input'!$C$5), T330*(1 -'Investor Input'!$C$4))), T330)</f>
        <v/>
      </c>
      <c r="V330" s="84" t="str">
        <f t="shared" si="76"/>
        <v/>
      </c>
      <c r="W330" s="84" t="str">
        <f t="shared" si="77"/>
        <v/>
      </c>
      <c r="X330" s="46" t="str">
        <f t="shared" si="78"/>
        <v/>
      </c>
      <c r="Y330" s="60" t="str">
        <f t="shared" si="79"/>
        <v/>
      </c>
      <c r="Z330" s="60" t="str">
        <f t="shared" si="80"/>
        <v/>
      </c>
      <c r="AA330" s="64" t="str">
        <f t="shared" si="81"/>
        <v/>
      </c>
      <c r="AB330" s="64" t="str">
        <f>IF(AND(AA330&lt;&gt;"",AA330&lt;&gt;0), IF(E330="Muni", AA330, IF(E330 = "Corp", (1-'Investor Input'!$C$4-'Investor Input'!$C$5)*AA330, (1-'Investor Input'!$C$4)*AA330)), AA330)</f>
        <v/>
      </c>
      <c r="AC330" s="94" t="str">
        <f t="shared" si="82"/>
        <v/>
      </c>
      <c r="AD330" s="60" t="str">
        <f>IF(AND(M330&lt;&gt;"", M330&lt;&gt;0), N330/$N$505*MATCH(AC330,'Misc Lists'!$K$2:$K$25,0), "")</f>
        <v/>
      </c>
      <c r="AE330" s="90" t="str">
        <f t="shared" si="83"/>
        <v/>
      </c>
      <c r="AF330" s="99" t="str">
        <f>IF(AND(M330&lt;&gt;"", M330&lt;&gt;0), N330/$N$505*MATCH(AE330,'Misc Lists'!$L$2:$L$25,0), "")</f>
        <v/>
      </c>
    </row>
    <row r="331" spans="2:32" hidden="1" outlineLevel="1" x14ac:dyDescent="0.5">
      <c r="B331" s="65" t="str">
        <f ca="1"/>
        <v>22550L2G5</v>
      </c>
      <c r="C331" s="66" t="str">
        <f ca="1"/>
        <v>N/A</v>
      </c>
      <c r="D331" s="65" t="str">
        <f ca="1"/>
        <v>UBS AG N Y BRH      MTN                 1.25000% 08/07/2026</v>
      </c>
      <c r="E331" s="66" t="str">
        <f ca="1"/>
        <v>Corp</v>
      </c>
      <c r="F331" s="67">
        <f ca="1"/>
        <v>1.25</v>
      </c>
      <c r="G331" s="68">
        <f ca="1"/>
        <v>46241</v>
      </c>
      <c r="H331" s="66" t="str">
        <f ca="1"/>
        <v>AA2</v>
      </c>
      <c r="I331" s="66" t="str">
        <f ca="1"/>
        <v>A+</v>
      </c>
      <c r="J331" s="69">
        <f ca="1"/>
        <v>95.813999999999993</v>
      </c>
      <c r="K331" s="70">
        <f ca="1"/>
        <v>4.3579999999999997</v>
      </c>
      <c r="L331" s="70" t="str">
        <f ca="1"/>
        <v>600(250)</v>
      </c>
      <c r="M331" s="83"/>
      <c r="N331" s="84" t="str">
        <f t="shared" si="84"/>
        <v/>
      </c>
      <c r="O331" s="20" t="str">
        <f t="shared" si="85"/>
        <v/>
      </c>
      <c r="P331" s="64" t="str">
        <f t="shared" si="86"/>
        <v/>
      </c>
      <c r="Q331" s="85" t="str">
        <f t="shared" ca="1" si="87"/>
        <v/>
      </c>
      <c r="R331" s="86" t="str">
        <f t="shared" si="88"/>
        <v/>
      </c>
      <c r="S331" s="86" t="str">
        <f t="shared" si="89"/>
        <v/>
      </c>
      <c r="T331" s="104" t="str">
        <f t="shared" si="75"/>
        <v/>
      </c>
      <c r="U331" s="19" t="str">
        <f>IF(AND(M331&lt;&gt;"",M331&lt;&gt;0), IF(E331 = "Muni", T331, IF(E331="Corp", T331*(1 -'Investor Input'!$C$4-'Investor Input'!$C$5), T331*(1 -'Investor Input'!$C$4))), T331)</f>
        <v/>
      </c>
      <c r="V331" s="84" t="str">
        <f t="shared" si="76"/>
        <v/>
      </c>
      <c r="W331" s="84" t="str">
        <f t="shared" si="77"/>
        <v/>
      </c>
      <c r="X331" s="46" t="str">
        <f t="shared" si="78"/>
        <v/>
      </c>
      <c r="Y331" s="60" t="str">
        <f t="shared" si="79"/>
        <v/>
      </c>
      <c r="Z331" s="60" t="str">
        <f t="shared" si="80"/>
        <v/>
      </c>
      <c r="AA331" s="64" t="str">
        <f t="shared" si="81"/>
        <v/>
      </c>
      <c r="AB331" s="64" t="str">
        <f>IF(AND(AA331&lt;&gt;"",AA331&lt;&gt;0), IF(E331="Muni", AA331, IF(E331 = "Corp", (1-'Investor Input'!$C$4-'Investor Input'!$C$5)*AA331, (1-'Investor Input'!$C$4)*AA331)), AA331)</f>
        <v/>
      </c>
      <c r="AC331" s="94" t="str">
        <f t="shared" si="82"/>
        <v/>
      </c>
      <c r="AD331" s="60" t="str">
        <f>IF(AND(M331&lt;&gt;"", M331&lt;&gt;0), N331/$N$505*MATCH(AC331,'Misc Lists'!$K$2:$K$25,0), "")</f>
        <v/>
      </c>
      <c r="AE331" s="90" t="str">
        <f t="shared" si="83"/>
        <v/>
      </c>
      <c r="AF331" s="99" t="str">
        <f>IF(AND(M331&lt;&gt;"", M331&lt;&gt;0), N331/$N$505*MATCH(AE331,'Misc Lists'!$L$2:$L$25,0), "")</f>
        <v/>
      </c>
    </row>
    <row r="332" spans="2:32" hidden="1" outlineLevel="1" x14ac:dyDescent="0.5">
      <c r="B332" s="65" t="str">
        <f ca="1"/>
        <v>872898AF8</v>
      </c>
      <c r="C332" s="66" t="str">
        <f ca="1"/>
        <v>N/A</v>
      </c>
      <c r="D332" s="65" t="str">
        <f ca="1"/>
        <v>TSMC ARIZ CORP      NOTE CALL MAKE WHOLE3.87500% 04/22/2027</v>
      </c>
      <c r="E332" s="66" t="str">
        <f ca="1"/>
        <v>Corp</v>
      </c>
      <c r="F332" s="67">
        <f ca="1"/>
        <v>3.875</v>
      </c>
      <c r="G332" s="68">
        <f ca="1"/>
        <v>46499</v>
      </c>
      <c r="H332" s="66" t="str">
        <f ca="1"/>
        <v>AA3</v>
      </c>
      <c r="I332" s="66" t="str">
        <f ca="1"/>
        <v>AA-</v>
      </c>
      <c r="J332" s="69">
        <f ca="1"/>
        <v>99.063000000000002</v>
      </c>
      <c r="K332" s="70">
        <f ca="1"/>
        <v>4.3419999999999996</v>
      </c>
      <c r="L332" s="70" t="str">
        <f ca="1"/>
        <v>500(200)</v>
      </c>
      <c r="M332" s="83"/>
      <c r="N332" s="84" t="str">
        <f t="shared" si="84"/>
        <v/>
      </c>
      <c r="O332" s="20" t="str">
        <f t="shared" si="85"/>
        <v/>
      </c>
      <c r="P332" s="64" t="str">
        <f t="shared" si="86"/>
        <v/>
      </c>
      <c r="Q332" s="85" t="str">
        <f t="shared" ca="1" si="87"/>
        <v/>
      </c>
      <c r="R332" s="86" t="str">
        <f t="shared" si="88"/>
        <v/>
      </c>
      <c r="S332" s="86" t="str">
        <f t="shared" si="89"/>
        <v/>
      </c>
      <c r="T332" s="104" t="str">
        <f t="shared" si="75"/>
        <v/>
      </c>
      <c r="U332" s="19" t="str">
        <f>IF(AND(M332&lt;&gt;"",M332&lt;&gt;0), IF(E332 = "Muni", T332, IF(E332="Corp", T332*(1 -'Investor Input'!$C$4-'Investor Input'!$C$5), T332*(1 -'Investor Input'!$C$4))), T332)</f>
        <v/>
      </c>
      <c r="V332" s="84" t="str">
        <f t="shared" si="76"/>
        <v/>
      </c>
      <c r="W332" s="84" t="str">
        <f t="shared" si="77"/>
        <v/>
      </c>
      <c r="X332" s="46" t="str">
        <f t="shared" si="78"/>
        <v/>
      </c>
      <c r="Y332" s="60" t="str">
        <f t="shared" si="79"/>
        <v/>
      </c>
      <c r="Z332" s="60" t="str">
        <f t="shared" si="80"/>
        <v/>
      </c>
      <c r="AA332" s="64" t="str">
        <f t="shared" si="81"/>
        <v/>
      </c>
      <c r="AB332" s="64" t="str">
        <f>IF(AND(AA332&lt;&gt;"",AA332&lt;&gt;0), IF(E332="Muni", AA332, IF(E332 = "Corp", (1-'Investor Input'!$C$4-'Investor Input'!$C$5)*AA332, (1-'Investor Input'!$C$4)*AA332)), AA332)</f>
        <v/>
      </c>
      <c r="AC332" s="94" t="str">
        <f t="shared" si="82"/>
        <v/>
      </c>
      <c r="AD332" s="60" t="str">
        <f>IF(AND(M332&lt;&gt;"", M332&lt;&gt;0), N332/$N$505*MATCH(AC332,'Misc Lists'!$K$2:$K$25,0), "")</f>
        <v/>
      </c>
      <c r="AE332" s="90" t="str">
        <f t="shared" si="83"/>
        <v/>
      </c>
      <c r="AF332" s="99" t="str">
        <f>IF(AND(M332&lt;&gt;"", M332&lt;&gt;0), N332/$N$505*MATCH(AE332,'Misc Lists'!$L$2:$L$25,0), "")</f>
        <v/>
      </c>
    </row>
    <row r="333" spans="2:32" hidden="1" outlineLevel="1" x14ac:dyDescent="0.5">
      <c r="B333" s="65" t="str">
        <f ca="1"/>
        <v>037833DP2</v>
      </c>
      <c r="C333" s="66" t="str">
        <f ca="1"/>
        <v>N/A</v>
      </c>
      <c r="D333" s="65" t="str">
        <f ca="1"/>
        <v>APPLE INC           NOTE CALL MAKE WHOLE2.20000% 09/11/2029</v>
      </c>
      <c r="E333" s="66" t="str">
        <f ca="1"/>
        <v>Corp</v>
      </c>
      <c r="F333" s="67">
        <f ca="1"/>
        <v>2.2000000000000002</v>
      </c>
      <c r="G333" s="68">
        <f ca="1"/>
        <v>47372</v>
      </c>
      <c r="H333" s="66" t="str">
        <f ca="1"/>
        <v>AAA</v>
      </c>
      <c r="I333" s="66" t="str">
        <f ca="1"/>
        <v>AA+</v>
      </c>
      <c r="J333" s="69">
        <f ca="1"/>
        <v>91.335999999999999</v>
      </c>
      <c r="K333" s="70">
        <f ca="1"/>
        <v>4.3410000000000002</v>
      </c>
      <c r="L333" s="70" t="str">
        <f ca="1"/>
        <v>500(2)</v>
      </c>
      <c r="M333" s="83"/>
      <c r="N333" s="84" t="str">
        <f t="shared" si="84"/>
        <v/>
      </c>
      <c r="O333" s="20" t="str">
        <f t="shared" si="85"/>
        <v/>
      </c>
      <c r="P333" s="64" t="str">
        <f t="shared" si="86"/>
        <v/>
      </c>
      <c r="Q333" s="85" t="str">
        <f t="shared" ca="1" si="87"/>
        <v/>
      </c>
      <c r="R333" s="86" t="str">
        <f t="shared" si="88"/>
        <v/>
      </c>
      <c r="S333" s="86" t="str">
        <f t="shared" si="89"/>
        <v/>
      </c>
      <c r="T333" s="104" t="str">
        <f t="shared" si="75"/>
        <v/>
      </c>
      <c r="U333" s="19" t="str">
        <f>IF(AND(M333&lt;&gt;"",M333&lt;&gt;0), IF(E333 = "Muni", T333, IF(E333="Corp", T333*(1 -'Investor Input'!$C$4-'Investor Input'!$C$5), T333*(1 -'Investor Input'!$C$4))), T333)</f>
        <v/>
      </c>
      <c r="V333" s="84" t="str">
        <f t="shared" si="76"/>
        <v/>
      </c>
      <c r="W333" s="84" t="str">
        <f t="shared" si="77"/>
        <v/>
      </c>
      <c r="X333" s="46" t="str">
        <f t="shared" si="78"/>
        <v/>
      </c>
      <c r="Y333" s="60" t="str">
        <f t="shared" si="79"/>
        <v/>
      </c>
      <c r="Z333" s="60" t="str">
        <f t="shared" si="80"/>
        <v/>
      </c>
      <c r="AA333" s="64" t="str">
        <f t="shared" si="81"/>
        <v/>
      </c>
      <c r="AB333" s="64" t="str">
        <f>IF(AND(AA333&lt;&gt;"",AA333&lt;&gt;0), IF(E333="Muni", AA333, IF(E333 = "Corp", (1-'Investor Input'!$C$4-'Investor Input'!$C$5)*AA333, (1-'Investor Input'!$C$4)*AA333)), AA333)</f>
        <v/>
      </c>
      <c r="AC333" s="94" t="str">
        <f t="shared" si="82"/>
        <v/>
      </c>
      <c r="AD333" s="60" t="str">
        <f>IF(AND(M333&lt;&gt;"", M333&lt;&gt;0), N333/$N$505*MATCH(AC333,'Misc Lists'!$K$2:$K$25,0), "")</f>
        <v/>
      </c>
      <c r="AE333" s="90" t="str">
        <f t="shared" si="83"/>
        <v/>
      </c>
      <c r="AF333" s="99" t="str">
        <f>IF(AND(M333&lt;&gt;"", M333&lt;&gt;0), N333/$N$505*MATCH(AE333,'Misc Lists'!$L$2:$L$25,0), "")</f>
        <v/>
      </c>
    </row>
    <row r="334" spans="2:32" hidden="1" outlineLevel="1" x14ac:dyDescent="0.5">
      <c r="B334" s="65" t="str">
        <f ca="1"/>
        <v>194162AM5</v>
      </c>
      <c r="C334" s="66" t="str">
        <f ca="1"/>
        <v>N/A</v>
      </c>
      <c r="D334" s="65" t="str">
        <f ca="1"/>
        <v>COLGATE PALMOLIVE CONOTE CALL MAKE WHOLE3.10000% 08/15/2025</v>
      </c>
      <c r="E334" s="66" t="str">
        <f ca="1"/>
        <v>Corp</v>
      </c>
      <c r="F334" s="67">
        <f ca="1"/>
        <v>3.1</v>
      </c>
      <c r="G334" s="68">
        <f ca="1"/>
        <v>45884</v>
      </c>
      <c r="H334" s="66" t="str">
        <f ca="1"/>
        <v>AA3</v>
      </c>
      <c r="I334" s="66" t="str">
        <f ca="1"/>
        <v>A+</v>
      </c>
      <c r="J334" s="69">
        <f ca="1"/>
        <v>99.48</v>
      </c>
      <c r="K334" s="70">
        <f ca="1"/>
        <v>4.3360000000000003</v>
      </c>
      <c r="L334" s="70" t="str">
        <f ca="1"/>
        <v>8(2)</v>
      </c>
      <c r="M334" s="83"/>
      <c r="N334" s="84" t="str">
        <f t="shared" si="84"/>
        <v/>
      </c>
      <c r="O334" s="20" t="str">
        <f t="shared" si="85"/>
        <v/>
      </c>
      <c r="P334" s="64" t="str">
        <f t="shared" si="86"/>
        <v/>
      </c>
      <c r="Q334" s="85" t="str">
        <f t="shared" ca="1" si="87"/>
        <v/>
      </c>
      <c r="R334" s="86" t="str">
        <f t="shared" si="88"/>
        <v/>
      </c>
      <c r="S334" s="86" t="str">
        <f t="shared" si="89"/>
        <v/>
      </c>
      <c r="T334" s="104" t="str">
        <f t="shared" si="75"/>
        <v/>
      </c>
      <c r="U334" s="19" t="str">
        <f>IF(AND(M334&lt;&gt;"",M334&lt;&gt;0), IF(E334 = "Muni", T334, IF(E334="Corp", T334*(1 -'Investor Input'!$C$4-'Investor Input'!$C$5), T334*(1 -'Investor Input'!$C$4))), T334)</f>
        <v/>
      </c>
      <c r="V334" s="84" t="str">
        <f t="shared" si="76"/>
        <v/>
      </c>
      <c r="W334" s="84" t="str">
        <f t="shared" si="77"/>
        <v/>
      </c>
      <c r="X334" s="46" t="str">
        <f t="shared" si="78"/>
        <v/>
      </c>
      <c r="Y334" s="60" t="str">
        <f t="shared" si="79"/>
        <v/>
      </c>
      <c r="Z334" s="60" t="str">
        <f t="shared" si="80"/>
        <v/>
      </c>
      <c r="AA334" s="64" t="str">
        <f t="shared" si="81"/>
        <v/>
      </c>
      <c r="AB334" s="64" t="str">
        <f>IF(AND(AA334&lt;&gt;"",AA334&lt;&gt;0), IF(E334="Muni", AA334, IF(E334 = "Corp", (1-'Investor Input'!$C$4-'Investor Input'!$C$5)*AA334, (1-'Investor Input'!$C$4)*AA334)), AA334)</f>
        <v/>
      </c>
      <c r="AC334" s="94" t="str">
        <f t="shared" si="82"/>
        <v/>
      </c>
      <c r="AD334" s="60" t="str">
        <f>IF(AND(M334&lt;&gt;"", M334&lt;&gt;0), N334/$N$505*MATCH(AC334,'Misc Lists'!$K$2:$K$25,0), "")</f>
        <v/>
      </c>
      <c r="AE334" s="90" t="str">
        <f t="shared" si="83"/>
        <v/>
      </c>
      <c r="AF334" s="99" t="str">
        <f>IF(AND(M334&lt;&gt;"", M334&lt;&gt;0), N334/$N$505*MATCH(AE334,'Misc Lists'!$L$2:$L$25,0), "")</f>
        <v/>
      </c>
    </row>
    <row r="335" spans="2:32" hidden="1" outlineLevel="1" x14ac:dyDescent="0.5">
      <c r="B335" s="65" t="str">
        <f ca="1"/>
        <v>06406FAC7</v>
      </c>
      <c r="C335" s="66" t="str">
        <f ca="1"/>
        <v>N/A</v>
      </c>
      <c r="D335" s="65" t="str">
        <f ca="1"/>
        <v>BANK NEW YORK MELLONCORP SER SERIES I   2.80000% 05/04/2026 MTN CALL MAKE WHOLE</v>
      </c>
      <c r="E335" s="66" t="str">
        <f ca="1"/>
        <v>Corp</v>
      </c>
      <c r="F335" s="67">
        <f ca="1"/>
        <v>2.8</v>
      </c>
      <c r="G335" s="68">
        <f ca="1"/>
        <v>46146</v>
      </c>
      <c r="H335" s="66" t="str">
        <f ca="1"/>
        <v>AA3</v>
      </c>
      <c r="I335" s="66" t="str">
        <f ca="1"/>
        <v>A</v>
      </c>
      <c r="J335" s="69">
        <f ca="1"/>
        <v>98.3</v>
      </c>
      <c r="K335" s="70">
        <f ca="1"/>
        <v>4.3360000000000003</v>
      </c>
      <c r="L335" s="70" t="str">
        <f ca="1"/>
        <v>360(1)</v>
      </c>
      <c r="M335" s="83"/>
      <c r="N335" s="84" t="str">
        <f t="shared" si="84"/>
        <v/>
      </c>
      <c r="O335" s="20" t="str">
        <f t="shared" si="85"/>
        <v/>
      </c>
      <c r="P335" s="64" t="str">
        <f t="shared" si="86"/>
        <v/>
      </c>
      <c r="Q335" s="85" t="str">
        <f t="shared" ca="1" si="87"/>
        <v/>
      </c>
      <c r="R335" s="86" t="str">
        <f t="shared" si="88"/>
        <v/>
      </c>
      <c r="S335" s="86" t="str">
        <f t="shared" si="89"/>
        <v/>
      </c>
      <c r="T335" s="104" t="str">
        <f t="shared" si="75"/>
        <v/>
      </c>
      <c r="U335" s="19" t="str">
        <f>IF(AND(M335&lt;&gt;"",M335&lt;&gt;0), IF(E335 = "Muni", T335, IF(E335="Corp", T335*(1 -'Investor Input'!$C$4-'Investor Input'!$C$5), T335*(1 -'Investor Input'!$C$4))), T335)</f>
        <v/>
      </c>
      <c r="V335" s="84" t="str">
        <f t="shared" si="76"/>
        <v/>
      </c>
      <c r="W335" s="84" t="str">
        <f t="shared" si="77"/>
        <v/>
      </c>
      <c r="X335" s="46" t="str">
        <f t="shared" si="78"/>
        <v/>
      </c>
      <c r="Y335" s="60" t="str">
        <f t="shared" si="79"/>
        <v/>
      </c>
      <c r="Z335" s="60" t="str">
        <f t="shared" si="80"/>
        <v/>
      </c>
      <c r="AA335" s="64" t="str">
        <f t="shared" si="81"/>
        <v/>
      </c>
      <c r="AB335" s="64" t="str">
        <f>IF(AND(AA335&lt;&gt;"",AA335&lt;&gt;0), IF(E335="Muni", AA335, IF(E335 = "Corp", (1-'Investor Input'!$C$4-'Investor Input'!$C$5)*AA335, (1-'Investor Input'!$C$4)*AA335)), AA335)</f>
        <v/>
      </c>
      <c r="AC335" s="94" t="str">
        <f t="shared" si="82"/>
        <v/>
      </c>
      <c r="AD335" s="60" t="str">
        <f>IF(AND(M335&lt;&gt;"", M335&lt;&gt;0), N335/$N$505*MATCH(AC335,'Misc Lists'!$K$2:$K$25,0), "")</f>
        <v/>
      </c>
      <c r="AE335" s="90" t="str">
        <f t="shared" si="83"/>
        <v/>
      </c>
      <c r="AF335" s="99" t="str">
        <f>IF(AND(M335&lt;&gt;"", M335&lt;&gt;0), N335/$N$505*MATCH(AE335,'Misc Lists'!$L$2:$L$25,0), "")</f>
        <v/>
      </c>
    </row>
    <row r="336" spans="2:32" hidden="1" outlineLevel="1" x14ac:dyDescent="0.5">
      <c r="B336" s="65" t="str">
        <f ca="1"/>
        <v>06406RAD9</v>
      </c>
      <c r="C336" s="66" t="str">
        <f ca="1"/>
        <v>N/A</v>
      </c>
      <c r="D336" s="65" t="str">
        <f ca="1"/>
        <v>BANK NEW YORK MELLONCORP SER J MTN      3.25000% 05/16/2027</v>
      </c>
      <c r="E336" s="66" t="str">
        <f ca="1"/>
        <v>Corp</v>
      </c>
      <c r="F336" s="67">
        <f ca="1"/>
        <v>3.25</v>
      </c>
      <c r="G336" s="68">
        <f ca="1"/>
        <v>46523</v>
      </c>
      <c r="H336" s="66" t="str">
        <f ca="1"/>
        <v>AA3</v>
      </c>
      <c r="I336" s="66" t="str">
        <f ca="1"/>
        <v>A</v>
      </c>
      <c r="J336" s="69">
        <f ca="1"/>
        <v>97.762</v>
      </c>
      <c r="K336" s="70">
        <f ca="1"/>
        <v>4.3360000000000003</v>
      </c>
      <c r="L336" s="70" t="str">
        <f ca="1"/>
        <v>200(10)</v>
      </c>
      <c r="M336" s="83"/>
      <c r="N336" s="84" t="str">
        <f t="shared" si="84"/>
        <v/>
      </c>
      <c r="O336" s="20" t="str">
        <f t="shared" si="85"/>
        <v/>
      </c>
      <c r="P336" s="64" t="str">
        <f t="shared" si="86"/>
        <v/>
      </c>
      <c r="Q336" s="85" t="str">
        <f t="shared" ca="1" si="87"/>
        <v/>
      </c>
      <c r="R336" s="86" t="str">
        <f t="shared" si="88"/>
        <v/>
      </c>
      <c r="S336" s="86" t="str">
        <f t="shared" si="89"/>
        <v/>
      </c>
      <c r="T336" s="104" t="str">
        <f t="shared" si="75"/>
        <v/>
      </c>
      <c r="U336" s="19" t="str">
        <f>IF(AND(M336&lt;&gt;"",M336&lt;&gt;0), IF(E336 = "Muni", T336, IF(E336="Corp", T336*(1 -'Investor Input'!$C$4-'Investor Input'!$C$5), T336*(1 -'Investor Input'!$C$4))), T336)</f>
        <v/>
      </c>
      <c r="V336" s="84" t="str">
        <f t="shared" si="76"/>
        <v/>
      </c>
      <c r="W336" s="84" t="str">
        <f t="shared" si="77"/>
        <v/>
      </c>
      <c r="X336" s="46" t="str">
        <f t="shared" si="78"/>
        <v/>
      </c>
      <c r="Y336" s="60" t="str">
        <f t="shared" si="79"/>
        <v/>
      </c>
      <c r="Z336" s="60" t="str">
        <f t="shared" si="80"/>
        <v/>
      </c>
      <c r="AA336" s="64" t="str">
        <f t="shared" si="81"/>
        <v/>
      </c>
      <c r="AB336" s="64" t="str">
        <f>IF(AND(AA336&lt;&gt;"",AA336&lt;&gt;0), IF(E336="Muni", AA336, IF(E336 = "Corp", (1-'Investor Input'!$C$4-'Investor Input'!$C$5)*AA336, (1-'Investor Input'!$C$4)*AA336)), AA336)</f>
        <v/>
      </c>
      <c r="AC336" s="94" t="str">
        <f t="shared" si="82"/>
        <v/>
      </c>
      <c r="AD336" s="60" t="str">
        <f>IF(AND(M336&lt;&gt;"", M336&lt;&gt;0), N336/$N$505*MATCH(AC336,'Misc Lists'!$K$2:$K$25,0), "")</f>
        <v/>
      </c>
      <c r="AE336" s="90" t="str">
        <f t="shared" si="83"/>
        <v/>
      </c>
      <c r="AF336" s="99" t="str">
        <f>IF(AND(M336&lt;&gt;"", M336&lt;&gt;0), N336/$N$505*MATCH(AE336,'Misc Lists'!$L$2:$L$25,0), "")</f>
        <v/>
      </c>
    </row>
    <row r="337" spans="2:32" hidden="1" outlineLevel="1" x14ac:dyDescent="0.5">
      <c r="B337" s="65" t="str">
        <f ca="1"/>
        <v>48125LRU8</v>
      </c>
      <c r="C337" s="66" t="str">
        <f ca="1"/>
        <v>N/A</v>
      </c>
      <c r="D337" s="65" t="str">
        <f ca="1"/>
        <v>JPMORGAN CHASE BK N A NOTE              5.11000% 12/08/2026 CALL MAKE WHOLE</v>
      </c>
      <c r="E337" s="66" t="str">
        <f ca="1"/>
        <v>Corp</v>
      </c>
      <c r="F337" s="67">
        <f ca="1"/>
        <v>5.1100000000000003</v>
      </c>
      <c r="G337" s="68">
        <f ca="1"/>
        <v>46364</v>
      </c>
      <c r="H337" s="66" t="str">
        <f ca="1"/>
        <v>AA2</v>
      </c>
      <c r="I337" s="66" t="str">
        <f ca="1"/>
        <v>AA-</v>
      </c>
      <c r="J337" s="69">
        <f ca="1"/>
        <v>101.282</v>
      </c>
      <c r="K337" s="70">
        <f ca="1"/>
        <v>4.3330000000000002</v>
      </c>
      <c r="L337" s="70" t="str">
        <f ca="1"/>
        <v>2,000(250)</v>
      </c>
      <c r="M337" s="83"/>
      <c r="N337" s="84" t="str">
        <f t="shared" si="84"/>
        <v/>
      </c>
      <c r="O337" s="20" t="str">
        <f t="shared" si="85"/>
        <v/>
      </c>
      <c r="P337" s="64" t="str">
        <f t="shared" si="86"/>
        <v/>
      </c>
      <c r="Q337" s="85" t="str">
        <f t="shared" ca="1" si="87"/>
        <v/>
      </c>
      <c r="R337" s="86" t="str">
        <f t="shared" si="88"/>
        <v/>
      </c>
      <c r="S337" s="86" t="str">
        <f t="shared" si="89"/>
        <v/>
      </c>
      <c r="T337" s="104" t="str">
        <f t="shared" si="75"/>
        <v/>
      </c>
      <c r="U337" s="19" t="str">
        <f>IF(AND(M337&lt;&gt;"",M337&lt;&gt;0), IF(E337 = "Muni", T337, IF(E337="Corp", T337*(1 -'Investor Input'!$C$4-'Investor Input'!$C$5), T337*(1 -'Investor Input'!$C$4))), T337)</f>
        <v/>
      </c>
      <c r="V337" s="84" t="str">
        <f t="shared" si="76"/>
        <v/>
      </c>
      <c r="W337" s="84" t="str">
        <f t="shared" si="77"/>
        <v/>
      </c>
      <c r="X337" s="46" t="str">
        <f t="shared" si="78"/>
        <v/>
      </c>
      <c r="Y337" s="60" t="str">
        <f t="shared" si="79"/>
        <v/>
      </c>
      <c r="Z337" s="60" t="str">
        <f t="shared" si="80"/>
        <v/>
      </c>
      <c r="AA337" s="64" t="str">
        <f t="shared" si="81"/>
        <v/>
      </c>
      <c r="AB337" s="64" t="str">
        <f>IF(AND(AA337&lt;&gt;"",AA337&lt;&gt;0), IF(E337="Muni", AA337, IF(E337 = "Corp", (1-'Investor Input'!$C$4-'Investor Input'!$C$5)*AA337, (1-'Investor Input'!$C$4)*AA337)), AA337)</f>
        <v/>
      </c>
      <c r="AC337" s="94" t="str">
        <f t="shared" si="82"/>
        <v/>
      </c>
      <c r="AD337" s="60" t="str">
        <f>IF(AND(M337&lt;&gt;"", M337&lt;&gt;0), N337/$N$505*MATCH(AC337,'Misc Lists'!$K$2:$K$25,0), "")</f>
        <v/>
      </c>
      <c r="AE337" s="90" t="str">
        <f t="shared" si="83"/>
        <v/>
      </c>
      <c r="AF337" s="99" t="str">
        <f>IF(AND(M337&lt;&gt;"", M337&lt;&gt;0), N337/$N$505*MATCH(AE337,'Misc Lists'!$L$2:$L$25,0), "")</f>
        <v/>
      </c>
    </row>
    <row r="338" spans="2:32" hidden="1" outlineLevel="1" x14ac:dyDescent="0.5">
      <c r="B338" s="65" t="str">
        <f ca="1"/>
        <v>880591EW8</v>
      </c>
      <c r="C338" s="66" t="str">
        <f ca="1"/>
        <v>N/A</v>
      </c>
      <c r="D338" s="65" t="str">
        <f ca="1"/>
        <v>TENNESSEE VALLEY    AUTHORITY NOTE      0.75000% 05/15/2025</v>
      </c>
      <c r="E338" s="66" t="str">
        <f ca="1"/>
        <v>Corp</v>
      </c>
      <c r="F338" s="67">
        <f ca="1"/>
        <v>0.75</v>
      </c>
      <c r="G338" s="68">
        <f ca="1"/>
        <v>45792</v>
      </c>
      <c r="H338" s="66" t="str">
        <f ca="1"/>
        <v>AAA</v>
      </c>
      <c r="I338" s="66" t="str">
        <f ca="1"/>
        <v>AA+</v>
      </c>
      <c r="J338" s="69">
        <f ca="1"/>
        <v>99.376000000000005</v>
      </c>
      <c r="K338" s="70">
        <f ca="1"/>
        <v>4.3319999999999999</v>
      </c>
      <c r="L338" s="70" t="str">
        <f ca="1"/>
        <v>773(100)</v>
      </c>
      <c r="M338" s="83"/>
      <c r="N338" s="84" t="str">
        <f t="shared" si="84"/>
        <v/>
      </c>
      <c r="O338" s="20" t="str">
        <f t="shared" si="85"/>
        <v/>
      </c>
      <c r="P338" s="64" t="str">
        <f t="shared" si="86"/>
        <v/>
      </c>
      <c r="Q338" s="85" t="str">
        <f t="shared" ca="1" si="87"/>
        <v/>
      </c>
      <c r="R338" s="86" t="str">
        <f t="shared" si="88"/>
        <v/>
      </c>
      <c r="S338" s="86" t="str">
        <f t="shared" si="89"/>
        <v/>
      </c>
      <c r="T338" s="104" t="str">
        <f t="shared" si="75"/>
        <v/>
      </c>
      <c r="U338" s="19" t="str">
        <f>IF(AND(M338&lt;&gt;"",M338&lt;&gt;0), IF(E338 = "Muni", T338, IF(E338="Corp", T338*(1 -'Investor Input'!$C$4-'Investor Input'!$C$5), T338*(1 -'Investor Input'!$C$4))), T338)</f>
        <v/>
      </c>
      <c r="V338" s="84" t="str">
        <f t="shared" si="76"/>
        <v/>
      </c>
      <c r="W338" s="84" t="str">
        <f t="shared" si="77"/>
        <v/>
      </c>
      <c r="X338" s="46" t="str">
        <f t="shared" si="78"/>
        <v/>
      </c>
      <c r="Y338" s="60" t="str">
        <f t="shared" si="79"/>
        <v/>
      </c>
      <c r="Z338" s="60" t="str">
        <f t="shared" si="80"/>
        <v/>
      </c>
      <c r="AA338" s="64" t="str">
        <f t="shared" si="81"/>
        <v/>
      </c>
      <c r="AB338" s="64" t="str">
        <f>IF(AND(AA338&lt;&gt;"",AA338&lt;&gt;0), IF(E338="Muni", AA338, IF(E338 = "Corp", (1-'Investor Input'!$C$4-'Investor Input'!$C$5)*AA338, (1-'Investor Input'!$C$4)*AA338)), AA338)</f>
        <v/>
      </c>
      <c r="AC338" s="94" t="str">
        <f t="shared" si="82"/>
        <v/>
      </c>
      <c r="AD338" s="60" t="str">
        <f>IF(AND(M338&lt;&gt;"", M338&lt;&gt;0), N338/$N$505*MATCH(AC338,'Misc Lists'!$K$2:$K$25,0), "")</f>
        <v/>
      </c>
      <c r="AE338" s="90" t="str">
        <f t="shared" si="83"/>
        <v/>
      </c>
      <c r="AF338" s="99" t="str">
        <f>IF(AND(M338&lt;&gt;"", M338&lt;&gt;0), N338/$N$505*MATCH(AE338,'Misc Lists'!$L$2:$L$25,0), "")</f>
        <v/>
      </c>
    </row>
    <row r="339" spans="2:32" hidden="1" outlineLevel="1" x14ac:dyDescent="0.5">
      <c r="B339" s="65" t="str">
        <f ca="1"/>
        <v>857477CP6</v>
      </c>
      <c r="C339" s="66" t="str">
        <f ca="1"/>
        <v>N/A</v>
      </c>
      <c r="D339" s="65" t="str">
        <f ca="1"/>
        <v>STATE STR CORP      NOTE                4.33000% 10/22/2027</v>
      </c>
      <c r="E339" s="66" t="str">
        <f ca="1"/>
        <v>Corp</v>
      </c>
      <c r="F339" s="67">
        <f ca="1"/>
        <v>4.33</v>
      </c>
      <c r="G339" s="68">
        <f ca="1"/>
        <v>46682</v>
      </c>
      <c r="H339" s="66" t="str">
        <f ca="1"/>
        <v>AA3</v>
      </c>
      <c r="I339" s="66" t="str">
        <f ca="1"/>
        <v>A</v>
      </c>
      <c r="J339" s="69">
        <f ca="1"/>
        <v>99.991</v>
      </c>
      <c r="K339" s="70">
        <f ca="1"/>
        <v>4.3319999999999999</v>
      </c>
      <c r="L339" s="70" t="str">
        <f ca="1"/>
        <v>200(2)</v>
      </c>
      <c r="M339" s="83"/>
      <c r="N339" s="84" t="str">
        <f t="shared" si="84"/>
        <v/>
      </c>
      <c r="O339" s="20" t="str">
        <f t="shared" si="85"/>
        <v/>
      </c>
      <c r="P339" s="64" t="str">
        <f t="shared" si="86"/>
        <v/>
      </c>
      <c r="Q339" s="85" t="str">
        <f t="shared" ca="1" si="87"/>
        <v/>
      </c>
      <c r="R339" s="86" t="str">
        <f t="shared" si="88"/>
        <v/>
      </c>
      <c r="S339" s="86" t="str">
        <f t="shared" si="89"/>
        <v/>
      </c>
      <c r="T339" s="104" t="str">
        <f t="shared" si="75"/>
        <v/>
      </c>
      <c r="U339" s="19" t="str">
        <f>IF(AND(M339&lt;&gt;"",M339&lt;&gt;0), IF(E339 = "Muni", T339, IF(E339="Corp", T339*(1 -'Investor Input'!$C$4-'Investor Input'!$C$5), T339*(1 -'Investor Input'!$C$4))), T339)</f>
        <v/>
      </c>
      <c r="V339" s="84" t="str">
        <f t="shared" si="76"/>
        <v/>
      </c>
      <c r="W339" s="84" t="str">
        <f t="shared" si="77"/>
        <v/>
      </c>
      <c r="X339" s="46" t="str">
        <f t="shared" si="78"/>
        <v/>
      </c>
      <c r="Y339" s="60" t="str">
        <f t="shared" si="79"/>
        <v/>
      </c>
      <c r="Z339" s="60" t="str">
        <f t="shared" si="80"/>
        <v/>
      </c>
      <c r="AA339" s="64" t="str">
        <f t="shared" si="81"/>
        <v/>
      </c>
      <c r="AB339" s="64" t="str">
        <f>IF(AND(AA339&lt;&gt;"",AA339&lt;&gt;0), IF(E339="Muni", AA339, IF(E339 = "Corp", (1-'Investor Input'!$C$4-'Investor Input'!$C$5)*AA339, (1-'Investor Input'!$C$4)*AA339)), AA339)</f>
        <v/>
      </c>
      <c r="AC339" s="94" t="str">
        <f t="shared" si="82"/>
        <v/>
      </c>
      <c r="AD339" s="60" t="str">
        <f>IF(AND(M339&lt;&gt;"", M339&lt;&gt;0), N339/$N$505*MATCH(AC339,'Misc Lists'!$K$2:$K$25,0), "")</f>
        <v/>
      </c>
      <c r="AE339" s="90" t="str">
        <f t="shared" si="83"/>
        <v/>
      </c>
      <c r="AF339" s="99" t="str">
        <f>IF(AND(M339&lt;&gt;"", M339&lt;&gt;0), N339/$N$505*MATCH(AE339,'Misc Lists'!$L$2:$L$25,0), "")</f>
        <v/>
      </c>
    </row>
    <row r="340" spans="2:32" hidden="1" outlineLevel="1" x14ac:dyDescent="0.5">
      <c r="B340" s="65" t="str">
        <f ca="1"/>
        <v>961214DW0</v>
      </c>
      <c r="C340" s="66" t="str">
        <f ca="1"/>
        <v>N/A</v>
      </c>
      <c r="D340" s="65" t="str">
        <f ca="1"/>
        <v>WESTPAC BANKING     CORPORATION NOTE    3.40000% 01/25/2028</v>
      </c>
      <c r="E340" s="66" t="str">
        <f ca="1"/>
        <v>Corp</v>
      </c>
      <c r="F340" s="67">
        <f ca="1"/>
        <v>3.4</v>
      </c>
      <c r="G340" s="68">
        <f ca="1"/>
        <v>46777</v>
      </c>
      <c r="H340" s="66" t="str">
        <f ca="1"/>
        <v>AA2</v>
      </c>
      <c r="I340" s="66" t="str">
        <f ca="1"/>
        <v>AA-</v>
      </c>
      <c r="J340" s="69">
        <f ca="1"/>
        <v>97.509</v>
      </c>
      <c r="K340" s="70">
        <f ca="1"/>
        <v>4.3310000000000004</v>
      </c>
      <c r="L340" s="70" t="str">
        <f ca="1"/>
        <v>500(2)</v>
      </c>
      <c r="M340" s="83"/>
      <c r="N340" s="84" t="str">
        <f t="shared" si="84"/>
        <v/>
      </c>
      <c r="O340" s="20" t="str">
        <f t="shared" si="85"/>
        <v/>
      </c>
      <c r="P340" s="64" t="str">
        <f t="shared" si="86"/>
        <v/>
      </c>
      <c r="Q340" s="85" t="str">
        <f t="shared" ca="1" si="87"/>
        <v/>
      </c>
      <c r="R340" s="86" t="str">
        <f t="shared" si="88"/>
        <v/>
      </c>
      <c r="S340" s="86" t="str">
        <f t="shared" si="89"/>
        <v/>
      </c>
      <c r="T340" s="104" t="str">
        <f t="shared" si="75"/>
        <v/>
      </c>
      <c r="U340" s="19" t="str">
        <f>IF(AND(M340&lt;&gt;"",M340&lt;&gt;0), IF(E340 = "Muni", T340, IF(E340="Corp", T340*(1 -'Investor Input'!$C$4-'Investor Input'!$C$5), T340*(1 -'Investor Input'!$C$4))), T340)</f>
        <v/>
      </c>
      <c r="V340" s="84" t="str">
        <f t="shared" si="76"/>
        <v/>
      </c>
      <c r="W340" s="84" t="str">
        <f t="shared" si="77"/>
        <v/>
      </c>
      <c r="X340" s="46" t="str">
        <f t="shared" si="78"/>
        <v/>
      </c>
      <c r="Y340" s="60" t="str">
        <f t="shared" si="79"/>
        <v/>
      </c>
      <c r="Z340" s="60" t="str">
        <f t="shared" si="80"/>
        <v/>
      </c>
      <c r="AA340" s="64" t="str">
        <f t="shared" si="81"/>
        <v/>
      </c>
      <c r="AB340" s="64" t="str">
        <f>IF(AND(AA340&lt;&gt;"",AA340&lt;&gt;0), IF(E340="Muni", AA340, IF(E340 = "Corp", (1-'Investor Input'!$C$4-'Investor Input'!$C$5)*AA340, (1-'Investor Input'!$C$4)*AA340)), AA340)</f>
        <v/>
      </c>
      <c r="AC340" s="94" t="str">
        <f t="shared" si="82"/>
        <v/>
      </c>
      <c r="AD340" s="60" t="str">
        <f>IF(AND(M340&lt;&gt;"", M340&lt;&gt;0), N340/$N$505*MATCH(AC340,'Misc Lists'!$K$2:$K$25,0), "")</f>
        <v/>
      </c>
      <c r="AE340" s="90" t="str">
        <f t="shared" si="83"/>
        <v/>
      </c>
      <c r="AF340" s="99" t="str">
        <f>IF(AND(M340&lt;&gt;"", M340&lt;&gt;0), N340/$N$505*MATCH(AE340,'Misc Lists'!$L$2:$L$25,0), "")</f>
        <v/>
      </c>
    </row>
    <row r="341" spans="2:32" hidden="1" outlineLevel="1" x14ac:dyDescent="0.5">
      <c r="B341" s="65" t="str">
        <f ca="1"/>
        <v>30231GBE1</v>
      </c>
      <c r="C341" s="66" t="str">
        <f ca="1"/>
        <v>N/A</v>
      </c>
      <c r="D341" s="65" t="str">
        <f ca="1"/>
        <v>EXXON MOBIL CORP    NOTE CALL MAKE WHOLE2.44000% 08/16/2029</v>
      </c>
      <c r="E341" s="66" t="str">
        <f ca="1"/>
        <v>Corp</v>
      </c>
      <c r="F341" s="67">
        <f ca="1"/>
        <v>2.44</v>
      </c>
      <c r="G341" s="68">
        <f ca="1"/>
        <v>47346</v>
      </c>
      <c r="H341" s="66" t="str">
        <f ca="1"/>
        <v>AA2</v>
      </c>
      <c r="I341" s="66" t="str">
        <f ca="1"/>
        <v>AA-</v>
      </c>
      <c r="J341" s="69">
        <f ca="1"/>
        <v>92.459000000000003</v>
      </c>
      <c r="K341" s="70">
        <f ca="1"/>
        <v>4.3289999999999997</v>
      </c>
      <c r="L341" s="70" t="str">
        <f ca="1"/>
        <v>250(2)</v>
      </c>
      <c r="M341" s="83"/>
      <c r="N341" s="84" t="str">
        <f t="shared" si="84"/>
        <v/>
      </c>
      <c r="O341" s="20" t="str">
        <f t="shared" si="85"/>
        <v/>
      </c>
      <c r="P341" s="64" t="str">
        <f t="shared" si="86"/>
        <v/>
      </c>
      <c r="Q341" s="85" t="str">
        <f t="shared" ca="1" si="87"/>
        <v/>
      </c>
      <c r="R341" s="86" t="str">
        <f t="shared" si="88"/>
        <v/>
      </c>
      <c r="S341" s="86" t="str">
        <f t="shared" si="89"/>
        <v/>
      </c>
      <c r="T341" s="104" t="str">
        <f t="shared" si="75"/>
        <v/>
      </c>
      <c r="U341" s="19" t="str">
        <f>IF(AND(M341&lt;&gt;"",M341&lt;&gt;0), IF(E341 = "Muni", T341, IF(E341="Corp", T341*(1 -'Investor Input'!$C$4-'Investor Input'!$C$5), T341*(1 -'Investor Input'!$C$4))), T341)</f>
        <v/>
      </c>
      <c r="V341" s="84" t="str">
        <f t="shared" si="76"/>
        <v/>
      </c>
      <c r="W341" s="84" t="str">
        <f t="shared" si="77"/>
        <v/>
      </c>
      <c r="X341" s="46" t="str">
        <f t="shared" si="78"/>
        <v/>
      </c>
      <c r="Y341" s="60" t="str">
        <f t="shared" si="79"/>
        <v/>
      </c>
      <c r="Z341" s="60" t="str">
        <f t="shared" si="80"/>
        <v/>
      </c>
      <c r="AA341" s="64" t="str">
        <f t="shared" si="81"/>
        <v/>
      </c>
      <c r="AB341" s="64" t="str">
        <f>IF(AND(AA341&lt;&gt;"",AA341&lt;&gt;0), IF(E341="Muni", AA341, IF(E341 = "Corp", (1-'Investor Input'!$C$4-'Investor Input'!$C$5)*AA341, (1-'Investor Input'!$C$4)*AA341)), AA341)</f>
        <v/>
      </c>
      <c r="AC341" s="94" t="str">
        <f t="shared" si="82"/>
        <v/>
      </c>
      <c r="AD341" s="60" t="str">
        <f>IF(AND(M341&lt;&gt;"", M341&lt;&gt;0), N341/$N$505*MATCH(AC341,'Misc Lists'!$K$2:$K$25,0), "")</f>
        <v/>
      </c>
      <c r="AE341" s="90" t="str">
        <f t="shared" si="83"/>
        <v/>
      </c>
      <c r="AF341" s="99" t="str">
        <f>IF(AND(M341&lt;&gt;"", M341&lt;&gt;0), N341/$N$505*MATCH(AE341,'Misc Lists'!$L$2:$L$25,0), "")</f>
        <v/>
      </c>
    </row>
    <row r="342" spans="2:32" hidden="1" outlineLevel="1" x14ac:dyDescent="0.5">
      <c r="B342" s="65" t="str">
        <f ca="1"/>
        <v>166756BB1</v>
      </c>
      <c r="C342" s="66" t="str">
        <f ca="1"/>
        <v>N/A</v>
      </c>
      <c r="D342" s="65" t="str">
        <f ca="1"/>
        <v>CHEVRON USA INC     NOTE CALL MAKE WHOLE4.47500% 02/26/2028</v>
      </c>
      <c r="E342" s="66" t="str">
        <f ca="1"/>
        <v>Corp</v>
      </c>
      <c r="F342" s="67">
        <f ca="1"/>
        <v>4.4749999999999996</v>
      </c>
      <c r="G342" s="68">
        <f ca="1"/>
        <v>46809</v>
      </c>
      <c r="H342" s="66" t="str">
        <f ca="1"/>
        <v>AA2</v>
      </c>
      <c r="I342" s="66" t="str">
        <f ca="1"/>
        <v>AA-</v>
      </c>
      <c r="J342" s="69">
        <f ca="1"/>
        <v>100.401</v>
      </c>
      <c r="K342" s="70">
        <f ca="1"/>
        <v>4.3280000000000003</v>
      </c>
      <c r="L342" s="70" t="str">
        <f ca="1"/>
        <v>500(2)</v>
      </c>
      <c r="M342" s="83"/>
      <c r="N342" s="84" t="str">
        <f t="shared" si="84"/>
        <v/>
      </c>
      <c r="O342" s="20" t="str">
        <f t="shared" si="85"/>
        <v/>
      </c>
      <c r="P342" s="64" t="str">
        <f t="shared" si="86"/>
        <v/>
      </c>
      <c r="Q342" s="85" t="str">
        <f t="shared" ca="1" si="87"/>
        <v/>
      </c>
      <c r="R342" s="86" t="str">
        <f t="shared" si="88"/>
        <v/>
      </c>
      <c r="S342" s="86" t="str">
        <f t="shared" si="89"/>
        <v/>
      </c>
      <c r="T342" s="104" t="str">
        <f t="shared" si="75"/>
        <v/>
      </c>
      <c r="U342" s="19" t="str">
        <f>IF(AND(M342&lt;&gt;"",M342&lt;&gt;0), IF(E342 = "Muni", T342, IF(E342="Corp", T342*(1 -'Investor Input'!$C$4-'Investor Input'!$C$5), T342*(1 -'Investor Input'!$C$4))), T342)</f>
        <v/>
      </c>
      <c r="V342" s="84" t="str">
        <f t="shared" si="76"/>
        <v/>
      </c>
      <c r="W342" s="84" t="str">
        <f t="shared" si="77"/>
        <v/>
      </c>
      <c r="X342" s="46" t="str">
        <f t="shared" si="78"/>
        <v/>
      </c>
      <c r="Y342" s="60" t="str">
        <f t="shared" si="79"/>
        <v/>
      </c>
      <c r="Z342" s="60" t="str">
        <f t="shared" si="80"/>
        <v/>
      </c>
      <c r="AA342" s="64" t="str">
        <f t="shared" si="81"/>
        <v/>
      </c>
      <c r="AB342" s="64" t="str">
        <f>IF(AND(AA342&lt;&gt;"",AA342&lt;&gt;0), IF(E342="Muni", AA342, IF(E342 = "Corp", (1-'Investor Input'!$C$4-'Investor Input'!$C$5)*AA342, (1-'Investor Input'!$C$4)*AA342)), AA342)</f>
        <v/>
      </c>
      <c r="AC342" s="94" t="str">
        <f t="shared" si="82"/>
        <v/>
      </c>
      <c r="AD342" s="60" t="str">
        <f>IF(AND(M342&lt;&gt;"", M342&lt;&gt;0), N342/$N$505*MATCH(AC342,'Misc Lists'!$K$2:$K$25,0), "")</f>
        <v/>
      </c>
      <c r="AE342" s="90" t="str">
        <f t="shared" si="83"/>
        <v/>
      </c>
      <c r="AF342" s="99" t="str">
        <f>IF(AND(M342&lt;&gt;"", M342&lt;&gt;0), N342/$N$505*MATCH(AE342,'Misc Lists'!$L$2:$L$25,0), "")</f>
        <v/>
      </c>
    </row>
    <row r="343" spans="2:32" hidden="1" outlineLevel="1" x14ac:dyDescent="0.5">
      <c r="B343" s="65" t="str">
        <f ca="1"/>
        <v>902674ZZ6</v>
      </c>
      <c r="C343" s="66" t="str">
        <f ca="1"/>
        <v>N/A</v>
      </c>
      <c r="D343" s="65" t="str">
        <f ca="1"/>
        <v>UBS AG LONDON BRANCHSER B NOTE          1.25000% 06/01/2026</v>
      </c>
      <c r="E343" s="66" t="str">
        <f ca="1"/>
        <v>Corp</v>
      </c>
      <c r="F343" s="67">
        <f ca="1"/>
        <v>1.25</v>
      </c>
      <c r="G343" s="68">
        <f ca="1"/>
        <v>46174</v>
      </c>
      <c r="H343" s="66" t="str">
        <f ca="1"/>
        <v>AA2</v>
      </c>
      <c r="I343" s="66" t="str">
        <f ca="1"/>
        <v>--</v>
      </c>
      <c r="J343" s="69">
        <f ca="1"/>
        <v>96.381</v>
      </c>
      <c r="K343" s="70">
        <f ca="1"/>
        <v>4.327</v>
      </c>
      <c r="L343" s="70" t="str">
        <f ca="1"/>
        <v>250(200)</v>
      </c>
      <c r="M343" s="83"/>
      <c r="N343" s="84" t="str">
        <f t="shared" si="84"/>
        <v/>
      </c>
      <c r="O343" s="20" t="str">
        <f t="shared" si="85"/>
        <v/>
      </c>
      <c r="P343" s="64" t="str">
        <f t="shared" si="86"/>
        <v/>
      </c>
      <c r="Q343" s="85" t="str">
        <f t="shared" ca="1" si="87"/>
        <v/>
      </c>
      <c r="R343" s="86" t="str">
        <f t="shared" si="88"/>
        <v/>
      </c>
      <c r="S343" s="86" t="str">
        <f t="shared" si="89"/>
        <v/>
      </c>
      <c r="T343" s="104" t="str">
        <f t="shared" si="75"/>
        <v/>
      </c>
      <c r="U343" s="19" t="str">
        <f>IF(AND(M343&lt;&gt;"",M343&lt;&gt;0), IF(E343 = "Muni", T343, IF(E343="Corp", T343*(1 -'Investor Input'!$C$4-'Investor Input'!$C$5), T343*(1 -'Investor Input'!$C$4))), T343)</f>
        <v/>
      </c>
      <c r="V343" s="84" t="str">
        <f t="shared" si="76"/>
        <v/>
      </c>
      <c r="W343" s="84" t="str">
        <f t="shared" si="77"/>
        <v/>
      </c>
      <c r="X343" s="46" t="str">
        <f t="shared" si="78"/>
        <v/>
      </c>
      <c r="Y343" s="60" t="str">
        <f t="shared" si="79"/>
        <v/>
      </c>
      <c r="Z343" s="60" t="str">
        <f t="shared" si="80"/>
        <v/>
      </c>
      <c r="AA343" s="64" t="str">
        <f t="shared" si="81"/>
        <v/>
      </c>
      <c r="AB343" s="64" t="str">
        <f>IF(AND(AA343&lt;&gt;"",AA343&lt;&gt;0), IF(E343="Muni", AA343, IF(E343 = "Corp", (1-'Investor Input'!$C$4-'Investor Input'!$C$5)*AA343, (1-'Investor Input'!$C$4)*AA343)), AA343)</f>
        <v/>
      </c>
      <c r="AC343" s="94" t="str">
        <f t="shared" si="82"/>
        <v/>
      </c>
      <c r="AD343" s="60" t="str">
        <f>IF(AND(M343&lt;&gt;"", M343&lt;&gt;0), N343/$N$505*MATCH(AC343,'Misc Lists'!$K$2:$K$25,0), "")</f>
        <v/>
      </c>
      <c r="AE343" s="90" t="str">
        <f t="shared" si="83"/>
        <v/>
      </c>
      <c r="AF343" s="99" t="str">
        <f>IF(AND(M343&lt;&gt;"", M343&lt;&gt;0), N343/$N$505*MATCH(AE343,'Misc Lists'!$L$2:$L$25,0), "")</f>
        <v/>
      </c>
    </row>
    <row r="344" spans="2:32" hidden="1" outlineLevel="1" x14ac:dyDescent="0.5">
      <c r="B344" s="65" t="str">
        <f ca="1"/>
        <v>57636QBF0</v>
      </c>
      <c r="C344" s="66" t="str">
        <f ca="1"/>
        <v>N/A</v>
      </c>
      <c r="D344" s="65" t="str">
        <f ca="1"/>
        <v>MASTERCARD          INCORPORATED NOTE   4.55000% 03/15/2028 CALL MAKE WHOLE</v>
      </c>
      <c r="E344" s="66" t="str">
        <f ca="1"/>
        <v>Corp</v>
      </c>
      <c r="F344" s="67">
        <f ca="1"/>
        <v>4.55</v>
      </c>
      <c r="G344" s="68">
        <f ca="1"/>
        <v>46827</v>
      </c>
      <c r="H344" s="66" t="str">
        <f ca="1"/>
        <v>AA3</v>
      </c>
      <c r="I344" s="66" t="str">
        <f ca="1"/>
        <v>--</v>
      </c>
      <c r="J344" s="69">
        <f ca="1"/>
        <v>100.63200000000001</v>
      </c>
      <c r="K344" s="70">
        <f ca="1"/>
        <v>4.3220000000000001</v>
      </c>
      <c r="L344" s="70" t="str">
        <f ca="1"/>
        <v>500(2)</v>
      </c>
      <c r="M344" s="83"/>
      <c r="N344" s="84" t="str">
        <f t="shared" si="84"/>
        <v/>
      </c>
      <c r="O344" s="20" t="str">
        <f t="shared" si="85"/>
        <v/>
      </c>
      <c r="P344" s="64" t="str">
        <f t="shared" si="86"/>
        <v/>
      </c>
      <c r="Q344" s="85" t="str">
        <f t="shared" ca="1" si="87"/>
        <v/>
      </c>
      <c r="R344" s="86" t="str">
        <f t="shared" si="88"/>
        <v/>
      </c>
      <c r="S344" s="86" t="str">
        <f t="shared" si="89"/>
        <v/>
      </c>
      <c r="T344" s="104" t="str">
        <f t="shared" si="75"/>
        <v/>
      </c>
      <c r="U344" s="19" t="str">
        <f>IF(AND(M344&lt;&gt;"",M344&lt;&gt;0), IF(E344 = "Muni", T344, IF(E344="Corp", T344*(1 -'Investor Input'!$C$4-'Investor Input'!$C$5), T344*(1 -'Investor Input'!$C$4))), T344)</f>
        <v/>
      </c>
      <c r="V344" s="84" t="str">
        <f t="shared" si="76"/>
        <v/>
      </c>
      <c r="W344" s="84" t="str">
        <f t="shared" si="77"/>
        <v/>
      </c>
      <c r="X344" s="46" t="str">
        <f t="shared" si="78"/>
        <v/>
      </c>
      <c r="Y344" s="60" t="str">
        <f t="shared" si="79"/>
        <v/>
      </c>
      <c r="Z344" s="60" t="str">
        <f t="shared" si="80"/>
        <v/>
      </c>
      <c r="AA344" s="64" t="str">
        <f t="shared" si="81"/>
        <v/>
      </c>
      <c r="AB344" s="64" t="str">
        <f>IF(AND(AA344&lt;&gt;"",AA344&lt;&gt;0), IF(E344="Muni", AA344, IF(E344 = "Corp", (1-'Investor Input'!$C$4-'Investor Input'!$C$5)*AA344, (1-'Investor Input'!$C$4)*AA344)), AA344)</f>
        <v/>
      </c>
      <c r="AC344" s="94" t="str">
        <f t="shared" si="82"/>
        <v/>
      </c>
      <c r="AD344" s="60" t="str">
        <f>IF(AND(M344&lt;&gt;"", M344&lt;&gt;0), N344/$N$505*MATCH(AC344,'Misc Lists'!$K$2:$K$25,0), "")</f>
        <v/>
      </c>
      <c r="AE344" s="90" t="str">
        <f t="shared" si="83"/>
        <v/>
      </c>
      <c r="AF344" s="99" t="str">
        <f>IF(AND(M344&lt;&gt;"", M344&lt;&gt;0), N344/$N$505*MATCH(AE344,'Misc Lists'!$L$2:$L$25,0), "")</f>
        <v/>
      </c>
    </row>
    <row r="345" spans="2:32" hidden="1" outlineLevel="1" x14ac:dyDescent="0.5">
      <c r="B345" s="65" t="str">
        <f ca="1"/>
        <v>594918BJ2</v>
      </c>
      <c r="C345" s="66" t="str">
        <f ca="1"/>
        <v>N/A</v>
      </c>
      <c r="D345" s="65" t="str">
        <f ca="1"/>
        <v>MICROSOFT CORP      NOTE CALL MAKE WHOLE3.12500% 11/03/2025</v>
      </c>
      <c r="E345" s="66" t="str">
        <f ca="1"/>
        <v>Corp</v>
      </c>
      <c r="F345" s="67">
        <f ca="1"/>
        <v>3.125</v>
      </c>
      <c r="G345" s="68">
        <f ca="1"/>
        <v>45964</v>
      </c>
      <c r="H345" s="66" t="str">
        <f ca="1"/>
        <v>AAA</v>
      </c>
      <c r="I345" s="66" t="str">
        <f ca="1"/>
        <v>AAA</v>
      </c>
      <c r="J345" s="69">
        <f ca="1"/>
        <v>99.248999999999995</v>
      </c>
      <c r="K345" s="70">
        <f ca="1"/>
        <v>4.319</v>
      </c>
      <c r="L345" s="70" t="str">
        <f ca="1"/>
        <v>500(10)</v>
      </c>
      <c r="M345" s="83"/>
      <c r="N345" s="84" t="str">
        <f t="shared" si="84"/>
        <v/>
      </c>
      <c r="O345" s="20" t="str">
        <f t="shared" si="85"/>
        <v/>
      </c>
      <c r="P345" s="64" t="str">
        <f t="shared" si="86"/>
        <v/>
      </c>
      <c r="Q345" s="85" t="str">
        <f t="shared" ca="1" si="87"/>
        <v/>
      </c>
      <c r="R345" s="86" t="str">
        <f t="shared" si="88"/>
        <v/>
      </c>
      <c r="S345" s="86" t="str">
        <f t="shared" si="89"/>
        <v/>
      </c>
      <c r="T345" s="104" t="str">
        <f t="shared" si="75"/>
        <v/>
      </c>
      <c r="U345" s="19" t="str">
        <f>IF(AND(M345&lt;&gt;"",M345&lt;&gt;0), IF(E345 = "Muni", T345, IF(E345="Corp", T345*(1 -'Investor Input'!$C$4-'Investor Input'!$C$5), T345*(1 -'Investor Input'!$C$4))), T345)</f>
        <v/>
      </c>
      <c r="V345" s="84" t="str">
        <f t="shared" si="76"/>
        <v/>
      </c>
      <c r="W345" s="84" t="str">
        <f t="shared" si="77"/>
        <v/>
      </c>
      <c r="X345" s="46" t="str">
        <f t="shared" si="78"/>
        <v/>
      </c>
      <c r="Y345" s="60" t="str">
        <f t="shared" si="79"/>
        <v/>
      </c>
      <c r="Z345" s="60" t="str">
        <f t="shared" si="80"/>
        <v/>
      </c>
      <c r="AA345" s="64" t="str">
        <f t="shared" si="81"/>
        <v/>
      </c>
      <c r="AB345" s="64" t="str">
        <f>IF(AND(AA345&lt;&gt;"",AA345&lt;&gt;0), IF(E345="Muni", AA345, IF(E345 = "Corp", (1-'Investor Input'!$C$4-'Investor Input'!$C$5)*AA345, (1-'Investor Input'!$C$4)*AA345)), AA345)</f>
        <v/>
      </c>
      <c r="AC345" s="94" t="str">
        <f t="shared" si="82"/>
        <v/>
      </c>
      <c r="AD345" s="60" t="str">
        <f>IF(AND(M345&lt;&gt;"", M345&lt;&gt;0), N345/$N$505*MATCH(AC345,'Misc Lists'!$K$2:$K$25,0), "")</f>
        <v/>
      </c>
      <c r="AE345" s="90" t="str">
        <f t="shared" si="83"/>
        <v/>
      </c>
      <c r="AF345" s="99" t="str">
        <f>IF(AND(M345&lt;&gt;"", M345&lt;&gt;0), N345/$N$505*MATCH(AE345,'Misc Lists'!$L$2:$L$25,0), "")</f>
        <v/>
      </c>
    </row>
    <row r="346" spans="2:32" hidden="1" outlineLevel="1" x14ac:dyDescent="0.5">
      <c r="B346" s="65" t="str">
        <f ca="1"/>
        <v>29446MAJ1</v>
      </c>
      <c r="C346" s="66" t="str">
        <f ca="1"/>
        <v>N/A</v>
      </c>
      <c r="D346" s="65" t="str">
        <f ca="1"/>
        <v>EQUINOR ASA         NOTE CALL MAKE WHOLE1.75000% 01/22/2026</v>
      </c>
      <c r="E346" s="66" t="str">
        <f ca="1"/>
        <v>Corp</v>
      </c>
      <c r="F346" s="67">
        <f ca="1"/>
        <v>1.75</v>
      </c>
      <c r="G346" s="68">
        <f ca="1"/>
        <v>46044</v>
      </c>
      <c r="H346" s="66" t="str">
        <f ca="1"/>
        <v>AA2</v>
      </c>
      <c r="I346" s="66" t="str">
        <f ca="1"/>
        <v>AA-</v>
      </c>
      <c r="J346" s="69">
        <f ca="1"/>
        <v>97.850999999999999</v>
      </c>
      <c r="K346" s="70">
        <f ca="1"/>
        <v>4.3170000000000002</v>
      </c>
      <c r="L346" s="70" t="str">
        <f ca="1"/>
        <v>41(1)</v>
      </c>
      <c r="M346" s="83"/>
      <c r="N346" s="84" t="str">
        <f t="shared" si="84"/>
        <v/>
      </c>
      <c r="O346" s="20" t="str">
        <f t="shared" si="85"/>
        <v/>
      </c>
      <c r="P346" s="64" t="str">
        <f t="shared" si="86"/>
        <v/>
      </c>
      <c r="Q346" s="85" t="str">
        <f t="shared" ca="1" si="87"/>
        <v/>
      </c>
      <c r="R346" s="86" t="str">
        <f t="shared" si="88"/>
        <v/>
      </c>
      <c r="S346" s="86" t="str">
        <f t="shared" si="89"/>
        <v/>
      </c>
      <c r="T346" s="104" t="str">
        <f t="shared" si="75"/>
        <v/>
      </c>
      <c r="U346" s="19" t="str">
        <f>IF(AND(M346&lt;&gt;"",M346&lt;&gt;0), IF(E346 = "Muni", T346, IF(E346="Corp", T346*(1 -'Investor Input'!$C$4-'Investor Input'!$C$5), T346*(1 -'Investor Input'!$C$4))), T346)</f>
        <v/>
      </c>
      <c r="V346" s="84" t="str">
        <f t="shared" si="76"/>
        <v/>
      </c>
      <c r="W346" s="84" t="str">
        <f t="shared" si="77"/>
        <v/>
      </c>
      <c r="X346" s="46" t="str">
        <f t="shared" si="78"/>
        <v/>
      </c>
      <c r="Y346" s="60" t="str">
        <f t="shared" si="79"/>
        <v/>
      </c>
      <c r="Z346" s="60" t="str">
        <f t="shared" si="80"/>
        <v/>
      </c>
      <c r="AA346" s="64" t="str">
        <f t="shared" si="81"/>
        <v/>
      </c>
      <c r="AB346" s="64" t="str">
        <f>IF(AND(AA346&lt;&gt;"",AA346&lt;&gt;0), IF(E346="Muni", AA346, IF(E346 = "Corp", (1-'Investor Input'!$C$4-'Investor Input'!$C$5)*AA346, (1-'Investor Input'!$C$4)*AA346)), AA346)</f>
        <v/>
      </c>
      <c r="AC346" s="94" t="str">
        <f t="shared" si="82"/>
        <v/>
      </c>
      <c r="AD346" s="60" t="str">
        <f>IF(AND(M346&lt;&gt;"", M346&lt;&gt;0), N346/$N$505*MATCH(AC346,'Misc Lists'!$K$2:$K$25,0), "")</f>
        <v/>
      </c>
      <c r="AE346" s="90" t="str">
        <f t="shared" si="83"/>
        <v/>
      </c>
      <c r="AF346" s="99" t="str">
        <f>IF(AND(M346&lt;&gt;"", M346&lt;&gt;0), N346/$N$505*MATCH(AE346,'Misc Lists'!$L$2:$L$25,0), "")</f>
        <v/>
      </c>
    </row>
    <row r="347" spans="2:32" hidden="1" outlineLevel="1" x14ac:dyDescent="0.5">
      <c r="B347" s="65" t="str">
        <f ca="1"/>
        <v>61690U4T4</v>
      </c>
      <c r="C347" s="66" t="str">
        <f ca="1"/>
        <v>N/A</v>
      </c>
      <c r="D347" s="65" t="str">
        <f ca="1"/>
        <v>MORGAN STANLEY BK N A SER A NOTE        4.75400% 04/21/2026 CALL MAKE WHOLE</v>
      </c>
      <c r="E347" s="66" t="str">
        <f ca="1"/>
        <v>Corp</v>
      </c>
      <c r="F347" s="67">
        <f ca="1"/>
        <v>4.7539999999999996</v>
      </c>
      <c r="G347" s="68">
        <f ca="1"/>
        <v>46133</v>
      </c>
      <c r="H347" s="66" t="str">
        <f ca="1"/>
        <v>AA3</v>
      </c>
      <c r="I347" s="66" t="str">
        <f ca="1"/>
        <v>A+</v>
      </c>
      <c r="J347" s="69">
        <f ca="1"/>
        <v>100.465</v>
      </c>
      <c r="K347" s="70">
        <f ca="1"/>
        <v>4.3159999999999998</v>
      </c>
      <c r="L347" s="70" t="str">
        <f ca="1"/>
        <v>625(250)</v>
      </c>
      <c r="M347" s="83"/>
      <c r="N347" s="84" t="str">
        <f t="shared" si="84"/>
        <v/>
      </c>
      <c r="O347" s="20" t="str">
        <f t="shared" si="85"/>
        <v/>
      </c>
      <c r="P347" s="64" t="str">
        <f t="shared" si="86"/>
        <v/>
      </c>
      <c r="Q347" s="85" t="str">
        <f t="shared" ca="1" si="87"/>
        <v/>
      </c>
      <c r="R347" s="86" t="str">
        <f t="shared" si="88"/>
        <v/>
      </c>
      <c r="S347" s="86" t="str">
        <f t="shared" si="89"/>
        <v/>
      </c>
      <c r="T347" s="104" t="str">
        <f t="shared" si="75"/>
        <v/>
      </c>
      <c r="U347" s="19" t="str">
        <f>IF(AND(M347&lt;&gt;"",M347&lt;&gt;0), IF(E347 = "Muni", T347, IF(E347="Corp", T347*(1 -'Investor Input'!$C$4-'Investor Input'!$C$5), T347*(1 -'Investor Input'!$C$4))), T347)</f>
        <v/>
      </c>
      <c r="V347" s="84" t="str">
        <f t="shared" si="76"/>
        <v/>
      </c>
      <c r="W347" s="84" t="str">
        <f t="shared" si="77"/>
        <v/>
      </c>
      <c r="X347" s="46" t="str">
        <f t="shared" si="78"/>
        <v/>
      </c>
      <c r="Y347" s="60" t="str">
        <f t="shared" si="79"/>
        <v/>
      </c>
      <c r="Z347" s="60" t="str">
        <f t="shared" si="80"/>
        <v/>
      </c>
      <c r="AA347" s="64" t="str">
        <f t="shared" si="81"/>
        <v/>
      </c>
      <c r="AB347" s="64" t="str">
        <f>IF(AND(AA347&lt;&gt;"",AA347&lt;&gt;0), IF(E347="Muni", AA347, IF(E347 = "Corp", (1-'Investor Input'!$C$4-'Investor Input'!$C$5)*AA347, (1-'Investor Input'!$C$4)*AA347)), AA347)</f>
        <v/>
      </c>
      <c r="AC347" s="94" t="str">
        <f t="shared" si="82"/>
        <v/>
      </c>
      <c r="AD347" s="60" t="str">
        <f>IF(AND(M347&lt;&gt;"", M347&lt;&gt;0), N347/$N$505*MATCH(AC347,'Misc Lists'!$K$2:$K$25,0), "")</f>
        <v/>
      </c>
      <c r="AE347" s="90" t="str">
        <f t="shared" si="83"/>
        <v/>
      </c>
      <c r="AF347" s="99" t="str">
        <f>IF(AND(M347&lt;&gt;"", M347&lt;&gt;0), N347/$N$505*MATCH(AE347,'Misc Lists'!$L$2:$L$25,0), "")</f>
        <v/>
      </c>
    </row>
    <row r="348" spans="2:32" hidden="1" outlineLevel="1" x14ac:dyDescent="0.5">
      <c r="B348" s="65" t="str">
        <f ca="1"/>
        <v>06406RAH0</v>
      </c>
      <c r="C348" s="66" t="str">
        <f ca="1"/>
        <v>N/A</v>
      </c>
      <c r="D348" s="65" t="str">
        <f ca="1"/>
        <v>BANK NEW YORK MELLONCORP SER J MTN      3.85000% 04/28/2028</v>
      </c>
      <c r="E348" s="66" t="str">
        <f ca="1"/>
        <v>Corp</v>
      </c>
      <c r="F348" s="67">
        <f ca="1"/>
        <v>3.85</v>
      </c>
      <c r="G348" s="68">
        <f ca="1"/>
        <v>46871</v>
      </c>
      <c r="H348" s="66" t="str">
        <f ca="1"/>
        <v>AA3</v>
      </c>
      <c r="I348" s="66" t="str">
        <f ca="1"/>
        <v>A</v>
      </c>
      <c r="J348" s="69">
        <f ca="1"/>
        <v>98.652000000000001</v>
      </c>
      <c r="K348" s="70">
        <f ca="1"/>
        <v>4.3140000000000001</v>
      </c>
      <c r="L348" s="70" t="str">
        <f ca="1"/>
        <v>300(10)</v>
      </c>
      <c r="M348" s="83"/>
      <c r="N348" s="84" t="str">
        <f t="shared" si="84"/>
        <v/>
      </c>
      <c r="O348" s="20" t="str">
        <f t="shared" si="85"/>
        <v/>
      </c>
      <c r="P348" s="64" t="str">
        <f t="shared" si="86"/>
        <v/>
      </c>
      <c r="Q348" s="85" t="str">
        <f t="shared" ca="1" si="87"/>
        <v/>
      </c>
      <c r="R348" s="86" t="str">
        <f t="shared" si="88"/>
        <v/>
      </c>
      <c r="S348" s="86" t="str">
        <f t="shared" si="89"/>
        <v/>
      </c>
      <c r="T348" s="104" t="str">
        <f t="shared" si="75"/>
        <v/>
      </c>
      <c r="U348" s="19" t="str">
        <f>IF(AND(M348&lt;&gt;"",M348&lt;&gt;0), IF(E348 = "Muni", T348, IF(E348="Corp", T348*(1 -'Investor Input'!$C$4-'Investor Input'!$C$5), T348*(1 -'Investor Input'!$C$4))), T348)</f>
        <v/>
      </c>
      <c r="V348" s="84" t="str">
        <f t="shared" si="76"/>
        <v/>
      </c>
      <c r="W348" s="84" t="str">
        <f t="shared" si="77"/>
        <v/>
      </c>
      <c r="X348" s="46" t="str">
        <f t="shared" si="78"/>
        <v/>
      </c>
      <c r="Y348" s="60" t="str">
        <f t="shared" si="79"/>
        <v/>
      </c>
      <c r="Z348" s="60" t="str">
        <f t="shared" si="80"/>
        <v/>
      </c>
      <c r="AA348" s="64" t="str">
        <f t="shared" si="81"/>
        <v/>
      </c>
      <c r="AB348" s="64" t="str">
        <f>IF(AND(AA348&lt;&gt;"",AA348&lt;&gt;0), IF(E348="Muni", AA348, IF(E348 = "Corp", (1-'Investor Input'!$C$4-'Investor Input'!$C$5)*AA348, (1-'Investor Input'!$C$4)*AA348)), AA348)</f>
        <v/>
      </c>
      <c r="AC348" s="94" t="str">
        <f t="shared" si="82"/>
        <v/>
      </c>
      <c r="AD348" s="60" t="str">
        <f>IF(AND(M348&lt;&gt;"", M348&lt;&gt;0), N348/$N$505*MATCH(AC348,'Misc Lists'!$K$2:$K$25,0), "")</f>
        <v/>
      </c>
      <c r="AE348" s="90" t="str">
        <f t="shared" si="83"/>
        <v/>
      </c>
      <c r="AF348" s="99" t="str">
        <f>IF(AND(M348&lt;&gt;"", M348&lt;&gt;0), N348/$N$505*MATCH(AE348,'Misc Lists'!$L$2:$L$25,0), "")</f>
        <v/>
      </c>
    </row>
    <row r="349" spans="2:32" hidden="1" outlineLevel="1" x14ac:dyDescent="0.5">
      <c r="B349" s="65" t="str">
        <f ca="1"/>
        <v>822582BT8</v>
      </c>
      <c r="C349" s="66" t="str">
        <f ca="1"/>
        <v>N/A</v>
      </c>
      <c r="D349" s="65" t="str">
        <f ca="1"/>
        <v>SHELL INTERNATIONAL FIN BV NOTE         2.87500% 05/10/2026 CALL MAKE WHOLE</v>
      </c>
      <c r="E349" s="66" t="str">
        <f ca="1"/>
        <v>Corp</v>
      </c>
      <c r="F349" s="67">
        <f ca="1"/>
        <v>2.875</v>
      </c>
      <c r="G349" s="68">
        <f ca="1"/>
        <v>46152</v>
      </c>
      <c r="H349" s="66" t="str">
        <f ca="1"/>
        <v>AA2</v>
      </c>
      <c r="I349" s="66" t="str">
        <f ca="1"/>
        <v>A+</v>
      </c>
      <c r="J349" s="69">
        <f ca="1"/>
        <v>98.385000000000005</v>
      </c>
      <c r="K349" s="70">
        <f ca="1"/>
        <v>4.3129999999999997</v>
      </c>
      <c r="L349" s="70" t="str">
        <f ca="1"/>
        <v>100(1)</v>
      </c>
      <c r="M349" s="83"/>
      <c r="N349" s="84" t="str">
        <f t="shared" si="84"/>
        <v/>
      </c>
      <c r="O349" s="20" t="str">
        <f t="shared" si="85"/>
        <v/>
      </c>
      <c r="P349" s="64" t="str">
        <f t="shared" si="86"/>
        <v/>
      </c>
      <c r="Q349" s="85" t="str">
        <f t="shared" ca="1" si="87"/>
        <v/>
      </c>
      <c r="R349" s="86" t="str">
        <f t="shared" si="88"/>
        <v/>
      </c>
      <c r="S349" s="86" t="str">
        <f t="shared" si="89"/>
        <v/>
      </c>
      <c r="T349" s="104" t="str">
        <f t="shared" si="75"/>
        <v/>
      </c>
      <c r="U349" s="19" t="str">
        <f>IF(AND(M349&lt;&gt;"",M349&lt;&gt;0), IF(E349 = "Muni", T349, IF(E349="Corp", T349*(1 -'Investor Input'!$C$4-'Investor Input'!$C$5), T349*(1 -'Investor Input'!$C$4))), T349)</f>
        <v/>
      </c>
      <c r="V349" s="84" t="str">
        <f t="shared" si="76"/>
        <v/>
      </c>
      <c r="W349" s="84" t="str">
        <f t="shared" si="77"/>
        <v/>
      </c>
      <c r="X349" s="46" t="str">
        <f t="shared" si="78"/>
        <v/>
      </c>
      <c r="Y349" s="60" t="str">
        <f t="shared" si="79"/>
        <v/>
      </c>
      <c r="Z349" s="60" t="str">
        <f t="shared" si="80"/>
        <v/>
      </c>
      <c r="AA349" s="64" t="str">
        <f t="shared" si="81"/>
        <v/>
      </c>
      <c r="AB349" s="64" t="str">
        <f>IF(AND(AA349&lt;&gt;"",AA349&lt;&gt;0), IF(E349="Muni", AA349, IF(E349 = "Corp", (1-'Investor Input'!$C$4-'Investor Input'!$C$5)*AA349, (1-'Investor Input'!$C$4)*AA349)), AA349)</f>
        <v/>
      </c>
      <c r="AC349" s="94" t="str">
        <f t="shared" si="82"/>
        <v/>
      </c>
      <c r="AD349" s="60" t="str">
        <f>IF(AND(M349&lt;&gt;"", M349&lt;&gt;0), N349/$N$505*MATCH(AC349,'Misc Lists'!$K$2:$K$25,0), "")</f>
        <v/>
      </c>
      <c r="AE349" s="90" t="str">
        <f t="shared" si="83"/>
        <v/>
      </c>
      <c r="AF349" s="99" t="str">
        <f>IF(AND(M349&lt;&gt;"", M349&lt;&gt;0), N349/$N$505*MATCH(AE349,'Misc Lists'!$L$2:$L$25,0), "")</f>
        <v/>
      </c>
    </row>
    <row r="350" spans="2:32" hidden="1" outlineLevel="1" x14ac:dyDescent="0.5">
      <c r="B350" s="65" t="str">
        <f ca="1"/>
        <v>500630DW5</v>
      </c>
      <c r="C350" s="66" t="str">
        <f ca="1"/>
        <v>N/A</v>
      </c>
      <c r="D350" s="65" t="str">
        <f ca="1"/>
        <v>KOREA DEVELOPMENT   BANK NOTE           4.37500% 02/15/2028 ISIN #US500630DW55  SEDOL #BMZLML6</v>
      </c>
      <c r="E350" s="66" t="str">
        <f ca="1"/>
        <v>Corp</v>
      </c>
      <c r="F350" s="67">
        <f ca="1"/>
        <v>4.375</v>
      </c>
      <c r="G350" s="68">
        <f ca="1"/>
        <v>46798</v>
      </c>
      <c r="H350" s="66" t="str">
        <f ca="1"/>
        <v>AA2</v>
      </c>
      <c r="I350" s="66" t="str">
        <f ca="1"/>
        <v>AA</v>
      </c>
      <c r="J350" s="69">
        <f ca="1"/>
        <v>100.17100000000001</v>
      </c>
      <c r="K350" s="70">
        <f ca="1"/>
        <v>4.3109999999999999</v>
      </c>
      <c r="L350" s="70" t="str">
        <f ca="1"/>
        <v>225(200)</v>
      </c>
      <c r="M350" s="83"/>
      <c r="N350" s="84" t="str">
        <f t="shared" si="84"/>
        <v/>
      </c>
      <c r="O350" s="20" t="str">
        <f t="shared" si="85"/>
        <v/>
      </c>
      <c r="P350" s="64" t="str">
        <f t="shared" si="86"/>
        <v/>
      </c>
      <c r="Q350" s="85" t="str">
        <f t="shared" ca="1" si="87"/>
        <v/>
      </c>
      <c r="R350" s="86" t="str">
        <f t="shared" si="88"/>
        <v/>
      </c>
      <c r="S350" s="86" t="str">
        <f t="shared" si="89"/>
        <v/>
      </c>
      <c r="T350" s="104" t="str">
        <f t="shared" si="75"/>
        <v/>
      </c>
      <c r="U350" s="19" t="str">
        <f>IF(AND(M350&lt;&gt;"",M350&lt;&gt;0), IF(E350 = "Muni", T350, IF(E350="Corp", T350*(1 -'Investor Input'!$C$4-'Investor Input'!$C$5), T350*(1 -'Investor Input'!$C$4))), T350)</f>
        <v/>
      </c>
      <c r="V350" s="84" t="str">
        <f t="shared" si="76"/>
        <v/>
      </c>
      <c r="W350" s="84" t="str">
        <f t="shared" si="77"/>
        <v/>
      </c>
      <c r="X350" s="46" t="str">
        <f t="shared" si="78"/>
        <v/>
      </c>
      <c r="Y350" s="60" t="str">
        <f t="shared" si="79"/>
        <v/>
      </c>
      <c r="Z350" s="60" t="str">
        <f t="shared" si="80"/>
        <v/>
      </c>
      <c r="AA350" s="64" t="str">
        <f t="shared" si="81"/>
        <v/>
      </c>
      <c r="AB350" s="64" t="str">
        <f>IF(AND(AA350&lt;&gt;"",AA350&lt;&gt;0), IF(E350="Muni", AA350, IF(E350 = "Corp", (1-'Investor Input'!$C$4-'Investor Input'!$C$5)*AA350, (1-'Investor Input'!$C$4)*AA350)), AA350)</f>
        <v/>
      </c>
      <c r="AC350" s="94" t="str">
        <f t="shared" si="82"/>
        <v/>
      </c>
      <c r="AD350" s="60" t="str">
        <f>IF(AND(M350&lt;&gt;"", M350&lt;&gt;0), N350/$N$505*MATCH(AC350,'Misc Lists'!$K$2:$K$25,0), "")</f>
        <v/>
      </c>
      <c r="AE350" s="90" t="str">
        <f t="shared" si="83"/>
        <v/>
      </c>
      <c r="AF350" s="99" t="str">
        <f>IF(AND(M350&lt;&gt;"", M350&lt;&gt;0), N350/$N$505*MATCH(AE350,'Misc Lists'!$L$2:$L$25,0), "")</f>
        <v/>
      </c>
    </row>
    <row r="351" spans="2:32" hidden="1" outlineLevel="1" x14ac:dyDescent="0.5">
      <c r="B351" s="65" t="str">
        <f ca="1"/>
        <v>12572QAJ4</v>
      </c>
      <c r="C351" s="66" t="str">
        <f ca="1"/>
        <v>N/A</v>
      </c>
      <c r="D351" s="65" t="str">
        <f ca="1"/>
        <v>CME GROUP INC       NOTE CALL MAKE WHOLE3.75000% 06/15/2028</v>
      </c>
      <c r="E351" s="66" t="str">
        <f ca="1"/>
        <v>Corp</v>
      </c>
      <c r="F351" s="67">
        <f ca="1"/>
        <v>3.75</v>
      </c>
      <c r="G351" s="68">
        <f ca="1"/>
        <v>46919</v>
      </c>
      <c r="H351" s="66" t="str">
        <f ca="1"/>
        <v>AA3</v>
      </c>
      <c r="I351" s="66" t="str">
        <f ca="1"/>
        <v>AA-</v>
      </c>
      <c r="J351" s="69">
        <f ca="1"/>
        <v>98.305999999999997</v>
      </c>
      <c r="K351" s="70">
        <f ca="1"/>
        <v>4.3109999999999999</v>
      </c>
      <c r="L351" s="70" t="str">
        <f ca="1"/>
        <v>500(2)</v>
      </c>
      <c r="M351" s="83"/>
      <c r="N351" s="84" t="str">
        <f t="shared" si="84"/>
        <v/>
      </c>
      <c r="O351" s="20" t="str">
        <f t="shared" si="85"/>
        <v/>
      </c>
      <c r="P351" s="64" t="str">
        <f t="shared" si="86"/>
        <v/>
      </c>
      <c r="Q351" s="85" t="str">
        <f t="shared" ca="1" si="87"/>
        <v/>
      </c>
      <c r="R351" s="86" t="str">
        <f t="shared" si="88"/>
        <v/>
      </c>
      <c r="S351" s="86" t="str">
        <f t="shared" si="89"/>
        <v/>
      </c>
      <c r="T351" s="104" t="str">
        <f t="shared" si="75"/>
        <v/>
      </c>
      <c r="U351" s="19" t="str">
        <f>IF(AND(M351&lt;&gt;"",M351&lt;&gt;0), IF(E351 = "Muni", T351, IF(E351="Corp", T351*(1 -'Investor Input'!$C$4-'Investor Input'!$C$5), T351*(1 -'Investor Input'!$C$4))), T351)</f>
        <v/>
      </c>
      <c r="V351" s="84" t="str">
        <f t="shared" si="76"/>
        <v/>
      </c>
      <c r="W351" s="84" t="str">
        <f t="shared" si="77"/>
        <v/>
      </c>
      <c r="X351" s="46" t="str">
        <f t="shared" si="78"/>
        <v/>
      </c>
      <c r="Y351" s="60" t="str">
        <f t="shared" si="79"/>
        <v/>
      </c>
      <c r="Z351" s="60" t="str">
        <f t="shared" si="80"/>
        <v/>
      </c>
      <c r="AA351" s="64" t="str">
        <f t="shared" si="81"/>
        <v/>
      </c>
      <c r="AB351" s="64" t="str">
        <f>IF(AND(AA351&lt;&gt;"",AA351&lt;&gt;0), IF(E351="Muni", AA351, IF(E351 = "Corp", (1-'Investor Input'!$C$4-'Investor Input'!$C$5)*AA351, (1-'Investor Input'!$C$4)*AA351)), AA351)</f>
        <v/>
      </c>
      <c r="AC351" s="94" t="str">
        <f t="shared" si="82"/>
        <v/>
      </c>
      <c r="AD351" s="60" t="str">
        <f>IF(AND(M351&lt;&gt;"", M351&lt;&gt;0), N351/$N$505*MATCH(AC351,'Misc Lists'!$K$2:$K$25,0), "")</f>
        <v/>
      </c>
      <c r="AE351" s="90" t="str">
        <f t="shared" si="83"/>
        <v/>
      </c>
      <c r="AF351" s="99" t="str">
        <f>IF(AND(M351&lt;&gt;"", M351&lt;&gt;0), N351/$N$505*MATCH(AE351,'Misc Lists'!$L$2:$L$25,0), "")</f>
        <v/>
      </c>
    </row>
    <row r="352" spans="2:32" hidden="1" outlineLevel="1" x14ac:dyDescent="0.5">
      <c r="B352" s="65" t="str">
        <f ca="1"/>
        <v>478160CU6</v>
      </c>
      <c r="C352" s="66" t="str">
        <f ca="1"/>
        <v>N/A</v>
      </c>
      <c r="D352" s="65" t="str">
        <f ca="1"/>
        <v>JOHNSON &amp;JOHNSON    NOTE CALL MAKE WHOLE4.80000% 06/01/2029</v>
      </c>
      <c r="E352" s="66" t="str">
        <f ca="1"/>
        <v>Corp</v>
      </c>
      <c r="F352" s="67">
        <f ca="1"/>
        <v>4.8</v>
      </c>
      <c r="G352" s="68">
        <f ca="1"/>
        <v>47270</v>
      </c>
      <c r="H352" s="66" t="str">
        <f ca="1"/>
        <v>AAA</v>
      </c>
      <c r="I352" s="66" t="str">
        <f ca="1"/>
        <v>AAA</v>
      </c>
      <c r="J352" s="69">
        <f ca="1"/>
        <v>101.86</v>
      </c>
      <c r="K352" s="70">
        <f ca="1"/>
        <v>4.3109999999999999</v>
      </c>
      <c r="L352" s="70" t="str">
        <f ca="1"/>
        <v>424(2)</v>
      </c>
      <c r="M352" s="83"/>
      <c r="N352" s="84" t="str">
        <f t="shared" si="84"/>
        <v/>
      </c>
      <c r="O352" s="20" t="str">
        <f t="shared" si="85"/>
        <v/>
      </c>
      <c r="P352" s="64" t="str">
        <f t="shared" si="86"/>
        <v/>
      </c>
      <c r="Q352" s="85" t="str">
        <f t="shared" ca="1" si="87"/>
        <v/>
      </c>
      <c r="R352" s="86" t="str">
        <f t="shared" si="88"/>
        <v/>
      </c>
      <c r="S352" s="86" t="str">
        <f t="shared" si="89"/>
        <v/>
      </c>
      <c r="T352" s="104" t="str">
        <f t="shared" si="75"/>
        <v/>
      </c>
      <c r="U352" s="19" t="str">
        <f>IF(AND(M352&lt;&gt;"",M352&lt;&gt;0), IF(E352 = "Muni", T352, IF(E352="Corp", T352*(1 -'Investor Input'!$C$4-'Investor Input'!$C$5), T352*(1 -'Investor Input'!$C$4))), T352)</f>
        <v/>
      </c>
      <c r="V352" s="84" t="str">
        <f t="shared" si="76"/>
        <v/>
      </c>
      <c r="W352" s="84" t="str">
        <f t="shared" si="77"/>
        <v/>
      </c>
      <c r="X352" s="46" t="str">
        <f t="shared" si="78"/>
        <v/>
      </c>
      <c r="Y352" s="60" t="str">
        <f t="shared" si="79"/>
        <v/>
      </c>
      <c r="Z352" s="60" t="str">
        <f t="shared" si="80"/>
        <v/>
      </c>
      <c r="AA352" s="64" t="str">
        <f t="shared" si="81"/>
        <v/>
      </c>
      <c r="AB352" s="64" t="str">
        <f>IF(AND(AA352&lt;&gt;"",AA352&lt;&gt;0), IF(E352="Muni", AA352, IF(E352 = "Corp", (1-'Investor Input'!$C$4-'Investor Input'!$C$5)*AA352, (1-'Investor Input'!$C$4)*AA352)), AA352)</f>
        <v/>
      </c>
      <c r="AC352" s="94" t="str">
        <f t="shared" si="82"/>
        <v/>
      </c>
      <c r="AD352" s="60" t="str">
        <f>IF(AND(M352&lt;&gt;"", M352&lt;&gt;0), N352/$N$505*MATCH(AC352,'Misc Lists'!$K$2:$K$25,0), "")</f>
        <v/>
      </c>
      <c r="AE352" s="90" t="str">
        <f t="shared" si="83"/>
        <v/>
      </c>
      <c r="AF352" s="99" t="str">
        <f>IF(AND(M352&lt;&gt;"", M352&lt;&gt;0), N352/$N$505*MATCH(AE352,'Misc Lists'!$L$2:$L$25,0), "")</f>
        <v/>
      </c>
    </row>
    <row r="353" spans="2:32" hidden="1" outlineLevel="1" x14ac:dyDescent="0.5">
      <c r="B353" s="65" t="str">
        <f ca="1"/>
        <v>06406FAE3</v>
      </c>
      <c r="C353" s="66" t="str">
        <f ca="1"/>
        <v>N/A</v>
      </c>
      <c r="D353" s="65" t="str">
        <f ca="1"/>
        <v>BANK NEW YORK MELLONCORP SER I MTN      2.45000% 08/17/2026</v>
      </c>
      <c r="E353" s="66" t="str">
        <f ca="1"/>
        <v>Corp</v>
      </c>
      <c r="F353" s="67">
        <f ca="1"/>
        <v>2.4500000000000002</v>
      </c>
      <c r="G353" s="68">
        <f ca="1"/>
        <v>46251</v>
      </c>
      <c r="H353" s="66" t="str">
        <f ca="1"/>
        <v>AA3</v>
      </c>
      <c r="I353" s="66" t="str">
        <f ca="1"/>
        <v>A</v>
      </c>
      <c r="J353" s="69">
        <f ca="1"/>
        <v>97.444999999999993</v>
      </c>
      <c r="K353" s="70">
        <f ca="1"/>
        <v>4.3099999999999996</v>
      </c>
      <c r="L353" s="70" t="str">
        <f ca="1"/>
        <v>200(1)</v>
      </c>
      <c r="M353" s="83"/>
      <c r="N353" s="84" t="str">
        <f t="shared" si="84"/>
        <v/>
      </c>
      <c r="O353" s="20" t="str">
        <f t="shared" si="85"/>
        <v/>
      </c>
      <c r="P353" s="64" t="str">
        <f t="shared" si="86"/>
        <v/>
      </c>
      <c r="Q353" s="85" t="str">
        <f t="shared" ca="1" si="87"/>
        <v/>
      </c>
      <c r="R353" s="86" t="str">
        <f t="shared" si="88"/>
        <v/>
      </c>
      <c r="S353" s="86" t="str">
        <f t="shared" si="89"/>
        <v/>
      </c>
      <c r="T353" s="104" t="str">
        <f t="shared" si="75"/>
        <v/>
      </c>
      <c r="U353" s="19" t="str">
        <f>IF(AND(M353&lt;&gt;"",M353&lt;&gt;0), IF(E353 = "Muni", T353, IF(E353="Corp", T353*(1 -'Investor Input'!$C$4-'Investor Input'!$C$5), T353*(1 -'Investor Input'!$C$4))), T353)</f>
        <v/>
      </c>
      <c r="V353" s="84" t="str">
        <f t="shared" si="76"/>
        <v/>
      </c>
      <c r="W353" s="84" t="str">
        <f t="shared" si="77"/>
        <v/>
      </c>
      <c r="X353" s="46" t="str">
        <f t="shared" si="78"/>
        <v/>
      </c>
      <c r="Y353" s="60" t="str">
        <f t="shared" si="79"/>
        <v/>
      </c>
      <c r="Z353" s="60" t="str">
        <f t="shared" si="80"/>
        <v/>
      </c>
      <c r="AA353" s="64" t="str">
        <f t="shared" si="81"/>
        <v/>
      </c>
      <c r="AB353" s="64" t="str">
        <f>IF(AND(AA353&lt;&gt;"",AA353&lt;&gt;0), IF(E353="Muni", AA353, IF(E353 = "Corp", (1-'Investor Input'!$C$4-'Investor Input'!$C$5)*AA353, (1-'Investor Input'!$C$4)*AA353)), AA353)</f>
        <v/>
      </c>
      <c r="AC353" s="94" t="str">
        <f t="shared" si="82"/>
        <v/>
      </c>
      <c r="AD353" s="60" t="str">
        <f>IF(AND(M353&lt;&gt;"", M353&lt;&gt;0), N353/$N$505*MATCH(AC353,'Misc Lists'!$K$2:$K$25,0), "")</f>
        <v/>
      </c>
      <c r="AE353" s="90" t="str">
        <f t="shared" si="83"/>
        <v/>
      </c>
      <c r="AF353" s="99" t="str">
        <f>IF(AND(M353&lt;&gt;"", M353&lt;&gt;0), N353/$N$505*MATCH(AE353,'Misc Lists'!$L$2:$L$25,0), "")</f>
        <v/>
      </c>
    </row>
    <row r="354" spans="2:32" hidden="1" outlineLevel="1" x14ac:dyDescent="0.5">
      <c r="B354" s="65" t="str">
        <f ca="1"/>
        <v>302154DY2</v>
      </c>
      <c r="C354" s="66" t="str">
        <f ca="1"/>
        <v>N/A</v>
      </c>
      <c r="D354" s="65" t="str">
        <f ca="1"/>
        <v>EXPORT-IMPORT BANK  OF KOREA NOTE       5.12500% 09/18/2028 ISIN #US302154DY27  SEDOL #BN4JPN1</v>
      </c>
      <c r="E354" s="66" t="str">
        <f ca="1"/>
        <v>Corp</v>
      </c>
      <c r="F354" s="67">
        <f ca="1"/>
        <v>5.125</v>
      </c>
      <c r="G354" s="68">
        <f ca="1"/>
        <v>47014</v>
      </c>
      <c r="H354" s="66" t="str">
        <f ca="1"/>
        <v>AA2</v>
      </c>
      <c r="I354" s="66" t="str">
        <f ca="1"/>
        <v>AA</v>
      </c>
      <c r="J354" s="69">
        <f ca="1"/>
        <v>102.64100000000001</v>
      </c>
      <c r="K354" s="70">
        <f ca="1"/>
        <v>4.3070000000000004</v>
      </c>
      <c r="L354" s="70" t="str">
        <f ca="1"/>
        <v>225(200)</v>
      </c>
      <c r="M354" s="83"/>
      <c r="N354" s="84" t="str">
        <f t="shared" si="84"/>
        <v/>
      </c>
      <c r="O354" s="20" t="str">
        <f t="shared" si="85"/>
        <v/>
      </c>
      <c r="P354" s="64" t="str">
        <f t="shared" si="86"/>
        <v/>
      </c>
      <c r="Q354" s="85" t="str">
        <f t="shared" ca="1" si="87"/>
        <v/>
      </c>
      <c r="R354" s="86" t="str">
        <f t="shared" si="88"/>
        <v/>
      </c>
      <c r="S354" s="86" t="str">
        <f t="shared" si="89"/>
        <v/>
      </c>
      <c r="T354" s="104" t="str">
        <f t="shared" si="75"/>
        <v/>
      </c>
      <c r="U354" s="19" t="str">
        <f>IF(AND(M354&lt;&gt;"",M354&lt;&gt;0), IF(E354 = "Muni", T354, IF(E354="Corp", T354*(1 -'Investor Input'!$C$4-'Investor Input'!$C$5), T354*(1 -'Investor Input'!$C$4))), T354)</f>
        <v/>
      </c>
      <c r="V354" s="84" t="str">
        <f t="shared" si="76"/>
        <v/>
      </c>
      <c r="W354" s="84" t="str">
        <f t="shared" si="77"/>
        <v/>
      </c>
      <c r="X354" s="46" t="str">
        <f t="shared" si="78"/>
        <v/>
      </c>
      <c r="Y354" s="60" t="str">
        <f t="shared" si="79"/>
        <v/>
      </c>
      <c r="Z354" s="60" t="str">
        <f t="shared" si="80"/>
        <v/>
      </c>
      <c r="AA354" s="64" t="str">
        <f t="shared" si="81"/>
        <v/>
      </c>
      <c r="AB354" s="64" t="str">
        <f>IF(AND(AA354&lt;&gt;"",AA354&lt;&gt;0), IF(E354="Muni", AA354, IF(E354 = "Corp", (1-'Investor Input'!$C$4-'Investor Input'!$C$5)*AA354, (1-'Investor Input'!$C$4)*AA354)), AA354)</f>
        <v/>
      </c>
      <c r="AC354" s="94" t="str">
        <f t="shared" si="82"/>
        <v/>
      </c>
      <c r="AD354" s="60" t="str">
        <f>IF(AND(M354&lt;&gt;"", M354&lt;&gt;0), N354/$N$505*MATCH(AC354,'Misc Lists'!$K$2:$K$25,0), "")</f>
        <v/>
      </c>
      <c r="AE354" s="90" t="str">
        <f t="shared" si="83"/>
        <v/>
      </c>
      <c r="AF354" s="99" t="str">
        <f>IF(AND(M354&lt;&gt;"", M354&lt;&gt;0), N354/$N$505*MATCH(AE354,'Misc Lists'!$L$2:$L$25,0), "")</f>
        <v/>
      </c>
    </row>
    <row r="355" spans="2:32" hidden="1" outlineLevel="1" x14ac:dyDescent="0.5">
      <c r="B355" s="65" t="str">
        <f ca="1"/>
        <v>931142BF9</v>
      </c>
      <c r="C355" s="66" t="str">
        <f ca="1"/>
        <v>N/A</v>
      </c>
      <c r="D355" s="65" t="str">
        <f ca="1"/>
        <v>WALMART INC         NOTE                7.55000% 02/15/2030</v>
      </c>
      <c r="E355" s="66" t="str">
        <f ca="1"/>
        <v>Corp</v>
      </c>
      <c r="F355" s="67">
        <f ca="1"/>
        <v>7.55</v>
      </c>
      <c r="G355" s="68">
        <f ca="1"/>
        <v>47529</v>
      </c>
      <c r="H355" s="66" t="str">
        <f ca="1"/>
        <v>AA2</v>
      </c>
      <c r="I355" s="66" t="str">
        <f ca="1"/>
        <v>AA</v>
      </c>
      <c r="J355" s="69">
        <f ca="1"/>
        <v>114.256</v>
      </c>
      <c r="K355" s="70">
        <f ca="1"/>
        <v>4.306</v>
      </c>
      <c r="L355" s="70" t="str">
        <f ca="1"/>
        <v>480(15)</v>
      </c>
      <c r="M355" s="83"/>
      <c r="N355" s="84" t="str">
        <f t="shared" si="84"/>
        <v/>
      </c>
      <c r="O355" s="20" t="str">
        <f t="shared" si="85"/>
        <v/>
      </c>
      <c r="P355" s="64" t="str">
        <f t="shared" si="86"/>
        <v/>
      </c>
      <c r="Q355" s="85" t="str">
        <f t="shared" ca="1" si="87"/>
        <v/>
      </c>
      <c r="R355" s="86" t="str">
        <f t="shared" si="88"/>
        <v/>
      </c>
      <c r="S355" s="86" t="str">
        <f t="shared" si="89"/>
        <v/>
      </c>
      <c r="T355" s="104" t="str">
        <f t="shared" si="75"/>
        <v/>
      </c>
      <c r="U355" s="19" t="str">
        <f>IF(AND(M355&lt;&gt;"",M355&lt;&gt;0), IF(E355 = "Muni", T355, IF(E355="Corp", T355*(1 -'Investor Input'!$C$4-'Investor Input'!$C$5), T355*(1 -'Investor Input'!$C$4))), T355)</f>
        <v/>
      </c>
      <c r="V355" s="84" t="str">
        <f t="shared" si="76"/>
        <v/>
      </c>
      <c r="W355" s="84" t="str">
        <f t="shared" si="77"/>
        <v/>
      </c>
      <c r="X355" s="46" t="str">
        <f t="shared" si="78"/>
        <v/>
      </c>
      <c r="Y355" s="60" t="str">
        <f t="shared" si="79"/>
        <v/>
      </c>
      <c r="Z355" s="60" t="str">
        <f t="shared" si="80"/>
        <v/>
      </c>
      <c r="AA355" s="64" t="str">
        <f t="shared" si="81"/>
        <v/>
      </c>
      <c r="AB355" s="64" t="str">
        <f>IF(AND(AA355&lt;&gt;"",AA355&lt;&gt;0), IF(E355="Muni", AA355, IF(E355 = "Corp", (1-'Investor Input'!$C$4-'Investor Input'!$C$5)*AA355, (1-'Investor Input'!$C$4)*AA355)), AA355)</f>
        <v/>
      </c>
      <c r="AC355" s="94" t="str">
        <f t="shared" si="82"/>
        <v/>
      </c>
      <c r="AD355" s="60" t="str">
        <f>IF(AND(M355&lt;&gt;"", M355&lt;&gt;0), N355/$N$505*MATCH(AC355,'Misc Lists'!$K$2:$K$25,0), "")</f>
        <v/>
      </c>
      <c r="AE355" s="90" t="str">
        <f t="shared" si="83"/>
        <v/>
      </c>
      <c r="AF355" s="99" t="str">
        <f>IF(AND(M355&lt;&gt;"", M355&lt;&gt;0), N355/$N$505*MATCH(AE355,'Misc Lists'!$L$2:$L$25,0), "")</f>
        <v/>
      </c>
    </row>
    <row r="356" spans="2:32" hidden="1" outlineLevel="1" x14ac:dyDescent="0.5">
      <c r="B356" s="65" t="str">
        <f ca="1"/>
        <v>341081FM4</v>
      </c>
      <c r="C356" s="66" t="str">
        <f ca="1"/>
        <v>N/A</v>
      </c>
      <c r="D356" s="65" t="str">
        <f ca="1"/>
        <v>FLORIDA PWR &amp;LT CO  BOND CALL MAKE WHOLE3.12500% 12/01/2025</v>
      </c>
      <c r="E356" s="66" t="str">
        <f ca="1"/>
        <v>Corp</v>
      </c>
      <c r="F356" s="67">
        <f ca="1"/>
        <v>3.125</v>
      </c>
      <c r="G356" s="68">
        <f ca="1"/>
        <v>45992</v>
      </c>
      <c r="H356" s="66" t="str">
        <f ca="1"/>
        <v>AA2</v>
      </c>
      <c r="I356" s="66" t="str">
        <f ca="1"/>
        <v>A+</v>
      </c>
      <c r="J356" s="69">
        <f ca="1"/>
        <v>99.168999999999997</v>
      </c>
      <c r="K356" s="70">
        <f ca="1"/>
        <v>4.3049999999999997</v>
      </c>
      <c r="L356" s="70" t="str">
        <f ca="1"/>
        <v>30(9)</v>
      </c>
      <c r="M356" s="83"/>
      <c r="N356" s="84" t="str">
        <f t="shared" si="84"/>
        <v/>
      </c>
      <c r="O356" s="20" t="str">
        <f t="shared" si="85"/>
        <v/>
      </c>
      <c r="P356" s="64" t="str">
        <f t="shared" si="86"/>
        <v/>
      </c>
      <c r="Q356" s="85" t="str">
        <f t="shared" ca="1" si="87"/>
        <v/>
      </c>
      <c r="R356" s="86" t="str">
        <f t="shared" si="88"/>
        <v/>
      </c>
      <c r="S356" s="86" t="str">
        <f t="shared" si="89"/>
        <v/>
      </c>
      <c r="T356" s="104" t="str">
        <f t="shared" si="75"/>
        <v/>
      </c>
      <c r="U356" s="19" t="str">
        <f>IF(AND(M356&lt;&gt;"",M356&lt;&gt;0), IF(E356 = "Muni", T356, IF(E356="Corp", T356*(1 -'Investor Input'!$C$4-'Investor Input'!$C$5), T356*(1 -'Investor Input'!$C$4))), T356)</f>
        <v/>
      </c>
      <c r="V356" s="84" t="str">
        <f t="shared" si="76"/>
        <v/>
      </c>
      <c r="W356" s="84" t="str">
        <f t="shared" si="77"/>
        <v/>
      </c>
      <c r="X356" s="46" t="str">
        <f t="shared" si="78"/>
        <v/>
      </c>
      <c r="Y356" s="60" t="str">
        <f t="shared" si="79"/>
        <v/>
      </c>
      <c r="Z356" s="60" t="str">
        <f t="shared" si="80"/>
        <v/>
      </c>
      <c r="AA356" s="64" t="str">
        <f t="shared" si="81"/>
        <v/>
      </c>
      <c r="AB356" s="64" t="str">
        <f>IF(AND(AA356&lt;&gt;"",AA356&lt;&gt;0), IF(E356="Muni", AA356, IF(E356 = "Corp", (1-'Investor Input'!$C$4-'Investor Input'!$C$5)*AA356, (1-'Investor Input'!$C$4)*AA356)), AA356)</f>
        <v/>
      </c>
      <c r="AC356" s="94" t="str">
        <f t="shared" si="82"/>
        <v/>
      </c>
      <c r="AD356" s="60" t="str">
        <f>IF(AND(M356&lt;&gt;"", M356&lt;&gt;0), N356/$N$505*MATCH(AC356,'Misc Lists'!$K$2:$K$25,0), "")</f>
        <v/>
      </c>
      <c r="AE356" s="90" t="str">
        <f t="shared" si="83"/>
        <v/>
      </c>
      <c r="AF356" s="99" t="str">
        <f>IF(AND(M356&lt;&gt;"", M356&lt;&gt;0), N356/$N$505*MATCH(AE356,'Misc Lists'!$L$2:$L$25,0), "")</f>
        <v/>
      </c>
    </row>
    <row r="357" spans="2:32" hidden="1" outlineLevel="1" x14ac:dyDescent="0.5">
      <c r="B357" s="65" t="str">
        <f ca="1"/>
        <v>532457CU0</v>
      </c>
      <c r="C357" s="66" t="str">
        <f ca="1"/>
        <v>N/A</v>
      </c>
      <c r="D357" s="65" t="str">
        <f ca="1"/>
        <v>ELI LILLY &amp;CO       NOTE CALL MAKE WHOLE4.55000% 02/12/2028</v>
      </c>
      <c r="E357" s="66" t="str">
        <f ca="1"/>
        <v>Corp</v>
      </c>
      <c r="F357" s="67">
        <f ca="1"/>
        <v>4.55</v>
      </c>
      <c r="G357" s="68">
        <f ca="1"/>
        <v>46795</v>
      </c>
      <c r="H357" s="66" t="str">
        <f ca="1"/>
        <v>AA3</v>
      </c>
      <c r="I357" s="66" t="str">
        <f ca="1"/>
        <v>A+</v>
      </c>
      <c r="J357" s="69">
        <f ca="1"/>
        <v>100.67100000000001</v>
      </c>
      <c r="K357" s="70">
        <f ca="1"/>
        <v>4.3019999999999996</v>
      </c>
      <c r="L357" s="70" t="str">
        <f ca="1"/>
        <v>500(2)</v>
      </c>
      <c r="M357" s="83"/>
      <c r="N357" s="84" t="str">
        <f t="shared" si="84"/>
        <v/>
      </c>
      <c r="O357" s="20" t="str">
        <f t="shared" si="85"/>
        <v/>
      </c>
      <c r="P357" s="64" t="str">
        <f t="shared" si="86"/>
        <v/>
      </c>
      <c r="Q357" s="85" t="str">
        <f t="shared" ca="1" si="87"/>
        <v/>
      </c>
      <c r="R357" s="86" t="str">
        <f t="shared" si="88"/>
        <v/>
      </c>
      <c r="S357" s="86" t="str">
        <f t="shared" si="89"/>
        <v/>
      </c>
      <c r="T357" s="104" t="str">
        <f t="shared" si="75"/>
        <v/>
      </c>
      <c r="U357" s="19" t="str">
        <f>IF(AND(M357&lt;&gt;"",M357&lt;&gt;0), IF(E357 = "Muni", T357, IF(E357="Corp", T357*(1 -'Investor Input'!$C$4-'Investor Input'!$C$5), T357*(1 -'Investor Input'!$C$4))), T357)</f>
        <v/>
      </c>
      <c r="V357" s="84" t="str">
        <f t="shared" si="76"/>
        <v/>
      </c>
      <c r="W357" s="84" t="str">
        <f t="shared" si="77"/>
        <v/>
      </c>
      <c r="X357" s="46" t="str">
        <f t="shared" si="78"/>
        <v/>
      </c>
      <c r="Y357" s="60" t="str">
        <f t="shared" si="79"/>
        <v/>
      </c>
      <c r="Z357" s="60" t="str">
        <f t="shared" si="80"/>
        <v/>
      </c>
      <c r="AA357" s="64" t="str">
        <f t="shared" si="81"/>
        <v/>
      </c>
      <c r="AB357" s="64" t="str">
        <f>IF(AND(AA357&lt;&gt;"",AA357&lt;&gt;0), IF(E357="Muni", AA357, IF(E357 = "Corp", (1-'Investor Input'!$C$4-'Investor Input'!$C$5)*AA357, (1-'Investor Input'!$C$4)*AA357)), AA357)</f>
        <v/>
      </c>
      <c r="AC357" s="94" t="str">
        <f t="shared" si="82"/>
        <v/>
      </c>
      <c r="AD357" s="60" t="str">
        <f>IF(AND(M357&lt;&gt;"", M357&lt;&gt;0), N357/$N$505*MATCH(AC357,'Misc Lists'!$K$2:$K$25,0), "")</f>
        <v/>
      </c>
      <c r="AE357" s="90" t="str">
        <f t="shared" si="83"/>
        <v/>
      </c>
      <c r="AF357" s="99" t="str">
        <f>IF(AND(M357&lt;&gt;"", M357&lt;&gt;0), N357/$N$505*MATCH(AE357,'Misc Lists'!$L$2:$L$25,0), "")</f>
        <v/>
      </c>
    </row>
    <row r="358" spans="2:32" hidden="1" outlineLevel="1" x14ac:dyDescent="0.5">
      <c r="B358" s="65" t="str">
        <f ca="1"/>
        <v>742718GF0</v>
      </c>
      <c r="C358" s="66" t="str">
        <f ca="1"/>
        <v>N/A</v>
      </c>
      <c r="D358" s="65" t="str">
        <f ca="1"/>
        <v>PROCTER &amp;GAMBLE CO  NOTE CALL MAKE WHOLE4.35000% 01/29/2029</v>
      </c>
      <c r="E358" s="66" t="str">
        <f ca="1"/>
        <v>Corp</v>
      </c>
      <c r="F358" s="67">
        <f ca="1"/>
        <v>4.3499999999999996</v>
      </c>
      <c r="G358" s="68">
        <f ca="1"/>
        <v>47147</v>
      </c>
      <c r="H358" s="66" t="str">
        <f ca="1"/>
        <v>AA3</v>
      </c>
      <c r="I358" s="66" t="str">
        <f ca="1"/>
        <v>AA-</v>
      </c>
      <c r="J358" s="69">
        <f ca="1"/>
        <v>100.17</v>
      </c>
      <c r="K358" s="70">
        <f ca="1"/>
        <v>4.3010000000000002</v>
      </c>
      <c r="L358" s="70" t="str">
        <f ca="1"/>
        <v>2,000(2)</v>
      </c>
      <c r="M358" s="83"/>
      <c r="N358" s="84" t="str">
        <f t="shared" si="84"/>
        <v/>
      </c>
      <c r="O358" s="20" t="str">
        <f t="shared" si="85"/>
        <v/>
      </c>
      <c r="P358" s="64" t="str">
        <f t="shared" si="86"/>
        <v/>
      </c>
      <c r="Q358" s="85" t="str">
        <f t="shared" ca="1" si="87"/>
        <v/>
      </c>
      <c r="R358" s="86" t="str">
        <f t="shared" si="88"/>
        <v/>
      </c>
      <c r="S358" s="86" t="str">
        <f t="shared" si="89"/>
        <v/>
      </c>
      <c r="T358" s="104" t="str">
        <f t="shared" si="75"/>
        <v/>
      </c>
      <c r="U358" s="19" t="str">
        <f>IF(AND(M358&lt;&gt;"",M358&lt;&gt;0), IF(E358 = "Muni", T358, IF(E358="Corp", T358*(1 -'Investor Input'!$C$4-'Investor Input'!$C$5), T358*(1 -'Investor Input'!$C$4))), T358)</f>
        <v/>
      </c>
      <c r="V358" s="84" t="str">
        <f t="shared" si="76"/>
        <v/>
      </c>
      <c r="W358" s="84" t="str">
        <f t="shared" si="77"/>
        <v/>
      </c>
      <c r="X358" s="46" t="str">
        <f t="shared" si="78"/>
        <v/>
      </c>
      <c r="Y358" s="60" t="str">
        <f t="shared" si="79"/>
        <v/>
      </c>
      <c r="Z358" s="60" t="str">
        <f t="shared" si="80"/>
        <v/>
      </c>
      <c r="AA358" s="64" t="str">
        <f t="shared" si="81"/>
        <v/>
      </c>
      <c r="AB358" s="64" t="str">
        <f>IF(AND(AA358&lt;&gt;"",AA358&lt;&gt;0), IF(E358="Muni", AA358, IF(E358 = "Corp", (1-'Investor Input'!$C$4-'Investor Input'!$C$5)*AA358, (1-'Investor Input'!$C$4)*AA358)), AA358)</f>
        <v/>
      </c>
      <c r="AC358" s="94" t="str">
        <f t="shared" si="82"/>
        <v/>
      </c>
      <c r="AD358" s="60" t="str">
        <f>IF(AND(M358&lt;&gt;"", M358&lt;&gt;0), N358/$N$505*MATCH(AC358,'Misc Lists'!$K$2:$K$25,0), "")</f>
        <v/>
      </c>
      <c r="AE358" s="90" t="str">
        <f t="shared" si="83"/>
        <v/>
      </c>
      <c r="AF358" s="99" t="str">
        <f>IF(AND(M358&lt;&gt;"", M358&lt;&gt;0), N358/$N$505*MATCH(AE358,'Misc Lists'!$L$2:$L$25,0), "")</f>
        <v/>
      </c>
    </row>
    <row r="359" spans="2:32" hidden="1" outlineLevel="1" x14ac:dyDescent="0.5">
      <c r="B359" s="65" t="str">
        <f ca="1"/>
        <v>931142EN9</v>
      </c>
      <c r="C359" s="66" t="str">
        <f ca="1"/>
        <v>N/A</v>
      </c>
      <c r="D359" s="65" t="str">
        <f ca="1"/>
        <v>WALMART INC         NOTE CALL MAKE WHOLE3.25000% 07/08/2029</v>
      </c>
      <c r="E359" s="66" t="str">
        <f ca="1"/>
        <v>Corp</v>
      </c>
      <c r="F359" s="67">
        <f ca="1"/>
        <v>3.25</v>
      </c>
      <c r="G359" s="68">
        <f ca="1"/>
        <v>47307</v>
      </c>
      <c r="H359" s="66" t="str">
        <f ca="1"/>
        <v>AA2</v>
      </c>
      <c r="I359" s="66" t="str">
        <f ca="1"/>
        <v>AA</v>
      </c>
      <c r="J359" s="69">
        <f ca="1"/>
        <v>95.894000000000005</v>
      </c>
      <c r="K359" s="70">
        <f ca="1"/>
        <v>4.3</v>
      </c>
      <c r="L359" s="70" t="str">
        <f ca="1"/>
        <v>2(2)</v>
      </c>
      <c r="M359" s="83"/>
      <c r="N359" s="84" t="str">
        <f t="shared" si="84"/>
        <v/>
      </c>
      <c r="O359" s="20" t="str">
        <f t="shared" si="85"/>
        <v/>
      </c>
      <c r="P359" s="64" t="str">
        <f t="shared" si="86"/>
        <v/>
      </c>
      <c r="Q359" s="85" t="str">
        <f t="shared" ca="1" si="87"/>
        <v/>
      </c>
      <c r="R359" s="86" t="str">
        <f t="shared" si="88"/>
        <v/>
      </c>
      <c r="S359" s="86" t="str">
        <f t="shared" si="89"/>
        <v/>
      </c>
      <c r="T359" s="104" t="str">
        <f t="shared" si="75"/>
        <v/>
      </c>
      <c r="U359" s="19" t="str">
        <f>IF(AND(M359&lt;&gt;"",M359&lt;&gt;0), IF(E359 = "Muni", T359, IF(E359="Corp", T359*(1 -'Investor Input'!$C$4-'Investor Input'!$C$5), T359*(1 -'Investor Input'!$C$4))), T359)</f>
        <v/>
      </c>
      <c r="V359" s="84" t="str">
        <f t="shared" si="76"/>
        <v/>
      </c>
      <c r="W359" s="84" t="str">
        <f t="shared" si="77"/>
        <v/>
      </c>
      <c r="X359" s="46" t="str">
        <f t="shared" si="78"/>
        <v/>
      </c>
      <c r="Y359" s="60" t="str">
        <f t="shared" si="79"/>
        <v/>
      </c>
      <c r="Z359" s="60" t="str">
        <f t="shared" si="80"/>
        <v/>
      </c>
      <c r="AA359" s="64" t="str">
        <f t="shared" si="81"/>
        <v/>
      </c>
      <c r="AB359" s="64" t="str">
        <f>IF(AND(AA359&lt;&gt;"",AA359&lt;&gt;0), IF(E359="Muni", AA359, IF(E359 = "Corp", (1-'Investor Input'!$C$4-'Investor Input'!$C$5)*AA359, (1-'Investor Input'!$C$4)*AA359)), AA359)</f>
        <v/>
      </c>
      <c r="AC359" s="94" t="str">
        <f t="shared" si="82"/>
        <v/>
      </c>
      <c r="AD359" s="60" t="str">
        <f>IF(AND(M359&lt;&gt;"", M359&lt;&gt;0), N359/$N$505*MATCH(AC359,'Misc Lists'!$K$2:$K$25,0), "")</f>
        <v/>
      </c>
      <c r="AE359" s="90" t="str">
        <f t="shared" si="83"/>
        <v/>
      </c>
      <c r="AF359" s="99" t="str">
        <f>IF(AND(M359&lt;&gt;"", M359&lt;&gt;0), N359/$N$505*MATCH(AE359,'Misc Lists'!$L$2:$L$25,0), "")</f>
        <v/>
      </c>
    </row>
    <row r="360" spans="2:32" hidden="1" outlineLevel="1" x14ac:dyDescent="0.5">
      <c r="B360" s="65" t="str">
        <f ca="1"/>
        <v>302154DV8</v>
      </c>
      <c r="C360" s="66" t="str">
        <f ca="1"/>
        <v>N/A</v>
      </c>
      <c r="D360" s="65" t="str">
        <f ca="1"/>
        <v>EXPORT-IMPORT BANK  OF KOREA NOTE       5.00000% 01/11/2028 ISIN #US302154DV87  SEDOL #BNNT2H5</v>
      </c>
      <c r="E360" s="66" t="str">
        <f ca="1"/>
        <v>Corp</v>
      </c>
      <c r="F360" s="67">
        <f ca="1"/>
        <v>5</v>
      </c>
      <c r="G360" s="68">
        <f ca="1"/>
        <v>46763</v>
      </c>
      <c r="H360" s="66" t="str">
        <f ca="1"/>
        <v>AA2</v>
      </c>
      <c r="I360" s="66" t="str">
        <f ca="1"/>
        <v>AA</v>
      </c>
      <c r="J360" s="69">
        <f ca="1"/>
        <v>101.848</v>
      </c>
      <c r="K360" s="70">
        <f ca="1"/>
        <v>4.2969999999999997</v>
      </c>
      <c r="L360" s="70" t="str">
        <f ca="1"/>
        <v>200(200)</v>
      </c>
      <c r="M360" s="83"/>
      <c r="N360" s="84" t="str">
        <f t="shared" si="84"/>
        <v/>
      </c>
      <c r="O360" s="20" t="str">
        <f t="shared" si="85"/>
        <v/>
      </c>
      <c r="P360" s="64" t="str">
        <f t="shared" si="86"/>
        <v/>
      </c>
      <c r="Q360" s="85" t="str">
        <f t="shared" ca="1" si="87"/>
        <v/>
      </c>
      <c r="R360" s="86" t="str">
        <f t="shared" si="88"/>
        <v/>
      </c>
      <c r="S360" s="86" t="str">
        <f t="shared" si="89"/>
        <v/>
      </c>
      <c r="T360" s="104" t="str">
        <f t="shared" si="75"/>
        <v/>
      </c>
      <c r="U360" s="19" t="str">
        <f>IF(AND(M360&lt;&gt;"",M360&lt;&gt;0), IF(E360 = "Muni", T360, IF(E360="Corp", T360*(1 -'Investor Input'!$C$4-'Investor Input'!$C$5), T360*(1 -'Investor Input'!$C$4))), T360)</f>
        <v/>
      </c>
      <c r="V360" s="84" t="str">
        <f t="shared" si="76"/>
        <v/>
      </c>
      <c r="W360" s="84" t="str">
        <f t="shared" si="77"/>
        <v/>
      </c>
      <c r="X360" s="46" t="str">
        <f t="shared" si="78"/>
        <v/>
      </c>
      <c r="Y360" s="60" t="str">
        <f t="shared" si="79"/>
        <v/>
      </c>
      <c r="Z360" s="60" t="str">
        <f t="shared" si="80"/>
        <v/>
      </c>
      <c r="AA360" s="64" t="str">
        <f t="shared" si="81"/>
        <v/>
      </c>
      <c r="AB360" s="64" t="str">
        <f>IF(AND(AA360&lt;&gt;"",AA360&lt;&gt;0), IF(E360="Muni", AA360, IF(E360 = "Corp", (1-'Investor Input'!$C$4-'Investor Input'!$C$5)*AA360, (1-'Investor Input'!$C$4)*AA360)), AA360)</f>
        <v/>
      </c>
      <c r="AC360" s="94" t="str">
        <f t="shared" si="82"/>
        <v/>
      </c>
      <c r="AD360" s="60" t="str">
        <f>IF(AND(M360&lt;&gt;"", M360&lt;&gt;0), N360/$N$505*MATCH(AC360,'Misc Lists'!$K$2:$K$25,0), "")</f>
        <v/>
      </c>
      <c r="AE360" s="90" t="str">
        <f t="shared" si="83"/>
        <v/>
      </c>
      <c r="AF360" s="99" t="str">
        <f>IF(AND(M360&lt;&gt;"", M360&lt;&gt;0), N360/$N$505*MATCH(AE360,'Misc Lists'!$L$2:$L$25,0), "")</f>
        <v/>
      </c>
    </row>
    <row r="361" spans="2:32" hidden="1" outlineLevel="1" x14ac:dyDescent="0.5">
      <c r="B361" s="65" t="str">
        <f ca="1"/>
        <v>06406RAQ0</v>
      </c>
      <c r="C361" s="66" t="str">
        <f ca="1"/>
        <v>N/A</v>
      </c>
      <c r="D361" s="65" t="str">
        <f ca="1"/>
        <v>BANK NEW YORK MELLONCORP SER J MTN      0.75000% 01/28/2026</v>
      </c>
      <c r="E361" s="66" t="str">
        <f ca="1"/>
        <v>Corp</v>
      </c>
      <c r="F361" s="67">
        <f ca="1"/>
        <v>0.75</v>
      </c>
      <c r="G361" s="68">
        <f ca="1"/>
        <v>46050</v>
      </c>
      <c r="H361" s="66" t="str">
        <f ca="1"/>
        <v>AA3</v>
      </c>
      <c r="I361" s="66" t="str">
        <f ca="1"/>
        <v>A</v>
      </c>
      <c r="J361" s="69">
        <f ca="1"/>
        <v>96.977999999999994</v>
      </c>
      <c r="K361" s="70">
        <f ca="1"/>
        <v>4.2939999999999996</v>
      </c>
      <c r="L361" s="70" t="str">
        <f ca="1"/>
        <v>93(10)</v>
      </c>
      <c r="M361" s="83"/>
      <c r="N361" s="84" t="str">
        <f t="shared" si="84"/>
        <v/>
      </c>
      <c r="O361" s="20" t="str">
        <f t="shared" si="85"/>
        <v/>
      </c>
      <c r="P361" s="64" t="str">
        <f t="shared" si="86"/>
        <v/>
      </c>
      <c r="Q361" s="85" t="str">
        <f t="shared" ca="1" si="87"/>
        <v/>
      </c>
      <c r="R361" s="86" t="str">
        <f t="shared" si="88"/>
        <v/>
      </c>
      <c r="S361" s="86" t="str">
        <f t="shared" si="89"/>
        <v/>
      </c>
      <c r="T361" s="104" t="str">
        <f t="shared" si="75"/>
        <v/>
      </c>
      <c r="U361" s="19" t="str">
        <f>IF(AND(M361&lt;&gt;"",M361&lt;&gt;0), IF(E361 = "Muni", T361, IF(E361="Corp", T361*(1 -'Investor Input'!$C$4-'Investor Input'!$C$5), T361*(1 -'Investor Input'!$C$4))), T361)</f>
        <v/>
      </c>
      <c r="V361" s="84" t="str">
        <f t="shared" si="76"/>
        <v/>
      </c>
      <c r="W361" s="84" t="str">
        <f t="shared" si="77"/>
        <v/>
      </c>
      <c r="X361" s="46" t="str">
        <f t="shared" si="78"/>
        <v/>
      </c>
      <c r="Y361" s="60" t="str">
        <f t="shared" si="79"/>
        <v/>
      </c>
      <c r="Z361" s="60" t="str">
        <f t="shared" si="80"/>
        <v/>
      </c>
      <c r="AA361" s="64" t="str">
        <f t="shared" si="81"/>
        <v/>
      </c>
      <c r="AB361" s="64" t="str">
        <f>IF(AND(AA361&lt;&gt;"",AA361&lt;&gt;0), IF(E361="Muni", AA361, IF(E361 = "Corp", (1-'Investor Input'!$C$4-'Investor Input'!$C$5)*AA361, (1-'Investor Input'!$C$4)*AA361)), AA361)</f>
        <v/>
      </c>
      <c r="AC361" s="94" t="str">
        <f t="shared" si="82"/>
        <v/>
      </c>
      <c r="AD361" s="60" t="str">
        <f>IF(AND(M361&lt;&gt;"", M361&lt;&gt;0), N361/$N$505*MATCH(AC361,'Misc Lists'!$K$2:$K$25,0), "")</f>
        <v/>
      </c>
      <c r="AE361" s="90" t="str">
        <f t="shared" si="83"/>
        <v/>
      </c>
      <c r="AF361" s="99" t="str">
        <f>IF(AND(M361&lt;&gt;"", M361&lt;&gt;0), N361/$N$505*MATCH(AE361,'Misc Lists'!$L$2:$L$25,0), "")</f>
        <v/>
      </c>
    </row>
    <row r="362" spans="2:32" hidden="1" outlineLevel="1" x14ac:dyDescent="0.5">
      <c r="B362" s="65" t="str">
        <f ca="1"/>
        <v>57636QAW4</v>
      </c>
      <c r="C362" s="66" t="str">
        <f ca="1"/>
        <v>N/A</v>
      </c>
      <c r="D362" s="65" t="str">
        <f ca="1"/>
        <v>MASTERCARD          INCORPORATED NOTE   4.87500% 03/09/2028 CALL MAKE WHOLE</v>
      </c>
      <c r="E362" s="66" t="str">
        <f ca="1"/>
        <v>Corp</v>
      </c>
      <c r="F362" s="67">
        <f ca="1"/>
        <v>4.875</v>
      </c>
      <c r="G362" s="68">
        <f ca="1"/>
        <v>46821</v>
      </c>
      <c r="H362" s="66" t="str">
        <f ca="1"/>
        <v>AA3</v>
      </c>
      <c r="I362" s="66" t="str">
        <f ca="1"/>
        <v>A+</v>
      </c>
      <c r="J362" s="69">
        <f ca="1"/>
        <v>101.614</v>
      </c>
      <c r="K362" s="70">
        <f ca="1"/>
        <v>4.2939999999999996</v>
      </c>
      <c r="L362" s="70" t="str">
        <f ca="1"/>
        <v>200(2)</v>
      </c>
      <c r="M362" s="83"/>
      <c r="N362" s="84" t="str">
        <f t="shared" si="84"/>
        <v/>
      </c>
      <c r="O362" s="20" t="str">
        <f t="shared" si="85"/>
        <v/>
      </c>
      <c r="P362" s="64" t="str">
        <f t="shared" si="86"/>
        <v/>
      </c>
      <c r="Q362" s="85" t="str">
        <f t="shared" ca="1" si="87"/>
        <v/>
      </c>
      <c r="R362" s="86" t="str">
        <f t="shared" si="88"/>
        <v/>
      </c>
      <c r="S362" s="86" t="str">
        <f t="shared" si="89"/>
        <v/>
      </c>
      <c r="T362" s="104" t="str">
        <f t="shared" si="75"/>
        <v/>
      </c>
      <c r="U362" s="19" t="str">
        <f>IF(AND(M362&lt;&gt;"",M362&lt;&gt;0), IF(E362 = "Muni", T362, IF(E362="Corp", T362*(1 -'Investor Input'!$C$4-'Investor Input'!$C$5), T362*(1 -'Investor Input'!$C$4))), T362)</f>
        <v/>
      </c>
      <c r="V362" s="84" t="str">
        <f t="shared" si="76"/>
        <v/>
      </c>
      <c r="W362" s="84" t="str">
        <f t="shared" si="77"/>
        <v/>
      </c>
      <c r="X362" s="46" t="str">
        <f t="shared" si="78"/>
        <v/>
      </c>
      <c r="Y362" s="60" t="str">
        <f t="shared" si="79"/>
        <v/>
      </c>
      <c r="Z362" s="60" t="str">
        <f t="shared" si="80"/>
        <v/>
      </c>
      <c r="AA362" s="64" t="str">
        <f t="shared" si="81"/>
        <v/>
      </c>
      <c r="AB362" s="64" t="str">
        <f>IF(AND(AA362&lt;&gt;"",AA362&lt;&gt;0), IF(E362="Muni", AA362, IF(E362 = "Corp", (1-'Investor Input'!$C$4-'Investor Input'!$C$5)*AA362, (1-'Investor Input'!$C$4)*AA362)), AA362)</f>
        <v/>
      </c>
      <c r="AC362" s="94" t="str">
        <f t="shared" si="82"/>
        <v/>
      </c>
      <c r="AD362" s="60" t="str">
        <f>IF(AND(M362&lt;&gt;"", M362&lt;&gt;0), N362/$N$505*MATCH(AC362,'Misc Lists'!$K$2:$K$25,0), "")</f>
        <v/>
      </c>
      <c r="AE362" s="90" t="str">
        <f t="shared" si="83"/>
        <v/>
      </c>
      <c r="AF362" s="99" t="str">
        <f>IF(AND(M362&lt;&gt;"", M362&lt;&gt;0), N362/$N$505*MATCH(AE362,'Misc Lists'!$L$2:$L$25,0), "")</f>
        <v/>
      </c>
    </row>
    <row r="363" spans="2:32" hidden="1" outlineLevel="1" x14ac:dyDescent="0.5">
      <c r="B363" s="65" t="str">
        <f ca="1"/>
        <v>302154DX4</v>
      </c>
      <c r="C363" s="66" t="str">
        <f ca="1"/>
        <v>N/A</v>
      </c>
      <c r="D363" s="65" t="str">
        <f ca="1"/>
        <v>EXPORT-IMPORT BANK  OF KOREA NOTE       5.37500% 09/18/2025 ISIN #US302154DX44  SEDOL #BN4L6S9</v>
      </c>
      <c r="E363" s="66" t="str">
        <f ca="1"/>
        <v>Corp</v>
      </c>
      <c r="F363" s="67">
        <f ca="1"/>
        <v>5.375</v>
      </c>
      <c r="G363" s="68">
        <f ca="1"/>
        <v>45918</v>
      </c>
      <c r="H363" s="66" t="str">
        <f ca="1"/>
        <v>AA2</v>
      </c>
      <c r="I363" s="66" t="str">
        <f ca="1"/>
        <v>AA</v>
      </c>
      <c r="J363" s="69">
        <f ca="1"/>
        <v>100.54600000000001</v>
      </c>
      <c r="K363" s="70">
        <f ca="1"/>
        <v>4.2930000000000001</v>
      </c>
      <c r="L363" s="70" t="str">
        <f ca="1"/>
        <v>225(200)</v>
      </c>
      <c r="M363" s="83"/>
      <c r="N363" s="84" t="str">
        <f t="shared" si="84"/>
        <v/>
      </c>
      <c r="O363" s="20" t="str">
        <f t="shared" si="85"/>
        <v/>
      </c>
      <c r="P363" s="64" t="str">
        <f t="shared" si="86"/>
        <v/>
      </c>
      <c r="Q363" s="85" t="str">
        <f t="shared" ca="1" si="87"/>
        <v/>
      </c>
      <c r="R363" s="86" t="str">
        <f t="shared" si="88"/>
        <v/>
      </c>
      <c r="S363" s="86" t="str">
        <f t="shared" si="89"/>
        <v/>
      </c>
      <c r="T363" s="104" t="str">
        <f t="shared" si="75"/>
        <v/>
      </c>
      <c r="U363" s="19" t="str">
        <f>IF(AND(M363&lt;&gt;"",M363&lt;&gt;0), IF(E363 = "Muni", T363, IF(E363="Corp", T363*(1 -'Investor Input'!$C$4-'Investor Input'!$C$5), T363*(1 -'Investor Input'!$C$4))), T363)</f>
        <v/>
      </c>
      <c r="V363" s="84" t="str">
        <f t="shared" si="76"/>
        <v/>
      </c>
      <c r="W363" s="84" t="str">
        <f t="shared" si="77"/>
        <v/>
      </c>
      <c r="X363" s="46" t="str">
        <f t="shared" si="78"/>
        <v/>
      </c>
      <c r="Y363" s="60" t="str">
        <f t="shared" si="79"/>
        <v/>
      </c>
      <c r="Z363" s="60" t="str">
        <f t="shared" si="80"/>
        <v/>
      </c>
      <c r="AA363" s="64" t="str">
        <f t="shared" si="81"/>
        <v/>
      </c>
      <c r="AB363" s="64" t="str">
        <f>IF(AND(AA363&lt;&gt;"",AA363&lt;&gt;0), IF(E363="Muni", AA363, IF(E363 = "Corp", (1-'Investor Input'!$C$4-'Investor Input'!$C$5)*AA363, (1-'Investor Input'!$C$4)*AA363)), AA363)</f>
        <v/>
      </c>
      <c r="AC363" s="94" t="str">
        <f t="shared" si="82"/>
        <v/>
      </c>
      <c r="AD363" s="60" t="str">
        <f>IF(AND(M363&lt;&gt;"", M363&lt;&gt;0), N363/$N$505*MATCH(AC363,'Misc Lists'!$K$2:$K$25,0), "")</f>
        <v/>
      </c>
      <c r="AE363" s="90" t="str">
        <f t="shared" si="83"/>
        <v/>
      </c>
      <c r="AF363" s="99" t="str">
        <f>IF(AND(M363&lt;&gt;"", M363&lt;&gt;0), N363/$N$505*MATCH(AE363,'Misc Lists'!$L$2:$L$25,0), "")</f>
        <v/>
      </c>
    </row>
    <row r="364" spans="2:32" hidden="1" outlineLevel="1" x14ac:dyDescent="0.5">
      <c r="B364" s="65" t="str">
        <f ca="1"/>
        <v>26442CAS3</v>
      </c>
      <c r="C364" s="66" t="str">
        <f ca="1"/>
        <v>N/A</v>
      </c>
      <c r="D364" s="65" t="str">
        <f ca="1"/>
        <v>DUKE ENERGY         CAROLINAS LLC BOND  2.95000% 12/01/2026 CALL MAKE WHOLE</v>
      </c>
      <c r="E364" s="66" t="str">
        <f ca="1"/>
        <v>Corp</v>
      </c>
      <c r="F364" s="67">
        <f ca="1"/>
        <v>2.95</v>
      </c>
      <c r="G364" s="68">
        <f ca="1"/>
        <v>46357</v>
      </c>
      <c r="H364" s="66" t="str">
        <f ca="1"/>
        <v>AA3</v>
      </c>
      <c r="I364" s="66" t="str">
        <f ca="1"/>
        <v>A</v>
      </c>
      <c r="J364" s="69">
        <f ca="1"/>
        <v>97.793000000000006</v>
      </c>
      <c r="K364" s="70">
        <f ca="1"/>
        <v>4.2930000000000001</v>
      </c>
      <c r="L364" s="70" t="str">
        <f ca="1"/>
        <v>500(2)</v>
      </c>
      <c r="M364" s="83"/>
      <c r="N364" s="84" t="str">
        <f t="shared" si="84"/>
        <v/>
      </c>
      <c r="O364" s="20" t="str">
        <f t="shared" si="85"/>
        <v/>
      </c>
      <c r="P364" s="64" t="str">
        <f t="shared" si="86"/>
        <v/>
      </c>
      <c r="Q364" s="85" t="str">
        <f t="shared" ca="1" si="87"/>
        <v/>
      </c>
      <c r="R364" s="86" t="str">
        <f t="shared" si="88"/>
        <v/>
      </c>
      <c r="S364" s="86" t="str">
        <f t="shared" si="89"/>
        <v/>
      </c>
      <c r="T364" s="104" t="str">
        <f t="shared" si="75"/>
        <v/>
      </c>
      <c r="U364" s="19" t="str">
        <f>IF(AND(M364&lt;&gt;"",M364&lt;&gt;0), IF(E364 = "Muni", T364, IF(E364="Corp", T364*(1 -'Investor Input'!$C$4-'Investor Input'!$C$5), T364*(1 -'Investor Input'!$C$4))), T364)</f>
        <v/>
      </c>
      <c r="V364" s="84" t="str">
        <f t="shared" si="76"/>
        <v/>
      </c>
      <c r="W364" s="84" t="str">
        <f t="shared" si="77"/>
        <v/>
      </c>
      <c r="X364" s="46" t="str">
        <f t="shared" si="78"/>
        <v/>
      </c>
      <c r="Y364" s="60" t="str">
        <f t="shared" si="79"/>
        <v/>
      </c>
      <c r="Z364" s="60" t="str">
        <f t="shared" si="80"/>
        <v/>
      </c>
      <c r="AA364" s="64" t="str">
        <f t="shared" si="81"/>
        <v/>
      </c>
      <c r="AB364" s="64" t="str">
        <f>IF(AND(AA364&lt;&gt;"",AA364&lt;&gt;0), IF(E364="Muni", AA364, IF(E364 = "Corp", (1-'Investor Input'!$C$4-'Investor Input'!$C$5)*AA364, (1-'Investor Input'!$C$4)*AA364)), AA364)</f>
        <v/>
      </c>
      <c r="AC364" s="94" t="str">
        <f t="shared" si="82"/>
        <v/>
      </c>
      <c r="AD364" s="60" t="str">
        <f>IF(AND(M364&lt;&gt;"", M364&lt;&gt;0), N364/$N$505*MATCH(AC364,'Misc Lists'!$K$2:$K$25,0), "")</f>
        <v/>
      </c>
      <c r="AE364" s="90" t="str">
        <f t="shared" si="83"/>
        <v/>
      </c>
      <c r="AF364" s="99" t="str">
        <f>IF(AND(M364&lt;&gt;"", M364&lt;&gt;0), N364/$N$505*MATCH(AE364,'Misc Lists'!$L$2:$L$25,0), "")</f>
        <v/>
      </c>
    </row>
    <row r="365" spans="2:32" hidden="1" outlineLevel="1" x14ac:dyDescent="0.5">
      <c r="B365" s="65" t="str">
        <f ca="1"/>
        <v>961214FA6</v>
      </c>
      <c r="C365" s="66" t="str">
        <f ca="1"/>
        <v>N/A</v>
      </c>
      <c r="D365" s="65" t="str">
        <f ca="1"/>
        <v>WESTPAC BKG CORP    NOTE                3.73500% 08/26/2025</v>
      </c>
      <c r="E365" s="66" t="str">
        <f ca="1"/>
        <v>Corp</v>
      </c>
      <c r="F365" s="67">
        <f ca="1"/>
        <v>3.7349999999999999</v>
      </c>
      <c r="G365" s="68">
        <f ca="1"/>
        <v>45895</v>
      </c>
      <c r="H365" s="66" t="str">
        <f ca="1"/>
        <v>AA2</v>
      </c>
      <c r="I365" s="66" t="str">
        <f ca="1"/>
        <v>AA-</v>
      </c>
      <c r="J365" s="69">
        <f ca="1"/>
        <v>99.748000000000005</v>
      </c>
      <c r="K365" s="70">
        <f ca="1"/>
        <v>4.2919999999999998</v>
      </c>
      <c r="L365" s="70" t="str">
        <f ca="1"/>
        <v>13(13)</v>
      </c>
      <c r="M365" s="83"/>
      <c r="N365" s="84" t="str">
        <f t="shared" si="84"/>
        <v/>
      </c>
      <c r="O365" s="20" t="str">
        <f t="shared" si="85"/>
        <v/>
      </c>
      <c r="P365" s="64" t="str">
        <f t="shared" si="86"/>
        <v/>
      </c>
      <c r="Q365" s="85" t="str">
        <f t="shared" ca="1" si="87"/>
        <v/>
      </c>
      <c r="R365" s="86" t="str">
        <f t="shared" si="88"/>
        <v/>
      </c>
      <c r="S365" s="86" t="str">
        <f t="shared" si="89"/>
        <v/>
      </c>
      <c r="T365" s="104" t="str">
        <f t="shared" si="75"/>
        <v/>
      </c>
      <c r="U365" s="19" t="str">
        <f>IF(AND(M365&lt;&gt;"",M365&lt;&gt;0), IF(E365 = "Muni", T365, IF(E365="Corp", T365*(1 -'Investor Input'!$C$4-'Investor Input'!$C$5), T365*(1 -'Investor Input'!$C$4))), T365)</f>
        <v/>
      </c>
      <c r="V365" s="84" t="str">
        <f t="shared" si="76"/>
        <v/>
      </c>
      <c r="W365" s="84" t="str">
        <f t="shared" si="77"/>
        <v/>
      </c>
      <c r="X365" s="46" t="str">
        <f t="shared" si="78"/>
        <v/>
      </c>
      <c r="Y365" s="60" t="str">
        <f t="shared" si="79"/>
        <v/>
      </c>
      <c r="Z365" s="60" t="str">
        <f t="shared" si="80"/>
        <v/>
      </c>
      <c r="AA365" s="64" t="str">
        <f t="shared" si="81"/>
        <v/>
      </c>
      <c r="AB365" s="64" t="str">
        <f>IF(AND(AA365&lt;&gt;"",AA365&lt;&gt;0), IF(E365="Muni", AA365, IF(E365 = "Corp", (1-'Investor Input'!$C$4-'Investor Input'!$C$5)*AA365, (1-'Investor Input'!$C$4)*AA365)), AA365)</f>
        <v/>
      </c>
      <c r="AC365" s="94" t="str">
        <f t="shared" si="82"/>
        <v/>
      </c>
      <c r="AD365" s="60" t="str">
        <f>IF(AND(M365&lt;&gt;"", M365&lt;&gt;0), N365/$N$505*MATCH(AC365,'Misc Lists'!$K$2:$K$25,0), "")</f>
        <v/>
      </c>
      <c r="AE365" s="90" t="str">
        <f t="shared" si="83"/>
        <v/>
      </c>
      <c r="AF365" s="99" t="str">
        <f>IF(AND(M365&lt;&gt;"", M365&lt;&gt;0), N365/$N$505*MATCH(AE365,'Misc Lists'!$L$2:$L$25,0), "")</f>
        <v/>
      </c>
    </row>
    <row r="366" spans="2:32" hidden="1" outlineLevel="1" x14ac:dyDescent="0.5">
      <c r="B366" s="65" t="str">
        <f ca="1"/>
        <v>94988J6H5</v>
      </c>
      <c r="C366" s="66" t="str">
        <f ca="1"/>
        <v>N/A</v>
      </c>
      <c r="D366" s="65" t="str">
        <f ca="1"/>
        <v>WELLS FARGO BANK    NATL ASSN NOTE      4.81100% 01/15/2026 CALL MAKE WHOLE</v>
      </c>
      <c r="E366" s="66" t="str">
        <f ca="1"/>
        <v>Corp</v>
      </c>
      <c r="F366" s="67">
        <f ca="1"/>
        <v>4.8109999999999999</v>
      </c>
      <c r="G366" s="68">
        <f ca="1"/>
        <v>46037</v>
      </c>
      <c r="H366" s="66" t="str">
        <f ca="1"/>
        <v>AA2</v>
      </c>
      <c r="I366" s="66" t="str">
        <f ca="1"/>
        <v>A+</v>
      </c>
      <c r="J366" s="69">
        <f ca="1"/>
        <v>100.419</v>
      </c>
      <c r="K366" s="70">
        <f ca="1"/>
        <v>4.2919999999999998</v>
      </c>
      <c r="L366" s="70" t="str">
        <f ca="1"/>
        <v>700(250)</v>
      </c>
      <c r="M366" s="83"/>
      <c r="N366" s="84" t="str">
        <f t="shared" si="84"/>
        <v/>
      </c>
      <c r="O366" s="20" t="str">
        <f t="shared" si="85"/>
        <v/>
      </c>
      <c r="P366" s="64" t="str">
        <f t="shared" si="86"/>
        <v/>
      </c>
      <c r="Q366" s="85" t="str">
        <f t="shared" ca="1" si="87"/>
        <v/>
      </c>
      <c r="R366" s="86" t="str">
        <f t="shared" si="88"/>
        <v/>
      </c>
      <c r="S366" s="86" t="str">
        <f t="shared" si="89"/>
        <v/>
      </c>
      <c r="T366" s="104" t="str">
        <f t="shared" si="75"/>
        <v/>
      </c>
      <c r="U366" s="19" t="str">
        <f>IF(AND(M366&lt;&gt;"",M366&lt;&gt;0), IF(E366 = "Muni", T366, IF(E366="Corp", T366*(1 -'Investor Input'!$C$4-'Investor Input'!$C$5), T366*(1 -'Investor Input'!$C$4))), T366)</f>
        <v/>
      </c>
      <c r="V366" s="84" t="str">
        <f t="shared" si="76"/>
        <v/>
      </c>
      <c r="W366" s="84" t="str">
        <f t="shared" si="77"/>
        <v/>
      </c>
      <c r="X366" s="46" t="str">
        <f t="shared" si="78"/>
        <v/>
      </c>
      <c r="Y366" s="60" t="str">
        <f t="shared" si="79"/>
        <v/>
      </c>
      <c r="Z366" s="60" t="str">
        <f t="shared" si="80"/>
        <v/>
      </c>
      <c r="AA366" s="64" t="str">
        <f t="shared" si="81"/>
        <v/>
      </c>
      <c r="AB366" s="64" t="str">
        <f>IF(AND(AA366&lt;&gt;"",AA366&lt;&gt;0), IF(E366="Muni", AA366, IF(E366 = "Corp", (1-'Investor Input'!$C$4-'Investor Input'!$C$5)*AA366, (1-'Investor Input'!$C$4)*AA366)), AA366)</f>
        <v/>
      </c>
      <c r="AC366" s="94" t="str">
        <f t="shared" si="82"/>
        <v/>
      </c>
      <c r="AD366" s="60" t="str">
        <f>IF(AND(M366&lt;&gt;"", M366&lt;&gt;0), N366/$N$505*MATCH(AC366,'Misc Lists'!$K$2:$K$25,0), "")</f>
        <v/>
      </c>
      <c r="AE366" s="90" t="str">
        <f t="shared" si="83"/>
        <v/>
      </c>
      <c r="AF366" s="99" t="str">
        <f>IF(AND(M366&lt;&gt;"", M366&lt;&gt;0), N366/$N$505*MATCH(AE366,'Misc Lists'!$L$2:$L$25,0), "")</f>
        <v/>
      </c>
    </row>
    <row r="367" spans="2:32" hidden="1" outlineLevel="1" x14ac:dyDescent="0.5">
      <c r="B367" s="65" t="str">
        <f ca="1"/>
        <v>500630EG9</v>
      </c>
      <c r="C367" s="66" t="str">
        <f ca="1"/>
        <v>N/A</v>
      </c>
      <c r="D367" s="65" t="str">
        <f ca="1"/>
        <v>KOREA DEV BK        NOTE                4.62500% 02/03/2028</v>
      </c>
      <c r="E367" s="66" t="str">
        <f ca="1"/>
        <v>Corp</v>
      </c>
      <c r="F367" s="67">
        <f ca="1"/>
        <v>4.625</v>
      </c>
      <c r="G367" s="68">
        <f ca="1"/>
        <v>46786</v>
      </c>
      <c r="H367" s="66" t="str">
        <f ca="1"/>
        <v>AA2</v>
      </c>
      <c r="I367" s="66" t="str">
        <f ca="1"/>
        <v>AA</v>
      </c>
      <c r="J367" s="69">
        <f ca="1"/>
        <v>100.898</v>
      </c>
      <c r="K367" s="70">
        <f ca="1"/>
        <v>4.29</v>
      </c>
      <c r="L367" s="70" t="str">
        <f ca="1"/>
        <v>200(200)</v>
      </c>
      <c r="M367" s="83"/>
      <c r="N367" s="84" t="str">
        <f t="shared" si="84"/>
        <v/>
      </c>
      <c r="O367" s="20" t="str">
        <f t="shared" si="85"/>
        <v/>
      </c>
      <c r="P367" s="64" t="str">
        <f t="shared" si="86"/>
        <v/>
      </c>
      <c r="Q367" s="85" t="str">
        <f t="shared" ca="1" si="87"/>
        <v/>
      </c>
      <c r="R367" s="86" t="str">
        <f t="shared" si="88"/>
        <v/>
      </c>
      <c r="S367" s="86" t="str">
        <f t="shared" si="89"/>
        <v/>
      </c>
      <c r="T367" s="104" t="str">
        <f t="shared" si="75"/>
        <v/>
      </c>
      <c r="U367" s="19" t="str">
        <f>IF(AND(M367&lt;&gt;"",M367&lt;&gt;0), IF(E367 = "Muni", T367, IF(E367="Corp", T367*(1 -'Investor Input'!$C$4-'Investor Input'!$C$5), T367*(1 -'Investor Input'!$C$4))), T367)</f>
        <v/>
      </c>
      <c r="V367" s="84" t="str">
        <f t="shared" si="76"/>
        <v/>
      </c>
      <c r="W367" s="84" t="str">
        <f t="shared" si="77"/>
        <v/>
      </c>
      <c r="X367" s="46" t="str">
        <f t="shared" si="78"/>
        <v/>
      </c>
      <c r="Y367" s="60" t="str">
        <f t="shared" si="79"/>
        <v/>
      </c>
      <c r="Z367" s="60" t="str">
        <f t="shared" si="80"/>
        <v/>
      </c>
      <c r="AA367" s="64" t="str">
        <f t="shared" si="81"/>
        <v/>
      </c>
      <c r="AB367" s="64" t="str">
        <f>IF(AND(AA367&lt;&gt;"",AA367&lt;&gt;0), IF(E367="Muni", AA367, IF(E367 = "Corp", (1-'Investor Input'!$C$4-'Investor Input'!$C$5)*AA367, (1-'Investor Input'!$C$4)*AA367)), AA367)</f>
        <v/>
      </c>
      <c r="AC367" s="94" t="str">
        <f t="shared" si="82"/>
        <v/>
      </c>
      <c r="AD367" s="60" t="str">
        <f>IF(AND(M367&lt;&gt;"", M367&lt;&gt;0), N367/$N$505*MATCH(AC367,'Misc Lists'!$K$2:$K$25,0), "")</f>
        <v/>
      </c>
      <c r="AE367" s="90" t="str">
        <f t="shared" si="83"/>
        <v/>
      </c>
      <c r="AF367" s="99" t="str">
        <f>IF(AND(M367&lt;&gt;"", M367&lt;&gt;0), N367/$N$505*MATCH(AE367,'Misc Lists'!$L$2:$L$25,0), "")</f>
        <v/>
      </c>
    </row>
    <row r="368" spans="2:32" hidden="1" outlineLevel="1" x14ac:dyDescent="0.5">
      <c r="B368" s="65" t="str">
        <f ca="1"/>
        <v>931142FC2</v>
      </c>
      <c r="C368" s="66" t="str">
        <f ca="1"/>
        <v>N/A</v>
      </c>
      <c r="D368" s="65" t="str">
        <f ca="1"/>
        <v>WALMART INC         NOTE CALL MAKE WHOLE4.00000% 04/15/2030</v>
      </c>
      <c r="E368" s="66" t="str">
        <f ca="1"/>
        <v>Corp</v>
      </c>
      <c r="F368" s="67">
        <f ca="1"/>
        <v>4</v>
      </c>
      <c r="G368" s="68">
        <f ca="1"/>
        <v>47588</v>
      </c>
      <c r="H368" s="66" t="str">
        <f ca="1"/>
        <v>AA2</v>
      </c>
      <c r="I368" s="66" t="str">
        <f ca="1"/>
        <v>AA</v>
      </c>
      <c r="J368" s="69">
        <f ca="1"/>
        <v>98.680999999999997</v>
      </c>
      <c r="K368" s="70">
        <f ca="1"/>
        <v>4.29</v>
      </c>
      <c r="L368" s="70" t="str">
        <f ca="1"/>
        <v>2,000(2)</v>
      </c>
      <c r="M368" s="83"/>
      <c r="N368" s="84" t="str">
        <f t="shared" si="84"/>
        <v/>
      </c>
      <c r="O368" s="20" t="str">
        <f t="shared" si="85"/>
        <v/>
      </c>
      <c r="P368" s="64" t="str">
        <f t="shared" si="86"/>
        <v/>
      </c>
      <c r="Q368" s="85" t="str">
        <f t="shared" ca="1" si="87"/>
        <v/>
      </c>
      <c r="R368" s="86" t="str">
        <f t="shared" si="88"/>
        <v/>
      </c>
      <c r="S368" s="86" t="str">
        <f t="shared" si="89"/>
        <v/>
      </c>
      <c r="T368" s="104" t="str">
        <f t="shared" si="75"/>
        <v/>
      </c>
      <c r="U368" s="19" t="str">
        <f>IF(AND(M368&lt;&gt;"",M368&lt;&gt;0), IF(E368 = "Muni", T368, IF(E368="Corp", T368*(1 -'Investor Input'!$C$4-'Investor Input'!$C$5), T368*(1 -'Investor Input'!$C$4))), T368)</f>
        <v/>
      </c>
      <c r="V368" s="84" t="str">
        <f t="shared" si="76"/>
        <v/>
      </c>
      <c r="W368" s="84" t="str">
        <f t="shared" si="77"/>
        <v/>
      </c>
      <c r="X368" s="46" t="str">
        <f t="shared" si="78"/>
        <v/>
      </c>
      <c r="Y368" s="60" t="str">
        <f t="shared" si="79"/>
        <v/>
      </c>
      <c r="Z368" s="60" t="str">
        <f t="shared" si="80"/>
        <v/>
      </c>
      <c r="AA368" s="64" t="str">
        <f t="shared" si="81"/>
        <v/>
      </c>
      <c r="AB368" s="64" t="str">
        <f>IF(AND(AA368&lt;&gt;"",AA368&lt;&gt;0), IF(E368="Muni", AA368, IF(E368 = "Corp", (1-'Investor Input'!$C$4-'Investor Input'!$C$5)*AA368, (1-'Investor Input'!$C$4)*AA368)), AA368)</f>
        <v/>
      </c>
      <c r="AC368" s="94" t="str">
        <f t="shared" si="82"/>
        <v/>
      </c>
      <c r="AD368" s="60" t="str">
        <f>IF(AND(M368&lt;&gt;"", M368&lt;&gt;0), N368/$N$505*MATCH(AC368,'Misc Lists'!$K$2:$K$25,0), "")</f>
        <v/>
      </c>
      <c r="AE368" s="90" t="str">
        <f t="shared" si="83"/>
        <v/>
      </c>
      <c r="AF368" s="99" t="str">
        <f>IF(AND(M368&lt;&gt;"", M368&lt;&gt;0), N368/$N$505*MATCH(AE368,'Misc Lists'!$L$2:$L$25,0), "")</f>
        <v/>
      </c>
    </row>
    <row r="369" spans="2:32" hidden="1" outlineLevel="1" x14ac:dyDescent="0.5">
      <c r="B369" s="65" t="str">
        <f ca="1"/>
        <v>961214FK4</v>
      </c>
      <c r="C369" s="66" t="str">
        <f ca="1"/>
        <v>N/A</v>
      </c>
      <c r="D369" s="65" t="str">
        <f ca="1"/>
        <v>WESTPAC BKG CORP NOTE                5.45700% 11/18/2027</v>
      </c>
      <c r="E369" s="66" t="str">
        <f ca="1"/>
        <v>Corp</v>
      </c>
      <c r="F369" s="67">
        <f ca="1"/>
        <v>5.4569999999999999</v>
      </c>
      <c r="G369" s="68">
        <f ca="1"/>
        <v>46709</v>
      </c>
      <c r="H369" s="66" t="str">
        <f ca="1"/>
        <v>AA2</v>
      </c>
      <c r="I369" s="66" t="str">
        <f ca="1"/>
        <v>AA-</v>
      </c>
      <c r="J369" s="69">
        <f ca="1"/>
        <v>102.925</v>
      </c>
      <c r="K369" s="70">
        <f ca="1"/>
        <v>4.2889999999999997</v>
      </c>
      <c r="L369" s="70" t="str">
        <f ca="1"/>
        <v>500(2)</v>
      </c>
      <c r="M369" s="83"/>
      <c r="N369" s="84" t="str">
        <f t="shared" si="84"/>
        <v/>
      </c>
      <c r="O369" s="20" t="str">
        <f t="shared" si="85"/>
        <v/>
      </c>
      <c r="P369" s="64" t="str">
        <f t="shared" si="86"/>
        <v/>
      </c>
      <c r="Q369" s="85" t="str">
        <f t="shared" ca="1" si="87"/>
        <v/>
      </c>
      <c r="R369" s="86" t="str">
        <f t="shared" si="88"/>
        <v/>
      </c>
      <c r="S369" s="86" t="str">
        <f t="shared" si="89"/>
        <v/>
      </c>
      <c r="T369" s="104" t="str">
        <f t="shared" si="75"/>
        <v/>
      </c>
      <c r="U369" s="19" t="str">
        <f>IF(AND(M369&lt;&gt;"",M369&lt;&gt;0), IF(E369 = "Muni", T369, IF(E369="Corp", T369*(1 -'Investor Input'!$C$4-'Investor Input'!$C$5), T369*(1 -'Investor Input'!$C$4))), T369)</f>
        <v/>
      </c>
      <c r="V369" s="84" t="str">
        <f t="shared" si="76"/>
        <v/>
      </c>
      <c r="W369" s="84" t="str">
        <f t="shared" si="77"/>
        <v/>
      </c>
      <c r="X369" s="46" t="str">
        <f t="shared" si="78"/>
        <v/>
      </c>
      <c r="Y369" s="60" t="str">
        <f t="shared" si="79"/>
        <v/>
      </c>
      <c r="Z369" s="60" t="str">
        <f t="shared" si="80"/>
        <v/>
      </c>
      <c r="AA369" s="64" t="str">
        <f t="shared" si="81"/>
        <v/>
      </c>
      <c r="AB369" s="64" t="str">
        <f>IF(AND(AA369&lt;&gt;"",AA369&lt;&gt;0), IF(E369="Muni", AA369, IF(E369 = "Corp", (1-'Investor Input'!$C$4-'Investor Input'!$C$5)*AA369, (1-'Investor Input'!$C$4)*AA369)), AA369)</f>
        <v/>
      </c>
      <c r="AC369" s="94" t="str">
        <f t="shared" si="82"/>
        <v/>
      </c>
      <c r="AD369" s="60" t="str">
        <f>IF(AND(M369&lt;&gt;"", M369&lt;&gt;0), N369/$N$505*MATCH(AC369,'Misc Lists'!$K$2:$K$25,0), "")</f>
        <v/>
      </c>
      <c r="AE369" s="90" t="str">
        <f t="shared" si="83"/>
        <v/>
      </c>
      <c r="AF369" s="99" t="str">
        <f>IF(AND(M369&lt;&gt;"", M369&lt;&gt;0), N369/$N$505*MATCH(AE369,'Misc Lists'!$L$2:$L$25,0), "")</f>
        <v/>
      </c>
    </row>
    <row r="370" spans="2:32" hidden="1" outlineLevel="1" x14ac:dyDescent="0.5">
      <c r="B370" s="65" t="str">
        <f ca="1"/>
        <v>500630DZ8</v>
      </c>
      <c r="C370" s="66" t="str">
        <f ca="1"/>
        <v>N/A</v>
      </c>
      <c r="D370" s="65" t="str">
        <f ca="1"/>
        <v>KOREA DEVELOPMENT   BANK NOTE           5.37500% 10/23/2026 ISIN #US500630DZ86  SEDOL #BQ83S64</v>
      </c>
      <c r="E370" s="66" t="str">
        <f ca="1"/>
        <v>Corp</v>
      </c>
      <c r="F370" s="67">
        <f ca="1"/>
        <v>5.375</v>
      </c>
      <c r="G370" s="68">
        <f ca="1"/>
        <v>46318</v>
      </c>
      <c r="H370" s="66" t="str">
        <f ca="1"/>
        <v>AA2</v>
      </c>
      <c r="I370" s="66" t="str">
        <f ca="1"/>
        <v>AA</v>
      </c>
      <c r="J370" s="69">
        <f ca="1"/>
        <v>101.673</v>
      </c>
      <c r="K370" s="70">
        <f ca="1"/>
        <v>4.2880000000000003</v>
      </c>
      <c r="L370" s="70" t="str">
        <f ca="1"/>
        <v>225(200)</v>
      </c>
      <c r="M370" s="83"/>
      <c r="N370" s="84" t="str">
        <f t="shared" si="84"/>
        <v/>
      </c>
      <c r="O370" s="20" t="str">
        <f t="shared" si="85"/>
        <v/>
      </c>
      <c r="P370" s="64" t="str">
        <f t="shared" si="86"/>
        <v/>
      </c>
      <c r="Q370" s="85" t="str">
        <f t="shared" ca="1" si="87"/>
        <v/>
      </c>
      <c r="R370" s="86" t="str">
        <f t="shared" si="88"/>
        <v/>
      </c>
      <c r="S370" s="86" t="str">
        <f t="shared" si="89"/>
        <v/>
      </c>
      <c r="T370" s="104" t="str">
        <f t="shared" si="75"/>
        <v/>
      </c>
      <c r="U370" s="19" t="str">
        <f>IF(AND(M370&lt;&gt;"",M370&lt;&gt;0), IF(E370 = "Muni", T370, IF(E370="Corp", T370*(1 -'Investor Input'!$C$4-'Investor Input'!$C$5), T370*(1 -'Investor Input'!$C$4))), T370)</f>
        <v/>
      </c>
      <c r="V370" s="84" t="str">
        <f t="shared" si="76"/>
        <v/>
      </c>
      <c r="W370" s="84" t="str">
        <f t="shared" si="77"/>
        <v/>
      </c>
      <c r="X370" s="46" t="str">
        <f t="shared" si="78"/>
        <v/>
      </c>
      <c r="Y370" s="60" t="str">
        <f t="shared" si="79"/>
        <v/>
      </c>
      <c r="Z370" s="60" t="str">
        <f t="shared" si="80"/>
        <v/>
      </c>
      <c r="AA370" s="64" t="str">
        <f t="shared" si="81"/>
        <v/>
      </c>
      <c r="AB370" s="64" t="str">
        <f>IF(AND(AA370&lt;&gt;"",AA370&lt;&gt;0), IF(E370="Muni", AA370, IF(E370 = "Corp", (1-'Investor Input'!$C$4-'Investor Input'!$C$5)*AA370, (1-'Investor Input'!$C$4)*AA370)), AA370)</f>
        <v/>
      </c>
      <c r="AC370" s="94" t="str">
        <f t="shared" si="82"/>
        <v/>
      </c>
      <c r="AD370" s="60" t="str">
        <f>IF(AND(M370&lt;&gt;"", M370&lt;&gt;0), N370/$N$505*MATCH(AC370,'Misc Lists'!$K$2:$K$25,0), "")</f>
        <v/>
      </c>
      <c r="AE370" s="90" t="str">
        <f t="shared" si="83"/>
        <v/>
      </c>
      <c r="AF370" s="99" t="str">
        <f>IF(AND(M370&lt;&gt;"", M370&lt;&gt;0), N370/$N$505*MATCH(AE370,'Misc Lists'!$L$2:$L$25,0), "")</f>
        <v/>
      </c>
    </row>
    <row r="371" spans="2:32" hidden="1" outlineLevel="1" x14ac:dyDescent="0.5">
      <c r="B371" s="65" t="str">
        <f ca="1"/>
        <v>30303M8L9</v>
      </c>
      <c r="C371" s="66" t="str">
        <f ca="1"/>
        <v>N/A</v>
      </c>
      <c r="D371" s="65" t="str">
        <f ca="1"/>
        <v>META PLATFORMS INC  NOTE CALL MAKE WHOLE4.60000% 05/15/2028</v>
      </c>
      <c r="E371" s="66" t="str">
        <f ca="1"/>
        <v>Corp</v>
      </c>
      <c r="F371" s="67">
        <f ca="1"/>
        <v>4.5999999999999996</v>
      </c>
      <c r="G371" s="68">
        <f ca="1"/>
        <v>46888</v>
      </c>
      <c r="H371" s="66" t="str">
        <f ca="1"/>
        <v>AA3</v>
      </c>
      <c r="I371" s="66" t="str">
        <f ca="1"/>
        <v>AA-</v>
      </c>
      <c r="J371" s="69">
        <f ca="1"/>
        <v>100.913</v>
      </c>
      <c r="K371" s="70">
        <f ca="1"/>
        <v>4.2869999999999999</v>
      </c>
      <c r="L371" s="70" t="str">
        <f ca="1"/>
        <v>500(2)</v>
      </c>
      <c r="M371" s="83"/>
      <c r="N371" s="84" t="str">
        <f t="shared" si="84"/>
        <v/>
      </c>
      <c r="O371" s="20" t="str">
        <f t="shared" si="85"/>
        <v/>
      </c>
      <c r="P371" s="64" t="str">
        <f t="shared" si="86"/>
        <v/>
      </c>
      <c r="Q371" s="85" t="str">
        <f t="shared" ca="1" si="87"/>
        <v/>
      </c>
      <c r="R371" s="86" t="str">
        <f t="shared" si="88"/>
        <v/>
      </c>
      <c r="S371" s="86" t="str">
        <f t="shared" si="89"/>
        <v/>
      </c>
      <c r="T371" s="104" t="str">
        <f t="shared" si="75"/>
        <v/>
      </c>
      <c r="U371" s="19" t="str">
        <f>IF(AND(M371&lt;&gt;"",M371&lt;&gt;0), IF(E371 = "Muni", T371, IF(E371="Corp", T371*(1 -'Investor Input'!$C$4-'Investor Input'!$C$5), T371*(1 -'Investor Input'!$C$4))), T371)</f>
        <v/>
      </c>
      <c r="V371" s="84" t="str">
        <f t="shared" si="76"/>
        <v/>
      </c>
      <c r="W371" s="84" t="str">
        <f t="shared" si="77"/>
        <v/>
      </c>
      <c r="X371" s="46" t="str">
        <f t="shared" si="78"/>
        <v/>
      </c>
      <c r="Y371" s="60" t="str">
        <f t="shared" si="79"/>
        <v/>
      </c>
      <c r="Z371" s="60" t="str">
        <f t="shared" si="80"/>
        <v/>
      </c>
      <c r="AA371" s="64" t="str">
        <f t="shared" si="81"/>
        <v/>
      </c>
      <c r="AB371" s="64" t="str">
        <f>IF(AND(AA371&lt;&gt;"",AA371&lt;&gt;0), IF(E371="Muni", AA371, IF(E371 = "Corp", (1-'Investor Input'!$C$4-'Investor Input'!$C$5)*AA371, (1-'Investor Input'!$C$4)*AA371)), AA371)</f>
        <v/>
      </c>
      <c r="AC371" s="94" t="str">
        <f t="shared" si="82"/>
        <v/>
      </c>
      <c r="AD371" s="60" t="str">
        <f>IF(AND(M371&lt;&gt;"", M371&lt;&gt;0), N371/$N$505*MATCH(AC371,'Misc Lists'!$K$2:$K$25,0), "")</f>
        <v/>
      </c>
      <c r="AE371" s="90" t="str">
        <f t="shared" si="83"/>
        <v/>
      </c>
      <c r="AF371" s="99" t="str">
        <f>IF(AND(M371&lt;&gt;"", M371&lt;&gt;0), N371/$N$505*MATCH(AE371,'Misc Lists'!$L$2:$L$25,0), "")</f>
        <v/>
      </c>
    </row>
    <row r="372" spans="2:32" hidden="1" outlineLevel="1" x14ac:dyDescent="0.5">
      <c r="B372" s="65" t="str">
        <f ca="1"/>
        <v>902674ZV5</v>
      </c>
      <c r="C372" s="66" t="str">
        <f ca="1"/>
        <v>N/A</v>
      </c>
      <c r="D372" s="65" t="str">
        <f ca="1"/>
        <v>UBS AG LONDON BRANCHNOTE                5.80000% 09/11/2025 ISIN #US902674ZV55</v>
      </c>
      <c r="E372" s="66" t="str">
        <f ca="1"/>
        <v>Corp</v>
      </c>
      <c r="F372" s="67">
        <f ca="1"/>
        <v>5.8</v>
      </c>
      <c r="G372" s="68">
        <f ca="1"/>
        <v>45911</v>
      </c>
      <c r="H372" s="66" t="str">
        <f ca="1"/>
        <v>AA2</v>
      </c>
      <c r="I372" s="66" t="str">
        <f ca="1"/>
        <v>A+</v>
      </c>
      <c r="J372" s="69">
        <f ca="1"/>
        <v>100.73699999999999</v>
      </c>
      <c r="K372" s="70">
        <f ca="1"/>
        <v>4.2850000000000001</v>
      </c>
      <c r="L372" s="70" t="str">
        <f ca="1"/>
        <v>675(200)</v>
      </c>
      <c r="M372" s="83"/>
      <c r="N372" s="84" t="str">
        <f t="shared" si="84"/>
        <v/>
      </c>
      <c r="O372" s="20" t="str">
        <f t="shared" si="85"/>
        <v/>
      </c>
      <c r="P372" s="64" t="str">
        <f t="shared" si="86"/>
        <v/>
      </c>
      <c r="Q372" s="85" t="str">
        <f t="shared" ca="1" si="87"/>
        <v/>
      </c>
      <c r="R372" s="86" t="str">
        <f t="shared" si="88"/>
        <v/>
      </c>
      <c r="S372" s="86" t="str">
        <f t="shared" si="89"/>
        <v/>
      </c>
      <c r="T372" s="104" t="str">
        <f t="shared" si="75"/>
        <v/>
      </c>
      <c r="U372" s="19" t="str">
        <f>IF(AND(M372&lt;&gt;"",M372&lt;&gt;0), IF(E372 = "Muni", T372, IF(E372="Corp", T372*(1 -'Investor Input'!$C$4-'Investor Input'!$C$5), T372*(1 -'Investor Input'!$C$4))), T372)</f>
        <v/>
      </c>
      <c r="V372" s="84" t="str">
        <f t="shared" si="76"/>
        <v/>
      </c>
      <c r="W372" s="84" t="str">
        <f t="shared" si="77"/>
        <v/>
      </c>
      <c r="X372" s="46" t="str">
        <f t="shared" si="78"/>
        <v/>
      </c>
      <c r="Y372" s="60" t="str">
        <f t="shared" si="79"/>
        <v/>
      </c>
      <c r="Z372" s="60" t="str">
        <f t="shared" si="80"/>
        <v/>
      </c>
      <c r="AA372" s="64" t="str">
        <f t="shared" si="81"/>
        <v/>
      </c>
      <c r="AB372" s="64" t="str">
        <f>IF(AND(AA372&lt;&gt;"",AA372&lt;&gt;0), IF(E372="Muni", AA372, IF(E372 = "Corp", (1-'Investor Input'!$C$4-'Investor Input'!$C$5)*AA372, (1-'Investor Input'!$C$4)*AA372)), AA372)</f>
        <v/>
      </c>
      <c r="AC372" s="94" t="str">
        <f t="shared" si="82"/>
        <v/>
      </c>
      <c r="AD372" s="60" t="str">
        <f>IF(AND(M372&lt;&gt;"", M372&lt;&gt;0), N372/$N$505*MATCH(AC372,'Misc Lists'!$K$2:$K$25,0), "")</f>
        <v/>
      </c>
      <c r="AE372" s="90" t="str">
        <f t="shared" si="83"/>
        <v/>
      </c>
      <c r="AF372" s="99" t="str">
        <f>IF(AND(M372&lt;&gt;"", M372&lt;&gt;0), N372/$N$505*MATCH(AE372,'Misc Lists'!$L$2:$L$25,0), "")</f>
        <v/>
      </c>
    </row>
    <row r="373" spans="2:32" hidden="1" outlineLevel="1" x14ac:dyDescent="0.5">
      <c r="B373" s="65" t="str">
        <f ca="1"/>
        <v>961214DK6</v>
      </c>
      <c r="C373" s="66" t="str">
        <f ca="1"/>
        <v>N/A</v>
      </c>
      <c r="D373" s="65" t="str">
        <f ca="1"/>
        <v>WESTPAC BANKING     CORPORATION BOND    3.35000% 03/08/2027</v>
      </c>
      <c r="E373" s="66" t="str">
        <f ca="1"/>
        <v>Corp</v>
      </c>
      <c r="F373" s="67">
        <f ca="1"/>
        <v>3.35</v>
      </c>
      <c r="G373" s="68">
        <f ca="1"/>
        <v>46454</v>
      </c>
      <c r="H373" s="66" t="str">
        <f ca="1"/>
        <v>AA2</v>
      </c>
      <c r="I373" s="66" t="str">
        <f ca="1"/>
        <v>AA-</v>
      </c>
      <c r="J373" s="69">
        <f ca="1"/>
        <v>98.236000000000004</v>
      </c>
      <c r="K373" s="70">
        <f ca="1"/>
        <v>4.2850000000000001</v>
      </c>
      <c r="L373" s="70" t="str">
        <f ca="1"/>
        <v>100(2)</v>
      </c>
      <c r="M373" s="83"/>
      <c r="N373" s="84" t="str">
        <f t="shared" si="84"/>
        <v/>
      </c>
      <c r="O373" s="20" t="str">
        <f t="shared" si="85"/>
        <v/>
      </c>
      <c r="P373" s="64" t="str">
        <f t="shared" si="86"/>
        <v/>
      </c>
      <c r="Q373" s="85" t="str">
        <f t="shared" ca="1" si="87"/>
        <v/>
      </c>
      <c r="R373" s="86" t="str">
        <f t="shared" si="88"/>
        <v/>
      </c>
      <c r="S373" s="86" t="str">
        <f t="shared" si="89"/>
        <v/>
      </c>
      <c r="T373" s="104" t="str">
        <f t="shared" si="75"/>
        <v/>
      </c>
      <c r="U373" s="19" t="str">
        <f>IF(AND(M373&lt;&gt;"",M373&lt;&gt;0), IF(E373 = "Muni", T373, IF(E373="Corp", T373*(1 -'Investor Input'!$C$4-'Investor Input'!$C$5), T373*(1 -'Investor Input'!$C$4))), T373)</f>
        <v/>
      </c>
      <c r="V373" s="84" t="str">
        <f t="shared" si="76"/>
        <v/>
      </c>
      <c r="W373" s="84" t="str">
        <f t="shared" si="77"/>
        <v/>
      </c>
      <c r="X373" s="46" t="str">
        <f t="shared" si="78"/>
        <v/>
      </c>
      <c r="Y373" s="60" t="str">
        <f t="shared" si="79"/>
        <v/>
      </c>
      <c r="Z373" s="60" t="str">
        <f t="shared" si="80"/>
        <v/>
      </c>
      <c r="AA373" s="64" t="str">
        <f t="shared" si="81"/>
        <v/>
      </c>
      <c r="AB373" s="64" t="str">
        <f>IF(AND(AA373&lt;&gt;"",AA373&lt;&gt;0), IF(E373="Muni", AA373, IF(E373 = "Corp", (1-'Investor Input'!$C$4-'Investor Input'!$C$5)*AA373, (1-'Investor Input'!$C$4)*AA373)), AA373)</f>
        <v/>
      </c>
      <c r="AC373" s="94" t="str">
        <f t="shared" si="82"/>
        <v/>
      </c>
      <c r="AD373" s="60" t="str">
        <f>IF(AND(M373&lt;&gt;"", M373&lt;&gt;0), N373/$N$505*MATCH(AC373,'Misc Lists'!$K$2:$K$25,0), "")</f>
        <v/>
      </c>
      <c r="AE373" s="90" t="str">
        <f t="shared" si="83"/>
        <v/>
      </c>
      <c r="AF373" s="99" t="str">
        <f>IF(AND(M373&lt;&gt;"", M373&lt;&gt;0), N373/$N$505*MATCH(AE373,'Misc Lists'!$L$2:$L$25,0), "")</f>
        <v/>
      </c>
    </row>
    <row r="374" spans="2:32" hidden="1" outlineLevel="1" x14ac:dyDescent="0.5">
      <c r="B374" s="65" t="str">
        <f ca="1"/>
        <v>931142EW9</v>
      </c>
      <c r="C374" s="66" t="str">
        <f ca="1"/>
        <v>N/A</v>
      </c>
      <c r="D374" s="65" t="str">
        <f ca="1"/>
        <v>WALMART INC         NOTE CALL MAKE WHOLE3.90000% 09/09/2025</v>
      </c>
      <c r="E374" s="66" t="str">
        <f ca="1"/>
        <v>Corp</v>
      </c>
      <c r="F374" s="67">
        <f ca="1"/>
        <v>3.9</v>
      </c>
      <c r="G374" s="68">
        <f ca="1"/>
        <v>45909</v>
      </c>
      <c r="H374" s="66" t="str">
        <f ca="1"/>
        <v>AA2</v>
      </c>
      <c r="I374" s="66" t="str">
        <f ca="1"/>
        <v>AA</v>
      </c>
      <c r="J374" s="69">
        <f ca="1"/>
        <v>99.814999999999998</v>
      </c>
      <c r="K374" s="70">
        <f ca="1"/>
        <v>4.2830000000000004</v>
      </c>
      <c r="L374" s="70" t="str">
        <f ca="1"/>
        <v>500(10)</v>
      </c>
      <c r="M374" s="83"/>
      <c r="N374" s="84" t="str">
        <f t="shared" si="84"/>
        <v/>
      </c>
      <c r="O374" s="20" t="str">
        <f t="shared" si="85"/>
        <v/>
      </c>
      <c r="P374" s="64" t="str">
        <f t="shared" si="86"/>
        <v/>
      </c>
      <c r="Q374" s="85" t="str">
        <f t="shared" ca="1" si="87"/>
        <v/>
      </c>
      <c r="R374" s="86" t="str">
        <f t="shared" si="88"/>
        <v/>
      </c>
      <c r="S374" s="86" t="str">
        <f t="shared" si="89"/>
        <v/>
      </c>
      <c r="T374" s="104" t="str">
        <f t="shared" si="75"/>
        <v/>
      </c>
      <c r="U374" s="19" t="str">
        <f>IF(AND(M374&lt;&gt;"",M374&lt;&gt;0), IF(E374 = "Muni", T374, IF(E374="Corp", T374*(1 -'Investor Input'!$C$4-'Investor Input'!$C$5), T374*(1 -'Investor Input'!$C$4))), T374)</f>
        <v/>
      </c>
      <c r="V374" s="84" t="str">
        <f t="shared" si="76"/>
        <v/>
      </c>
      <c r="W374" s="84" t="str">
        <f t="shared" si="77"/>
        <v/>
      </c>
      <c r="X374" s="46" t="str">
        <f t="shared" si="78"/>
        <v/>
      </c>
      <c r="Y374" s="60" t="str">
        <f t="shared" si="79"/>
        <v/>
      </c>
      <c r="Z374" s="60" t="str">
        <f t="shared" si="80"/>
        <v/>
      </c>
      <c r="AA374" s="64" t="str">
        <f t="shared" si="81"/>
        <v/>
      </c>
      <c r="AB374" s="64" t="str">
        <f>IF(AND(AA374&lt;&gt;"",AA374&lt;&gt;0), IF(E374="Muni", AA374, IF(E374 = "Corp", (1-'Investor Input'!$C$4-'Investor Input'!$C$5)*AA374, (1-'Investor Input'!$C$4)*AA374)), AA374)</f>
        <v/>
      </c>
      <c r="AC374" s="94" t="str">
        <f t="shared" si="82"/>
        <v/>
      </c>
      <c r="AD374" s="60" t="str">
        <f>IF(AND(M374&lt;&gt;"", M374&lt;&gt;0), N374/$N$505*MATCH(AC374,'Misc Lists'!$K$2:$K$25,0), "")</f>
        <v/>
      </c>
      <c r="AE374" s="90" t="str">
        <f t="shared" si="83"/>
        <v/>
      </c>
      <c r="AF374" s="99" t="str">
        <f>IF(AND(M374&lt;&gt;"", M374&lt;&gt;0), N374/$N$505*MATCH(AE374,'Misc Lists'!$L$2:$L$25,0), "")</f>
        <v/>
      </c>
    </row>
    <row r="375" spans="2:32" hidden="1" outlineLevel="1" x14ac:dyDescent="0.5">
      <c r="B375" s="65" t="str">
        <f ca="1"/>
        <v>742718GK9</v>
      </c>
      <c r="C375" s="66" t="str">
        <f ca="1"/>
        <v>N/A</v>
      </c>
      <c r="D375" s="65" t="str">
        <f ca="1"/>
        <v>PROCTER &amp;GAMBLE CO  NOTE CALL MAKE WHOLE4.15000% 10/24/2029</v>
      </c>
      <c r="E375" s="66" t="str">
        <f ca="1"/>
        <v>Corp</v>
      </c>
      <c r="F375" s="67">
        <f ca="1"/>
        <v>4.1500000000000004</v>
      </c>
      <c r="G375" s="68">
        <f ca="1"/>
        <v>47415</v>
      </c>
      <c r="H375" s="66" t="str">
        <f ca="1"/>
        <v>AA3</v>
      </c>
      <c r="I375" s="66" t="str">
        <f ca="1"/>
        <v>AA-</v>
      </c>
      <c r="J375" s="69">
        <f ca="1"/>
        <v>99.445999999999998</v>
      </c>
      <c r="K375" s="70">
        <f ca="1"/>
        <v>4.2830000000000004</v>
      </c>
      <c r="L375" s="70" t="str">
        <f ca="1"/>
        <v>200(2)</v>
      </c>
      <c r="M375" s="83"/>
      <c r="N375" s="84" t="str">
        <f t="shared" si="84"/>
        <v/>
      </c>
      <c r="O375" s="20" t="str">
        <f t="shared" si="85"/>
        <v/>
      </c>
      <c r="P375" s="64" t="str">
        <f t="shared" si="86"/>
        <v/>
      </c>
      <c r="Q375" s="85" t="str">
        <f t="shared" ca="1" si="87"/>
        <v/>
      </c>
      <c r="R375" s="86" t="str">
        <f t="shared" si="88"/>
        <v/>
      </c>
      <c r="S375" s="86" t="str">
        <f t="shared" si="89"/>
        <v/>
      </c>
      <c r="T375" s="104" t="str">
        <f t="shared" si="75"/>
        <v/>
      </c>
      <c r="U375" s="19" t="str">
        <f>IF(AND(M375&lt;&gt;"",M375&lt;&gt;0), IF(E375 = "Muni", T375, IF(E375="Corp", T375*(1 -'Investor Input'!$C$4-'Investor Input'!$C$5), T375*(1 -'Investor Input'!$C$4))), T375)</f>
        <v/>
      </c>
      <c r="V375" s="84" t="str">
        <f t="shared" si="76"/>
        <v/>
      </c>
      <c r="W375" s="84" t="str">
        <f t="shared" si="77"/>
        <v/>
      </c>
      <c r="X375" s="46" t="str">
        <f t="shared" si="78"/>
        <v/>
      </c>
      <c r="Y375" s="60" t="str">
        <f t="shared" si="79"/>
        <v/>
      </c>
      <c r="Z375" s="60" t="str">
        <f t="shared" si="80"/>
        <v/>
      </c>
      <c r="AA375" s="64" t="str">
        <f t="shared" si="81"/>
        <v/>
      </c>
      <c r="AB375" s="64" t="str">
        <f>IF(AND(AA375&lt;&gt;"",AA375&lt;&gt;0), IF(E375="Muni", AA375, IF(E375 = "Corp", (1-'Investor Input'!$C$4-'Investor Input'!$C$5)*AA375, (1-'Investor Input'!$C$4)*AA375)), AA375)</f>
        <v/>
      </c>
      <c r="AC375" s="94" t="str">
        <f t="shared" si="82"/>
        <v/>
      </c>
      <c r="AD375" s="60" t="str">
        <f>IF(AND(M375&lt;&gt;"", M375&lt;&gt;0), N375/$N$505*MATCH(AC375,'Misc Lists'!$K$2:$K$25,0), "")</f>
        <v/>
      </c>
      <c r="AE375" s="90" t="str">
        <f t="shared" si="83"/>
        <v/>
      </c>
      <c r="AF375" s="99" t="str">
        <f>IF(AND(M375&lt;&gt;"", M375&lt;&gt;0), N375/$N$505*MATCH(AE375,'Misc Lists'!$L$2:$L$25,0), "")</f>
        <v/>
      </c>
    </row>
    <row r="376" spans="2:32" hidden="1" outlineLevel="1" x14ac:dyDescent="0.5">
      <c r="B376" s="65" t="str">
        <f ca="1"/>
        <v>882508BC7</v>
      </c>
      <c r="C376" s="66" t="str">
        <f ca="1"/>
        <v>N/A</v>
      </c>
      <c r="D376" s="65" t="str">
        <f ca="1"/>
        <v>TEXAS INSTRS INC    NOTE CALL MAKE WHOLE2.90000% 11/03/2027</v>
      </c>
      <c r="E376" s="66" t="str">
        <f ca="1"/>
        <v>Corp</v>
      </c>
      <c r="F376" s="67">
        <f ca="1"/>
        <v>2.9</v>
      </c>
      <c r="G376" s="68">
        <f ca="1"/>
        <v>46694</v>
      </c>
      <c r="H376" s="66" t="str">
        <f ca="1"/>
        <v>AA3</v>
      </c>
      <c r="I376" s="66" t="str">
        <f ca="1"/>
        <v>A+</v>
      </c>
      <c r="J376" s="69">
        <f ca="1"/>
        <v>96.578999999999994</v>
      </c>
      <c r="K376" s="70">
        <f ca="1"/>
        <v>4.282</v>
      </c>
      <c r="L376" s="70" t="str">
        <f ca="1"/>
        <v>500(10)</v>
      </c>
      <c r="M376" s="83"/>
      <c r="N376" s="84" t="str">
        <f t="shared" si="84"/>
        <v/>
      </c>
      <c r="O376" s="20" t="str">
        <f t="shared" si="85"/>
        <v/>
      </c>
      <c r="P376" s="64" t="str">
        <f t="shared" si="86"/>
        <v/>
      </c>
      <c r="Q376" s="85" t="str">
        <f t="shared" ca="1" si="87"/>
        <v/>
      </c>
      <c r="R376" s="86" t="str">
        <f t="shared" si="88"/>
        <v/>
      </c>
      <c r="S376" s="86" t="str">
        <f t="shared" si="89"/>
        <v/>
      </c>
      <c r="T376" s="104" t="str">
        <f t="shared" si="75"/>
        <v/>
      </c>
      <c r="U376" s="19" t="str">
        <f>IF(AND(M376&lt;&gt;"",M376&lt;&gt;0), IF(E376 = "Muni", T376, IF(E376="Corp", T376*(1 -'Investor Input'!$C$4-'Investor Input'!$C$5), T376*(1 -'Investor Input'!$C$4))), T376)</f>
        <v/>
      </c>
      <c r="V376" s="84" t="str">
        <f t="shared" si="76"/>
        <v/>
      </c>
      <c r="W376" s="84" t="str">
        <f t="shared" si="77"/>
        <v/>
      </c>
      <c r="X376" s="46" t="str">
        <f t="shared" si="78"/>
        <v/>
      </c>
      <c r="Y376" s="60" t="str">
        <f t="shared" si="79"/>
        <v/>
      </c>
      <c r="Z376" s="60" t="str">
        <f t="shared" si="80"/>
        <v/>
      </c>
      <c r="AA376" s="64" t="str">
        <f t="shared" si="81"/>
        <v/>
      </c>
      <c r="AB376" s="64" t="str">
        <f>IF(AND(AA376&lt;&gt;"",AA376&lt;&gt;0), IF(E376="Muni", AA376, IF(E376 = "Corp", (1-'Investor Input'!$C$4-'Investor Input'!$C$5)*AA376, (1-'Investor Input'!$C$4)*AA376)), AA376)</f>
        <v/>
      </c>
      <c r="AC376" s="94" t="str">
        <f t="shared" si="82"/>
        <v/>
      </c>
      <c r="AD376" s="60" t="str">
        <f>IF(AND(M376&lt;&gt;"", M376&lt;&gt;0), N376/$N$505*MATCH(AC376,'Misc Lists'!$K$2:$K$25,0), "")</f>
        <v/>
      </c>
      <c r="AE376" s="90" t="str">
        <f t="shared" si="83"/>
        <v/>
      </c>
      <c r="AF376" s="99" t="str">
        <f>IF(AND(M376&lt;&gt;"", M376&lt;&gt;0), N376/$N$505*MATCH(AE376,'Misc Lists'!$L$2:$L$25,0), "")</f>
        <v/>
      </c>
    </row>
    <row r="377" spans="2:32" hidden="1" outlineLevel="1" x14ac:dyDescent="0.5">
      <c r="B377" s="65" t="str">
        <f ca="1"/>
        <v>06406RAV9</v>
      </c>
      <c r="C377" s="66" t="str">
        <f ca="1"/>
        <v>N/A</v>
      </c>
      <c r="D377" s="65" t="str">
        <f ca="1"/>
        <v>BANK NEW YORK MELLONCORP SER J MTN      1.05000% 10/15/2026 CALL MAKE WHOLE</v>
      </c>
      <c r="E377" s="66" t="str">
        <f ca="1"/>
        <v>Corp</v>
      </c>
      <c r="F377" s="67">
        <f ca="1"/>
        <v>1.05</v>
      </c>
      <c r="G377" s="68">
        <f ca="1"/>
        <v>46310</v>
      </c>
      <c r="H377" s="66" t="str">
        <f ca="1"/>
        <v>AA3</v>
      </c>
      <c r="I377" s="66" t="str">
        <f ca="1"/>
        <v>A</v>
      </c>
      <c r="J377" s="69">
        <f ca="1"/>
        <v>95.078000000000003</v>
      </c>
      <c r="K377" s="70">
        <f ca="1"/>
        <v>4.2809999999999997</v>
      </c>
      <c r="L377" s="70" t="str">
        <f ca="1"/>
        <v>500(1)</v>
      </c>
      <c r="M377" s="83"/>
      <c r="N377" s="84" t="str">
        <f t="shared" si="84"/>
        <v/>
      </c>
      <c r="O377" s="20" t="str">
        <f t="shared" si="85"/>
        <v/>
      </c>
      <c r="P377" s="64" t="str">
        <f t="shared" si="86"/>
        <v/>
      </c>
      <c r="Q377" s="85" t="str">
        <f t="shared" ca="1" si="87"/>
        <v/>
      </c>
      <c r="R377" s="86" t="str">
        <f t="shared" si="88"/>
        <v/>
      </c>
      <c r="S377" s="86" t="str">
        <f t="shared" si="89"/>
        <v/>
      </c>
      <c r="T377" s="104" t="str">
        <f t="shared" si="75"/>
        <v/>
      </c>
      <c r="U377" s="19" t="str">
        <f>IF(AND(M377&lt;&gt;"",M377&lt;&gt;0), IF(E377 = "Muni", T377, IF(E377="Corp", T377*(1 -'Investor Input'!$C$4-'Investor Input'!$C$5), T377*(1 -'Investor Input'!$C$4))), T377)</f>
        <v/>
      </c>
      <c r="V377" s="84" t="str">
        <f t="shared" si="76"/>
        <v/>
      </c>
      <c r="W377" s="84" t="str">
        <f t="shared" si="77"/>
        <v/>
      </c>
      <c r="X377" s="46" t="str">
        <f t="shared" si="78"/>
        <v/>
      </c>
      <c r="Y377" s="60" t="str">
        <f t="shared" si="79"/>
        <v/>
      </c>
      <c r="Z377" s="60" t="str">
        <f t="shared" si="80"/>
        <v/>
      </c>
      <c r="AA377" s="64" t="str">
        <f t="shared" si="81"/>
        <v/>
      </c>
      <c r="AB377" s="64" t="str">
        <f>IF(AND(AA377&lt;&gt;"",AA377&lt;&gt;0), IF(E377="Muni", AA377, IF(E377 = "Corp", (1-'Investor Input'!$C$4-'Investor Input'!$C$5)*AA377, (1-'Investor Input'!$C$4)*AA377)), AA377)</f>
        <v/>
      </c>
      <c r="AC377" s="94" t="str">
        <f t="shared" si="82"/>
        <v/>
      </c>
      <c r="AD377" s="60" t="str">
        <f>IF(AND(M377&lt;&gt;"", M377&lt;&gt;0), N377/$N$505*MATCH(AC377,'Misc Lists'!$K$2:$K$25,0), "")</f>
        <v/>
      </c>
      <c r="AE377" s="90" t="str">
        <f t="shared" si="83"/>
        <v/>
      </c>
      <c r="AF377" s="99" t="str">
        <f>IF(AND(M377&lt;&gt;"", M377&lt;&gt;0), N377/$N$505*MATCH(AE377,'Misc Lists'!$L$2:$L$25,0), "")</f>
        <v/>
      </c>
    </row>
    <row r="378" spans="2:32" hidden="1" outlineLevel="1" x14ac:dyDescent="0.5">
      <c r="B378" s="65" t="str">
        <f ca="1"/>
        <v>037833EN6</v>
      </c>
      <c r="C378" s="66" t="str">
        <f ca="1"/>
        <v>N/A</v>
      </c>
      <c r="D378" s="65" t="str">
        <f ca="1"/>
        <v>APPLE INC           NOTE CALL MAKE WHOLE3.25000% 08/08/2029</v>
      </c>
      <c r="E378" s="66" t="str">
        <f ca="1"/>
        <v>Corp</v>
      </c>
      <c r="F378" s="67">
        <f ca="1"/>
        <v>3.25</v>
      </c>
      <c r="G378" s="68">
        <f ca="1"/>
        <v>47338</v>
      </c>
      <c r="H378" s="66" t="str">
        <f ca="1"/>
        <v>AAA</v>
      </c>
      <c r="I378" s="66" t="str">
        <f ca="1"/>
        <v>AA+</v>
      </c>
      <c r="J378" s="69">
        <f ca="1"/>
        <v>95.908000000000001</v>
      </c>
      <c r="K378" s="70">
        <f ca="1"/>
        <v>4.2779999999999996</v>
      </c>
      <c r="L378" s="70" t="str">
        <f ca="1"/>
        <v>500(2)</v>
      </c>
      <c r="M378" s="83"/>
      <c r="N378" s="84" t="str">
        <f t="shared" si="84"/>
        <v/>
      </c>
      <c r="O378" s="20" t="str">
        <f t="shared" si="85"/>
        <v/>
      </c>
      <c r="P378" s="64" t="str">
        <f t="shared" si="86"/>
        <v/>
      </c>
      <c r="Q378" s="85" t="str">
        <f t="shared" ca="1" si="87"/>
        <v/>
      </c>
      <c r="R378" s="86" t="str">
        <f t="shared" si="88"/>
        <v/>
      </c>
      <c r="S378" s="86" t="str">
        <f t="shared" si="89"/>
        <v/>
      </c>
      <c r="T378" s="104" t="str">
        <f t="shared" si="75"/>
        <v/>
      </c>
      <c r="U378" s="19" t="str">
        <f>IF(AND(M378&lt;&gt;"",M378&lt;&gt;0), IF(E378 = "Muni", T378, IF(E378="Corp", T378*(1 -'Investor Input'!$C$4-'Investor Input'!$C$5), T378*(1 -'Investor Input'!$C$4))), T378)</f>
        <v/>
      </c>
      <c r="V378" s="84" t="str">
        <f t="shared" si="76"/>
        <v/>
      </c>
      <c r="W378" s="84" t="str">
        <f t="shared" si="77"/>
        <v/>
      </c>
      <c r="X378" s="46" t="str">
        <f t="shared" si="78"/>
        <v/>
      </c>
      <c r="Y378" s="60" t="str">
        <f t="shared" si="79"/>
        <v/>
      </c>
      <c r="Z378" s="60" t="str">
        <f t="shared" si="80"/>
        <v/>
      </c>
      <c r="AA378" s="64" t="str">
        <f t="shared" si="81"/>
        <v/>
      </c>
      <c r="AB378" s="64" t="str">
        <f>IF(AND(AA378&lt;&gt;"",AA378&lt;&gt;0), IF(E378="Muni", AA378, IF(E378 = "Corp", (1-'Investor Input'!$C$4-'Investor Input'!$C$5)*AA378, (1-'Investor Input'!$C$4)*AA378)), AA378)</f>
        <v/>
      </c>
      <c r="AC378" s="94" t="str">
        <f t="shared" si="82"/>
        <v/>
      </c>
      <c r="AD378" s="60" t="str">
        <f>IF(AND(M378&lt;&gt;"", M378&lt;&gt;0), N378/$N$505*MATCH(AC378,'Misc Lists'!$K$2:$K$25,0), "")</f>
        <v/>
      </c>
      <c r="AE378" s="90" t="str">
        <f t="shared" si="83"/>
        <v/>
      </c>
      <c r="AF378" s="99" t="str">
        <f>IF(AND(M378&lt;&gt;"", M378&lt;&gt;0), N378/$N$505*MATCH(AE378,'Misc Lists'!$L$2:$L$25,0), "")</f>
        <v/>
      </c>
    </row>
    <row r="379" spans="2:32" hidden="1" outlineLevel="1" x14ac:dyDescent="0.5">
      <c r="B379" s="65" t="str">
        <f ca="1"/>
        <v>302154DR7</v>
      </c>
      <c r="C379" s="66" t="str">
        <f ca="1"/>
        <v>N/A</v>
      </c>
      <c r="D379" s="65" t="str">
        <f ca="1"/>
        <v>EXPORT-IMPORT BANK  OF KOREA NOTE       4.25000% 09/15/2027 ISIN #US302154DR75  SEDOL #BMTPQ89</v>
      </c>
      <c r="E379" s="66" t="str">
        <f ca="1"/>
        <v>Corp</v>
      </c>
      <c r="F379" s="67">
        <f ca="1"/>
        <v>4.25</v>
      </c>
      <c r="G379" s="68">
        <f ca="1"/>
        <v>46645</v>
      </c>
      <c r="H379" s="66" t="str">
        <f ca="1"/>
        <v>AA2</v>
      </c>
      <c r="I379" s="66" t="str">
        <f ca="1"/>
        <v>AA</v>
      </c>
      <c r="J379" s="69">
        <f ca="1"/>
        <v>99.938999999999993</v>
      </c>
      <c r="K379" s="70">
        <f ca="1"/>
        <v>4.2759999999999998</v>
      </c>
      <c r="L379" s="70" t="str">
        <f ca="1"/>
        <v>200(200)</v>
      </c>
      <c r="M379" s="83"/>
      <c r="N379" s="84" t="str">
        <f t="shared" si="84"/>
        <v/>
      </c>
      <c r="O379" s="20" t="str">
        <f t="shared" si="85"/>
        <v/>
      </c>
      <c r="P379" s="64" t="str">
        <f t="shared" si="86"/>
        <v/>
      </c>
      <c r="Q379" s="85" t="str">
        <f t="shared" ca="1" si="87"/>
        <v/>
      </c>
      <c r="R379" s="86" t="str">
        <f t="shared" si="88"/>
        <v/>
      </c>
      <c r="S379" s="86" t="str">
        <f t="shared" si="89"/>
        <v/>
      </c>
      <c r="T379" s="104" t="str">
        <f t="shared" si="75"/>
        <v/>
      </c>
      <c r="U379" s="19" t="str">
        <f>IF(AND(M379&lt;&gt;"",M379&lt;&gt;0), IF(E379 = "Muni", T379, IF(E379="Corp", T379*(1 -'Investor Input'!$C$4-'Investor Input'!$C$5), T379*(1 -'Investor Input'!$C$4))), T379)</f>
        <v/>
      </c>
      <c r="V379" s="84" t="str">
        <f t="shared" si="76"/>
        <v/>
      </c>
      <c r="W379" s="84" t="str">
        <f t="shared" si="77"/>
        <v/>
      </c>
      <c r="X379" s="46" t="str">
        <f t="shared" si="78"/>
        <v/>
      </c>
      <c r="Y379" s="60" t="str">
        <f t="shared" si="79"/>
        <v/>
      </c>
      <c r="Z379" s="60" t="str">
        <f t="shared" si="80"/>
        <v/>
      </c>
      <c r="AA379" s="64" t="str">
        <f t="shared" si="81"/>
        <v/>
      </c>
      <c r="AB379" s="64" t="str">
        <f>IF(AND(AA379&lt;&gt;"",AA379&lt;&gt;0), IF(E379="Muni", AA379, IF(E379 = "Corp", (1-'Investor Input'!$C$4-'Investor Input'!$C$5)*AA379, (1-'Investor Input'!$C$4)*AA379)), AA379)</f>
        <v/>
      </c>
      <c r="AC379" s="94" t="str">
        <f t="shared" si="82"/>
        <v/>
      </c>
      <c r="AD379" s="60" t="str">
        <f>IF(AND(M379&lt;&gt;"", M379&lt;&gt;0), N379/$N$505*MATCH(AC379,'Misc Lists'!$K$2:$K$25,0), "")</f>
        <v/>
      </c>
      <c r="AE379" s="90" t="str">
        <f t="shared" si="83"/>
        <v/>
      </c>
      <c r="AF379" s="99" t="str">
        <f>IF(AND(M379&lt;&gt;"", M379&lt;&gt;0), N379/$N$505*MATCH(AE379,'Misc Lists'!$L$2:$L$25,0), "")</f>
        <v/>
      </c>
    </row>
    <row r="380" spans="2:32" hidden="1" outlineLevel="1" x14ac:dyDescent="0.5">
      <c r="B380" s="65" t="str">
        <f ca="1"/>
        <v>882508BV5</v>
      </c>
      <c r="C380" s="66" t="str">
        <f ca="1"/>
        <v>N/A</v>
      </c>
      <c r="D380" s="65" t="str">
        <f ca="1"/>
        <v>TEXAS INSTRS INC    NOTE CALL MAKE WHOLE4.60000% 02/15/2028</v>
      </c>
      <c r="E380" s="66" t="str">
        <f ca="1"/>
        <v>Corp</v>
      </c>
      <c r="F380" s="67">
        <f ca="1"/>
        <v>4.5999999999999996</v>
      </c>
      <c r="G380" s="68">
        <f ca="1"/>
        <v>46798</v>
      </c>
      <c r="H380" s="66" t="str">
        <f ca="1"/>
        <v>AA3</v>
      </c>
      <c r="I380" s="66" t="str">
        <f ca="1"/>
        <v>A+</v>
      </c>
      <c r="J380" s="69">
        <f ca="1"/>
        <v>100.883</v>
      </c>
      <c r="K380" s="70">
        <f ca="1"/>
        <v>4.2750000000000004</v>
      </c>
      <c r="L380" s="70" t="str">
        <f ca="1"/>
        <v>500(10)</v>
      </c>
      <c r="M380" s="83"/>
      <c r="N380" s="84" t="str">
        <f t="shared" si="84"/>
        <v/>
      </c>
      <c r="O380" s="20" t="str">
        <f t="shared" si="85"/>
        <v/>
      </c>
      <c r="P380" s="64" t="str">
        <f t="shared" si="86"/>
        <v/>
      </c>
      <c r="Q380" s="85" t="str">
        <f t="shared" ca="1" si="87"/>
        <v/>
      </c>
      <c r="R380" s="86" t="str">
        <f t="shared" si="88"/>
        <v/>
      </c>
      <c r="S380" s="86" t="str">
        <f t="shared" si="89"/>
        <v/>
      </c>
      <c r="T380" s="104" t="str">
        <f t="shared" si="75"/>
        <v/>
      </c>
      <c r="U380" s="19" t="str">
        <f>IF(AND(M380&lt;&gt;"",M380&lt;&gt;0), IF(E380 = "Muni", T380, IF(E380="Corp", T380*(1 -'Investor Input'!$C$4-'Investor Input'!$C$5), T380*(1 -'Investor Input'!$C$4))), T380)</f>
        <v/>
      </c>
      <c r="V380" s="84" t="str">
        <f t="shared" si="76"/>
        <v/>
      </c>
      <c r="W380" s="84" t="str">
        <f t="shared" si="77"/>
        <v/>
      </c>
      <c r="X380" s="46" t="str">
        <f t="shared" si="78"/>
        <v/>
      </c>
      <c r="Y380" s="60" t="str">
        <f t="shared" si="79"/>
        <v/>
      </c>
      <c r="Z380" s="60" t="str">
        <f t="shared" si="80"/>
        <v/>
      </c>
      <c r="AA380" s="64" t="str">
        <f t="shared" si="81"/>
        <v/>
      </c>
      <c r="AB380" s="64" t="str">
        <f>IF(AND(AA380&lt;&gt;"",AA380&lt;&gt;0), IF(E380="Muni", AA380, IF(E380 = "Corp", (1-'Investor Input'!$C$4-'Investor Input'!$C$5)*AA380, (1-'Investor Input'!$C$4)*AA380)), AA380)</f>
        <v/>
      </c>
      <c r="AC380" s="94" t="str">
        <f t="shared" si="82"/>
        <v/>
      </c>
      <c r="AD380" s="60" t="str">
        <f>IF(AND(M380&lt;&gt;"", M380&lt;&gt;0), N380/$N$505*MATCH(AC380,'Misc Lists'!$K$2:$K$25,0), "")</f>
        <v/>
      </c>
      <c r="AE380" s="90" t="str">
        <f t="shared" si="83"/>
        <v/>
      </c>
      <c r="AF380" s="99" t="str">
        <f>IF(AND(M380&lt;&gt;"", M380&lt;&gt;0), N380/$N$505*MATCH(AE380,'Misc Lists'!$L$2:$L$25,0), "")</f>
        <v/>
      </c>
    </row>
    <row r="381" spans="2:32" hidden="1" outlineLevel="1" x14ac:dyDescent="0.5">
      <c r="B381" s="65" t="str">
        <f ca="1"/>
        <v>30231GAT9</v>
      </c>
      <c r="C381" s="66" t="str">
        <f ca="1"/>
        <v>N/A</v>
      </c>
      <c r="D381" s="65" t="str">
        <f ca="1"/>
        <v>EXXON MOBIL CORP    NOTE CALL MAKE WHOLE3.04300% 03/01/2026</v>
      </c>
      <c r="E381" s="66" t="str">
        <f ca="1"/>
        <v>Corp</v>
      </c>
      <c r="F381" s="67">
        <f ca="1"/>
        <v>3.0430000000000001</v>
      </c>
      <c r="G381" s="68">
        <f ca="1"/>
        <v>46082</v>
      </c>
      <c r="H381" s="66" t="str">
        <f ca="1"/>
        <v>AA2</v>
      </c>
      <c r="I381" s="66" t="str">
        <f ca="1"/>
        <v>AA-</v>
      </c>
      <c r="J381" s="69">
        <f ca="1"/>
        <v>98.841999999999999</v>
      </c>
      <c r="K381" s="70">
        <f ca="1"/>
        <v>4.274</v>
      </c>
      <c r="L381" s="70" t="str">
        <f ca="1"/>
        <v>7(2)</v>
      </c>
      <c r="M381" s="83"/>
      <c r="N381" s="84" t="str">
        <f t="shared" si="84"/>
        <v/>
      </c>
      <c r="O381" s="20" t="str">
        <f t="shared" si="85"/>
        <v/>
      </c>
      <c r="P381" s="64" t="str">
        <f t="shared" si="86"/>
        <v/>
      </c>
      <c r="Q381" s="85" t="str">
        <f t="shared" ca="1" si="87"/>
        <v/>
      </c>
      <c r="R381" s="86" t="str">
        <f t="shared" si="88"/>
        <v/>
      </c>
      <c r="S381" s="86" t="str">
        <f t="shared" si="89"/>
        <v/>
      </c>
      <c r="T381" s="104" t="str">
        <f t="shared" si="75"/>
        <v/>
      </c>
      <c r="U381" s="19" t="str">
        <f>IF(AND(M381&lt;&gt;"",M381&lt;&gt;0), IF(E381 = "Muni", T381, IF(E381="Corp", T381*(1 -'Investor Input'!$C$4-'Investor Input'!$C$5), T381*(1 -'Investor Input'!$C$4))), T381)</f>
        <v/>
      </c>
      <c r="V381" s="84" t="str">
        <f t="shared" si="76"/>
        <v/>
      </c>
      <c r="W381" s="84" t="str">
        <f t="shared" si="77"/>
        <v/>
      </c>
      <c r="X381" s="46" t="str">
        <f t="shared" si="78"/>
        <v/>
      </c>
      <c r="Y381" s="60" t="str">
        <f t="shared" si="79"/>
        <v/>
      </c>
      <c r="Z381" s="60" t="str">
        <f t="shared" si="80"/>
        <v/>
      </c>
      <c r="AA381" s="64" t="str">
        <f t="shared" si="81"/>
        <v/>
      </c>
      <c r="AB381" s="64" t="str">
        <f>IF(AND(AA381&lt;&gt;"",AA381&lt;&gt;0), IF(E381="Muni", AA381, IF(E381 = "Corp", (1-'Investor Input'!$C$4-'Investor Input'!$C$5)*AA381, (1-'Investor Input'!$C$4)*AA381)), AA381)</f>
        <v/>
      </c>
      <c r="AC381" s="94" t="str">
        <f t="shared" si="82"/>
        <v/>
      </c>
      <c r="AD381" s="60" t="str">
        <f>IF(AND(M381&lt;&gt;"", M381&lt;&gt;0), N381/$N$505*MATCH(AC381,'Misc Lists'!$K$2:$K$25,0), "")</f>
        <v/>
      </c>
      <c r="AE381" s="90" t="str">
        <f t="shared" si="83"/>
        <v/>
      </c>
      <c r="AF381" s="99" t="str">
        <f>IF(AND(M381&lt;&gt;"", M381&lt;&gt;0), N381/$N$505*MATCH(AE381,'Misc Lists'!$L$2:$L$25,0), "")</f>
        <v/>
      </c>
    </row>
    <row r="382" spans="2:32" hidden="1" outlineLevel="1" x14ac:dyDescent="0.5">
      <c r="B382" s="65" t="str">
        <f ca="1"/>
        <v>166764BD1</v>
      </c>
      <c r="C382" s="66" t="str">
        <f ca="1"/>
        <v>N/A</v>
      </c>
      <c r="D382" s="65" t="str">
        <f ca="1"/>
        <v>CHEVRON CORPORATION NOTE CALL MAKE WHOLE3.32600% 11/17/2025</v>
      </c>
      <c r="E382" s="66" t="str">
        <f ca="1"/>
        <v>Corp</v>
      </c>
      <c r="F382" s="67">
        <f ca="1"/>
        <v>3.3260000000000001</v>
      </c>
      <c r="G382" s="68">
        <f ca="1"/>
        <v>45978</v>
      </c>
      <c r="H382" s="66" t="str">
        <f ca="1"/>
        <v>AA2</v>
      </c>
      <c r="I382" s="66" t="str">
        <f ca="1"/>
        <v>AA-</v>
      </c>
      <c r="J382" s="69">
        <f ca="1"/>
        <v>99.367999999999995</v>
      </c>
      <c r="K382" s="70">
        <f ca="1"/>
        <v>4.2720000000000002</v>
      </c>
      <c r="L382" s="70" t="str">
        <f ca="1"/>
        <v>1,000(2)</v>
      </c>
      <c r="M382" s="83"/>
      <c r="N382" s="84" t="str">
        <f t="shared" si="84"/>
        <v/>
      </c>
      <c r="O382" s="20" t="str">
        <f t="shared" si="85"/>
        <v/>
      </c>
      <c r="P382" s="64" t="str">
        <f t="shared" si="86"/>
        <v/>
      </c>
      <c r="Q382" s="85" t="str">
        <f t="shared" ca="1" si="87"/>
        <v/>
      </c>
      <c r="R382" s="86" t="str">
        <f t="shared" si="88"/>
        <v/>
      </c>
      <c r="S382" s="86" t="str">
        <f t="shared" si="89"/>
        <v/>
      </c>
      <c r="T382" s="104" t="str">
        <f t="shared" si="75"/>
        <v/>
      </c>
      <c r="U382" s="19" t="str">
        <f>IF(AND(M382&lt;&gt;"",M382&lt;&gt;0), IF(E382 = "Muni", T382, IF(E382="Corp", T382*(1 -'Investor Input'!$C$4-'Investor Input'!$C$5), T382*(1 -'Investor Input'!$C$4))), T382)</f>
        <v/>
      </c>
      <c r="V382" s="84" t="str">
        <f t="shared" si="76"/>
        <v/>
      </c>
      <c r="W382" s="84" t="str">
        <f t="shared" si="77"/>
        <v/>
      </c>
      <c r="X382" s="46" t="str">
        <f t="shared" si="78"/>
        <v/>
      </c>
      <c r="Y382" s="60" t="str">
        <f t="shared" si="79"/>
        <v/>
      </c>
      <c r="Z382" s="60" t="str">
        <f t="shared" si="80"/>
        <v/>
      </c>
      <c r="AA382" s="64" t="str">
        <f t="shared" si="81"/>
        <v/>
      </c>
      <c r="AB382" s="64" t="str">
        <f>IF(AND(AA382&lt;&gt;"",AA382&lt;&gt;0), IF(E382="Muni", AA382, IF(E382 = "Corp", (1-'Investor Input'!$C$4-'Investor Input'!$C$5)*AA382, (1-'Investor Input'!$C$4)*AA382)), AA382)</f>
        <v/>
      </c>
      <c r="AC382" s="94" t="str">
        <f t="shared" si="82"/>
        <v/>
      </c>
      <c r="AD382" s="60" t="str">
        <f>IF(AND(M382&lt;&gt;"", M382&lt;&gt;0), N382/$N$505*MATCH(AC382,'Misc Lists'!$K$2:$K$25,0), "")</f>
        <v/>
      </c>
      <c r="AE382" s="90" t="str">
        <f t="shared" si="83"/>
        <v/>
      </c>
      <c r="AF382" s="99" t="str">
        <f>IF(AND(M382&lt;&gt;"", M382&lt;&gt;0), N382/$N$505*MATCH(AE382,'Misc Lists'!$L$2:$L$25,0), "")</f>
        <v/>
      </c>
    </row>
    <row r="383" spans="2:32" hidden="1" outlineLevel="1" x14ac:dyDescent="0.5">
      <c r="B383" s="65" t="str">
        <f ca="1"/>
        <v>57636QBA1</v>
      </c>
      <c r="C383" s="66" t="str">
        <f ca="1"/>
        <v>N/A</v>
      </c>
      <c r="D383" s="65" t="str">
        <f ca="1"/>
        <v>MASTERCARD          INCORPORATED NOTE   4.10000% 01/15/2028 CALL MAKE WHOLE</v>
      </c>
      <c r="E383" s="66" t="str">
        <f ca="1"/>
        <v>Corp</v>
      </c>
      <c r="F383" s="67">
        <f ca="1"/>
        <v>4.0999999999999996</v>
      </c>
      <c r="G383" s="68">
        <f ca="1"/>
        <v>46767</v>
      </c>
      <c r="H383" s="66" t="str">
        <f ca="1"/>
        <v>AA3</v>
      </c>
      <c r="I383" s="66" t="str">
        <f ca="1"/>
        <v>A+</v>
      </c>
      <c r="J383" s="69">
        <f ca="1"/>
        <v>99.546999999999997</v>
      </c>
      <c r="K383" s="70">
        <f ca="1"/>
        <v>4.2690000000000001</v>
      </c>
      <c r="L383" s="70" t="str">
        <f ca="1"/>
        <v>500(2)</v>
      </c>
      <c r="M383" s="83"/>
      <c r="N383" s="84" t="str">
        <f t="shared" si="84"/>
        <v/>
      </c>
      <c r="O383" s="20" t="str">
        <f t="shared" si="85"/>
        <v/>
      </c>
      <c r="P383" s="64" t="str">
        <f t="shared" si="86"/>
        <v/>
      </c>
      <c r="Q383" s="85" t="str">
        <f t="shared" ca="1" si="87"/>
        <v/>
      </c>
      <c r="R383" s="86" t="str">
        <f t="shared" si="88"/>
        <v/>
      </c>
      <c r="S383" s="86" t="str">
        <f t="shared" si="89"/>
        <v/>
      </c>
      <c r="T383" s="104" t="str">
        <f t="shared" si="75"/>
        <v/>
      </c>
      <c r="U383" s="19" t="str">
        <f>IF(AND(M383&lt;&gt;"",M383&lt;&gt;0), IF(E383 = "Muni", T383, IF(E383="Corp", T383*(1 -'Investor Input'!$C$4-'Investor Input'!$C$5), T383*(1 -'Investor Input'!$C$4))), T383)</f>
        <v/>
      </c>
      <c r="V383" s="84" t="str">
        <f t="shared" si="76"/>
        <v/>
      </c>
      <c r="W383" s="84" t="str">
        <f t="shared" si="77"/>
        <v/>
      </c>
      <c r="X383" s="46" t="str">
        <f t="shared" si="78"/>
        <v/>
      </c>
      <c r="Y383" s="60" t="str">
        <f t="shared" si="79"/>
        <v/>
      </c>
      <c r="Z383" s="60" t="str">
        <f t="shared" si="80"/>
        <v/>
      </c>
      <c r="AA383" s="64" t="str">
        <f t="shared" si="81"/>
        <v/>
      </c>
      <c r="AB383" s="64" t="str">
        <f>IF(AND(AA383&lt;&gt;"",AA383&lt;&gt;0), IF(E383="Muni", AA383, IF(E383 = "Corp", (1-'Investor Input'!$C$4-'Investor Input'!$C$5)*AA383, (1-'Investor Input'!$C$4)*AA383)), AA383)</f>
        <v/>
      </c>
      <c r="AC383" s="94" t="str">
        <f t="shared" si="82"/>
        <v/>
      </c>
      <c r="AD383" s="60" t="str">
        <f>IF(AND(M383&lt;&gt;"", M383&lt;&gt;0), N383/$N$505*MATCH(AC383,'Misc Lists'!$K$2:$K$25,0), "")</f>
        <v/>
      </c>
      <c r="AE383" s="90" t="str">
        <f t="shared" si="83"/>
        <v/>
      </c>
      <c r="AF383" s="99" t="str">
        <f>IF(AND(M383&lt;&gt;"", M383&lt;&gt;0), N383/$N$505*MATCH(AE383,'Misc Lists'!$L$2:$L$25,0), "")</f>
        <v/>
      </c>
    </row>
    <row r="384" spans="2:32" hidden="1" outlineLevel="1" x14ac:dyDescent="0.5">
      <c r="B384" s="65" t="str">
        <f ca="1"/>
        <v>961214FL2</v>
      </c>
      <c r="C384" s="66" t="str">
        <f ca="1"/>
        <v>N/A</v>
      </c>
      <c r="D384" s="65" t="str">
        <f ca="1"/>
        <v>WESTPAC BANKING     CORPORATION NOTE    5.51200% 11/17/2025 ISIN #US961214FL21  SEDOL #BMG9GV7</v>
      </c>
      <c r="E384" s="66" t="str">
        <f ca="1"/>
        <v>Corp</v>
      </c>
      <c r="F384" s="67">
        <f ca="1"/>
        <v>5.5119999999999996</v>
      </c>
      <c r="G384" s="68">
        <f ca="1"/>
        <v>45978</v>
      </c>
      <c r="H384" s="66" t="str">
        <f ca="1"/>
        <v>AA2</v>
      </c>
      <c r="I384" s="66" t="str">
        <f ca="1"/>
        <v>AA-</v>
      </c>
      <c r="J384" s="69">
        <f ca="1"/>
        <v>100.821</v>
      </c>
      <c r="K384" s="70">
        <f ca="1"/>
        <v>4.2649999999999997</v>
      </c>
      <c r="L384" s="70" t="str">
        <f ca="1"/>
        <v>22(10)</v>
      </c>
      <c r="M384" s="83"/>
      <c r="N384" s="84" t="str">
        <f t="shared" si="84"/>
        <v/>
      </c>
      <c r="O384" s="20" t="str">
        <f t="shared" si="85"/>
        <v/>
      </c>
      <c r="P384" s="64" t="str">
        <f t="shared" si="86"/>
        <v/>
      </c>
      <c r="Q384" s="85" t="str">
        <f t="shared" ca="1" si="87"/>
        <v/>
      </c>
      <c r="R384" s="86" t="str">
        <f t="shared" si="88"/>
        <v/>
      </c>
      <c r="S384" s="86" t="str">
        <f t="shared" si="89"/>
        <v/>
      </c>
      <c r="T384" s="104" t="str">
        <f t="shared" si="75"/>
        <v/>
      </c>
      <c r="U384" s="19" t="str">
        <f>IF(AND(M384&lt;&gt;"",M384&lt;&gt;0), IF(E384 = "Muni", T384, IF(E384="Corp", T384*(1 -'Investor Input'!$C$4-'Investor Input'!$C$5), T384*(1 -'Investor Input'!$C$4))), T384)</f>
        <v/>
      </c>
      <c r="V384" s="84" t="str">
        <f t="shared" si="76"/>
        <v/>
      </c>
      <c r="W384" s="84" t="str">
        <f t="shared" si="77"/>
        <v/>
      </c>
      <c r="X384" s="46" t="str">
        <f t="shared" si="78"/>
        <v/>
      </c>
      <c r="Y384" s="60" t="str">
        <f t="shared" si="79"/>
        <v/>
      </c>
      <c r="Z384" s="60" t="str">
        <f t="shared" si="80"/>
        <v/>
      </c>
      <c r="AA384" s="64" t="str">
        <f t="shared" si="81"/>
        <v/>
      </c>
      <c r="AB384" s="64" t="str">
        <f>IF(AND(AA384&lt;&gt;"",AA384&lt;&gt;0), IF(E384="Muni", AA384, IF(E384 = "Corp", (1-'Investor Input'!$C$4-'Investor Input'!$C$5)*AA384, (1-'Investor Input'!$C$4)*AA384)), AA384)</f>
        <v/>
      </c>
      <c r="AC384" s="94" t="str">
        <f t="shared" si="82"/>
        <v/>
      </c>
      <c r="AD384" s="60" t="str">
        <f>IF(AND(M384&lt;&gt;"", M384&lt;&gt;0), N384/$N$505*MATCH(AC384,'Misc Lists'!$K$2:$K$25,0), "")</f>
        <v/>
      </c>
      <c r="AE384" s="90" t="str">
        <f t="shared" si="83"/>
        <v/>
      </c>
      <c r="AF384" s="99" t="str">
        <f>IF(AND(M384&lt;&gt;"", M384&lt;&gt;0), N384/$N$505*MATCH(AE384,'Misc Lists'!$L$2:$L$25,0), "")</f>
        <v/>
      </c>
    </row>
    <row r="385" spans="2:32" hidden="1" outlineLevel="1" x14ac:dyDescent="0.5">
      <c r="B385" s="65" t="str">
        <f ca="1"/>
        <v>037833DX5</v>
      </c>
      <c r="C385" s="66" t="str">
        <f ca="1"/>
        <v>N/A</v>
      </c>
      <c r="D385" s="65" t="str">
        <f ca="1"/>
        <v>APPLE INC           NOTE CALL MAKE WHOLE0.55000% 08/20/2025</v>
      </c>
      <c r="E385" s="66" t="str">
        <f ca="1"/>
        <v>Corp</v>
      </c>
      <c r="F385" s="67">
        <f ca="1"/>
        <v>0.55000000000000004</v>
      </c>
      <c r="G385" s="68">
        <f ca="1"/>
        <v>45889</v>
      </c>
      <c r="H385" s="66" t="str">
        <f ca="1"/>
        <v>AAA</v>
      </c>
      <c r="I385" s="66" t="str">
        <f ca="1"/>
        <v>AA+</v>
      </c>
      <c r="J385" s="69">
        <f ca="1"/>
        <v>98.4</v>
      </c>
      <c r="K385" s="70">
        <f ca="1"/>
        <v>4.2619999999999996</v>
      </c>
      <c r="L385" s="70" t="str">
        <f ca="1"/>
        <v>500(10)</v>
      </c>
      <c r="M385" s="83"/>
      <c r="N385" s="84" t="str">
        <f t="shared" si="84"/>
        <v/>
      </c>
      <c r="O385" s="20" t="str">
        <f t="shared" si="85"/>
        <v/>
      </c>
      <c r="P385" s="64" t="str">
        <f t="shared" si="86"/>
        <v/>
      </c>
      <c r="Q385" s="85" t="str">
        <f t="shared" ca="1" si="87"/>
        <v/>
      </c>
      <c r="R385" s="86" t="str">
        <f t="shared" si="88"/>
        <v/>
      </c>
      <c r="S385" s="86" t="str">
        <f t="shared" si="89"/>
        <v/>
      </c>
      <c r="T385" s="104" t="str">
        <f t="shared" si="75"/>
        <v/>
      </c>
      <c r="U385" s="19" t="str">
        <f>IF(AND(M385&lt;&gt;"",M385&lt;&gt;0), IF(E385 = "Muni", T385, IF(E385="Corp", T385*(1 -'Investor Input'!$C$4-'Investor Input'!$C$5), T385*(1 -'Investor Input'!$C$4))), T385)</f>
        <v/>
      </c>
      <c r="V385" s="84" t="str">
        <f t="shared" si="76"/>
        <v/>
      </c>
      <c r="W385" s="84" t="str">
        <f t="shared" si="77"/>
        <v/>
      </c>
      <c r="X385" s="46" t="str">
        <f t="shared" si="78"/>
        <v/>
      </c>
      <c r="Y385" s="60" t="str">
        <f t="shared" si="79"/>
        <v/>
      </c>
      <c r="Z385" s="60" t="str">
        <f t="shared" si="80"/>
        <v/>
      </c>
      <c r="AA385" s="64" t="str">
        <f t="shared" si="81"/>
        <v/>
      </c>
      <c r="AB385" s="64" t="str">
        <f>IF(AND(AA385&lt;&gt;"",AA385&lt;&gt;0), IF(E385="Muni", AA385, IF(E385 = "Corp", (1-'Investor Input'!$C$4-'Investor Input'!$C$5)*AA385, (1-'Investor Input'!$C$4)*AA385)), AA385)</f>
        <v/>
      </c>
      <c r="AC385" s="94" t="str">
        <f t="shared" si="82"/>
        <v/>
      </c>
      <c r="AD385" s="60" t="str">
        <f>IF(AND(M385&lt;&gt;"", M385&lt;&gt;0), N385/$N$505*MATCH(AC385,'Misc Lists'!$K$2:$K$25,0), "")</f>
        <v/>
      </c>
      <c r="AE385" s="90" t="str">
        <f t="shared" si="83"/>
        <v/>
      </c>
      <c r="AF385" s="99" t="str">
        <f>IF(AND(M385&lt;&gt;"", M385&lt;&gt;0), N385/$N$505*MATCH(AE385,'Misc Lists'!$L$2:$L$25,0), "")</f>
        <v/>
      </c>
    </row>
    <row r="386" spans="2:32" hidden="1" outlineLevel="1" x14ac:dyDescent="0.5">
      <c r="B386" s="65" t="str">
        <f ca="1"/>
        <v>09290DAH4</v>
      </c>
      <c r="C386" s="66" t="str">
        <f ca="1"/>
        <v>N/A</v>
      </c>
      <c r="D386" s="65" t="str">
        <f ca="1"/>
        <v>BLACKROCK INC       NOTE CALL MAKE WHOLE4.60000% 07/26/2027</v>
      </c>
      <c r="E386" s="66" t="str">
        <f ca="1"/>
        <v>Corp</v>
      </c>
      <c r="F386" s="67">
        <f ca="1"/>
        <v>4.5999999999999996</v>
      </c>
      <c r="G386" s="68">
        <f ca="1"/>
        <v>46594</v>
      </c>
      <c r="H386" s="66" t="str">
        <f ca="1"/>
        <v>AA3</v>
      </c>
      <c r="I386" s="66" t="str">
        <f ca="1"/>
        <v>AA-</v>
      </c>
      <c r="J386" s="69">
        <f ca="1"/>
        <v>100.75</v>
      </c>
      <c r="K386" s="70">
        <f ca="1"/>
        <v>4.2619999999999996</v>
      </c>
      <c r="L386" s="70" t="str">
        <f ca="1"/>
        <v>100( 10)</v>
      </c>
      <c r="M386" s="83"/>
      <c r="N386" s="84" t="str">
        <f t="shared" si="84"/>
        <v/>
      </c>
      <c r="O386" s="20" t="str">
        <f t="shared" si="85"/>
        <v/>
      </c>
      <c r="P386" s="64" t="str">
        <f t="shared" si="86"/>
        <v/>
      </c>
      <c r="Q386" s="85" t="str">
        <f t="shared" ca="1" si="87"/>
        <v/>
      </c>
      <c r="R386" s="86" t="str">
        <f t="shared" si="88"/>
        <v/>
      </c>
      <c r="S386" s="86" t="str">
        <f t="shared" si="89"/>
        <v/>
      </c>
      <c r="T386" s="104" t="str">
        <f t="shared" si="75"/>
        <v/>
      </c>
      <c r="U386" s="19" t="str">
        <f>IF(AND(M386&lt;&gt;"",M386&lt;&gt;0), IF(E386 = "Muni", T386, IF(E386="Corp", T386*(1 -'Investor Input'!$C$4-'Investor Input'!$C$5), T386*(1 -'Investor Input'!$C$4))), T386)</f>
        <v/>
      </c>
      <c r="V386" s="84" t="str">
        <f t="shared" si="76"/>
        <v/>
      </c>
      <c r="W386" s="84" t="str">
        <f t="shared" si="77"/>
        <v/>
      </c>
      <c r="X386" s="46" t="str">
        <f t="shared" si="78"/>
        <v/>
      </c>
      <c r="Y386" s="60" t="str">
        <f t="shared" si="79"/>
        <v/>
      </c>
      <c r="Z386" s="60" t="str">
        <f t="shared" si="80"/>
        <v/>
      </c>
      <c r="AA386" s="64" t="str">
        <f t="shared" si="81"/>
        <v/>
      </c>
      <c r="AB386" s="64" t="str">
        <f>IF(AND(AA386&lt;&gt;"",AA386&lt;&gt;0), IF(E386="Muni", AA386, IF(E386 = "Corp", (1-'Investor Input'!$C$4-'Investor Input'!$C$5)*AA386, (1-'Investor Input'!$C$4)*AA386)), AA386)</f>
        <v/>
      </c>
      <c r="AC386" s="94" t="str">
        <f t="shared" si="82"/>
        <v/>
      </c>
      <c r="AD386" s="60" t="str">
        <f>IF(AND(M386&lt;&gt;"", M386&lt;&gt;0), N386/$N$505*MATCH(AC386,'Misc Lists'!$K$2:$K$25,0), "")</f>
        <v/>
      </c>
      <c r="AE386" s="90" t="str">
        <f t="shared" si="83"/>
        <v/>
      </c>
      <c r="AF386" s="99" t="str">
        <f>IF(AND(M386&lt;&gt;"", M386&lt;&gt;0), N386/$N$505*MATCH(AE386,'Misc Lists'!$L$2:$L$25,0), "")</f>
        <v/>
      </c>
    </row>
    <row r="387" spans="2:32" hidden="1" outlineLevel="1" x14ac:dyDescent="0.5">
      <c r="B387" s="65" t="str">
        <f ca="1"/>
        <v>931142ED1</v>
      </c>
      <c r="C387" s="66" t="str">
        <f ca="1"/>
        <v>N/A</v>
      </c>
      <c r="D387" s="65" t="str">
        <f ca="1"/>
        <v>WALMART INC         NOTE CALL MAKE WHOLE3.55000% 06/26/2025</v>
      </c>
      <c r="E387" s="66" t="str">
        <f ca="1"/>
        <v>Corp</v>
      </c>
      <c r="F387" s="67">
        <f ca="1"/>
        <v>3.55</v>
      </c>
      <c r="G387" s="68">
        <f ca="1"/>
        <v>45834</v>
      </c>
      <c r="H387" s="66" t="str">
        <f ca="1"/>
        <v>AA2</v>
      </c>
      <c r="I387" s="66" t="str">
        <f ca="1"/>
        <v>AA</v>
      </c>
      <c r="J387" s="69">
        <f ca="1"/>
        <v>99.789000000000001</v>
      </c>
      <c r="K387" s="70">
        <f ca="1"/>
        <v>4.2569999999999997</v>
      </c>
      <c r="L387" s="70" t="str">
        <f ca="1"/>
        <v>43(2)</v>
      </c>
      <c r="M387" s="83"/>
      <c r="N387" s="84" t="str">
        <f t="shared" si="84"/>
        <v/>
      </c>
      <c r="O387" s="20" t="str">
        <f t="shared" si="85"/>
        <v/>
      </c>
      <c r="P387" s="64" t="str">
        <f t="shared" si="86"/>
        <v/>
      </c>
      <c r="Q387" s="85" t="str">
        <f t="shared" ca="1" si="87"/>
        <v/>
      </c>
      <c r="R387" s="86" t="str">
        <f t="shared" si="88"/>
        <v/>
      </c>
      <c r="S387" s="86" t="str">
        <f t="shared" si="89"/>
        <v/>
      </c>
      <c r="T387" s="104" t="str">
        <f t="shared" si="75"/>
        <v/>
      </c>
      <c r="U387" s="19" t="str">
        <f>IF(AND(M387&lt;&gt;"",M387&lt;&gt;0), IF(E387 = "Muni", T387, IF(E387="Corp", T387*(1 -'Investor Input'!$C$4-'Investor Input'!$C$5), T387*(1 -'Investor Input'!$C$4))), T387)</f>
        <v/>
      </c>
      <c r="V387" s="84" t="str">
        <f t="shared" si="76"/>
        <v/>
      </c>
      <c r="W387" s="84" t="str">
        <f t="shared" si="77"/>
        <v/>
      </c>
      <c r="X387" s="46" t="str">
        <f t="shared" si="78"/>
        <v/>
      </c>
      <c r="Y387" s="60" t="str">
        <f t="shared" si="79"/>
        <v/>
      </c>
      <c r="Z387" s="60" t="str">
        <f t="shared" si="80"/>
        <v/>
      </c>
      <c r="AA387" s="64" t="str">
        <f t="shared" si="81"/>
        <v/>
      </c>
      <c r="AB387" s="64" t="str">
        <f>IF(AND(AA387&lt;&gt;"",AA387&lt;&gt;0), IF(E387="Muni", AA387, IF(E387 = "Corp", (1-'Investor Input'!$C$4-'Investor Input'!$C$5)*AA387, (1-'Investor Input'!$C$4)*AA387)), AA387)</f>
        <v/>
      </c>
      <c r="AC387" s="94" t="str">
        <f t="shared" si="82"/>
        <v/>
      </c>
      <c r="AD387" s="60" t="str">
        <f>IF(AND(M387&lt;&gt;"", M387&lt;&gt;0), N387/$N$505*MATCH(AC387,'Misc Lists'!$K$2:$K$25,0), "")</f>
        <v/>
      </c>
      <c r="AE387" s="90" t="str">
        <f t="shared" si="83"/>
        <v/>
      </c>
      <c r="AF387" s="99" t="str">
        <f>IF(AND(M387&lt;&gt;"", M387&lt;&gt;0), N387/$N$505*MATCH(AE387,'Misc Lists'!$L$2:$L$25,0), "")</f>
        <v/>
      </c>
    </row>
    <row r="388" spans="2:32" hidden="1" outlineLevel="1" x14ac:dyDescent="0.5">
      <c r="B388" s="65" t="str">
        <f ca="1"/>
        <v>961214CX9</v>
      </c>
      <c r="C388" s="66" t="str">
        <f ca="1"/>
        <v>N/A</v>
      </c>
      <c r="D388" s="65" t="str">
        <f ca="1"/>
        <v>WESTPAC BANKING     CORPORATION NOTE    2.85000% 05/13/2026</v>
      </c>
      <c r="E388" s="66" t="str">
        <f ca="1"/>
        <v>Corp</v>
      </c>
      <c r="F388" s="67">
        <f ca="1"/>
        <v>2.85</v>
      </c>
      <c r="G388" s="68">
        <f ca="1"/>
        <v>46155</v>
      </c>
      <c r="H388" s="66" t="str">
        <f ca="1"/>
        <v>AA2</v>
      </c>
      <c r="I388" s="66" t="str">
        <f ca="1"/>
        <v>AA-</v>
      </c>
      <c r="J388" s="69">
        <f ca="1"/>
        <v>98.412000000000006</v>
      </c>
      <c r="K388" s="70">
        <f ca="1"/>
        <v>4.2530000000000001</v>
      </c>
      <c r="L388" s="70" t="str">
        <f ca="1"/>
        <v>500(2)</v>
      </c>
      <c r="M388" s="83"/>
      <c r="N388" s="84" t="str">
        <f t="shared" si="84"/>
        <v/>
      </c>
      <c r="O388" s="20" t="str">
        <f t="shared" si="85"/>
        <v/>
      </c>
      <c r="P388" s="64" t="str">
        <f t="shared" si="86"/>
        <v/>
      </c>
      <c r="Q388" s="85" t="str">
        <f t="shared" ca="1" si="87"/>
        <v/>
      </c>
      <c r="R388" s="86" t="str">
        <f t="shared" si="88"/>
        <v/>
      </c>
      <c r="S388" s="86" t="str">
        <f t="shared" si="89"/>
        <v/>
      </c>
      <c r="T388" s="104" t="str">
        <f t="shared" ref="T388:T451" si="90">IF(AND(M388&lt;&gt;"",M388&lt;&gt;0),YIELD(Q388,G388,F388/100,N388/(M388*10),100,2),"")</f>
        <v/>
      </c>
      <c r="U388" s="19" t="str">
        <f>IF(AND(M388&lt;&gt;"",M388&lt;&gt;0), IF(E388 = "Muni", T388, IF(E388="Corp", T388*(1 -'Investor Input'!$C$4-'Investor Input'!$C$5), T388*(1 -'Investor Input'!$C$4))), T388)</f>
        <v/>
      </c>
      <c r="V388" s="84" t="str">
        <f t="shared" ref="V388:V451" si="91">IF(AND(M388&lt;&gt;"",M388&lt;&gt;0),(FV(K388/(2*100),(G388-Q388)*2/365, F388*1000/(2*100), -N388/M388))*M388, "")</f>
        <v/>
      </c>
      <c r="W388" s="84" t="str">
        <f t="shared" ref="W388:W451" si="92">IF(AND(M388&lt;&gt;"",M388&lt;&gt;0),V388-N388,"")</f>
        <v/>
      </c>
      <c r="X388" s="46" t="str">
        <f t="shared" ref="X388:X451" si="93">IF(AND(M388&lt;&gt;"",M388&lt;&gt;0),W388/N388,"")</f>
        <v/>
      </c>
      <c r="Y388" s="60" t="str">
        <f t="shared" ref="Y388:Y452" si="94">IF(AND(M388&lt;&gt;"", M388&lt;&gt;0), MONTH(G388), "")</f>
        <v/>
      </c>
      <c r="Z388" s="60" t="str">
        <f t="shared" ref="Z388:Z452" si="95">IF(AND(M388&lt;&gt;"", M388&lt;&gt;0), MONTH(EDATE(G388, 6)), "")</f>
        <v/>
      </c>
      <c r="AA388" s="64" t="str">
        <f t="shared" ref="AA388:AA452" si="96">IF(AND(M388&lt;&gt;"", M388&lt;&gt;0), F388*1000*M388/(100*2), "")</f>
        <v/>
      </c>
      <c r="AB388" s="64" t="str">
        <f>IF(AND(AA388&lt;&gt;"",AA388&lt;&gt;0), IF(E388="Muni", AA388, IF(E388 = "Corp", (1-'Investor Input'!$C$4-'Investor Input'!$C$5)*AA388, (1-'Investor Input'!$C$4)*AA388)), AA388)</f>
        <v/>
      </c>
      <c r="AC388" s="94" t="str">
        <f t="shared" ref="AC388:AC452" si="97">IF(AND(M388&lt;&gt;"", M388&lt;&gt;0), H388, "")</f>
        <v/>
      </c>
      <c r="AD388" s="60" t="str">
        <f>IF(AND(M388&lt;&gt;"", M388&lt;&gt;0), N388/$N$505*MATCH(AC388,'Misc Lists'!$K$2:$K$25,0), "")</f>
        <v/>
      </c>
      <c r="AE388" s="90" t="str">
        <f t="shared" ref="AE388:AE452" si="98">IF(AND(M388&lt;&gt;"", M388&lt;&gt;0), I388, "")</f>
        <v/>
      </c>
      <c r="AF388" s="99" t="str">
        <f>IF(AND(M388&lt;&gt;"", M388&lt;&gt;0), N388/$N$505*MATCH(AE388,'Misc Lists'!$L$2:$L$25,0), "")</f>
        <v/>
      </c>
    </row>
    <row r="389" spans="2:32" hidden="1" outlineLevel="1" x14ac:dyDescent="0.5">
      <c r="B389" s="65" t="str">
        <f ca="1"/>
        <v>23338VAU0</v>
      </c>
      <c r="C389" s="66" t="str">
        <f ca="1"/>
        <v>N/A</v>
      </c>
      <c r="D389" s="65" t="str">
        <f ca="1"/>
        <v>DTE ELEC CO         SER B BOND          4.85000% 12/01/2026 CALL MAKE WHOLE</v>
      </c>
      <c r="E389" s="66" t="str">
        <f ca="1"/>
        <v>Corp</v>
      </c>
      <c r="F389" s="67">
        <f ca="1"/>
        <v>4.8499999999999996</v>
      </c>
      <c r="G389" s="68">
        <f ca="1"/>
        <v>46357</v>
      </c>
      <c r="H389" s="66" t="str">
        <f ca="1"/>
        <v>AA3</v>
      </c>
      <c r="I389" s="66" t="str">
        <f ca="1"/>
        <v>A</v>
      </c>
      <c r="J389" s="69">
        <f ca="1"/>
        <v>100.974</v>
      </c>
      <c r="K389" s="70">
        <f ca="1"/>
        <v>4.2530000000000001</v>
      </c>
      <c r="L389" s="70" t="str">
        <f ca="1"/>
        <v>30(2)</v>
      </c>
      <c r="M389" s="83"/>
      <c r="N389" s="84" t="str">
        <f t="shared" ref="N389:N452" si="99">IF(AND(M389&lt;&gt;"", M389&lt;&gt;0), IF(L389 &lt;&gt; "N/A", IF(M389&gt;=VALUE(LEFT(L389, FIND("(", L389)-1)), J389*10*M389, 1000*M389), 1000*M389), "")</f>
        <v/>
      </c>
      <c r="O389" s="20" t="str">
        <f t="shared" ref="O389:O452" si="100">IF(AND(M389&lt;&gt;"",M389&lt;&gt;0),N389/$N$505, "")</f>
        <v/>
      </c>
      <c r="P389" s="64" t="str">
        <f t="shared" ref="P389:P452" si="101">IF(AND(M389&lt;&gt;"", M389&lt;&gt;0), F389*1000/100, "")</f>
        <v/>
      </c>
      <c r="Q389" s="85" t="str">
        <f t="shared" ref="Q389:Q452" ca="1" si="102">IF(AND(M389&lt;&gt;"", M389&lt;&gt;0), NOW(), "")</f>
        <v/>
      </c>
      <c r="R389" s="86" t="str">
        <f t="shared" ref="R389:R452" si="103">IF(AND(M389&lt;&gt;"", M389&lt;&gt;0), ROUND((G389 - Q389)/365, 0), "")</f>
        <v/>
      </c>
      <c r="S389" s="86" t="str">
        <f t="shared" ref="S389:S452" si="104">IF(AND(M389&lt;&gt;"",M389&lt;&gt;0),MDURATION(Q389,G389,F389/100,K389/100,2), "")</f>
        <v/>
      </c>
      <c r="T389" s="104" t="str">
        <f t="shared" si="90"/>
        <v/>
      </c>
      <c r="U389" s="19" t="str">
        <f>IF(AND(M389&lt;&gt;"",M389&lt;&gt;0), IF(E389 = "Muni", T389, IF(E389="Corp", T389*(1 -'Investor Input'!$C$4-'Investor Input'!$C$5), T389*(1 -'Investor Input'!$C$4))), T389)</f>
        <v/>
      </c>
      <c r="V389" s="84" t="str">
        <f t="shared" si="91"/>
        <v/>
      </c>
      <c r="W389" s="84" t="str">
        <f t="shared" si="92"/>
        <v/>
      </c>
      <c r="X389" s="46" t="str">
        <f t="shared" si="93"/>
        <v/>
      </c>
      <c r="Y389" s="60" t="str">
        <f t="shared" si="94"/>
        <v/>
      </c>
      <c r="Z389" s="60" t="str">
        <f t="shared" si="95"/>
        <v/>
      </c>
      <c r="AA389" s="64" t="str">
        <f t="shared" si="96"/>
        <v/>
      </c>
      <c r="AB389" s="64" t="str">
        <f>IF(AND(AA389&lt;&gt;"",AA389&lt;&gt;0), IF(E389="Muni", AA389, IF(E389 = "Corp", (1-'Investor Input'!$C$4-'Investor Input'!$C$5)*AA389, (1-'Investor Input'!$C$4)*AA389)), AA389)</f>
        <v/>
      </c>
      <c r="AC389" s="94" t="str">
        <f t="shared" si="97"/>
        <v/>
      </c>
      <c r="AD389" s="60" t="str">
        <f>IF(AND(M389&lt;&gt;"", M389&lt;&gt;0), N389/$N$505*MATCH(AC389,'Misc Lists'!$K$2:$K$25,0), "")</f>
        <v/>
      </c>
      <c r="AE389" s="90" t="str">
        <f t="shared" si="98"/>
        <v/>
      </c>
      <c r="AF389" s="99" t="str">
        <f>IF(AND(M389&lt;&gt;"", M389&lt;&gt;0), N389/$N$505*MATCH(AE389,'Misc Lists'!$L$2:$L$25,0), "")</f>
        <v/>
      </c>
    </row>
    <row r="390" spans="2:32" hidden="1" outlineLevel="1" x14ac:dyDescent="0.5">
      <c r="B390" s="65" t="str">
        <f ca="1"/>
        <v>302154DF3</v>
      </c>
      <c r="C390" s="66" t="str">
        <f ca="1"/>
        <v>N/A</v>
      </c>
      <c r="D390" s="65" t="str">
        <f ca="1"/>
        <v>EXPORT-IMPORT BANK  OF KOREA NOTE       0.62500% 02/09/2026 ISIN #US302154DF38  SEDOL #BMZ5CR4</v>
      </c>
      <c r="E390" s="66" t="str">
        <f ca="1"/>
        <v>Corp</v>
      </c>
      <c r="F390" s="67">
        <f ca="1"/>
        <v>0.625</v>
      </c>
      <c r="G390" s="68">
        <f ca="1"/>
        <v>46062</v>
      </c>
      <c r="H390" s="66" t="str">
        <f ca="1"/>
        <v>AA2</v>
      </c>
      <c r="I390" s="66" t="str">
        <f ca="1"/>
        <v>AA</v>
      </c>
      <c r="J390" s="69">
        <f ca="1"/>
        <v>96.801000000000002</v>
      </c>
      <c r="K390" s="70">
        <f ca="1"/>
        <v>4.2519999999999998</v>
      </c>
      <c r="L390" s="70" t="str">
        <f ca="1"/>
        <v>200(200)</v>
      </c>
      <c r="M390" s="83"/>
      <c r="N390" s="84" t="str">
        <f t="shared" si="99"/>
        <v/>
      </c>
      <c r="O390" s="20" t="str">
        <f t="shared" si="100"/>
        <v/>
      </c>
      <c r="P390" s="64" t="str">
        <f t="shared" si="101"/>
        <v/>
      </c>
      <c r="Q390" s="85" t="str">
        <f t="shared" ca="1" si="102"/>
        <v/>
      </c>
      <c r="R390" s="86" t="str">
        <f t="shared" si="103"/>
        <v/>
      </c>
      <c r="S390" s="86" t="str">
        <f t="shared" si="104"/>
        <v/>
      </c>
      <c r="T390" s="104" t="str">
        <f t="shared" si="90"/>
        <v/>
      </c>
      <c r="U390" s="19" t="str">
        <f>IF(AND(M390&lt;&gt;"",M390&lt;&gt;0), IF(E390 = "Muni", T390, IF(E390="Corp", T390*(1 -'Investor Input'!$C$4-'Investor Input'!$C$5), T390*(1 -'Investor Input'!$C$4))), T390)</f>
        <v/>
      </c>
      <c r="V390" s="84" t="str">
        <f t="shared" si="91"/>
        <v/>
      </c>
      <c r="W390" s="84" t="str">
        <f t="shared" si="92"/>
        <v/>
      </c>
      <c r="X390" s="46" t="str">
        <f t="shared" si="93"/>
        <v/>
      </c>
      <c r="Y390" s="60" t="str">
        <f t="shared" si="94"/>
        <v/>
      </c>
      <c r="Z390" s="60" t="str">
        <f t="shared" si="95"/>
        <v/>
      </c>
      <c r="AA390" s="64" t="str">
        <f t="shared" si="96"/>
        <v/>
      </c>
      <c r="AB390" s="64" t="str">
        <f>IF(AND(AA390&lt;&gt;"",AA390&lt;&gt;0), IF(E390="Muni", AA390, IF(E390 = "Corp", (1-'Investor Input'!$C$4-'Investor Input'!$C$5)*AA390, (1-'Investor Input'!$C$4)*AA390)), AA390)</f>
        <v/>
      </c>
      <c r="AC390" s="94" t="str">
        <f t="shared" si="97"/>
        <v/>
      </c>
      <c r="AD390" s="60" t="str">
        <f>IF(AND(M390&lt;&gt;"", M390&lt;&gt;0), N390/$N$505*MATCH(AC390,'Misc Lists'!$K$2:$K$25,0), "")</f>
        <v/>
      </c>
      <c r="AE390" s="90" t="str">
        <f t="shared" si="98"/>
        <v/>
      </c>
      <c r="AF390" s="99" t="str">
        <f>IF(AND(M390&lt;&gt;"", M390&lt;&gt;0), N390/$N$505*MATCH(AE390,'Misc Lists'!$L$2:$L$25,0), "")</f>
        <v/>
      </c>
    </row>
    <row r="391" spans="2:32" hidden="1" outlineLevel="1" x14ac:dyDescent="0.5">
      <c r="B391" s="65" t="str">
        <f ca="1"/>
        <v>302154CC1</v>
      </c>
      <c r="C391" s="66" t="str">
        <f ca="1"/>
        <v>N/A</v>
      </c>
      <c r="D391" s="65" t="str">
        <f ca="1"/>
        <v>EXPORT-IMPORT BANK  OF KOREA NOTE       2.62500% 05/26/2026 ISIN #US302154CC16  SEDOL #BYMWWZ0</v>
      </c>
      <c r="E391" s="66" t="str">
        <f ca="1"/>
        <v>Corp</v>
      </c>
      <c r="F391" s="67">
        <f ca="1"/>
        <v>2.625</v>
      </c>
      <c r="G391" s="68">
        <f ca="1"/>
        <v>46168</v>
      </c>
      <c r="H391" s="66" t="str">
        <f ca="1"/>
        <v>AA2</v>
      </c>
      <c r="I391" s="66" t="str">
        <f ca="1"/>
        <v>AA</v>
      </c>
      <c r="J391" s="69">
        <f ca="1"/>
        <v>98.103999999999999</v>
      </c>
      <c r="K391" s="70">
        <f ca="1"/>
        <v>4.2519999999999998</v>
      </c>
      <c r="L391" s="70" t="str">
        <f ca="1"/>
        <v>225(200)</v>
      </c>
      <c r="M391" s="83"/>
      <c r="N391" s="84" t="str">
        <f t="shared" si="99"/>
        <v/>
      </c>
      <c r="O391" s="20" t="str">
        <f t="shared" si="100"/>
        <v/>
      </c>
      <c r="P391" s="64" t="str">
        <f t="shared" si="101"/>
        <v/>
      </c>
      <c r="Q391" s="85" t="str">
        <f t="shared" ca="1" si="102"/>
        <v/>
      </c>
      <c r="R391" s="86" t="str">
        <f t="shared" si="103"/>
        <v/>
      </c>
      <c r="S391" s="86" t="str">
        <f t="shared" si="104"/>
        <v/>
      </c>
      <c r="T391" s="104" t="str">
        <f t="shared" si="90"/>
        <v/>
      </c>
      <c r="U391" s="19" t="str">
        <f>IF(AND(M391&lt;&gt;"",M391&lt;&gt;0), IF(E391 = "Muni", T391, IF(E391="Corp", T391*(1 -'Investor Input'!$C$4-'Investor Input'!$C$5), T391*(1 -'Investor Input'!$C$4))), T391)</f>
        <v/>
      </c>
      <c r="V391" s="84" t="str">
        <f t="shared" si="91"/>
        <v/>
      </c>
      <c r="W391" s="84" t="str">
        <f t="shared" si="92"/>
        <v/>
      </c>
      <c r="X391" s="46" t="str">
        <f t="shared" si="93"/>
        <v/>
      </c>
      <c r="Y391" s="60" t="str">
        <f t="shared" si="94"/>
        <v/>
      </c>
      <c r="Z391" s="60" t="str">
        <f t="shared" si="95"/>
        <v/>
      </c>
      <c r="AA391" s="64" t="str">
        <f t="shared" si="96"/>
        <v/>
      </c>
      <c r="AB391" s="64" t="str">
        <f>IF(AND(AA391&lt;&gt;"",AA391&lt;&gt;0), IF(E391="Muni", AA391, IF(E391 = "Corp", (1-'Investor Input'!$C$4-'Investor Input'!$C$5)*AA391, (1-'Investor Input'!$C$4)*AA391)), AA391)</f>
        <v/>
      </c>
      <c r="AC391" s="94" t="str">
        <f t="shared" si="97"/>
        <v/>
      </c>
      <c r="AD391" s="60" t="str">
        <f>IF(AND(M391&lt;&gt;"", M391&lt;&gt;0), N391/$N$505*MATCH(AC391,'Misc Lists'!$K$2:$K$25,0), "")</f>
        <v/>
      </c>
      <c r="AE391" s="90" t="str">
        <f t="shared" si="98"/>
        <v/>
      </c>
      <c r="AF391" s="99" t="str">
        <f>IF(AND(M391&lt;&gt;"", M391&lt;&gt;0), N391/$N$505*MATCH(AE391,'Misc Lists'!$L$2:$L$25,0), "")</f>
        <v/>
      </c>
    </row>
    <row r="392" spans="2:32" hidden="1" outlineLevel="1" x14ac:dyDescent="0.5">
      <c r="B392" s="65" t="str">
        <f ca="1"/>
        <v>693304AT4</v>
      </c>
      <c r="C392" s="66" t="str">
        <f ca="1"/>
        <v>N/A</v>
      </c>
      <c r="D392" s="65" t="str">
        <f ca="1"/>
        <v>PECO ENERGY CO      BOND CALL MAKE WHOLE3.15000% 10/15/2025</v>
      </c>
      <c r="E392" s="66" t="str">
        <f ca="1"/>
        <v>Corp</v>
      </c>
      <c r="F392" s="67">
        <f ca="1"/>
        <v>3.15</v>
      </c>
      <c r="G392" s="68">
        <f ca="1"/>
        <v>45945</v>
      </c>
      <c r="H392" s="66" t="str">
        <f ca="1"/>
        <v>AA3</v>
      </c>
      <c r="I392" s="66" t="str">
        <f ca="1"/>
        <v>A</v>
      </c>
      <c r="J392" s="69">
        <f ca="1"/>
        <v>99.361000000000004</v>
      </c>
      <c r="K392" s="70">
        <f ca="1"/>
        <v>4.2510000000000003</v>
      </c>
      <c r="L392" s="70" t="str">
        <f ca="1"/>
        <v>5(2)</v>
      </c>
      <c r="M392" s="83"/>
      <c r="N392" s="84" t="str">
        <f t="shared" si="99"/>
        <v/>
      </c>
      <c r="O392" s="20" t="str">
        <f t="shared" si="100"/>
        <v/>
      </c>
      <c r="P392" s="64" t="str">
        <f t="shared" si="101"/>
        <v/>
      </c>
      <c r="Q392" s="85" t="str">
        <f t="shared" ca="1" si="102"/>
        <v/>
      </c>
      <c r="R392" s="86" t="str">
        <f t="shared" si="103"/>
        <v/>
      </c>
      <c r="S392" s="86" t="str">
        <f t="shared" si="104"/>
        <v/>
      </c>
      <c r="T392" s="104" t="str">
        <f t="shared" si="90"/>
        <v/>
      </c>
      <c r="U392" s="19" t="str">
        <f>IF(AND(M392&lt;&gt;"",M392&lt;&gt;0), IF(E392 = "Muni", T392, IF(E392="Corp", T392*(1 -'Investor Input'!$C$4-'Investor Input'!$C$5), T392*(1 -'Investor Input'!$C$4))), T392)</f>
        <v/>
      </c>
      <c r="V392" s="84" t="str">
        <f t="shared" si="91"/>
        <v/>
      </c>
      <c r="W392" s="84" t="str">
        <f t="shared" si="92"/>
        <v/>
      </c>
      <c r="X392" s="46" t="str">
        <f t="shared" si="93"/>
        <v/>
      </c>
      <c r="Y392" s="60" t="str">
        <f t="shared" si="94"/>
        <v/>
      </c>
      <c r="Z392" s="60" t="str">
        <f t="shared" si="95"/>
        <v/>
      </c>
      <c r="AA392" s="64" t="str">
        <f t="shared" si="96"/>
        <v/>
      </c>
      <c r="AB392" s="64" t="str">
        <f>IF(AND(AA392&lt;&gt;"",AA392&lt;&gt;0), IF(E392="Muni", AA392, IF(E392 = "Corp", (1-'Investor Input'!$C$4-'Investor Input'!$C$5)*AA392, (1-'Investor Input'!$C$4)*AA392)), AA392)</f>
        <v/>
      </c>
      <c r="AC392" s="94" t="str">
        <f t="shared" si="97"/>
        <v/>
      </c>
      <c r="AD392" s="60" t="str">
        <f>IF(AND(M392&lt;&gt;"", M392&lt;&gt;0), N392/$N$505*MATCH(AC392,'Misc Lists'!$K$2:$K$25,0), "")</f>
        <v/>
      </c>
      <c r="AE392" s="90" t="str">
        <f t="shared" si="98"/>
        <v/>
      </c>
      <c r="AF392" s="99" t="str">
        <f>IF(AND(M392&lt;&gt;"", M392&lt;&gt;0), N392/$N$505*MATCH(AE392,'Misc Lists'!$L$2:$L$25,0), "")</f>
        <v/>
      </c>
    </row>
    <row r="393" spans="2:32" hidden="1" outlineLevel="1" x14ac:dyDescent="0.5">
      <c r="B393" s="65" t="str">
        <f ca="1"/>
        <v>00440KAA1</v>
      </c>
      <c r="C393" s="66" t="str">
        <f ca="1"/>
        <v>N/A</v>
      </c>
      <c r="D393" s="65" t="str">
        <f ca="1"/>
        <v>ACCENTURE CAPITAL   INC NOTE            3.90000% 10/04/2027 CALL MAKE WHOLE</v>
      </c>
      <c r="E393" s="66" t="str">
        <f ca="1"/>
        <v>Corp</v>
      </c>
      <c r="F393" s="67">
        <f ca="1"/>
        <v>3.9</v>
      </c>
      <c r="G393" s="68">
        <f ca="1"/>
        <v>46664</v>
      </c>
      <c r="H393" s="66" t="str">
        <f ca="1"/>
        <v>AA3</v>
      </c>
      <c r="I393" s="66" t="str">
        <f ca="1"/>
        <v>AA-</v>
      </c>
      <c r="J393" s="69">
        <f ca="1"/>
        <v>99.153999999999996</v>
      </c>
      <c r="K393" s="70">
        <f ca="1"/>
        <v>4.2510000000000003</v>
      </c>
      <c r="L393" s="70" t="str">
        <f ca="1"/>
        <v>500(2)</v>
      </c>
      <c r="M393" s="83"/>
      <c r="N393" s="84" t="str">
        <f t="shared" si="99"/>
        <v/>
      </c>
      <c r="O393" s="20" t="str">
        <f t="shared" si="100"/>
        <v/>
      </c>
      <c r="P393" s="64" t="str">
        <f t="shared" si="101"/>
        <v/>
      </c>
      <c r="Q393" s="85" t="str">
        <f t="shared" ca="1" si="102"/>
        <v/>
      </c>
      <c r="R393" s="86" t="str">
        <f t="shared" si="103"/>
        <v/>
      </c>
      <c r="S393" s="86" t="str">
        <f t="shared" si="104"/>
        <v/>
      </c>
      <c r="T393" s="104" t="str">
        <f t="shared" si="90"/>
        <v/>
      </c>
      <c r="U393" s="19" t="str">
        <f>IF(AND(M393&lt;&gt;"",M393&lt;&gt;0), IF(E393 = "Muni", T393, IF(E393="Corp", T393*(1 -'Investor Input'!$C$4-'Investor Input'!$C$5), T393*(1 -'Investor Input'!$C$4))), T393)</f>
        <v/>
      </c>
      <c r="V393" s="84" t="str">
        <f t="shared" si="91"/>
        <v/>
      </c>
      <c r="W393" s="84" t="str">
        <f t="shared" si="92"/>
        <v/>
      </c>
      <c r="X393" s="46" t="str">
        <f t="shared" si="93"/>
        <v/>
      </c>
      <c r="Y393" s="60" t="str">
        <f t="shared" si="94"/>
        <v/>
      </c>
      <c r="Z393" s="60" t="str">
        <f t="shared" si="95"/>
        <v/>
      </c>
      <c r="AA393" s="64" t="str">
        <f t="shared" si="96"/>
        <v/>
      </c>
      <c r="AB393" s="64" t="str">
        <f>IF(AND(AA393&lt;&gt;"",AA393&lt;&gt;0), IF(E393="Muni", AA393, IF(E393 = "Corp", (1-'Investor Input'!$C$4-'Investor Input'!$C$5)*AA393, (1-'Investor Input'!$C$4)*AA393)), AA393)</f>
        <v/>
      </c>
      <c r="AC393" s="94" t="str">
        <f t="shared" si="97"/>
        <v/>
      </c>
      <c r="AD393" s="60" t="str">
        <f>IF(AND(M393&lt;&gt;"", M393&lt;&gt;0), N393/$N$505*MATCH(AC393,'Misc Lists'!$K$2:$K$25,0), "")</f>
        <v/>
      </c>
      <c r="AE393" s="90" t="str">
        <f t="shared" si="98"/>
        <v/>
      </c>
      <c r="AF393" s="99" t="str">
        <f>IF(AND(M393&lt;&gt;"", M393&lt;&gt;0), N393/$N$505*MATCH(AE393,'Misc Lists'!$L$2:$L$25,0), "")</f>
        <v/>
      </c>
    </row>
    <row r="394" spans="2:32" hidden="1" outlineLevel="1" x14ac:dyDescent="0.5">
      <c r="B394" s="65" t="str">
        <f ca="1"/>
        <v>166756AL0</v>
      </c>
      <c r="C394" s="66" t="str">
        <f ca="1"/>
        <v>N/A</v>
      </c>
      <c r="D394" s="65" t="str">
        <f ca="1"/>
        <v>CHEVRON USA INC     NOTE CALL MAKE WHOLE1.01800% 08/12/2027</v>
      </c>
      <c r="E394" s="66" t="str">
        <f ca="1"/>
        <v>Corp</v>
      </c>
      <c r="F394" s="67">
        <f ca="1"/>
        <v>1.018</v>
      </c>
      <c r="G394" s="68">
        <f ca="1"/>
        <v>46611</v>
      </c>
      <c r="H394" s="66" t="str">
        <f ca="1"/>
        <v>AA2</v>
      </c>
      <c r="I394" s="66" t="str">
        <f ca="1"/>
        <v>AA-</v>
      </c>
      <c r="J394" s="69">
        <f ca="1"/>
        <v>92.650999999999996</v>
      </c>
      <c r="K394" s="70">
        <f ca="1"/>
        <v>4.25</v>
      </c>
      <c r="L394" s="70" t="str">
        <f ca="1"/>
        <v>500(2)</v>
      </c>
      <c r="M394" s="83"/>
      <c r="N394" s="84" t="str">
        <f t="shared" si="99"/>
        <v/>
      </c>
      <c r="O394" s="20" t="str">
        <f t="shared" si="100"/>
        <v/>
      </c>
      <c r="P394" s="64" t="str">
        <f t="shared" si="101"/>
        <v/>
      </c>
      <c r="Q394" s="85" t="str">
        <f t="shared" ca="1" si="102"/>
        <v/>
      </c>
      <c r="R394" s="86" t="str">
        <f t="shared" si="103"/>
        <v/>
      </c>
      <c r="S394" s="86" t="str">
        <f t="shared" si="104"/>
        <v/>
      </c>
      <c r="T394" s="104" t="str">
        <f t="shared" si="90"/>
        <v/>
      </c>
      <c r="U394" s="19" t="str">
        <f>IF(AND(M394&lt;&gt;"",M394&lt;&gt;0), IF(E394 = "Muni", T394, IF(E394="Corp", T394*(1 -'Investor Input'!$C$4-'Investor Input'!$C$5), T394*(1 -'Investor Input'!$C$4))), T394)</f>
        <v/>
      </c>
      <c r="V394" s="84" t="str">
        <f t="shared" si="91"/>
        <v/>
      </c>
      <c r="W394" s="84" t="str">
        <f t="shared" si="92"/>
        <v/>
      </c>
      <c r="X394" s="46" t="str">
        <f t="shared" si="93"/>
        <v/>
      </c>
      <c r="Y394" s="60" t="str">
        <f t="shared" si="94"/>
        <v/>
      </c>
      <c r="Z394" s="60" t="str">
        <f t="shared" si="95"/>
        <v/>
      </c>
      <c r="AA394" s="64" t="str">
        <f t="shared" si="96"/>
        <v/>
      </c>
      <c r="AB394" s="64" t="str">
        <f>IF(AND(AA394&lt;&gt;"",AA394&lt;&gt;0), IF(E394="Muni", AA394, IF(E394 = "Corp", (1-'Investor Input'!$C$4-'Investor Input'!$C$5)*AA394, (1-'Investor Input'!$C$4)*AA394)), AA394)</f>
        <v/>
      </c>
      <c r="AC394" s="94" t="str">
        <f t="shared" si="97"/>
        <v/>
      </c>
      <c r="AD394" s="60" t="str">
        <f>IF(AND(M394&lt;&gt;"", M394&lt;&gt;0), N394/$N$505*MATCH(AC394,'Misc Lists'!$K$2:$K$25,0), "")</f>
        <v/>
      </c>
      <c r="AE394" s="90" t="str">
        <f t="shared" si="98"/>
        <v/>
      </c>
      <c r="AF394" s="99" t="str">
        <f>IF(AND(M394&lt;&gt;"", M394&lt;&gt;0), N394/$N$505*MATCH(AE394,'Misc Lists'!$L$2:$L$25,0), "")</f>
        <v/>
      </c>
    </row>
    <row r="395" spans="2:32" hidden="1" outlineLevel="1" x14ac:dyDescent="0.5">
      <c r="B395" s="65" t="str">
        <f ca="1"/>
        <v>22160KAN5</v>
      </c>
      <c r="C395" s="66" t="str">
        <f ca="1"/>
        <v>N/A</v>
      </c>
      <c r="D395" s="65" t="str">
        <f ca="1"/>
        <v>COSTCO WHOLESALE    CORPORATION NOTE    1.37500% 06/20/2027 CALL MAKE</v>
      </c>
      <c r="E395" s="66" t="str">
        <f ca="1"/>
        <v>Corp</v>
      </c>
      <c r="F395" s="67">
        <f ca="1"/>
        <v>1.375</v>
      </c>
      <c r="G395" s="68">
        <f ca="1"/>
        <v>46558</v>
      </c>
      <c r="H395" s="66" t="str">
        <f ca="1"/>
        <v>AA3</v>
      </c>
      <c r="I395" s="66" t="str">
        <f ca="1"/>
        <v>AA</v>
      </c>
      <c r="J395" s="69">
        <f ca="1"/>
        <v>93.835999999999999</v>
      </c>
      <c r="K395" s="70">
        <f ca="1"/>
        <v>4.2489999999999997</v>
      </c>
      <c r="L395" s="70" t="str">
        <f ca="1"/>
        <v>500(2)</v>
      </c>
      <c r="M395" s="83"/>
      <c r="N395" s="84" t="str">
        <f t="shared" si="99"/>
        <v/>
      </c>
      <c r="O395" s="20" t="str">
        <f t="shared" si="100"/>
        <v/>
      </c>
      <c r="P395" s="64" t="str">
        <f t="shared" si="101"/>
        <v/>
      </c>
      <c r="Q395" s="85" t="str">
        <f t="shared" ca="1" si="102"/>
        <v/>
      </c>
      <c r="R395" s="86" t="str">
        <f t="shared" si="103"/>
        <v/>
      </c>
      <c r="S395" s="86" t="str">
        <f t="shared" si="104"/>
        <v/>
      </c>
      <c r="T395" s="104" t="str">
        <f t="shared" si="90"/>
        <v/>
      </c>
      <c r="U395" s="19" t="str">
        <f>IF(AND(M395&lt;&gt;"",M395&lt;&gt;0), IF(E395 = "Muni", T395, IF(E395="Corp", T395*(1 -'Investor Input'!$C$4-'Investor Input'!$C$5), T395*(1 -'Investor Input'!$C$4))), T395)</f>
        <v/>
      </c>
      <c r="V395" s="84" t="str">
        <f t="shared" si="91"/>
        <v/>
      </c>
      <c r="W395" s="84" t="str">
        <f t="shared" si="92"/>
        <v/>
      </c>
      <c r="X395" s="46" t="str">
        <f t="shared" si="93"/>
        <v/>
      </c>
      <c r="Y395" s="60" t="str">
        <f t="shared" si="94"/>
        <v/>
      </c>
      <c r="Z395" s="60" t="str">
        <f t="shared" si="95"/>
        <v/>
      </c>
      <c r="AA395" s="64" t="str">
        <f t="shared" si="96"/>
        <v/>
      </c>
      <c r="AB395" s="64" t="str">
        <f>IF(AND(AA395&lt;&gt;"",AA395&lt;&gt;0), IF(E395="Muni", AA395, IF(E395 = "Corp", (1-'Investor Input'!$C$4-'Investor Input'!$C$5)*AA395, (1-'Investor Input'!$C$4)*AA395)), AA395)</f>
        <v/>
      </c>
      <c r="AC395" s="94" t="str">
        <f t="shared" si="97"/>
        <v/>
      </c>
      <c r="AD395" s="60" t="str">
        <f>IF(AND(M395&lt;&gt;"", M395&lt;&gt;0), N395/$N$505*MATCH(AC395,'Misc Lists'!$K$2:$K$25,0), "")</f>
        <v/>
      </c>
      <c r="AE395" s="90" t="str">
        <f t="shared" si="98"/>
        <v/>
      </c>
      <c r="AF395" s="99" t="str">
        <f>IF(AND(M395&lt;&gt;"", M395&lt;&gt;0), N395/$N$505*MATCH(AE395,'Misc Lists'!$L$2:$L$25,0), "")</f>
        <v/>
      </c>
    </row>
    <row r="396" spans="2:32" hidden="1" outlineLevel="1" x14ac:dyDescent="0.5">
      <c r="B396" s="65" t="str">
        <f ca="1"/>
        <v>166764BL3</v>
      </c>
      <c r="C396" s="66" t="str">
        <f ca="1"/>
        <v>N/A</v>
      </c>
      <c r="D396" s="65" t="str">
        <f ca="1"/>
        <v>CHEVRON CORPORATION NOTE CALL MAKE WHOLE2.95400% 05/16/2026</v>
      </c>
      <c r="E396" s="66" t="str">
        <f ca="1"/>
        <v>Corp</v>
      </c>
      <c r="F396" s="67">
        <f ca="1"/>
        <v>2.9540000000000002</v>
      </c>
      <c r="G396" s="68">
        <f ca="1"/>
        <v>46158</v>
      </c>
      <c r="H396" s="66" t="str">
        <f ca="1"/>
        <v>AA2</v>
      </c>
      <c r="I396" s="66" t="str">
        <f ca="1"/>
        <v>AA-</v>
      </c>
      <c r="J396" s="69">
        <f ca="1"/>
        <v>98.525000000000006</v>
      </c>
      <c r="K396" s="70">
        <f ca="1"/>
        <v>4.2480000000000002</v>
      </c>
      <c r="L396" s="70" t="str">
        <f ca="1"/>
        <v>21(2)</v>
      </c>
      <c r="M396" s="83"/>
      <c r="N396" s="84" t="str">
        <f t="shared" si="99"/>
        <v/>
      </c>
      <c r="O396" s="20" t="str">
        <f t="shared" si="100"/>
        <v/>
      </c>
      <c r="P396" s="64" t="str">
        <f t="shared" si="101"/>
        <v/>
      </c>
      <c r="Q396" s="85" t="str">
        <f t="shared" ca="1" si="102"/>
        <v/>
      </c>
      <c r="R396" s="86" t="str">
        <f t="shared" si="103"/>
        <v/>
      </c>
      <c r="S396" s="86" t="str">
        <f t="shared" si="104"/>
        <v/>
      </c>
      <c r="T396" s="104" t="str">
        <f t="shared" si="90"/>
        <v/>
      </c>
      <c r="U396" s="19" t="str">
        <f>IF(AND(M396&lt;&gt;"",M396&lt;&gt;0), IF(E396 = "Muni", T396, IF(E396="Corp", T396*(1 -'Investor Input'!$C$4-'Investor Input'!$C$5), T396*(1 -'Investor Input'!$C$4))), T396)</f>
        <v/>
      </c>
      <c r="V396" s="84" t="str">
        <f t="shared" si="91"/>
        <v/>
      </c>
      <c r="W396" s="84" t="str">
        <f t="shared" si="92"/>
        <v/>
      </c>
      <c r="X396" s="46" t="str">
        <f t="shared" si="93"/>
        <v/>
      </c>
      <c r="Y396" s="60" t="str">
        <f t="shared" si="94"/>
        <v/>
      </c>
      <c r="Z396" s="60" t="str">
        <f t="shared" si="95"/>
        <v/>
      </c>
      <c r="AA396" s="64" t="str">
        <f t="shared" si="96"/>
        <v/>
      </c>
      <c r="AB396" s="64" t="str">
        <f>IF(AND(AA396&lt;&gt;"",AA396&lt;&gt;0), IF(E396="Muni", AA396, IF(E396 = "Corp", (1-'Investor Input'!$C$4-'Investor Input'!$C$5)*AA396, (1-'Investor Input'!$C$4)*AA396)), AA396)</f>
        <v/>
      </c>
      <c r="AC396" s="94" t="str">
        <f t="shared" si="97"/>
        <v/>
      </c>
      <c r="AD396" s="60" t="str">
        <f>IF(AND(M396&lt;&gt;"", M396&lt;&gt;0), N396/$N$505*MATCH(AC396,'Misc Lists'!$K$2:$K$25,0), "")</f>
        <v/>
      </c>
      <c r="AE396" s="90" t="str">
        <f t="shared" si="98"/>
        <v/>
      </c>
      <c r="AF396" s="99" t="str">
        <f>IF(AND(M396&lt;&gt;"", M396&lt;&gt;0), N396/$N$505*MATCH(AE396,'Misc Lists'!$L$2:$L$25,0), "")</f>
        <v/>
      </c>
    </row>
    <row r="397" spans="2:32" hidden="1" outlineLevel="1" x14ac:dyDescent="0.5">
      <c r="B397" s="65" t="str">
        <f ca="1"/>
        <v>822582BX9</v>
      </c>
      <c r="C397" s="66" t="str">
        <f ca="1"/>
        <v>N/A</v>
      </c>
      <c r="D397" s="65" t="str">
        <f ca="1"/>
        <v>SHELL INTERNATIONAL FIN BV NOTE         2.50000% 09/12/2026 CALL MAKE WHOLE</v>
      </c>
      <c r="E397" s="66" t="str">
        <f ca="1"/>
        <v>Corp</v>
      </c>
      <c r="F397" s="67">
        <f ca="1"/>
        <v>2.5</v>
      </c>
      <c r="G397" s="68">
        <f ca="1"/>
        <v>46277</v>
      </c>
      <c r="H397" s="66" t="str">
        <f ca="1"/>
        <v>AA2</v>
      </c>
      <c r="I397" s="66" t="str">
        <f ca="1"/>
        <v>A+</v>
      </c>
      <c r="J397" s="69">
        <f ca="1"/>
        <v>97.486999999999995</v>
      </c>
      <c r="K397" s="70">
        <f ca="1"/>
        <v>4.2469999999999999</v>
      </c>
      <c r="L397" s="70" t="str">
        <f ca="1"/>
        <v>186(1)</v>
      </c>
      <c r="M397" s="83"/>
      <c r="N397" s="84" t="str">
        <f t="shared" si="99"/>
        <v/>
      </c>
      <c r="O397" s="20" t="str">
        <f t="shared" si="100"/>
        <v/>
      </c>
      <c r="P397" s="64" t="str">
        <f t="shared" si="101"/>
        <v/>
      </c>
      <c r="Q397" s="85" t="str">
        <f t="shared" ca="1" si="102"/>
        <v/>
      </c>
      <c r="R397" s="86" t="str">
        <f t="shared" si="103"/>
        <v/>
      </c>
      <c r="S397" s="86" t="str">
        <f t="shared" si="104"/>
        <v/>
      </c>
      <c r="T397" s="104" t="str">
        <f t="shared" si="90"/>
        <v/>
      </c>
      <c r="U397" s="19" t="str">
        <f>IF(AND(M397&lt;&gt;"",M397&lt;&gt;0), IF(E397 = "Muni", T397, IF(E397="Corp", T397*(1 -'Investor Input'!$C$4-'Investor Input'!$C$5), T397*(1 -'Investor Input'!$C$4))), T397)</f>
        <v/>
      </c>
      <c r="V397" s="84" t="str">
        <f t="shared" si="91"/>
        <v/>
      </c>
      <c r="W397" s="84" t="str">
        <f t="shared" si="92"/>
        <v/>
      </c>
      <c r="X397" s="46" t="str">
        <f t="shared" si="93"/>
        <v/>
      </c>
      <c r="Y397" s="60" t="str">
        <f t="shared" si="94"/>
        <v/>
      </c>
      <c r="Z397" s="60" t="str">
        <f t="shared" si="95"/>
        <v/>
      </c>
      <c r="AA397" s="64" t="str">
        <f t="shared" si="96"/>
        <v/>
      </c>
      <c r="AB397" s="64" t="str">
        <f>IF(AND(AA397&lt;&gt;"",AA397&lt;&gt;0), IF(E397="Muni", AA397, IF(E397 = "Corp", (1-'Investor Input'!$C$4-'Investor Input'!$C$5)*AA397, (1-'Investor Input'!$C$4)*AA397)), AA397)</f>
        <v/>
      </c>
      <c r="AC397" s="94" t="str">
        <f t="shared" si="97"/>
        <v/>
      </c>
      <c r="AD397" s="60" t="str">
        <f>IF(AND(M397&lt;&gt;"", M397&lt;&gt;0), N397/$N$505*MATCH(AC397,'Misc Lists'!$K$2:$K$25,0), "")</f>
        <v/>
      </c>
      <c r="AE397" s="90" t="str">
        <f t="shared" si="98"/>
        <v/>
      </c>
      <c r="AF397" s="99" t="str">
        <f>IF(AND(M397&lt;&gt;"", M397&lt;&gt;0), N397/$N$505*MATCH(AE397,'Misc Lists'!$L$2:$L$25,0), "")</f>
        <v/>
      </c>
    </row>
    <row r="398" spans="2:32" hidden="1" outlineLevel="1" x14ac:dyDescent="0.5">
      <c r="B398" s="65" t="str">
        <f ca="1"/>
        <v>06406HCQ0</v>
      </c>
      <c r="C398" s="66" t="str">
        <f ca="1"/>
        <v>N/A</v>
      </c>
      <c r="D398" s="65" t="str">
        <f ca="1"/>
        <v>BANK NEW YORK MELLONCORP MTN            3.95000% 11/18/2025</v>
      </c>
      <c r="E398" s="66" t="str">
        <f ca="1"/>
        <v>Corp</v>
      </c>
      <c r="F398" s="67">
        <f ca="1"/>
        <v>3.95</v>
      </c>
      <c r="G398" s="68">
        <f ca="1"/>
        <v>45979</v>
      </c>
      <c r="H398" s="66" t="str">
        <f ca="1"/>
        <v>AA3</v>
      </c>
      <c r="I398" s="66" t="str">
        <f ca="1"/>
        <v>A</v>
      </c>
      <c r="J398" s="69">
        <f ca="1"/>
        <v>99.799000000000007</v>
      </c>
      <c r="K398" s="70">
        <f ca="1"/>
        <v>4.2439999999999998</v>
      </c>
      <c r="L398" s="70" t="str">
        <f ca="1"/>
        <v>650(1)</v>
      </c>
      <c r="M398" s="83"/>
      <c r="N398" s="84" t="str">
        <f t="shared" si="99"/>
        <v/>
      </c>
      <c r="O398" s="20" t="str">
        <f t="shared" si="100"/>
        <v/>
      </c>
      <c r="P398" s="64" t="str">
        <f t="shared" si="101"/>
        <v/>
      </c>
      <c r="Q398" s="85" t="str">
        <f t="shared" ca="1" si="102"/>
        <v/>
      </c>
      <c r="R398" s="86" t="str">
        <f t="shared" si="103"/>
        <v/>
      </c>
      <c r="S398" s="86" t="str">
        <f t="shared" si="104"/>
        <v/>
      </c>
      <c r="T398" s="104" t="str">
        <f t="shared" si="90"/>
        <v/>
      </c>
      <c r="U398" s="19" t="str">
        <f>IF(AND(M398&lt;&gt;"",M398&lt;&gt;0), IF(E398 = "Muni", T398, IF(E398="Corp", T398*(1 -'Investor Input'!$C$4-'Investor Input'!$C$5), T398*(1 -'Investor Input'!$C$4))), T398)</f>
        <v/>
      </c>
      <c r="V398" s="84" t="str">
        <f t="shared" si="91"/>
        <v/>
      </c>
      <c r="W398" s="84" t="str">
        <f t="shared" si="92"/>
        <v/>
      </c>
      <c r="X398" s="46" t="str">
        <f t="shared" si="93"/>
        <v/>
      </c>
      <c r="Y398" s="60" t="str">
        <f t="shared" si="94"/>
        <v/>
      </c>
      <c r="Z398" s="60" t="str">
        <f t="shared" si="95"/>
        <v/>
      </c>
      <c r="AA398" s="64" t="str">
        <f t="shared" si="96"/>
        <v/>
      </c>
      <c r="AB398" s="64" t="str">
        <f>IF(AND(AA398&lt;&gt;"",AA398&lt;&gt;0), IF(E398="Muni", AA398, IF(E398 = "Corp", (1-'Investor Input'!$C$4-'Investor Input'!$C$5)*AA398, (1-'Investor Input'!$C$4)*AA398)), AA398)</f>
        <v/>
      </c>
      <c r="AC398" s="94" t="str">
        <f t="shared" si="97"/>
        <v/>
      </c>
      <c r="AD398" s="60" t="str">
        <f>IF(AND(M398&lt;&gt;"", M398&lt;&gt;0), N398/$N$505*MATCH(AC398,'Misc Lists'!$K$2:$K$25,0), "")</f>
        <v/>
      </c>
      <c r="AE398" s="90" t="str">
        <f t="shared" si="98"/>
        <v/>
      </c>
      <c r="AF398" s="99" t="str">
        <f>IF(AND(M398&lt;&gt;"", M398&lt;&gt;0), N398/$N$505*MATCH(AE398,'Misc Lists'!$L$2:$L$25,0), "")</f>
        <v/>
      </c>
    </row>
    <row r="399" spans="2:32" hidden="1" outlineLevel="1" x14ac:dyDescent="0.5">
      <c r="B399" s="65" t="str">
        <f ca="1"/>
        <v>665772BN8</v>
      </c>
      <c r="C399" s="66" t="str">
        <f ca="1"/>
        <v>N/A</v>
      </c>
      <c r="D399" s="65" t="str">
        <f ca="1"/>
        <v>NORTHERN STS PWR CO MINN BOND           7.12500% 07/01/2025</v>
      </c>
      <c r="E399" s="66" t="str">
        <f ca="1"/>
        <v>Corp</v>
      </c>
      <c r="F399" s="67">
        <f ca="1"/>
        <v>7.125</v>
      </c>
      <c r="G399" s="68">
        <f ca="1"/>
        <v>45839</v>
      </c>
      <c r="H399" s="66" t="str">
        <f ca="1"/>
        <v>AA3</v>
      </c>
      <c r="I399" s="66" t="str">
        <f ca="1"/>
        <v>A</v>
      </c>
      <c r="J399" s="69">
        <f ca="1"/>
        <v>100.84399999999999</v>
      </c>
      <c r="K399" s="70">
        <f ca="1"/>
        <v>4.242</v>
      </c>
      <c r="L399" s="70" t="str">
        <f ca="1"/>
        <v>4(1)</v>
      </c>
      <c r="M399" s="83"/>
      <c r="N399" s="84" t="str">
        <f t="shared" si="99"/>
        <v/>
      </c>
      <c r="O399" s="20" t="str">
        <f t="shared" si="100"/>
        <v/>
      </c>
      <c r="P399" s="64" t="str">
        <f t="shared" si="101"/>
        <v/>
      </c>
      <c r="Q399" s="85" t="str">
        <f t="shared" ca="1" si="102"/>
        <v/>
      </c>
      <c r="R399" s="86" t="str">
        <f t="shared" si="103"/>
        <v/>
      </c>
      <c r="S399" s="86" t="str">
        <f t="shared" si="104"/>
        <v/>
      </c>
      <c r="T399" s="104" t="str">
        <f t="shared" si="90"/>
        <v/>
      </c>
      <c r="U399" s="19" t="str">
        <f>IF(AND(M399&lt;&gt;"",M399&lt;&gt;0), IF(E399 = "Muni", T399, IF(E399="Corp", T399*(1 -'Investor Input'!$C$4-'Investor Input'!$C$5), T399*(1 -'Investor Input'!$C$4))), T399)</f>
        <v/>
      </c>
      <c r="V399" s="84" t="str">
        <f t="shared" si="91"/>
        <v/>
      </c>
      <c r="W399" s="84" t="str">
        <f t="shared" si="92"/>
        <v/>
      </c>
      <c r="X399" s="46" t="str">
        <f t="shared" si="93"/>
        <v/>
      </c>
      <c r="Y399" s="60" t="str">
        <f t="shared" si="94"/>
        <v/>
      </c>
      <c r="Z399" s="60" t="str">
        <f t="shared" si="95"/>
        <v/>
      </c>
      <c r="AA399" s="64" t="str">
        <f t="shared" si="96"/>
        <v/>
      </c>
      <c r="AB399" s="64" t="str">
        <f>IF(AND(AA399&lt;&gt;"",AA399&lt;&gt;0), IF(E399="Muni", AA399, IF(E399 = "Corp", (1-'Investor Input'!$C$4-'Investor Input'!$C$5)*AA399, (1-'Investor Input'!$C$4)*AA399)), AA399)</f>
        <v/>
      </c>
      <c r="AC399" s="94" t="str">
        <f t="shared" si="97"/>
        <v/>
      </c>
      <c r="AD399" s="60" t="str">
        <f>IF(AND(M399&lt;&gt;"", M399&lt;&gt;0), N399/$N$505*MATCH(AC399,'Misc Lists'!$K$2:$K$25,0), "")</f>
        <v/>
      </c>
      <c r="AE399" s="90" t="str">
        <f t="shared" si="98"/>
        <v/>
      </c>
      <c r="AF399" s="99" t="str">
        <f>IF(AND(M399&lt;&gt;"", M399&lt;&gt;0), N399/$N$505*MATCH(AE399,'Misc Lists'!$L$2:$L$25,0), "")</f>
        <v/>
      </c>
    </row>
    <row r="400" spans="2:32" hidden="1" outlineLevel="1" x14ac:dyDescent="0.5">
      <c r="B400" s="65" t="str">
        <f ca="1"/>
        <v>92826CAD4</v>
      </c>
      <c r="C400" s="66" t="str">
        <f ca="1"/>
        <v>N/A</v>
      </c>
      <c r="D400" s="65" t="str">
        <f ca="1"/>
        <v>VISA INC            NOTE CALL MAKE WHOLE3.15000% 12/14/2025</v>
      </c>
      <c r="E400" s="66" t="str">
        <f ca="1"/>
        <v>Corp</v>
      </c>
      <c r="F400" s="67">
        <f ca="1"/>
        <v>3.15</v>
      </c>
      <c r="G400" s="68">
        <f ca="1"/>
        <v>46005</v>
      </c>
      <c r="H400" s="66" t="str">
        <f ca="1"/>
        <v>AA3</v>
      </c>
      <c r="I400" s="66" t="str">
        <f ca="1"/>
        <v>AA-</v>
      </c>
      <c r="J400" s="69">
        <f ca="1"/>
        <v>99.191999999999993</v>
      </c>
      <c r="K400" s="70">
        <f ca="1"/>
        <v>4.242</v>
      </c>
      <c r="L400" s="70" t="str">
        <f ca="1"/>
        <v>10(10)</v>
      </c>
      <c r="M400" s="83"/>
      <c r="N400" s="84" t="str">
        <f t="shared" si="99"/>
        <v/>
      </c>
      <c r="O400" s="20" t="str">
        <f t="shared" si="100"/>
        <v/>
      </c>
      <c r="P400" s="64" t="str">
        <f t="shared" si="101"/>
        <v/>
      </c>
      <c r="Q400" s="85" t="str">
        <f t="shared" ca="1" si="102"/>
        <v/>
      </c>
      <c r="R400" s="86" t="str">
        <f t="shared" si="103"/>
        <v/>
      </c>
      <c r="S400" s="86" t="str">
        <f t="shared" si="104"/>
        <v/>
      </c>
      <c r="T400" s="104" t="str">
        <f t="shared" si="90"/>
        <v/>
      </c>
      <c r="U400" s="19" t="str">
        <f>IF(AND(M400&lt;&gt;"",M400&lt;&gt;0), IF(E400 = "Muni", T400, IF(E400="Corp", T400*(1 -'Investor Input'!$C$4-'Investor Input'!$C$5), T400*(1 -'Investor Input'!$C$4))), T400)</f>
        <v/>
      </c>
      <c r="V400" s="84" t="str">
        <f t="shared" si="91"/>
        <v/>
      </c>
      <c r="W400" s="84" t="str">
        <f t="shared" si="92"/>
        <v/>
      </c>
      <c r="X400" s="46" t="str">
        <f t="shared" si="93"/>
        <v/>
      </c>
      <c r="Y400" s="60" t="str">
        <f t="shared" si="94"/>
        <v/>
      </c>
      <c r="Z400" s="60" t="str">
        <f t="shared" si="95"/>
        <v/>
      </c>
      <c r="AA400" s="64" t="str">
        <f t="shared" si="96"/>
        <v/>
      </c>
      <c r="AB400" s="64" t="str">
        <f>IF(AND(AA400&lt;&gt;"",AA400&lt;&gt;0), IF(E400="Muni", AA400, IF(E400 = "Corp", (1-'Investor Input'!$C$4-'Investor Input'!$C$5)*AA400, (1-'Investor Input'!$C$4)*AA400)), AA400)</f>
        <v/>
      </c>
      <c r="AC400" s="94" t="str">
        <f t="shared" si="97"/>
        <v/>
      </c>
      <c r="AD400" s="60" t="str">
        <f>IF(AND(M400&lt;&gt;"", M400&lt;&gt;0), N400/$N$505*MATCH(AC400,'Misc Lists'!$K$2:$K$25,0), "")</f>
        <v/>
      </c>
      <c r="AE400" s="90" t="str">
        <f t="shared" si="98"/>
        <v/>
      </c>
      <c r="AF400" s="99" t="str">
        <f>IF(AND(M400&lt;&gt;"", M400&lt;&gt;0), N400/$N$505*MATCH(AE400,'Misc Lists'!$L$2:$L$25,0), "")</f>
        <v/>
      </c>
    </row>
    <row r="401" spans="2:32" hidden="1" outlineLevel="1" x14ac:dyDescent="0.5">
      <c r="B401" s="65" t="str">
        <f ca="1"/>
        <v>742718AV1</v>
      </c>
      <c r="C401" s="66" t="str">
        <f ca="1"/>
        <v>N/A</v>
      </c>
      <c r="D401" s="65" t="str">
        <f ca="1"/>
        <v>PROCTER &amp;GAMBLE CO  BOND                8.00000% 10/26/2029</v>
      </c>
      <c r="E401" s="66" t="str">
        <f ca="1"/>
        <v>Corp</v>
      </c>
      <c r="F401" s="67">
        <f ca="1"/>
        <v>8</v>
      </c>
      <c r="G401" s="68">
        <f ca="1"/>
        <v>47417</v>
      </c>
      <c r="H401" s="66" t="str">
        <f ca="1"/>
        <v>AA3</v>
      </c>
      <c r="I401" s="66" t="str">
        <f ca="1"/>
        <v>AA-</v>
      </c>
      <c r="J401" s="69">
        <f ca="1"/>
        <v>115.64100000000001</v>
      </c>
      <c r="K401" s="70">
        <f ca="1"/>
        <v>4.2370000000000001</v>
      </c>
      <c r="L401" s="70" t="str">
        <f ca="1"/>
        <v>943(5)</v>
      </c>
      <c r="M401" s="83"/>
      <c r="N401" s="84" t="str">
        <f t="shared" si="99"/>
        <v/>
      </c>
      <c r="O401" s="20" t="str">
        <f t="shared" si="100"/>
        <v/>
      </c>
      <c r="P401" s="64" t="str">
        <f t="shared" si="101"/>
        <v/>
      </c>
      <c r="Q401" s="85" t="str">
        <f t="shared" ca="1" si="102"/>
        <v/>
      </c>
      <c r="R401" s="86" t="str">
        <f t="shared" si="103"/>
        <v/>
      </c>
      <c r="S401" s="86" t="str">
        <f t="shared" si="104"/>
        <v/>
      </c>
      <c r="T401" s="104" t="str">
        <f t="shared" si="90"/>
        <v/>
      </c>
      <c r="U401" s="19" t="str">
        <f>IF(AND(M401&lt;&gt;"",M401&lt;&gt;0), IF(E401 = "Muni", T401, IF(E401="Corp", T401*(1 -'Investor Input'!$C$4-'Investor Input'!$C$5), T401*(1 -'Investor Input'!$C$4))), T401)</f>
        <v/>
      </c>
      <c r="V401" s="84" t="str">
        <f t="shared" si="91"/>
        <v/>
      </c>
      <c r="W401" s="84" t="str">
        <f t="shared" si="92"/>
        <v/>
      </c>
      <c r="X401" s="46" t="str">
        <f t="shared" si="93"/>
        <v/>
      </c>
      <c r="Y401" s="60" t="str">
        <f t="shared" si="94"/>
        <v/>
      </c>
      <c r="Z401" s="60" t="str">
        <f t="shared" si="95"/>
        <v/>
      </c>
      <c r="AA401" s="64" t="str">
        <f t="shared" si="96"/>
        <v/>
      </c>
      <c r="AB401" s="64" t="str">
        <f>IF(AND(AA401&lt;&gt;"",AA401&lt;&gt;0), IF(E401="Muni", AA401, IF(E401 = "Corp", (1-'Investor Input'!$C$4-'Investor Input'!$C$5)*AA401, (1-'Investor Input'!$C$4)*AA401)), AA401)</f>
        <v/>
      </c>
      <c r="AC401" s="94" t="str">
        <f t="shared" si="97"/>
        <v/>
      </c>
      <c r="AD401" s="60" t="str">
        <f>IF(AND(M401&lt;&gt;"", M401&lt;&gt;0), N401/$N$505*MATCH(AC401,'Misc Lists'!$K$2:$K$25,0), "")</f>
        <v/>
      </c>
      <c r="AE401" s="90" t="str">
        <f t="shared" si="98"/>
        <v/>
      </c>
      <c r="AF401" s="99" t="str">
        <f>IF(AND(M401&lt;&gt;"", M401&lt;&gt;0), N401/$N$505*MATCH(AE401,'Misc Lists'!$L$2:$L$25,0), "")</f>
        <v/>
      </c>
    </row>
    <row r="402" spans="2:32" hidden="1" outlineLevel="1" x14ac:dyDescent="0.5">
      <c r="B402" s="65" t="str">
        <f ca="1"/>
        <v>053015AE3</v>
      </c>
      <c r="C402" s="66" t="str">
        <f ca="1"/>
        <v>N/A</v>
      </c>
      <c r="D402" s="65" t="str">
        <f ca="1"/>
        <v>AUTOMATIC DATA      PROCESSING INC NOTE 3.37500% 09/15/2025 CALL MAKE WHOLE</v>
      </c>
      <c r="E402" s="66" t="str">
        <f ca="1"/>
        <v>Corp</v>
      </c>
      <c r="F402" s="67">
        <f ca="1"/>
        <v>3.375</v>
      </c>
      <c r="G402" s="68">
        <f ca="1"/>
        <v>45915</v>
      </c>
      <c r="H402" s="66" t="str">
        <f ca="1"/>
        <v>AA3</v>
      </c>
      <c r="I402" s="66" t="str">
        <f ca="1"/>
        <v>AA-</v>
      </c>
      <c r="J402" s="69">
        <f ca="1"/>
        <v>99.570999999999998</v>
      </c>
      <c r="K402" s="70">
        <f ca="1"/>
        <v>4.2359999999999998</v>
      </c>
      <c r="L402" s="70" t="str">
        <f ca="1"/>
        <v>250(10)</v>
      </c>
      <c r="M402" s="83"/>
      <c r="N402" s="84" t="str">
        <f t="shared" si="99"/>
        <v/>
      </c>
      <c r="O402" s="20" t="str">
        <f t="shared" si="100"/>
        <v/>
      </c>
      <c r="P402" s="64" t="str">
        <f t="shared" si="101"/>
        <v/>
      </c>
      <c r="Q402" s="85" t="str">
        <f t="shared" ca="1" si="102"/>
        <v/>
      </c>
      <c r="R402" s="86" t="str">
        <f t="shared" si="103"/>
        <v/>
      </c>
      <c r="S402" s="86" t="str">
        <f t="shared" si="104"/>
        <v/>
      </c>
      <c r="T402" s="104" t="str">
        <f t="shared" si="90"/>
        <v/>
      </c>
      <c r="U402" s="19" t="str">
        <f>IF(AND(M402&lt;&gt;"",M402&lt;&gt;0), IF(E402 = "Muni", T402, IF(E402="Corp", T402*(1 -'Investor Input'!$C$4-'Investor Input'!$C$5), T402*(1 -'Investor Input'!$C$4))), T402)</f>
        <v/>
      </c>
      <c r="V402" s="84" t="str">
        <f t="shared" si="91"/>
        <v/>
      </c>
      <c r="W402" s="84" t="str">
        <f t="shared" si="92"/>
        <v/>
      </c>
      <c r="X402" s="46" t="str">
        <f t="shared" si="93"/>
        <v/>
      </c>
      <c r="Y402" s="60" t="str">
        <f t="shared" si="94"/>
        <v/>
      </c>
      <c r="Z402" s="60" t="str">
        <f t="shared" si="95"/>
        <v/>
      </c>
      <c r="AA402" s="64" t="str">
        <f t="shared" si="96"/>
        <v/>
      </c>
      <c r="AB402" s="64" t="str">
        <f>IF(AND(AA402&lt;&gt;"",AA402&lt;&gt;0), IF(E402="Muni", AA402, IF(E402 = "Corp", (1-'Investor Input'!$C$4-'Investor Input'!$C$5)*AA402, (1-'Investor Input'!$C$4)*AA402)), AA402)</f>
        <v/>
      </c>
      <c r="AC402" s="94" t="str">
        <f t="shared" si="97"/>
        <v/>
      </c>
      <c r="AD402" s="60" t="str">
        <f>IF(AND(M402&lt;&gt;"", M402&lt;&gt;0), N402/$N$505*MATCH(AC402,'Misc Lists'!$K$2:$K$25,0), "")</f>
        <v/>
      </c>
      <c r="AE402" s="90" t="str">
        <f t="shared" si="98"/>
        <v/>
      </c>
      <c r="AF402" s="99" t="str">
        <f>IF(AND(M402&lt;&gt;"", M402&lt;&gt;0), N402/$N$505*MATCH(AE402,'Misc Lists'!$L$2:$L$25,0), "")</f>
        <v/>
      </c>
    </row>
    <row r="403" spans="2:32" hidden="1" outlineLevel="1" x14ac:dyDescent="0.5">
      <c r="B403" s="65" t="str">
        <f ca="1"/>
        <v>26442UAT1</v>
      </c>
      <c r="C403" s="66" t="str">
        <f ca="1"/>
        <v>N/A</v>
      </c>
      <c r="D403" s="65" t="str">
        <f ca="1"/>
        <v>DUKE ENERGY PROGRESSLLC BOND            4.35000% 03/06/2027 CALL MAKE WHOLE</v>
      </c>
      <c r="E403" s="66" t="str">
        <f ca="1"/>
        <v>Corp</v>
      </c>
      <c r="F403" s="67">
        <f ca="1"/>
        <v>4.3499999999999996</v>
      </c>
      <c r="G403" s="68">
        <f ca="1"/>
        <v>46452</v>
      </c>
      <c r="H403" s="66" t="str">
        <f ca="1"/>
        <v>AA3</v>
      </c>
      <c r="I403" s="66" t="str">
        <f ca="1"/>
        <v>A</v>
      </c>
      <c r="J403" s="69">
        <f ca="1"/>
        <v>100.217</v>
      </c>
      <c r="K403" s="70">
        <f ca="1"/>
        <v>4.234</v>
      </c>
      <c r="L403" s="70" t="str">
        <f ca="1"/>
        <v>500(2)</v>
      </c>
      <c r="M403" s="83"/>
      <c r="N403" s="84" t="str">
        <f t="shared" si="99"/>
        <v/>
      </c>
      <c r="O403" s="20" t="str">
        <f t="shared" si="100"/>
        <v/>
      </c>
      <c r="P403" s="64" t="str">
        <f t="shared" si="101"/>
        <v/>
      </c>
      <c r="Q403" s="85" t="str">
        <f t="shared" ca="1" si="102"/>
        <v/>
      </c>
      <c r="R403" s="86" t="str">
        <f t="shared" si="103"/>
        <v/>
      </c>
      <c r="S403" s="86" t="str">
        <f t="shared" si="104"/>
        <v/>
      </c>
      <c r="T403" s="104" t="str">
        <f t="shared" si="90"/>
        <v/>
      </c>
      <c r="U403" s="19" t="str">
        <f>IF(AND(M403&lt;&gt;"",M403&lt;&gt;0), IF(E403 = "Muni", T403, IF(E403="Corp", T403*(1 -'Investor Input'!$C$4-'Investor Input'!$C$5), T403*(1 -'Investor Input'!$C$4))), T403)</f>
        <v/>
      </c>
      <c r="V403" s="84" t="str">
        <f t="shared" si="91"/>
        <v/>
      </c>
      <c r="W403" s="84" t="str">
        <f t="shared" si="92"/>
        <v/>
      </c>
      <c r="X403" s="46" t="str">
        <f t="shared" si="93"/>
        <v/>
      </c>
      <c r="Y403" s="60" t="str">
        <f t="shared" si="94"/>
        <v/>
      </c>
      <c r="Z403" s="60" t="str">
        <f t="shared" si="95"/>
        <v/>
      </c>
      <c r="AA403" s="64" t="str">
        <f t="shared" si="96"/>
        <v/>
      </c>
      <c r="AB403" s="64" t="str">
        <f>IF(AND(AA403&lt;&gt;"",AA403&lt;&gt;0), IF(E403="Muni", AA403, IF(E403 = "Corp", (1-'Investor Input'!$C$4-'Investor Input'!$C$5)*AA403, (1-'Investor Input'!$C$4)*AA403)), AA403)</f>
        <v/>
      </c>
      <c r="AC403" s="94" t="str">
        <f t="shared" si="97"/>
        <v/>
      </c>
      <c r="AD403" s="60" t="str">
        <f>IF(AND(M403&lt;&gt;"", M403&lt;&gt;0), N403/$N$505*MATCH(AC403,'Misc Lists'!$K$2:$K$25,0), "")</f>
        <v/>
      </c>
      <c r="AE403" s="90" t="str">
        <f t="shared" si="98"/>
        <v/>
      </c>
      <c r="AF403" s="99" t="str">
        <f>IF(AND(M403&lt;&gt;"", M403&lt;&gt;0), N403/$N$505*MATCH(AE403,'Misc Lists'!$L$2:$L$25,0), "")</f>
        <v/>
      </c>
    </row>
    <row r="404" spans="2:32" hidden="1" outlineLevel="1" x14ac:dyDescent="0.5">
      <c r="B404" s="65" t="str">
        <f ca="1"/>
        <v>961214ER0</v>
      </c>
      <c r="C404" s="66" t="str">
        <f ca="1"/>
        <v>N/A</v>
      </c>
      <c r="D404" s="65" t="str">
        <f ca="1"/>
        <v>WESTPAC BKG CORP    NOTE                1.15000% 06/03/2026</v>
      </c>
      <c r="E404" s="66" t="str">
        <f ca="1"/>
        <v>Corp</v>
      </c>
      <c r="F404" s="67">
        <f ca="1"/>
        <v>1.1499999999999999</v>
      </c>
      <c r="G404" s="68">
        <f ca="1"/>
        <v>46176</v>
      </c>
      <c r="H404" s="66" t="str">
        <f ca="1"/>
        <v>AA2</v>
      </c>
      <c r="I404" s="66" t="str">
        <f ca="1"/>
        <v>AA-</v>
      </c>
      <c r="J404" s="69">
        <f ca="1"/>
        <v>96.355999999999995</v>
      </c>
      <c r="K404" s="70">
        <f ca="1"/>
        <v>4.2329999999999997</v>
      </c>
      <c r="L404" s="70" t="str">
        <f ca="1"/>
        <v>500(2)</v>
      </c>
      <c r="M404" s="83"/>
      <c r="N404" s="84" t="str">
        <f t="shared" si="99"/>
        <v/>
      </c>
      <c r="O404" s="20" t="str">
        <f t="shared" si="100"/>
        <v/>
      </c>
      <c r="P404" s="64" t="str">
        <f t="shared" si="101"/>
        <v/>
      </c>
      <c r="Q404" s="85" t="str">
        <f t="shared" ca="1" si="102"/>
        <v/>
      </c>
      <c r="R404" s="86" t="str">
        <f t="shared" si="103"/>
        <v/>
      </c>
      <c r="S404" s="86" t="str">
        <f t="shared" si="104"/>
        <v/>
      </c>
      <c r="T404" s="104" t="str">
        <f t="shared" si="90"/>
        <v/>
      </c>
      <c r="U404" s="19" t="str">
        <f>IF(AND(M404&lt;&gt;"",M404&lt;&gt;0), IF(E404 = "Muni", T404, IF(E404="Corp", T404*(1 -'Investor Input'!$C$4-'Investor Input'!$C$5), T404*(1 -'Investor Input'!$C$4))), T404)</f>
        <v/>
      </c>
      <c r="V404" s="84" t="str">
        <f t="shared" si="91"/>
        <v/>
      </c>
      <c r="W404" s="84" t="str">
        <f t="shared" si="92"/>
        <v/>
      </c>
      <c r="X404" s="46" t="str">
        <f t="shared" si="93"/>
        <v/>
      </c>
      <c r="Y404" s="60" t="str">
        <f t="shared" si="94"/>
        <v/>
      </c>
      <c r="Z404" s="60" t="str">
        <f t="shared" si="95"/>
        <v/>
      </c>
      <c r="AA404" s="64" t="str">
        <f t="shared" si="96"/>
        <v/>
      </c>
      <c r="AB404" s="64" t="str">
        <f>IF(AND(AA404&lt;&gt;"",AA404&lt;&gt;0), IF(E404="Muni", AA404, IF(E404 = "Corp", (1-'Investor Input'!$C$4-'Investor Input'!$C$5)*AA404, (1-'Investor Input'!$C$4)*AA404)), AA404)</f>
        <v/>
      </c>
      <c r="AC404" s="94" t="str">
        <f t="shared" si="97"/>
        <v/>
      </c>
      <c r="AD404" s="60" t="str">
        <f>IF(AND(M404&lt;&gt;"", M404&lt;&gt;0), N404/$N$505*MATCH(AC404,'Misc Lists'!$K$2:$K$25,0), "")</f>
        <v/>
      </c>
      <c r="AE404" s="90" t="str">
        <f t="shared" si="98"/>
        <v/>
      </c>
      <c r="AF404" s="99" t="str">
        <f>IF(AND(M404&lt;&gt;"", M404&lt;&gt;0), N404/$N$505*MATCH(AE404,'Misc Lists'!$L$2:$L$25,0), "")</f>
        <v/>
      </c>
    </row>
    <row r="405" spans="2:32" hidden="1" outlineLevel="1" x14ac:dyDescent="0.5">
      <c r="B405" s="65" t="str">
        <f ca="1"/>
        <v>037833BG4</v>
      </c>
      <c r="C405" s="66" t="str">
        <f ca="1"/>
        <v>N/A</v>
      </c>
      <c r="D405" s="65" t="str">
        <f ca="1"/>
        <v>APPLE INC           NOTE CALL MAKE WHOLE 3.20000% 05/13/2025</v>
      </c>
      <c r="E405" s="66" t="str">
        <f ca="1"/>
        <v>Corp</v>
      </c>
      <c r="F405" s="67">
        <f ca="1"/>
        <v>3.2</v>
      </c>
      <c r="G405" s="68">
        <f ca="1"/>
        <v>45790</v>
      </c>
      <c r="H405" s="66" t="str">
        <f ca="1"/>
        <v>AAA</v>
      </c>
      <c r="I405" s="66" t="str">
        <f ca="1"/>
        <v>AA+</v>
      </c>
      <c r="J405" s="69">
        <f ca="1"/>
        <v>99.819000000000003</v>
      </c>
      <c r="K405" s="70">
        <f ca="1"/>
        <v>4.2309999999999999</v>
      </c>
      <c r="L405" s="70" t="str">
        <f ca="1"/>
        <v>330(2)</v>
      </c>
      <c r="M405" s="83"/>
      <c r="N405" s="84" t="str">
        <f t="shared" si="99"/>
        <v/>
      </c>
      <c r="O405" s="20" t="str">
        <f t="shared" si="100"/>
        <v/>
      </c>
      <c r="P405" s="64" t="str">
        <f t="shared" si="101"/>
        <v/>
      </c>
      <c r="Q405" s="85" t="str">
        <f t="shared" ca="1" si="102"/>
        <v/>
      </c>
      <c r="R405" s="86" t="str">
        <f t="shared" si="103"/>
        <v/>
      </c>
      <c r="S405" s="86" t="str">
        <f t="shared" si="104"/>
        <v/>
      </c>
      <c r="T405" s="104" t="str">
        <f t="shared" si="90"/>
        <v/>
      </c>
      <c r="U405" s="19" t="str">
        <f>IF(AND(M405&lt;&gt;"",M405&lt;&gt;0), IF(E405 = "Muni", T405, IF(E405="Corp", T405*(1 -'Investor Input'!$C$4-'Investor Input'!$C$5), T405*(1 -'Investor Input'!$C$4))), T405)</f>
        <v/>
      </c>
      <c r="V405" s="84" t="str">
        <f t="shared" si="91"/>
        <v/>
      </c>
      <c r="W405" s="84" t="str">
        <f t="shared" si="92"/>
        <v/>
      </c>
      <c r="X405" s="46" t="str">
        <f t="shared" si="93"/>
        <v/>
      </c>
      <c r="Y405" s="60" t="str">
        <f t="shared" si="94"/>
        <v/>
      </c>
      <c r="Z405" s="60" t="str">
        <f t="shared" si="95"/>
        <v/>
      </c>
      <c r="AA405" s="64" t="str">
        <f t="shared" si="96"/>
        <v/>
      </c>
      <c r="AB405" s="64" t="str">
        <f>IF(AND(AA405&lt;&gt;"",AA405&lt;&gt;0), IF(E405="Muni", AA405, IF(E405 = "Corp", (1-'Investor Input'!$C$4-'Investor Input'!$C$5)*AA405, (1-'Investor Input'!$C$4)*AA405)), AA405)</f>
        <v/>
      </c>
      <c r="AC405" s="94" t="str">
        <f t="shared" si="97"/>
        <v/>
      </c>
      <c r="AD405" s="60" t="str">
        <f>IF(AND(M405&lt;&gt;"", M405&lt;&gt;0), N405/$N$505*MATCH(AC405,'Misc Lists'!$K$2:$K$25,0), "")</f>
        <v/>
      </c>
      <c r="AE405" s="90" t="str">
        <f t="shared" si="98"/>
        <v/>
      </c>
      <c r="AF405" s="99" t="str">
        <f>IF(AND(M405&lt;&gt;"", M405&lt;&gt;0), N405/$N$505*MATCH(AE405,'Misc Lists'!$L$2:$L$25,0), "")</f>
        <v/>
      </c>
    </row>
    <row r="406" spans="2:32" hidden="1" outlineLevel="1" x14ac:dyDescent="0.5">
      <c r="B406" s="65" t="str">
        <f ca="1"/>
        <v>500630CJ5</v>
      </c>
      <c r="C406" s="66" t="str">
        <f ca="1"/>
        <v>N/A</v>
      </c>
      <c r="D406" s="65" t="str">
        <f ca="1"/>
        <v>KOREA DEV BK        NOTE                3.00000% 01/13/2026</v>
      </c>
      <c r="E406" s="66" t="str">
        <f ca="1"/>
        <v>Corp</v>
      </c>
      <c r="F406" s="67">
        <f ca="1"/>
        <v>3</v>
      </c>
      <c r="G406" s="68">
        <f ca="1"/>
        <v>46035</v>
      </c>
      <c r="H406" s="66" t="str">
        <f ca="1"/>
        <v>AA2</v>
      </c>
      <c r="I406" s="66" t="str">
        <f ca="1"/>
        <v>AA</v>
      </c>
      <c r="J406" s="69">
        <f ca="1"/>
        <v>98.995999999999995</v>
      </c>
      <c r="K406" s="70">
        <f ca="1"/>
        <v>4.2309999999999999</v>
      </c>
      <c r="L406" s="70" t="str">
        <f ca="1"/>
        <v>200(200)</v>
      </c>
      <c r="M406" s="83"/>
      <c r="N406" s="84" t="str">
        <f t="shared" si="99"/>
        <v/>
      </c>
      <c r="O406" s="20" t="str">
        <f t="shared" si="100"/>
        <v/>
      </c>
      <c r="P406" s="64" t="str">
        <f t="shared" si="101"/>
        <v/>
      </c>
      <c r="Q406" s="85" t="str">
        <f t="shared" ca="1" si="102"/>
        <v/>
      </c>
      <c r="R406" s="86" t="str">
        <f t="shared" si="103"/>
        <v/>
      </c>
      <c r="S406" s="86" t="str">
        <f t="shared" si="104"/>
        <v/>
      </c>
      <c r="T406" s="104" t="str">
        <f t="shared" si="90"/>
        <v/>
      </c>
      <c r="U406" s="19" t="str">
        <f>IF(AND(M406&lt;&gt;"",M406&lt;&gt;0), IF(E406 = "Muni", T406, IF(E406="Corp", T406*(1 -'Investor Input'!$C$4-'Investor Input'!$C$5), T406*(1 -'Investor Input'!$C$4))), T406)</f>
        <v/>
      </c>
      <c r="V406" s="84" t="str">
        <f t="shared" si="91"/>
        <v/>
      </c>
      <c r="W406" s="84" t="str">
        <f t="shared" si="92"/>
        <v/>
      </c>
      <c r="X406" s="46" t="str">
        <f t="shared" si="93"/>
        <v/>
      </c>
      <c r="Y406" s="60" t="str">
        <f t="shared" si="94"/>
        <v/>
      </c>
      <c r="Z406" s="60" t="str">
        <f t="shared" si="95"/>
        <v/>
      </c>
      <c r="AA406" s="64" t="str">
        <f t="shared" si="96"/>
        <v/>
      </c>
      <c r="AB406" s="64" t="str">
        <f>IF(AND(AA406&lt;&gt;"",AA406&lt;&gt;0), IF(E406="Muni", AA406, IF(E406 = "Corp", (1-'Investor Input'!$C$4-'Investor Input'!$C$5)*AA406, (1-'Investor Input'!$C$4)*AA406)), AA406)</f>
        <v/>
      </c>
      <c r="AC406" s="94" t="str">
        <f t="shared" si="97"/>
        <v/>
      </c>
      <c r="AD406" s="60" t="str">
        <f>IF(AND(M406&lt;&gt;"", M406&lt;&gt;0), N406/$N$505*MATCH(AC406,'Misc Lists'!$K$2:$K$25,0), "")</f>
        <v/>
      </c>
      <c r="AE406" s="90" t="str">
        <f t="shared" si="98"/>
        <v/>
      </c>
      <c r="AF406" s="99" t="str">
        <f>IF(AND(M406&lt;&gt;"", M406&lt;&gt;0), N406/$N$505*MATCH(AE406,'Misc Lists'!$L$2:$L$25,0), "")</f>
        <v/>
      </c>
    </row>
    <row r="407" spans="2:32" hidden="1" outlineLevel="1" x14ac:dyDescent="0.5">
      <c r="B407" s="65" t="str">
        <f ca="1"/>
        <v>219868CH7</v>
      </c>
      <c r="C407" s="66" t="str">
        <f ca="1"/>
        <v>N/A</v>
      </c>
      <c r="D407" s="65" t="str">
        <f ca="1"/>
        <v>CORPORACION ANDINA  DE FOMENTO NOTE     6.00000% 04/26/2027 ISIN #US219868CH71</v>
      </c>
      <c r="E407" s="66" t="str">
        <f ca="1"/>
        <v>Corp</v>
      </c>
      <c r="F407" s="67">
        <f ca="1"/>
        <v>6</v>
      </c>
      <c r="G407" s="68">
        <f ca="1"/>
        <v>46503</v>
      </c>
      <c r="H407" s="66" t="str">
        <f ca="1"/>
        <v>AA3</v>
      </c>
      <c r="I407" s="66" t="str">
        <f ca="1"/>
        <v>AA</v>
      </c>
      <c r="J407" s="69">
        <f ca="1"/>
        <v>103.56</v>
      </c>
      <c r="K407" s="70">
        <f ca="1"/>
        <v>4.226</v>
      </c>
      <c r="L407" s="70" t="str">
        <f ca="1"/>
        <v>3,499(1)</v>
      </c>
      <c r="M407" s="83"/>
      <c r="N407" s="84" t="str">
        <f t="shared" si="99"/>
        <v/>
      </c>
      <c r="O407" s="20" t="str">
        <f t="shared" si="100"/>
        <v/>
      </c>
      <c r="P407" s="64" t="str">
        <f t="shared" si="101"/>
        <v/>
      </c>
      <c r="Q407" s="85" t="str">
        <f t="shared" ca="1" si="102"/>
        <v/>
      </c>
      <c r="R407" s="86" t="str">
        <f t="shared" si="103"/>
        <v/>
      </c>
      <c r="S407" s="86" t="str">
        <f t="shared" si="104"/>
        <v/>
      </c>
      <c r="T407" s="104" t="str">
        <f t="shared" si="90"/>
        <v/>
      </c>
      <c r="U407" s="19" t="str">
        <f>IF(AND(M407&lt;&gt;"",M407&lt;&gt;0), IF(E407 = "Muni", T407, IF(E407="Corp", T407*(1 -'Investor Input'!$C$4-'Investor Input'!$C$5), T407*(1 -'Investor Input'!$C$4))), T407)</f>
        <v/>
      </c>
      <c r="V407" s="84" t="str">
        <f t="shared" si="91"/>
        <v/>
      </c>
      <c r="W407" s="84" t="str">
        <f t="shared" si="92"/>
        <v/>
      </c>
      <c r="X407" s="46" t="str">
        <f t="shared" si="93"/>
        <v/>
      </c>
      <c r="Y407" s="60" t="str">
        <f t="shared" si="94"/>
        <v/>
      </c>
      <c r="Z407" s="60" t="str">
        <f t="shared" si="95"/>
        <v/>
      </c>
      <c r="AA407" s="64" t="str">
        <f t="shared" si="96"/>
        <v/>
      </c>
      <c r="AB407" s="64" t="str">
        <f>IF(AND(AA407&lt;&gt;"",AA407&lt;&gt;0), IF(E407="Muni", AA407, IF(E407 = "Corp", (1-'Investor Input'!$C$4-'Investor Input'!$C$5)*AA407, (1-'Investor Input'!$C$4)*AA407)), AA407)</f>
        <v/>
      </c>
      <c r="AC407" s="94" t="str">
        <f t="shared" si="97"/>
        <v/>
      </c>
      <c r="AD407" s="60" t="str">
        <f>IF(AND(M407&lt;&gt;"", M407&lt;&gt;0), N407/$N$505*MATCH(AC407,'Misc Lists'!$K$2:$K$25,0), "")</f>
        <v/>
      </c>
      <c r="AE407" s="90" t="str">
        <f t="shared" si="98"/>
        <v/>
      </c>
      <c r="AF407" s="99" t="str">
        <f>IF(AND(M407&lt;&gt;"", M407&lt;&gt;0), N407/$N$505*MATCH(AE407,'Misc Lists'!$L$2:$L$25,0), "")</f>
        <v/>
      </c>
    </row>
    <row r="408" spans="2:32" hidden="1" outlineLevel="1" x14ac:dyDescent="0.5">
      <c r="B408" s="65" t="str">
        <f ca="1"/>
        <v>053015AG8</v>
      </c>
      <c r="C408" s="66" t="str">
        <f ca="1"/>
        <v>N/A</v>
      </c>
      <c r="D408" s="65" t="str">
        <f ca="1"/>
        <v>AUTOMATIC DATA      PROCESSING INC NOTE 1.70000% 05/15/2028 CALL MAKE WHOLE</v>
      </c>
      <c r="E408" s="66" t="str">
        <f ca="1"/>
        <v>Corp</v>
      </c>
      <c r="F408" s="67">
        <f ca="1"/>
        <v>1.7</v>
      </c>
      <c r="G408" s="68">
        <f ca="1"/>
        <v>46888</v>
      </c>
      <c r="H408" s="66" t="str">
        <f ca="1"/>
        <v>AA3</v>
      </c>
      <c r="I408" s="66" t="str">
        <f ca="1"/>
        <v>AA-</v>
      </c>
      <c r="J408" s="69">
        <f ca="1"/>
        <v>92.566000000000003</v>
      </c>
      <c r="K408" s="70">
        <f ca="1"/>
        <v>4.226</v>
      </c>
      <c r="L408" s="70" t="str">
        <f ca="1"/>
        <v>500(2)</v>
      </c>
      <c r="M408" s="83"/>
      <c r="N408" s="84" t="str">
        <f t="shared" si="99"/>
        <v/>
      </c>
      <c r="O408" s="20" t="str">
        <f t="shared" si="100"/>
        <v/>
      </c>
      <c r="P408" s="64" t="str">
        <f t="shared" si="101"/>
        <v/>
      </c>
      <c r="Q408" s="85" t="str">
        <f t="shared" ca="1" si="102"/>
        <v/>
      </c>
      <c r="R408" s="86" t="str">
        <f t="shared" si="103"/>
        <v/>
      </c>
      <c r="S408" s="86" t="str">
        <f t="shared" si="104"/>
        <v/>
      </c>
      <c r="T408" s="104" t="str">
        <f t="shared" si="90"/>
        <v/>
      </c>
      <c r="U408" s="19" t="str">
        <f>IF(AND(M408&lt;&gt;"",M408&lt;&gt;0), IF(E408 = "Muni", T408, IF(E408="Corp", T408*(1 -'Investor Input'!$C$4-'Investor Input'!$C$5), T408*(1 -'Investor Input'!$C$4))), T408)</f>
        <v/>
      </c>
      <c r="V408" s="84" t="str">
        <f t="shared" si="91"/>
        <v/>
      </c>
      <c r="W408" s="84" t="str">
        <f t="shared" si="92"/>
        <v/>
      </c>
      <c r="X408" s="46" t="str">
        <f t="shared" si="93"/>
        <v/>
      </c>
      <c r="Y408" s="60" t="str">
        <f t="shared" si="94"/>
        <v/>
      </c>
      <c r="Z408" s="60" t="str">
        <f t="shared" si="95"/>
        <v/>
      </c>
      <c r="AA408" s="64" t="str">
        <f t="shared" si="96"/>
        <v/>
      </c>
      <c r="AB408" s="64" t="str">
        <f>IF(AND(AA408&lt;&gt;"",AA408&lt;&gt;0), IF(E408="Muni", AA408, IF(E408 = "Corp", (1-'Investor Input'!$C$4-'Investor Input'!$C$5)*AA408, (1-'Investor Input'!$C$4)*AA408)), AA408)</f>
        <v/>
      </c>
      <c r="AC408" s="94" t="str">
        <f t="shared" si="97"/>
        <v/>
      </c>
      <c r="AD408" s="60" t="str">
        <f>IF(AND(M408&lt;&gt;"", M408&lt;&gt;0), N408/$N$505*MATCH(AC408,'Misc Lists'!$K$2:$K$25,0), "")</f>
        <v/>
      </c>
      <c r="AE408" s="90" t="str">
        <f t="shared" si="98"/>
        <v/>
      </c>
      <c r="AF408" s="99" t="str">
        <f>IF(AND(M408&lt;&gt;"", M408&lt;&gt;0), N408/$N$505*MATCH(AE408,'Misc Lists'!$L$2:$L$25,0), "")</f>
        <v/>
      </c>
    </row>
    <row r="409" spans="2:32" hidden="1" outlineLevel="1" x14ac:dyDescent="0.5">
      <c r="B409" s="65" t="str">
        <f ca="1"/>
        <v>037833EH9</v>
      </c>
      <c r="C409" s="66" t="str">
        <f ca="1"/>
        <v>N/A</v>
      </c>
      <c r="D409" s="65" t="str">
        <f ca="1"/>
        <v>APPLE INC           NOTE CALL MAKE WHOLE1.40000% 08/05/2028</v>
      </c>
      <c r="E409" s="66" t="str">
        <f ca="1"/>
        <v>Corp</v>
      </c>
      <c r="F409" s="67">
        <f ca="1"/>
        <v>1.4</v>
      </c>
      <c r="G409" s="68">
        <f ca="1"/>
        <v>46970</v>
      </c>
      <c r="H409" s="66" t="str">
        <f ca="1"/>
        <v>AAA</v>
      </c>
      <c r="I409" s="66" t="str">
        <f ca="1"/>
        <v>AA+</v>
      </c>
      <c r="J409" s="69">
        <f ca="1"/>
        <v>91.144999999999996</v>
      </c>
      <c r="K409" s="70">
        <f ca="1"/>
        <v>4.2249999999999996</v>
      </c>
      <c r="L409" s="70" t="str">
        <f ca="1"/>
        <v>500(2)</v>
      </c>
      <c r="M409" s="83"/>
      <c r="N409" s="84" t="str">
        <f t="shared" si="99"/>
        <v/>
      </c>
      <c r="O409" s="20" t="str">
        <f t="shared" si="100"/>
        <v/>
      </c>
      <c r="P409" s="64" t="str">
        <f t="shared" si="101"/>
        <v/>
      </c>
      <c r="Q409" s="85" t="str">
        <f t="shared" ca="1" si="102"/>
        <v/>
      </c>
      <c r="R409" s="86" t="str">
        <f t="shared" si="103"/>
        <v/>
      </c>
      <c r="S409" s="86" t="str">
        <f t="shared" si="104"/>
        <v/>
      </c>
      <c r="T409" s="104" t="str">
        <f t="shared" si="90"/>
        <v/>
      </c>
      <c r="U409" s="19" t="str">
        <f>IF(AND(M409&lt;&gt;"",M409&lt;&gt;0), IF(E409 = "Muni", T409, IF(E409="Corp", T409*(1 -'Investor Input'!$C$4-'Investor Input'!$C$5), T409*(1 -'Investor Input'!$C$4))), T409)</f>
        <v/>
      </c>
      <c r="V409" s="84" t="str">
        <f t="shared" si="91"/>
        <v/>
      </c>
      <c r="W409" s="84" t="str">
        <f t="shared" si="92"/>
        <v/>
      </c>
      <c r="X409" s="46" t="str">
        <f t="shared" si="93"/>
        <v/>
      </c>
      <c r="Y409" s="60" t="str">
        <f t="shared" si="94"/>
        <v/>
      </c>
      <c r="Z409" s="60" t="str">
        <f t="shared" si="95"/>
        <v/>
      </c>
      <c r="AA409" s="64" t="str">
        <f t="shared" si="96"/>
        <v/>
      </c>
      <c r="AB409" s="64" t="str">
        <f>IF(AND(AA409&lt;&gt;"",AA409&lt;&gt;0), IF(E409="Muni", AA409, IF(E409 = "Corp", (1-'Investor Input'!$C$4-'Investor Input'!$C$5)*AA409, (1-'Investor Input'!$C$4)*AA409)), AA409)</f>
        <v/>
      </c>
      <c r="AC409" s="94" t="str">
        <f t="shared" si="97"/>
        <v/>
      </c>
      <c r="AD409" s="60" t="str">
        <f>IF(AND(M409&lt;&gt;"", M409&lt;&gt;0), N409/$N$505*MATCH(AC409,'Misc Lists'!$K$2:$K$25,0), "")</f>
        <v/>
      </c>
      <c r="AE409" s="90" t="str">
        <f t="shared" si="98"/>
        <v/>
      </c>
      <c r="AF409" s="99" t="str">
        <f>IF(AND(M409&lt;&gt;"", M409&lt;&gt;0), N409/$N$505*MATCH(AE409,'Misc Lists'!$L$2:$L$25,0), "")</f>
        <v/>
      </c>
    </row>
    <row r="410" spans="2:32" hidden="1" outlineLevel="1" x14ac:dyDescent="0.5">
      <c r="B410" s="65" t="str">
        <f ca="1"/>
        <v>92826CAH5</v>
      </c>
      <c r="C410" s="66" t="str">
        <f ca="1"/>
        <v>N/A</v>
      </c>
      <c r="D410" s="65" t="str">
        <f ca="1"/>
        <v>VISA INC            NOTE CALL MAKE WHOLE2.75000% 09/15/2027</v>
      </c>
      <c r="E410" s="66" t="str">
        <f ca="1"/>
        <v>Corp</v>
      </c>
      <c r="F410" s="67">
        <f ca="1"/>
        <v>2.75</v>
      </c>
      <c r="G410" s="68">
        <f ca="1"/>
        <v>46645</v>
      </c>
      <c r="H410" s="66" t="str">
        <f ca="1"/>
        <v>AA3</v>
      </c>
      <c r="I410" s="66" t="str">
        <f ca="1"/>
        <v>AA-</v>
      </c>
      <c r="J410" s="69">
        <f ca="1"/>
        <v>96.528999999999996</v>
      </c>
      <c r="K410" s="70">
        <f ca="1"/>
        <v>4.2229999999999999</v>
      </c>
      <c r="L410" s="70" t="str">
        <f ca="1"/>
        <v>575(2)</v>
      </c>
      <c r="M410" s="83"/>
      <c r="N410" s="84" t="str">
        <f t="shared" si="99"/>
        <v/>
      </c>
      <c r="O410" s="20" t="str">
        <f t="shared" si="100"/>
        <v/>
      </c>
      <c r="P410" s="64" t="str">
        <f t="shared" si="101"/>
        <v/>
      </c>
      <c r="Q410" s="85" t="str">
        <f t="shared" ca="1" si="102"/>
        <v/>
      </c>
      <c r="R410" s="86" t="str">
        <f t="shared" si="103"/>
        <v/>
      </c>
      <c r="S410" s="86" t="str">
        <f t="shared" si="104"/>
        <v/>
      </c>
      <c r="T410" s="104" t="str">
        <f t="shared" si="90"/>
        <v/>
      </c>
      <c r="U410" s="19" t="str">
        <f>IF(AND(M410&lt;&gt;"",M410&lt;&gt;0), IF(E410 = "Muni", T410, IF(E410="Corp", T410*(1 -'Investor Input'!$C$4-'Investor Input'!$C$5), T410*(1 -'Investor Input'!$C$4))), T410)</f>
        <v/>
      </c>
      <c r="V410" s="84" t="str">
        <f t="shared" si="91"/>
        <v/>
      </c>
      <c r="W410" s="84" t="str">
        <f t="shared" si="92"/>
        <v/>
      </c>
      <c r="X410" s="46" t="str">
        <f t="shared" si="93"/>
        <v/>
      </c>
      <c r="Y410" s="60" t="str">
        <f t="shared" si="94"/>
        <v/>
      </c>
      <c r="Z410" s="60" t="str">
        <f t="shared" si="95"/>
        <v/>
      </c>
      <c r="AA410" s="64" t="str">
        <f t="shared" si="96"/>
        <v/>
      </c>
      <c r="AB410" s="64" t="str">
        <f>IF(AND(AA410&lt;&gt;"",AA410&lt;&gt;0), IF(E410="Muni", AA410, IF(E410 = "Corp", (1-'Investor Input'!$C$4-'Investor Input'!$C$5)*AA410, (1-'Investor Input'!$C$4)*AA410)), AA410)</f>
        <v/>
      </c>
      <c r="AC410" s="94" t="str">
        <f t="shared" si="97"/>
        <v/>
      </c>
      <c r="AD410" s="60" t="str">
        <f>IF(AND(M410&lt;&gt;"", M410&lt;&gt;0), N410/$N$505*MATCH(AC410,'Misc Lists'!$K$2:$K$25,0), "")</f>
        <v/>
      </c>
      <c r="AE410" s="90" t="str">
        <f t="shared" si="98"/>
        <v/>
      </c>
      <c r="AF410" s="99" t="str">
        <f>IF(AND(M410&lt;&gt;"", M410&lt;&gt;0), N410/$N$505*MATCH(AE410,'Misc Lists'!$L$2:$L$25,0), "")</f>
        <v/>
      </c>
    </row>
    <row r="411" spans="2:32" hidden="1" outlineLevel="1" x14ac:dyDescent="0.5">
      <c r="B411" s="65" t="str">
        <f ca="1"/>
        <v>478160AJ3</v>
      </c>
      <c r="C411" s="66" t="str">
        <f ca="1"/>
        <v>N/A</v>
      </c>
      <c r="D411" s="65" t="str">
        <f ca="1"/>
        <v>JOHNSON &amp;JOHNSON    BOND                6.95000% 09/01/2029</v>
      </c>
      <c r="E411" s="66" t="str">
        <f ca="1"/>
        <v>Corp</v>
      </c>
      <c r="F411" s="67">
        <f ca="1"/>
        <v>6.95</v>
      </c>
      <c r="G411" s="68">
        <f ca="1"/>
        <v>47362</v>
      </c>
      <c r="H411" s="66" t="str">
        <f ca="1"/>
        <v>AAA</v>
      </c>
      <c r="I411" s="66" t="str">
        <f ca="1"/>
        <v>AAA</v>
      </c>
      <c r="J411" s="69">
        <f ca="1"/>
        <v>111</v>
      </c>
      <c r="K411" s="70">
        <f ca="1"/>
        <v>4.2229999999999999</v>
      </c>
      <c r="L411" s="70" t="str">
        <f ca="1"/>
        <v>500(15)</v>
      </c>
      <c r="M411" s="83"/>
      <c r="N411" s="84" t="str">
        <f t="shared" si="99"/>
        <v/>
      </c>
      <c r="O411" s="20" t="str">
        <f t="shared" si="100"/>
        <v/>
      </c>
      <c r="P411" s="64" t="str">
        <f t="shared" si="101"/>
        <v/>
      </c>
      <c r="Q411" s="85" t="str">
        <f t="shared" ca="1" si="102"/>
        <v/>
      </c>
      <c r="R411" s="86" t="str">
        <f t="shared" si="103"/>
        <v/>
      </c>
      <c r="S411" s="86" t="str">
        <f t="shared" si="104"/>
        <v/>
      </c>
      <c r="T411" s="104" t="str">
        <f t="shared" si="90"/>
        <v/>
      </c>
      <c r="U411" s="19" t="str">
        <f>IF(AND(M411&lt;&gt;"",M411&lt;&gt;0), IF(E411 = "Muni", T411, IF(E411="Corp", T411*(1 -'Investor Input'!$C$4-'Investor Input'!$C$5), T411*(1 -'Investor Input'!$C$4))), T411)</f>
        <v/>
      </c>
      <c r="V411" s="84" t="str">
        <f t="shared" si="91"/>
        <v/>
      </c>
      <c r="W411" s="84" t="str">
        <f t="shared" si="92"/>
        <v/>
      </c>
      <c r="X411" s="46" t="str">
        <f t="shared" si="93"/>
        <v/>
      </c>
      <c r="Y411" s="60" t="str">
        <f t="shared" si="94"/>
        <v/>
      </c>
      <c r="Z411" s="60" t="str">
        <f t="shared" si="95"/>
        <v/>
      </c>
      <c r="AA411" s="64" t="str">
        <f t="shared" si="96"/>
        <v/>
      </c>
      <c r="AB411" s="64" t="str">
        <f>IF(AND(AA411&lt;&gt;"",AA411&lt;&gt;0), IF(E411="Muni", AA411, IF(E411 = "Corp", (1-'Investor Input'!$C$4-'Investor Input'!$C$5)*AA411, (1-'Investor Input'!$C$4)*AA411)), AA411)</f>
        <v/>
      </c>
      <c r="AC411" s="94" t="str">
        <f t="shared" si="97"/>
        <v/>
      </c>
      <c r="AD411" s="60" t="str">
        <f>IF(AND(M411&lt;&gt;"", M411&lt;&gt;0), N411/$N$505*MATCH(AC411,'Misc Lists'!$K$2:$K$25,0), "")</f>
        <v/>
      </c>
      <c r="AE411" s="90" t="str">
        <f t="shared" si="98"/>
        <v/>
      </c>
      <c r="AF411" s="99" t="str">
        <f>IF(AND(M411&lt;&gt;"", M411&lt;&gt;0), N411/$N$505*MATCH(AE411,'Misc Lists'!$L$2:$L$25,0), "")</f>
        <v/>
      </c>
    </row>
    <row r="412" spans="2:32" hidden="1" outlineLevel="1" x14ac:dyDescent="0.5">
      <c r="B412" s="65" t="str">
        <f ca="1"/>
        <v>882508BK9</v>
      </c>
      <c r="C412" s="66" t="str">
        <f ca="1"/>
        <v>N/A</v>
      </c>
      <c r="D412" s="65" t="str">
        <f ca="1"/>
        <v>TEXAS INSTRS INC    NOTE CALL MAKE WHOLE1.12500% 09/15/2026</v>
      </c>
      <c r="E412" s="66" t="str">
        <f ca="1"/>
        <v>Corp</v>
      </c>
      <c r="F412" s="67">
        <f ca="1"/>
        <v>1.125</v>
      </c>
      <c r="G412" s="68">
        <f ca="1"/>
        <v>46280</v>
      </c>
      <c r="H412" s="66" t="str">
        <f ca="1"/>
        <v>AA3</v>
      </c>
      <c r="I412" s="66" t="str">
        <f ca="1"/>
        <v>A+</v>
      </c>
      <c r="J412" s="69">
        <f ca="1"/>
        <v>95.52</v>
      </c>
      <c r="K412" s="70">
        <f ca="1"/>
        <v>4.2220000000000004</v>
      </c>
      <c r="L412" s="70" t="str">
        <f ca="1"/>
        <v>200(2)</v>
      </c>
      <c r="M412" s="83"/>
      <c r="N412" s="84" t="str">
        <f t="shared" si="99"/>
        <v/>
      </c>
      <c r="O412" s="20" t="str">
        <f t="shared" si="100"/>
        <v/>
      </c>
      <c r="P412" s="64" t="str">
        <f t="shared" si="101"/>
        <v/>
      </c>
      <c r="Q412" s="85" t="str">
        <f t="shared" ca="1" si="102"/>
        <v/>
      </c>
      <c r="R412" s="86" t="str">
        <f t="shared" si="103"/>
        <v/>
      </c>
      <c r="S412" s="86" t="str">
        <f t="shared" si="104"/>
        <v/>
      </c>
      <c r="T412" s="104" t="str">
        <f t="shared" si="90"/>
        <v/>
      </c>
      <c r="U412" s="19" t="str">
        <f>IF(AND(M412&lt;&gt;"",M412&lt;&gt;0), IF(E412 = "Muni", T412, IF(E412="Corp", T412*(1 -'Investor Input'!$C$4-'Investor Input'!$C$5), T412*(1 -'Investor Input'!$C$4))), T412)</f>
        <v/>
      </c>
      <c r="V412" s="84" t="str">
        <f t="shared" si="91"/>
        <v/>
      </c>
      <c r="W412" s="84" t="str">
        <f t="shared" si="92"/>
        <v/>
      </c>
      <c r="X412" s="46" t="str">
        <f t="shared" si="93"/>
        <v/>
      </c>
      <c r="Y412" s="60" t="str">
        <f t="shared" si="94"/>
        <v/>
      </c>
      <c r="Z412" s="60" t="str">
        <f t="shared" si="95"/>
        <v/>
      </c>
      <c r="AA412" s="64" t="str">
        <f t="shared" si="96"/>
        <v/>
      </c>
      <c r="AB412" s="64" t="str">
        <f>IF(AND(AA412&lt;&gt;"",AA412&lt;&gt;0), IF(E412="Muni", AA412, IF(E412 = "Corp", (1-'Investor Input'!$C$4-'Investor Input'!$C$5)*AA412, (1-'Investor Input'!$C$4)*AA412)), AA412)</f>
        <v/>
      </c>
      <c r="AC412" s="94" t="str">
        <f t="shared" si="97"/>
        <v/>
      </c>
      <c r="AD412" s="60" t="str">
        <f>IF(AND(M412&lt;&gt;"", M412&lt;&gt;0), N412/$N$505*MATCH(AC412,'Misc Lists'!$K$2:$K$25,0), "")</f>
        <v/>
      </c>
      <c r="AE412" s="90" t="str">
        <f t="shared" si="98"/>
        <v/>
      </c>
      <c r="AF412" s="99" t="str">
        <f>IF(AND(M412&lt;&gt;"", M412&lt;&gt;0), N412/$N$505*MATCH(AE412,'Misc Lists'!$L$2:$L$25,0), "")</f>
        <v/>
      </c>
    </row>
    <row r="413" spans="2:32" hidden="1" outlineLevel="1" x14ac:dyDescent="0.5">
      <c r="B413" s="65" t="str">
        <f ca="1"/>
        <v>478160DH4</v>
      </c>
      <c r="C413" s="66" t="str">
        <f ca="1"/>
        <v>N/A</v>
      </c>
      <c r="D413" s="65" t="str">
        <f ca="1"/>
        <v>JOHNSON &amp;JOHNSON    NOTE CALL MAKE WHOLE4.55000% 03/01/2028</v>
      </c>
      <c r="E413" s="66" t="str">
        <f ca="1"/>
        <v>Corp</v>
      </c>
      <c r="F413" s="67">
        <f ca="1"/>
        <v>4.55</v>
      </c>
      <c r="G413" s="68">
        <f ca="1"/>
        <v>46813</v>
      </c>
      <c r="H413" s="66" t="str">
        <f ca="1"/>
        <v>AAA</v>
      </c>
      <c r="I413" s="66" t="str">
        <f ca="1"/>
        <v>AAA</v>
      </c>
      <c r="J413" s="69">
        <f ca="1"/>
        <v>100.904</v>
      </c>
      <c r="K413" s="70">
        <f ca="1"/>
        <v>4.2210000000000001</v>
      </c>
      <c r="L413" s="70" t="str">
        <f ca="1"/>
        <v>500(2)</v>
      </c>
      <c r="M413" s="83"/>
      <c r="N413" s="84" t="str">
        <f t="shared" si="99"/>
        <v/>
      </c>
      <c r="O413" s="20" t="str">
        <f t="shared" si="100"/>
        <v/>
      </c>
      <c r="P413" s="64" t="str">
        <f t="shared" si="101"/>
        <v/>
      </c>
      <c r="Q413" s="85" t="str">
        <f t="shared" ca="1" si="102"/>
        <v/>
      </c>
      <c r="R413" s="86" t="str">
        <f t="shared" si="103"/>
        <v/>
      </c>
      <c r="S413" s="86" t="str">
        <f t="shared" si="104"/>
        <v/>
      </c>
      <c r="T413" s="104" t="str">
        <f t="shared" si="90"/>
        <v/>
      </c>
      <c r="U413" s="19" t="str">
        <f>IF(AND(M413&lt;&gt;"",M413&lt;&gt;0), IF(E413 = "Muni", T413, IF(E413="Corp", T413*(1 -'Investor Input'!$C$4-'Investor Input'!$C$5), T413*(1 -'Investor Input'!$C$4))), T413)</f>
        <v/>
      </c>
      <c r="V413" s="84" t="str">
        <f t="shared" si="91"/>
        <v/>
      </c>
      <c r="W413" s="84" t="str">
        <f t="shared" si="92"/>
        <v/>
      </c>
      <c r="X413" s="46" t="str">
        <f t="shared" si="93"/>
        <v/>
      </c>
      <c r="Y413" s="60" t="str">
        <f t="shared" si="94"/>
        <v/>
      </c>
      <c r="Z413" s="60" t="str">
        <f t="shared" si="95"/>
        <v/>
      </c>
      <c r="AA413" s="64" t="str">
        <f t="shared" si="96"/>
        <v/>
      </c>
      <c r="AB413" s="64" t="str">
        <f>IF(AND(AA413&lt;&gt;"",AA413&lt;&gt;0), IF(E413="Muni", AA413, IF(E413 = "Corp", (1-'Investor Input'!$C$4-'Investor Input'!$C$5)*AA413, (1-'Investor Input'!$C$4)*AA413)), AA413)</f>
        <v/>
      </c>
      <c r="AC413" s="94" t="str">
        <f t="shared" si="97"/>
        <v/>
      </c>
      <c r="AD413" s="60" t="str">
        <f>IF(AND(M413&lt;&gt;"", M413&lt;&gt;0), N413/$N$505*MATCH(AC413,'Misc Lists'!$K$2:$K$25,0), "")</f>
        <v/>
      </c>
      <c r="AE413" s="90" t="str">
        <f t="shared" si="98"/>
        <v/>
      </c>
      <c r="AF413" s="99" t="str">
        <f>IF(AND(M413&lt;&gt;"", M413&lt;&gt;0), N413/$N$505*MATCH(AE413,'Misc Lists'!$L$2:$L$25,0), "")</f>
        <v/>
      </c>
    </row>
    <row r="414" spans="2:32" hidden="1" outlineLevel="1" x14ac:dyDescent="0.5">
      <c r="B414" s="65" t="str">
        <f ca="1"/>
        <v>931142ES8</v>
      </c>
      <c r="C414" s="66" t="str">
        <f ca="1"/>
        <v>N/A</v>
      </c>
      <c r="D414" s="65" t="str">
        <f ca="1"/>
        <v>WALMART INC         NOTE CALL MAKE WHOLE1.50000% 09/22/2028</v>
      </c>
      <c r="E414" s="66" t="str">
        <f ca="1"/>
        <v>Corp</v>
      </c>
      <c r="F414" s="67">
        <f ca="1"/>
        <v>1.5</v>
      </c>
      <c r="G414" s="68">
        <f ca="1"/>
        <v>47018</v>
      </c>
      <c r="H414" s="66" t="str">
        <f ca="1"/>
        <v>AA2</v>
      </c>
      <c r="I414" s="66" t="str">
        <f ca="1"/>
        <v>AA</v>
      </c>
      <c r="J414" s="69">
        <f ca="1"/>
        <v>91.167000000000002</v>
      </c>
      <c r="K414" s="70">
        <f ca="1"/>
        <v>4.2210000000000001</v>
      </c>
      <c r="L414" s="70" t="str">
        <f ca="1"/>
        <v>125(2)</v>
      </c>
      <c r="M414" s="83"/>
      <c r="N414" s="84" t="str">
        <f t="shared" si="99"/>
        <v/>
      </c>
      <c r="O414" s="20" t="str">
        <f t="shared" si="100"/>
        <v/>
      </c>
      <c r="P414" s="64" t="str">
        <f t="shared" si="101"/>
        <v/>
      </c>
      <c r="Q414" s="85" t="str">
        <f t="shared" ca="1" si="102"/>
        <v/>
      </c>
      <c r="R414" s="86" t="str">
        <f t="shared" si="103"/>
        <v/>
      </c>
      <c r="S414" s="86" t="str">
        <f t="shared" si="104"/>
        <v/>
      </c>
      <c r="T414" s="104" t="str">
        <f t="shared" si="90"/>
        <v/>
      </c>
      <c r="U414" s="19" t="str">
        <f>IF(AND(M414&lt;&gt;"",M414&lt;&gt;0), IF(E414 = "Muni", T414, IF(E414="Corp", T414*(1 -'Investor Input'!$C$4-'Investor Input'!$C$5), T414*(1 -'Investor Input'!$C$4))), T414)</f>
        <v/>
      </c>
      <c r="V414" s="84" t="str">
        <f t="shared" si="91"/>
        <v/>
      </c>
      <c r="W414" s="84" t="str">
        <f t="shared" si="92"/>
        <v/>
      </c>
      <c r="X414" s="46" t="str">
        <f t="shared" si="93"/>
        <v/>
      </c>
      <c r="Y414" s="60" t="str">
        <f t="shared" si="94"/>
        <v/>
      </c>
      <c r="Z414" s="60" t="str">
        <f t="shared" si="95"/>
        <v/>
      </c>
      <c r="AA414" s="64" t="str">
        <f t="shared" si="96"/>
        <v/>
      </c>
      <c r="AB414" s="64" t="str">
        <f>IF(AND(AA414&lt;&gt;"",AA414&lt;&gt;0), IF(E414="Muni", AA414, IF(E414 = "Corp", (1-'Investor Input'!$C$4-'Investor Input'!$C$5)*AA414, (1-'Investor Input'!$C$4)*AA414)), AA414)</f>
        <v/>
      </c>
      <c r="AC414" s="94" t="str">
        <f t="shared" si="97"/>
        <v/>
      </c>
      <c r="AD414" s="60" t="str">
        <f>IF(AND(M414&lt;&gt;"", M414&lt;&gt;0), N414/$N$505*MATCH(AC414,'Misc Lists'!$K$2:$K$25,0), "")</f>
        <v/>
      </c>
      <c r="AE414" s="90" t="str">
        <f t="shared" si="98"/>
        <v/>
      </c>
      <c r="AF414" s="99" t="str">
        <f>IF(AND(M414&lt;&gt;"", M414&lt;&gt;0), N414/$N$505*MATCH(AE414,'Misc Lists'!$L$2:$L$25,0), "")</f>
        <v/>
      </c>
    </row>
    <row r="415" spans="2:32" hidden="1" outlineLevel="1" x14ac:dyDescent="0.5">
      <c r="B415" s="65" t="str">
        <f ca="1"/>
        <v>06406RAU1</v>
      </c>
      <c r="C415" s="66" t="str">
        <f ca="1"/>
        <v>N/A</v>
      </c>
      <c r="D415" s="65" t="str">
        <f ca="1"/>
        <v>BANK NEW YORK MELLONCORP SER J MTN      1.65000% 07/14/2028</v>
      </c>
      <c r="E415" s="66" t="str">
        <f ca="1"/>
        <v>Corp</v>
      </c>
      <c r="F415" s="67">
        <f ca="1"/>
        <v>1.65</v>
      </c>
      <c r="G415" s="68">
        <f ca="1"/>
        <v>46948</v>
      </c>
      <c r="H415" s="66" t="str">
        <f ca="1"/>
        <v>AA3</v>
      </c>
      <c r="I415" s="66" t="str">
        <f ca="1"/>
        <v>A</v>
      </c>
      <c r="J415" s="69">
        <f ca="1"/>
        <v>92.072000000000003</v>
      </c>
      <c r="K415" s="70">
        <f ca="1"/>
        <v>4.22</v>
      </c>
      <c r="L415" s="70" t="str">
        <f ca="1"/>
        <v>475(1)</v>
      </c>
      <c r="M415" s="83"/>
      <c r="N415" s="84" t="str">
        <f t="shared" si="99"/>
        <v/>
      </c>
      <c r="O415" s="20" t="str">
        <f t="shared" si="100"/>
        <v/>
      </c>
      <c r="P415" s="64" t="str">
        <f t="shared" si="101"/>
        <v/>
      </c>
      <c r="Q415" s="85" t="str">
        <f t="shared" ca="1" si="102"/>
        <v/>
      </c>
      <c r="R415" s="86" t="str">
        <f t="shared" si="103"/>
        <v/>
      </c>
      <c r="S415" s="86" t="str">
        <f t="shared" si="104"/>
        <v/>
      </c>
      <c r="T415" s="104" t="str">
        <f t="shared" si="90"/>
        <v/>
      </c>
      <c r="U415" s="19" t="str">
        <f>IF(AND(M415&lt;&gt;"",M415&lt;&gt;0), IF(E415 = "Muni", T415, IF(E415="Corp", T415*(1 -'Investor Input'!$C$4-'Investor Input'!$C$5), T415*(1 -'Investor Input'!$C$4))), T415)</f>
        <v/>
      </c>
      <c r="V415" s="84" t="str">
        <f t="shared" si="91"/>
        <v/>
      </c>
      <c r="W415" s="84" t="str">
        <f t="shared" si="92"/>
        <v/>
      </c>
      <c r="X415" s="46" t="str">
        <f t="shared" si="93"/>
        <v/>
      </c>
      <c r="Y415" s="60" t="str">
        <f t="shared" si="94"/>
        <v/>
      </c>
      <c r="Z415" s="60" t="str">
        <f t="shared" si="95"/>
        <v/>
      </c>
      <c r="AA415" s="64" t="str">
        <f t="shared" si="96"/>
        <v/>
      </c>
      <c r="AB415" s="64" t="str">
        <f>IF(AND(AA415&lt;&gt;"",AA415&lt;&gt;0), IF(E415="Muni", AA415, IF(E415 = "Corp", (1-'Investor Input'!$C$4-'Investor Input'!$C$5)*AA415, (1-'Investor Input'!$C$4)*AA415)), AA415)</f>
        <v/>
      </c>
      <c r="AC415" s="94" t="str">
        <f t="shared" si="97"/>
        <v/>
      </c>
      <c r="AD415" s="60" t="str">
        <f>IF(AND(M415&lt;&gt;"", M415&lt;&gt;0), N415/$N$505*MATCH(AC415,'Misc Lists'!$K$2:$K$25,0), "")</f>
        <v/>
      </c>
      <c r="AE415" s="90" t="str">
        <f t="shared" si="98"/>
        <v/>
      </c>
      <c r="AF415" s="99" t="str">
        <f>IF(AND(M415&lt;&gt;"", M415&lt;&gt;0), N415/$N$505*MATCH(AE415,'Misc Lists'!$L$2:$L$25,0), "")</f>
        <v/>
      </c>
    </row>
    <row r="416" spans="2:32" hidden="1" outlineLevel="1" x14ac:dyDescent="0.5">
      <c r="B416" s="65" t="str">
        <f ca="1"/>
        <v>06406RBA4</v>
      </c>
      <c r="C416" s="66" t="str">
        <f ca="1"/>
        <v>N/A</v>
      </c>
      <c r="D416" s="65" t="str">
        <f ca="1"/>
        <v>BANK NEW YORK MELLONCORP SER J MTN      2.05000% 01/26/2027</v>
      </c>
      <c r="E416" s="66" t="str">
        <f ca="1"/>
        <v>Corp</v>
      </c>
      <c r="F416" s="67">
        <f ca="1"/>
        <v>2.0499999999999998</v>
      </c>
      <c r="G416" s="68">
        <f ca="1"/>
        <v>46413</v>
      </c>
      <c r="H416" s="66" t="str">
        <f ca="1"/>
        <v>AA3</v>
      </c>
      <c r="I416" s="66" t="str">
        <f ca="1"/>
        <v>A</v>
      </c>
      <c r="J416" s="69">
        <f ca="1"/>
        <v>96.132000000000005</v>
      </c>
      <c r="K416" s="70">
        <f ca="1"/>
        <v>4.2190000000000003</v>
      </c>
      <c r="L416" s="70" t="str">
        <f ca="1"/>
        <v>200(1)</v>
      </c>
      <c r="M416" s="83"/>
      <c r="N416" s="84" t="str">
        <f t="shared" si="99"/>
        <v/>
      </c>
      <c r="O416" s="20" t="str">
        <f t="shared" si="100"/>
        <v/>
      </c>
      <c r="P416" s="64" t="str">
        <f t="shared" si="101"/>
        <v/>
      </c>
      <c r="Q416" s="85" t="str">
        <f t="shared" ca="1" si="102"/>
        <v/>
      </c>
      <c r="R416" s="86" t="str">
        <f t="shared" si="103"/>
        <v/>
      </c>
      <c r="S416" s="86" t="str">
        <f t="shared" si="104"/>
        <v/>
      </c>
      <c r="T416" s="104" t="str">
        <f t="shared" si="90"/>
        <v/>
      </c>
      <c r="U416" s="19" t="str">
        <f>IF(AND(M416&lt;&gt;"",M416&lt;&gt;0), IF(E416 = "Muni", T416, IF(E416="Corp", T416*(1 -'Investor Input'!$C$4-'Investor Input'!$C$5), T416*(1 -'Investor Input'!$C$4))), T416)</f>
        <v/>
      </c>
      <c r="V416" s="84" t="str">
        <f t="shared" si="91"/>
        <v/>
      </c>
      <c r="W416" s="84" t="str">
        <f t="shared" si="92"/>
        <v/>
      </c>
      <c r="X416" s="46" t="str">
        <f t="shared" si="93"/>
        <v/>
      </c>
      <c r="Y416" s="60" t="str">
        <f t="shared" si="94"/>
        <v/>
      </c>
      <c r="Z416" s="60" t="str">
        <f t="shared" si="95"/>
        <v/>
      </c>
      <c r="AA416" s="64" t="str">
        <f t="shared" si="96"/>
        <v/>
      </c>
      <c r="AB416" s="64" t="str">
        <f>IF(AND(AA416&lt;&gt;"",AA416&lt;&gt;0), IF(E416="Muni", AA416, IF(E416 = "Corp", (1-'Investor Input'!$C$4-'Investor Input'!$C$5)*AA416, (1-'Investor Input'!$C$4)*AA416)), AA416)</f>
        <v/>
      </c>
      <c r="AC416" s="94" t="str">
        <f t="shared" si="97"/>
        <v/>
      </c>
      <c r="AD416" s="60" t="str">
        <f>IF(AND(M416&lt;&gt;"", M416&lt;&gt;0), N416/$N$505*MATCH(AC416,'Misc Lists'!$K$2:$K$25,0), "")</f>
        <v/>
      </c>
      <c r="AE416" s="90" t="str">
        <f t="shared" si="98"/>
        <v/>
      </c>
      <c r="AF416" s="99" t="str">
        <f>IF(AND(M416&lt;&gt;"", M416&lt;&gt;0), N416/$N$505*MATCH(AE416,'Misc Lists'!$L$2:$L$25,0), "")</f>
        <v/>
      </c>
    </row>
    <row r="417" spans="2:32" hidden="1" outlineLevel="1" x14ac:dyDescent="0.5">
      <c r="B417" s="65" t="str">
        <f ca="1"/>
        <v>166764BX7</v>
      </c>
      <c r="C417" s="66" t="str">
        <f ca="1"/>
        <v>N/A</v>
      </c>
      <c r="D417" s="65" t="str">
        <f ca="1"/>
        <v>CHEVRON CORPORATION NOTE CALL MAKE WHOLE1.99500% 05/11/2027</v>
      </c>
      <c r="E417" s="66" t="str">
        <f ca="1"/>
        <v>Corp</v>
      </c>
      <c r="F417" s="67">
        <f ca="1"/>
        <v>1.9950000000000001</v>
      </c>
      <c r="G417" s="68">
        <f ca="1"/>
        <v>46518</v>
      </c>
      <c r="H417" s="66" t="str">
        <f ca="1"/>
        <v>AA2</v>
      </c>
      <c r="I417" s="66" t="str">
        <f ca="1"/>
        <v>AA-</v>
      </c>
      <c r="J417" s="69">
        <f ca="1"/>
        <v>95.447999999999993</v>
      </c>
      <c r="K417" s="70">
        <f ca="1"/>
        <v>4.2169999999999996</v>
      </c>
      <c r="L417" s="70" t="str">
        <f ca="1"/>
        <v>6(2)</v>
      </c>
      <c r="M417" s="83"/>
      <c r="N417" s="84" t="str">
        <f t="shared" si="99"/>
        <v/>
      </c>
      <c r="O417" s="20" t="str">
        <f t="shared" si="100"/>
        <v/>
      </c>
      <c r="P417" s="64" t="str">
        <f t="shared" si="101"/>
        <v/>
      </c>
      <c r="Q417" s="85" t="str">
        <f t="shared" ca="1" si="102"/>
        <v/>
      </c>
      <c r="R417" s="86" t="str">
        <f t="shared" si="103"/>
        <v/>
      </c>
      <c r="S417" s="86" t="str">
        <f t="shared" si="104"/>
        <v/>
      </c>
      <c r="T417" s="104" t="str">
        <f t="shared" si="90"/>
        <v/>
      </c>
      <c r="U417" s="19" t="str">
        <f>IF(AND(M417&lt;&gt;"",M417&lt;&gt;0), IF(E417 = "Muni", T417, IF(E417="Corp", T417*(1 -'Investor Input'!$C$4-'Investor Input'!$C$5), T417*(1 -'Investor Input'!$C$4))), T417)</f>
        <v/>
      </c>
      <c r="V417" s="84" t="str">
        <f t="shared" si="91"/>
        <v/>
      </c>
      <c r="W417" s="84" t="str">
        <f t="shared" si="92"/>
        <v/>
      </c>
      <c r="X417" s="46" t="str">
        <f t="shared" si="93"/>
        <v/>
      </c>
      <c r="Y417" s="60" t="str">
        <f t="shared" si="94"/>
        <v/>
      </c>
      <c r="Z417" s="60" t="str">
        <f t="shared" si="95"/>
        <v/>
      </c>
      <c r="AA417" s="64" t="str">
        <f t="shared" si="96"/>
        <v/>
      </c>
      <c r="AB417" s="64" t="str">
        <f>IF(AND(AA417&lt;&gt;"",AA417&lt;&gt;0), IF(E417="Muni", AA417, IF(E417 = "Corp", (1-'Investor Input'!$C$4-'Investor Input'!$C$5)*AA417, (1-'Investor Input'!$C$4)*AA417)), AA417)</f>
        <v/>
      </c>
      <c r="AC417" s="94" t="str">
        <f t="shared" si="97"/>
        <v/>
      </c>
      <c r="AD417" s="60" t="str">
        <f>IF(AND(M417&lt;&gt;"", M417&lt;&gt;0), N417/$N$505*MATCH(AC417,'Misc Lists'!$K$2:$K$25,0), "")</f>
        <v/>
      </c>
      <c r="AE417" s="90" t="str">
        <f t="shared" si="98"/>
        <v/>
      </c>
      <c r="AF417" s="99" t="str">
        <f>IF(AND(M417&lt;&gt;"", M417&lt;&gt;0), N417/$N$505*MATCH(AE417,'Misc Lists'!$L$2:$L$25,0), "")</f>
        <v/>
      </c>
    </row>
    <row r="418" spans="2:32" hidden="1" outlineLevel="1" x14ac:dyDescent="0.5">
      <c r="B418" s="65" t="str">
        <f ca="1"/>
        <v>67066GAM6</v>
      </c>
      <c r="C418" s="66" t="str">
        <f ca="1"/>
        <v>N/A</v>
      </c>
      <c r="D418" s="65" t="str">
        <f ca="1"/>
        <v>NVIDIA CORPORATION  NOTE CALL MAKE WHOLE1.55000% 06/15/2028</v>
      </c>
      <c r="E418" s="66" t="str">
        <f ca="1"/>
        <v>Corp</v>
      </c>
      <c r="F418" s="67">
        <f ca="1"/>
        <v>1.55</v>
      </c>
      <c r="G418" s="68">
        <f ca="1"/>
        <v>46919</v>
      </c>
      <c r="H418" s="66" t="str">
        <f ca="1"/>
        <v>AA3</v>
      </c>
      <c r="I418" s="66" t="str">
        <f ca="1"/>
        <v>AA-</v>
      </c>
      <c r="J418" s="69">
        <f ca="1"/>
        <v>91.962999999999994</v>
      </c>
      <c r="K418" s="70">
        <f ca="1"/>
        <v>4.2149999999999999</v>
      </c>
      <c r="L418" s="70" t="str">
        <f ca="1"/>
        <v>250(10)</v>
      </c>
      <c r="M418" s="83"/>
      <c r="N418" s="84" t="str">
        <f t="shared" si="99"/>
        <v/>
      </c>
      <c r="O418" s="20" t="str">
        <f t="shared" si="100"/>
        <v/>
      </c>
      <c r="P418" s="64" t="str">
        <f t="shared" si="101"/>
        <v/>
      </c>
      <c r="Q418" s="85" t="str">
        <f t="shared" ca="1" si="102"/>
        <v/>
      </c>
      <c r="R418" s="86" t="str">
        <f t="shared" si="103"/>
        <v/>
      </c>
      <c r="S418" s="86" t="str">
        <f t="shared" si="104"/>
        <v/>
      </c>
      <c r="T418" s="104" t="str">
        <f t="shared" si="90"/>
        <v/>
      </c>
      <c r="U418" s="19" t="str">
        <f>IF(AND(M418&lt;&gt;"",M418&lt;&gt;0), IF(E418 = "Muni", T418, IF(E418="Corp", T418*(1 -'Investor Input'!$C$4-'Investor Input'!$C$5), T418*(1 -'Investor Input'!$C$4))), T418)</f>
        <v/>
      </c>
      <c r="V418" s="84" t="str">
        <f t="shared" si="91"/>
        <v/>
      </c>
      <c r="W418" s="84" t="str">
        <f t="shared" si="92"/>
        <v/>
      </c>
      <c r="X418" s="46" t="str">
        <f t="shared" si="93"/>
        <v/>
      </c>
      <c r="Y418" s="60" t="str">
        <f t="shared" si="94"/>
        <v/>
      </c>
      <c r="Z418" s="60" t="str">
        <f t="shared" si="95"/>
        <v/>
      </c>
      <c r="AA418" s="64" t="str">
        <f t="shared" si="96"/>
        <v/>
      </c>
      <c r="AB418" s="64" t="str">
        <f>IF(AND(AA418&lt;&gt;"",AA418&lt;&gt;0), IF(E418="Muni", AA418, IF(E418 = "Corp", (1-'Investor Input'!$C$4-'Investor Input'!$C$5)*AA418, (1-'Investor Input'!$C$4)*AA418)), AA418)</f>
        <v/>
      </c>
      <c r="AC418" s="94" t="str">
        <f t="shared" si="97"/>
        <v/>
      </c>
      <c r="AD418" s="60" t="str">
        <f>IF(AND(M418&lt;&gt;"", M418&lt;&gt;0), N418/$N$505*MATCH(AC418,'Misc Lists'!$K$2:$K$25,0), "")</f>
        <v/>
      </c>
      <c r="AE418" s="90" t="str">
        <f t="shared" si="98"/>
        <v/>
      </c>
      <c r="AF418" s="99" t="str">
        <f>IF(AND(M418&lt;&gt;"", M418&lt;&gt;0), N418/$N$505*MATCH(AE418,'Misc Lists'!$L$2:$L$25,0), "")</f>
        <v/>
      </c>
    </row>
    <row r="419" spans="2:32" hidden="1" outlineLevel="1" x14ac:dyDescent="0.5">
      <c r="B419" s="65" t="str">
        <f ca="1"/>
        <v>57636QAR5</v>
      </c>
      <c r="C419" s="66" t="str">
        <f ca="1"/>
        <v>N/A</v>
      </c>
      <c r="D419" s="65" t="str">
        <f ca="1"/>
        <v>MASTERCARD          INCORPORATED NOTE   3.30000% 03/26/2027 CALL MAKE WHOLE</v>
      </c>
      <c r="E419" s="66" t="str">
        <f ca="1"/>
        <v>Corp</v>
      </c>
      <c r="F419" s="67">
        <f ca="1"/>
        <v>3.3</v>
      </c>
      <c r="G419" s="68">
        <f ca="1"/>
        <v>46472</v>
      </c>
      <c r="H419" s="66" t="str">
        <f ca="1"/>
        <v>AA3</v>
      </c>
      <c r="I419" s="66" t="str">
        <f ca="1"/>
        <v>A+</v>
      </c>
      <c r="J419" s="69">
        <f ca="1"/>
        <v>98.242000000000004</v>
      </c>
      <c r="K419" s="70">
        <f ca="1"/>
        <v>4.2080000000000002</v>
      </c>
      <c r="L419" s="70" t="str">
        <f ca="1"/>
        <v>200(2)</v>
      </c>
      <c r="M419" s="83"/>
      <c r="N419" s="84" t="str">
        <f t="shared" si="99"/>
        <v/>
      </c>
      <c r="O419" s="20" t="str">
        <f t="shared" si="100"/>
        <v/>
      </c>
      <c r="P419" s="64" t="str">
        <f t="shared" si="101"/>
        <v/>
      </c>
      <c r="Q419" s="85" t="str">
        <f t="shared" ca="1" si="102"/>
        <v/>
      </c>
      <c r="R419" s="86" t="str">
        <f t="shared" si="103"/>
        <v/>
      </c>
      <c r="S419" s="86" t="str">
        <f t="shared" si="104"/>
        <v/>
      </c>
      <c r="T419" s="104" t="str">
        <f t="shared" si="90"/>
        <v/>
      </c>
      <c r="U419" s="19" t="str">
        <f>IF(AND(M419&lt;&gt;"",M419&lt;&gt;0), IF(E419 = "Muni", T419, IF(E419="Corp", T419*(1 -'Investor Input'!$C$4-'Investor Input'!$C$5), T419*(1 -'Investor Input'!$C$4))), T419)</f>
        <v/>
      </c>
      <c r="V419" s="84" t="str">
        <f t="shared" si="91"/>
        <v/>
      </c>
      <c r="W419" s="84" t="str">
        <f t="shared" si="92"/>
        <v/>
      </c>
      <c r="X419" s="46" t="str">
        <f t="shared" si="93"/>
        <v/>
      </c>
      <c r="Y419" s="60" t="str">
        <f t="shared" si="94"/>
        <v/>
      </c>
      <c r="Z419" s="60" t="str">
        <f t="shared" si="95"/>
        <v/>
      </c>
      <c r="AA419" s="64" t="str">
        <f t="shared" si="96"/>
        <v/>
      </c>
      <c r="AB419" s="64" t="str">
        <f>IF(AND(AA419&lt;&gt;"",AA419&lt;&gt;0), IF(E419="Muni", AA419, IF(E419 = "Corp", (1-'Investor Input'!$C$4-'Investor Input'!$C$5)*AA419, (1-'Investor Input'!$C$4)*AA419)), AA419)</f>
        <v/>
      </c>
      <c r="AC419" s="94" t="str">
        <f t="shared" si="97"/>
        <v/>
      </c>
      <c r="AD419" s="60" t="str">
        <f>IF(AND(M419&lt;&gt;"", M419&lt;&gt;0), N419/$N$505*MATCH(AC419,'Misc Lists'!$K$2:$K$25,0), "")</f>
        <v/>
      </c>
      <c r="AE419" s="90" t="str">
        <f t="shared" si="98"/>
        <v/>
      </c>
      <c r="AF419" s="99" t="str">
        <f>IF(AND(M419&lt;&gt;"", M419&lt;&gt;0), N419/$N$505*MATCH(AE419,'Misc Lists'!$L$2:$L$25,0), "")</f>
        <v/>
      </c>
    </row>
    <row r="420" spans="2:32" hidden="1" outlineLevel="1" x14ac:dyDescent="0.5">
      <c r="B420" s="65" t="str">
        <f ca="1"/>
        <v>007589AA2</v>
      </c>
      <c r="C420" s="66" t="str">
        <f ca="1"/>
        <v>N/A</v>
      </c>
      <c r="D420" s="65" t="str">
        <f ca="1"/>
        <v>ADVOCATE HEALTH &amp;HOSPS CORP SER 20183.82900% 08/15/2028 BOND CALL MAKE WHOLE</v>
      </c>
      <c r="E420" s="66" t="str">
        <f ca="1"/>
        <v>Corp</v>
      </c>
      <c r="F420" s="67">
        <f ca="1"/>
        <v>3.8290000000000002</v>
      </c>
      <c r="G420" s="68">
        <f ca="1"/>
        <v>46980</v>
      </c>
      <c r="H420" s="66" t="str">
        <f ca="1"/>
        <v>AA3</v>
      </c>
      <c r="I420" s="66" t="str">
        <f ca="1"/>
        <v>AA</v>
      </c>
      <c r="J420" s="69">
        <f ca="1"/>
        <v>98.807000000000002</v>
      </c>
      <c r="K420" s="70">
        <f ca="1"/>
        <v>4.2060000000000004</v>
      </c>
      <c r="L420" s="70" t="str">
        <f ca="1"/>
        <v>20(15)</v>
      </c>
      <c r="M420" s="83"/>
      <c r="N420" s="84" t="str">
        <f t="shared" si="99"/>
        <v/>
      </c>
      <c r="O420" s="20" t="str">
        <f t="shared" si="100"/>
        <v/>
      </c>
      <c r="P420" s="64" t="str">
        <f t="shared" si="101"/>
        <v/>
      </c>
      <c r="Q420" s="85" t="str">
        <f t="shared" ca="1" si="102"/>
        <v/>
      </c>
      <c r="R420" s="86" t="str">
        <f t="shared" si="103"/>
        <v/>
      </c>
      <c r="S420" s="86" t="str">
        <f t="shared" si="104"/>
        <v/>
      </c>
      <c r="T420" s="104" t="str">
        <f t="shared" si="90"/>
        <v/>
      </c>
      <c r="U420" s="19" t="str">
        <f>IF(AND(M420&lt;&gt;"",M420&lt;&gt;0), IF(E420 = "Muni", T420, IF(E420="Corp", T420*(1 -'Investor Input'!$C$4-'Investor Input'!$C$5), T420*(1 -'Investor Input'!$C$4))), T420)</f>
        <v/>
      </c>
      <c r="V420" s="84" t="str">
        <f t="shared" si="91"/>
        <v/>
      </c>
      <c r="W420" s="84" t="str">
        <f t="shared" si="92"/>
        <v/>
      </c>
      <c r="X420" s="46" t="str">
        <f t="shared" si="93"/>
        <v/>
      </c>
      <c r="Y420" s="60" t="str">
        <f t="shared" si="94"/>
        <v/>
      </c>
      <c r="Z420" s="60" t="str">
        <f t="shared" si="95"/>
        <v/>
      </c>
      <c r="AA420" s="64" t="str">
        <f t="shared" si="96"/>
        <v/>
      </c>
      <c r="AB420" s="64" t="str">
        <f>IF(AND(AA420&lt;&gt;"",AA420&lt;&gt;0), IF(E420="Muni", AA420, IF(E420 = "Corp", (1-'Investor Input'!$C$4-'Investor Input'!$C$5)*AA420, (1-'Investor Input'!$C$4)*AA420)), AA420)</f>
        <v/>
      </c>
      <c r="AC420" s="94" t="str">
        <f t="shared" si="97"/>
        <v/>
      </c>
      <c r="AD420" s="60" t="str">
        <f>IF(AND(M420&lt;&gt;"", M420&lt;&gt;0), N420/$N$505*MATCH(AC420,'Misc Lists'!$K$2:$K$25,0), "")</f>
        <v/>
      </c>
      <c r="AE420" s="90" t="str">
        <f t="shared" si="98"/>
        <v/>
      </c>
      <c r="AF420" s="99" t="str">
        <f>IF(AND(M420&lt;&gt;"", M420&lt;&gt;0), N420/$N$505*MATCH(AE420,'Misc Lists'!$L$2:$L$25,0), "")</f>
        <v/>
      </c>
    </row>
    <row r="421" spans="2:32" hidden="1" outlineLevel="1" x14ac:dyDescent="0.5">
      <c r="B421" s="65" t="str">
        <f ca="1"/>
        <v>30303M8G0</v>
      </c>
      <c r="C421" s="66" t="str">
        <f ca="1"/>
        <v>N/A</v>
      </c>
      <c r="D421" s="65" t="str">
        <f ca="1"/>
        <v>META PLATFORMS INC  SER B NOTE          3.50000% 08/15/2027 CALL MAKE WHOLE</v>
      </c>
      <c r="E421" s="66" t="str">
        <f ca="1"/>
        <v>Corp</v>
      </c>
      <c r="F421" s="67">
        <f ca="1"/>
        <v>3.5</v>
      </c>
      <c r="G421" s="68">
        <f ca="1"/>
        <v>46614</v>
      </c>
      <c r="H421" s="66" t="str">
        <f ca="1"/>
        <v>AA3</v>
      </c>
      <c r="I421" s="66" t="str">
        <f ca="1"/>
        <v>AA-</v>
      </c>
      <c r="J421" s="69">
        <f ca="1"/>
        <v>98.388000000000005</v>
      </c>
      <c r="K421" s="70">
        <f ca="1"/>
        <v>4.2050000000000001</v>
      </c>
      <c r="L421" s="70" t="str">
        <f ca="1"/>
        <v>200(2)</v>
      </c>
      <c r="M421" s="83"/>
      <c r="N421" s="84" t="str">
        <f t="shared" si="99"/>
        <v/>
      </c>
      <c r="O421" s="20" t="str">
        <f t="shared" si="100"/>
        <v/>
      </c>
      <c r="P421" s="64" t="str">
        <f t="shared" si="101"/>
        <v/>
      </c>
      <c r="Q421" s="85" t="str">
        <f t="shared" ca="1" si="102"/>
        <v/>
      </c>
      <c r="R421" s="86" t="str">
        <f t="shared" si="103"/>
        <v/>
      </c>
      <c r="S421" s="86" t="str">
        <f t="shared" si="104"/>
        <v/>
      </c>
      <c r="T421" s="104" t="str">
        <f t="shared" si="90"/>
        <v/>
      </c>
      <c r="U421" s="19" t="str">
        <f>IF(AND(M421&lt;&gt;"",M421&lt;&gt;0), IF(E421 = "Muni", T421, IF(E421="Corp", T421*(1 -'Investor Input'!$C$4-'Investor Input'!$C$5), T421*(1 -'Investor Input'!$C$4))), T421)</f>
        <v/>
      </c>
      <c r="V421" s="84" t="str">
        <f t="shared" si="91"/>
        <v/>
      </c>
      <c r="W421" s="84" t="str">
        <f t="shared" si="92"/>
        <v/>
      </c>
      <c r="X421" s="46" t="str">
        <f t="shared" si="93"/>
        <v/>
      </c>
      <c r="Y421" s="60" t="str">
        <f t="shared" si="94"/>
        <v/>
      </c>
      <c r="Z421" s="60" t="str">
        <f t="shared" si="95"/>
        <v/>
      </c>
      <c r="AA421" s="64" t="str">
        <f t="shared" si="96"/>
        <v/>
      </c>
      <c r="AB421" s="64" t="str">
        <f>IF(AND(AA421&lt;&gt;"",AA421&lt;&gt;0), IF(E421="Muni", AA421, IF(E421 = "Corp", (1-'Investor Input'!$C$4-'Investor Input'!$C$5)*AA421, (1-'Investor Input'!$C$4)*AA421)), AA421)</f>
        <v/>
      </c>
      <c r="AC421" s="94" t="str">
        <f t="shared" si="97"/>
        <v/>
      </c>
      <c r="AD421" s="60" t="str">
        <f>IF(AND(M421&lt;&gt;"", M421&lt;&gt;0), N421/$N$505*MATCH(AC421,'Misc Lists'!$K$2:$K$25,0), "")</f>
        <v/>
      </c>
      <c r="AE421" s="90" t="str">
        <f t="shared" si="98"/>
        <v/>
      </c>
      <c r="AF421" s="99" t="str">
        <f>IF(AND(M421&lt;&gt;"", M421&lt;&gt;0), N421/$N$505*MATCH(AE421,'Misc Lists'!$L$2:$L$25,0), "")</f>
        <v/>
      </c>
    </row>
    <row r="422" spans="2:32" hidden="1" outlineLevel="1" x14ac:dyDescent="0.5">
      <c r="B422" s="65" t="str">
        <f ca="1"/>
        <v>857477AW3</v>
      </c>
      <c r="C422" s="66" t="str">
        <f ca="1"/>
        <v>N/A</v>
      </c>
      <c r="D422" s="65" t="str">
        <f ca="1"/>
        <v>STATE STR CORP      NOTE                2.65000% 05/19/2026</v>
      </c>
      <c r="E422" s="66" t="str">
        <f ca="1"/>
        <v>Corp</v>
      </c>
      <c r="F422" s="67">
        <f ca="1"/>
        <v>2.65</v>
      </c>
      <c r="G422" s="68">
        <f ca="1"/>
        <v>46161</v>
      </c>
      <c r="H422" s="66" t="str">
        <f ca="1"/>
        <v>AA3</v>
      </c>
      <c r="I422" s="66" t="str">
        <f ca="1"/>
        <v>A</v>
      </c>
      <c r="J422" s="69">
        <f ca="1"/>
        <v>98.218000000000004</v>
      </c>
      <c r="K422" s="70">
        <f ca="1"/>
        <v>4.2030000000000003</v>
      </c>
      <c r="L422" s="70" t="str">
        <f ca="1"/>
        <v>500(2)</v>
      </c>
      <c r="M422" s="83"/>
      <c r="N422" s="84" t="str">
        <f t="shared" si="99"/>
        <v/>
      </c>
      <c r="O422" s="20" t="str">
        <f t="shared" si="100"/>
        <v/>
      </c>
      <c r="P422" s="64" t="str">
        <f t="shared" si="101"/>
        <v/>
      </c>
      <c r="Q422" s="85" t="str">
        <f t="shared" ca="1" si="102"/>
        <v/>
      </c>
      <c r="R422" s="86" t="str">
        <f t="shared" si="103"/>
        <v/>
      </c>
      <c r="S422" s="86" t="str">
        <f t="shared" si="104"/>
        <v/>
      </c>
      <c r="T422" s="104" t="str">
        <f t="shared" si="90"/>
        <v/>
      </c>
      <c r="U422" s="19" t="str">
        <f>IF(AND(M422&lt;&gt;"",M422&lt;&gt;0), IF(E422 = "Muni", T422, IF(E422="Corp", T422*(1 -'Investor Input'!$C$4-'Investor Input'!$C$5), T422*(1 -'Investor Input'!$C$4))), T422)</f>
        <v/>
      </c>
      <c r="V422" s="84" t="str">
        <f t="shared" si="91"/>
        <v/>
      </c>
      <c r="W422" s="84" t="str">
        <f t="shared" si="92"/>
        <v/>
      </c>
      <c r="X422" s="46" t="str">
        <f t="shared" si="93"/>
        <v/>
      </c>
      <c r="Y422" s="60" t="str">
        <f t="shared" si="94"/>
        <v/>
      </c>
      <c r="Z422" s="60" t="str">
        <f t="shared" si="95"/>
        <v/>
      </c>
      <c r="AA422" s="64" t="str">
        <f t="shared" si="96"/>
        <v/>
      </c>
      <c r="AB422" s="64" t="str">
        <f>IF(AND(AA422&lt;&gt;"",AA422&lt;&gt;0), IF(E422="Muni", AA422, IF(E422 = "Corp", (1-'Investor Input'!$C$4-'Investor Input'!$C$5)*AA422, (1-'Investor Input'!$C$4)*AA422)), AA422)</f>
        <v/>
      </c>
      <c r="AC422" s="94" t="str">
        <f t="shared" si="97"/>
        <v/>
      </c>
      <c r="AD422" s="60" t="str">
        <f>IF(AND(M422&lt;&gt;"", M422&lt;&gt;0), N422/$N$505*MATCH(AC422,'Misc Lists'!$K$2:$K$25,0), "")</f>
        <v/>
      </c>
      <c r="AE422" s="90" t="str">
        <f t="shared" si="98"/>
        <v/>
      </c>
      <c r="AF422" s="99" t="str">
        <f>IF(AND(M422&lt;&gt;"", M422&lt;&gt;0), N422/$N$505*MATCH(AE422,'Misc Lists'!$L$2:$L$25,0), "")</f>
        <v/>
      </c>
    </row>
    <row r="423" spans="2:32" hidden="1" outlineLevel="1" x14ac:dyDescent="0.5">
      <c r="B423" s="65" t="str">
        <f ca="1"/>
        <v>961214DC4</v>
      </c>
      <c r="C423" s="66" t="str">
        <f ca="1"/>
        <v>N/A</v>
      </c>
      <c r="D423" s="65" t="str">
        <f ca="1"/>
        <v>WESTPAC BKG CORP    NOTE                2.70000% 08/19/2026</v>
      </c>
      <c r="E423" s="66" t="str">
        <f ca="1"/>
        <v>Corp</v>
      </c>
      <c r="F423" s="67">
        <f ca="1"/>
        <v>2.7</v>
      </c>
      <c r="G423" s="68">
        <f ca="1"/>
        <v>46253</v>
      </c>
      <c r="H423" s="66" t="str">
        <f ca="1"/>
        <v>AA2</v>
      </c>
      <c r="I423" s="66" t="str">
        <f ca="1"/>
        <v>AA-</v>
      </c>
      <c r="J423" s="69">
        <f ca="1"/>
        <v>97.924999999999997</v>
      </c>
      <c r="K423" s="70">
        <f ca="1"/>
        <v>4.2030000000000003</v>
      </c>
      <c r="L423" s="70" t="str">
        <f ca="1"/>
        <v>500(2)</v>
      </c>
      <c r="M423" s="83"/>
      <c r="N423" s="84" t="str">
        <f t="shared" si="99"/>
        <v/>
      </c>
      <c r="O423" s="20" t="str">
        <f t="shared" si="100"/>
        <v/>
      </c>
      <c r="P423" s="64" t="str">
        <f t="shared" si="101"/>
        <v/>
      </c>
      <c r="Q423" s="85" t="str">
        <f t="shared" ca="1" si="102"/>
        <v/>
      </c>
      <c r="R423" s="86" t="str">
        <f t="shared" si="103"/>
        <v/>
      </c>
      <c r="S423" s="86" t="str">
        <f t="shared" si="104"/>
        <v/>
      </c>
      <c r="T423" s="104" t="str">
        <f t="shared" si="90"/>
        <v/>
      </c>
      <c r="U423" s="19" t="str">
        <f>IF(AND(M423&lt;&gt;"",M423&lt;&gt;0), IF(E423 = "Muni", T423, IF(E423="Corp", T423*(1 -'Investor Input'!$C$4-'Investor Input'!$C$5), T423*(1 -'Investor Input'!$C$4))), T423)</f>
        <v/>
      </c>
      <c r="V423" s="84" t="str">
        <f t="shared" si="91"/>
        <v/>
      </c>
      <c r="W423" s="84" t="str">
        <f t="shared" si="92"/>
        <v/>
      </c>
      <c r="X423" s="46" t="str">
        <f t="shared" si="93"/>
        <v/>
      </c>
      <c r="Y423" s="60" t="str">
        <f t="shared" si="94"/>
        <v/>
      </c>
      <c r="Z423" s="60" t="str">
        <f t="shared" si="95"/>
        <v/>
      </c>
      <c r="AA423" s="64" t="str">
        <f t="shared" si="96"/>
        <v/>
      </c>
      <c r="AB423" s="64" t="str">
        <f>IF(AND(AA423&lt;&gt;"",AA423&lt;&gt;0), IF(E423="Muni", AA423, IF(E423 = "Corp", (1-'Investor Input'!$C$4-'Investor Input'!$C$5)*AA423, (1-'Investor Input'!$C$4)*AA423)), AA423)</f>
        <v/>
      </c>
      <c r="AC423" s="94" t="str">
        <f t="shared" si="97"/>
        <v/>
      </c>
      <c r="AD423" s="60" t="str">
        <f>IF(AND(M423&lt;&gt;"", M423&lt;&gt;0), N423/$N$505*MATCH(AC423,'Misc Lists'!$K$2:$K$25,0), "")</f>
        <v/>
      </c>
      <c r="AE423" s="90" t="str">
        <f t="shared" si="98"/>
        <v/>
      </c>
      <c r="AF423" s="99" t="str">
        <f>IF(AND(M423&lt;&gt;"", M423&lt;&gt;0), N423/$N$505*MATCH(AE423,'Misc Lists'!$L$2:$L$25,0), "")</f>
        <v/>
      </c>
    </row>
    <row r="424" spans="2:32" hidden="1" outlineLevel="1" x14ac:dyDescent="0.5">
      <c r="B424" s="65" t="str">
        <f ca="1"/>
        <v>931142EQ2</v>
      </c>
      <c r="C424" s="66" t="str">
        <f ca="1"/>
        <v>N/A</v>
      </c>
      <c r="D424" s="65" t="str">
        <f ca="1"/>
        <v>WAL-MART STORES INC NOTE                2.37500% 09/24/2029 TENDER FROM CUSIP   931142CS0</v>
      </c>
      <c r="E424" s="66" t="str">
        <f ca="1"/>
        <v>Corp</v>
      </c>
      <c r="F424" s="67">
        <f ca="1"/>
        <v>2.375</v>
      </c>
      <c r="G424" s="68">
        <f ca="1"/>
        <v>47385</v>
      </c>
      <c r="H424" s="66" t="str">
        <f ca="1"/>
        <v>AA2</v>
      </c>
      <c r="I424" s="66" t="str">
        <f ca="1"/>
        <v>AA</v>
      </c>
      <c r="J424" s="69">
        <f ca="1"/>
        <v>92.534000000000006</v>
      </c>
      <c r="K424" s="70">
        <f ca="1"/>
        <v>4.2009999999999996</v>
      </c>
      <c r="L424" s="70" t="str">
        <f ca="1"/>
        <v>500(2)</v>
      </c>
      <c r="M424" s="83"/>
      <c r="N424" s="84" t="str">
        <f t="shared" si="99"/>
        <v/>
      </c>
      <c r="O424" s="20" t="str">
        <f t="shared" si="100"/>
        <v/>
      </c>
      <c r="P424" s="64" t="str">
        <f t="shared" si="101"/>
        <v/>
      </c>
      <c r="Q424" s="85" t="str">
        <f t="shared" ca="1" si="102"/>
        <v/>
      </c>
      <c r="R424" s="86" t="str">
        <f t="shared" si="103"/>
        <v/>
      </c>
      <c r="S424" s="86" t="str">
        <f t="shared" si="104"/>
        <v/>
      </c>
      <c r="T424" s="104" t="str">
        <f t="shared" si="90"/>
        <v/>
      </c>
      <c r="U424" s="19" t="str">
        <f>IF(AND(M424&lt;&gt;"",M424&lt;&gt;0), IF(E424 = "Muni", T424, IF(E424="Corp", T424*(1 -'Investor Input'!$C$4-'Investor Input'!$C$5), T424*(1 -'Investor Input'!$C$4))), T424)</f>
        <v/>
      </c>
      <c r="V424" s="84" t="str">
        <f t="shared" si="91"/>
        <v/>
      </c>
      <c r="W424" s="84" t="str">
        <f t="shared" si="92"/>
        <v/>
      </c>
      <c r="X424" s="46" t="str">
        <f t="shared" si="93"/>
        <v/>
      </c>
      <c r="Y424" s="60" t="str">
        <f t="shared" si="94"/>
        <v/>
      </c>
      <c r="Z424" s="60" t="str">
        <f t="shared" si="95"/>
        <v/>
      </c>
      <c r="AA424" s="64" t="str">
        <f t="shared" si="96"/>
        <v/>
      </c>
      <c r="AB424" s="64" t="str">
        <f>IF(AND(AA424&lt;&gt;"",AA424&lt;&gt;0), IF(E424="Muni", AA424, IF(E424 = "Corp", (1-'Investor Input'!$C$4-'Investor Input'!$C$5)*AA424, (1-'Investor Input'!$C$4)*AA424)), AA424)</f>
        <v/>
      </c>
      <c r="AC424" s="94" t="str">
        <f t="shared" si="97"/>
        <v/>
      </c>
      <c r="AD424" s="60" t="str">
        <f>IF(AND(M424&lt;&gt;"", M424&lt;&gt;0), N424/$N$505*MATCH(AC424,'Misc Lists'!$K$2:$K$25,0), "")</f>
        <v/>
      </c>
      <c r="AE424" s="90" t="str">
        <f t="shared" si="98"/>
        <v/>
      </c>
      <c r="AF424" s="99" t="str">
        <f>IF(AND(M424&lt;&gt;"", M424&lt;&gt;0), N424/$N$505*MATCH(AE424,'Misc Lists'!$L$2:$L$25,0), "")</f>
        <v/>
      </c>
    </row>
    <row r="425" spans="2:32" hidden="1" outlineLevel="1" x14ac:dyDescent="0.5">
      <c r="B425" s="65" t="str">
        <f ca="1"/>
        <v>02079KAH0</v>
      </c>
      <c r="C425" s="66" t="str">
        <f ca="1"/>
        <v>N/A</v>
      </c>
      <c r="D425" s="65" t="str">
        <f ca="1"/>
        <v>ALPHABET INC        NOTE CALL MAKE WHOLE0.45000% 08/15/2025</v>
      </c>
      <c r="E425" s="66" t="str">
        <f ca="1"/>
        <v>Corp</v>
      </c>
      <c r="F425" s="67">
        <f ca="1"/>
        <v>0.45</v>
      </c>
      <c r="G425" s="68">
        <f ca="1"/>
        <v>45884</v>
      </c>
      <c r="H425" s="66" t="str">
        <f ca="1"/>
        <v>AA2</v>
      </c>
      <c r="I425" s="66" t="str">
        <f ca="1"/>
        <v>AA+</v>
      </c>
      <c r="J425" s="69">
        <f ca="1"/>
        <v>98.435000000000002</v>
      </c>
      <c r="K425" s="70">
        <f ca="1"/>
        <v>4.1970000000000001</v>
      </c>
      <c r="L425" s="70" t="str">
        <f ca="1"/>
        <v>500(10)</v>
      </c>
      <c r="M425" s="83"/>
      <c r="N425" s="84" t="str">
        <f t="shared" si="99"/>
        <v/>
      </c>
      <c r="O425" s="20" t="str">
        <f t="shared" si="100"/>
        <v/>
      </c>
      <c r="P425" s="64" t="str">
        <f t="shared" si="101"/>
        <v/>
      </c>
      <c r="Q425" s="85" t="str">
        <f t="shared" ca="1" si="102"/>
        <v/>
      </c>
      <c r="R425" s="86" t="str">
        <f t="shared" si="103"/>
        <v/>
      </c>
      <c r="S425" s="86" t="str">
        <f t="shared" si="104"/>
        <v/>
      </c>
      <c r="T425" s="104" t="str">
        <f t="shared" si="90"/>
        <v/>
      </c>
      <c r="U425" s="19" t="str">
        <f>IF(AND(M425&lt;&gt;"",M425&lt;&gt;0), IF(E425 = "Muni", T425, IF(E425="Corp", T425*(1 -'Investor Input'!$C$4-'Investor Input'!$C$5), T425*(1 -'Investor Input'!$C$4))), T425)</f>
        <v/>
      </c>
      <c r="V425" s="84" t="str">
        <f t="shared" si="91"/>
        <v/>
      </c>
      <c r="W425" s="84" t="str">
        <f t="shared" si="92"/>
        <v/>
      </c>
      <c r="X425" s="46" t="str">
        <f t="shared" si="93"/>
        <v/>
      </c>
      <c r="Y425" s="60" t="str">
        <f t="shared" si="94"/>
        <v/>
      </c>
      <c r="Z425" s="60" t="str">
        <f t="shared" si="95"/>
        <v/>
      </c>
      <c r="AA425" s="64" t="str">
        <f t="shared" si="96"/>
        <v/>
      </c>
      <c r="AB425" s="64" t="str">
        <f>IF(AND(AA425&lt;&gt;"",AA425&lt;&gt;0), IF(E425="Muni", AA425, IF(E425 = "Corp", (1-'Investor Input'!$C$4-'Investor Input'!$C$5)*AA425, (1-'Investor Input'!$C$4)*AA425)), AA425)</f>
        <v/>
      </c>
      <c r="AC425" s="94" t="str">
        <f t="shared" si="97"/>
        <v/>
      </c>
      <c r="AD425" s="60" t="str">
        <f>IF(AND(M425&lt;&gt;"", M425&lt;&gt;0), N425/$N$505*MATCH(AC425,'Misc Lists'!$K$2:$K$25,0), "")</f>
        <v/>
      </c>
      <c r="AE425" s="90" t="str">
        <f t="shared" si="98"/>
        <v/>
      </c>
      <c r="AF425" s="99" t="str">
        <f>IF(AND(M425&lt;&gt;"", M425&lt;&gt;0), N425/$N$505*MATCH(AE425,'Misc Lists'!$L$2:$L$25,0), "")</f>
        <v/>
      </c>
    </row>
    <row r="426" spans="2:32" outlineLevel="1" x14ac:dyDescent="0.5">
      <c r="B426" s="65" t="str">
        <f ca="1"/>
        <v>882508CE2</v>
      </c>
      <c r="C426" s="66" t="str">
        <f ca="1"/>
        <v>N/A</v>
      </c>
      <c r="D426" s="65" t="str">
        <f ca="1"/>
        <v>TEXAS INSTRS INC    NOTE CALL MAKE WHOLE4.60000% 02/08/2027</v>
      </c>
      <c r="E426" s="66" t="str">
        <f ca="1"/>
        <v>Corp</v>
      </c>
      <c r="F426" s="67">
        <f ca="1"/>
        <v>4.5999999999999996</v>
      </c>
      <c r="G426" s="68">
        <f ca="1"/>
        <v>46426</v>
      </c>
      <c r="H426" s="66" t="str">
        <f ca="1"/>
        <v>AA3</v>
      </c>
      <c r="I426" s="66" t="str">
        <f ca="1"/>
        <v>A+</v>
      </c>
      <c r="J426" s="69">
        <f ca="1"/>
        <v>100.72799999999999</v>
      </c>
      <c r="K426" s="70">
        <f ca="1"/>
        <v>4.1959999999999997</v>
      </c>
      <c r="L426" s="70" t="str">
        <f ca="1"/>
        <v>250(10)</v>
      </c>
      <c r="M426" s="83">
        <v>200</v>
      </c>
      <c r="N426" s="84">
        <f t="shared" ca="1" si="99"/>
        <v>200000</v>
      </c>
      <c r="O426" s="20">
        <f t="shared" ca="1" si="100"/>
        <v>0.1985062897958586</v>
      </c>
      <c r="P426" s="64">
        <f t="shared" ca="1" si="101"/>
        <v>46</v>
      </c>
      <c r="Q426" s="85">
        <f t="shared" ca="1" si="102"/>
        <v>45791.491364930553</v>
      </c>
      <c r="R426" s="86">
        <f t="shared" ca="1" si="103"/>
        <v>2</v>
      </c>
      <c r="S426" s="86">
        <f t="shared" ca="1" si="104"/>
        <v>1.6329212069598864</v>
      </c>
      <c r="T426" s="104">
        <f t="shared" ca="1" si="90"/>
        <v>4.5960529534344062E-2</v>
      </c>
      <c r="U426" s="19">
        <f ca="1">IF(AND(M426&lt;&gt;"",M426&lt;&gt;0), IF(E426 = "Muni", T426, IF(E426="Corp", T426*(1 -'Investor Input'!$C$4-'Investor Input'!$C$5), T426*(1 -'Investor Input'!$C$4))), T426)</f>
        <v>2.4818685948545794E-2</v>
      </c>
      <c r="V426" s="84">
        <f t="shared" ca="1" si="91"/>
        <v>198558.51778906048</v>
      </c>
      <c r="W426" s="84">
        <f t="shared" ca="1" si="92"/>
        <v>-1441.4822109395172</v>
      </c>
      <c r="X426" s="46">
        <f t="shared" ca="1" si="93"/>
        <v>-7.2074110546975862E-3</v>
      </c>
      <c r="Y426" s="60">
        <f t="shared" ca="1" si="94"/>
        <v>2</v>
      </c>
      <c r="Z426" s="60">
        <f t="shared" ca="1" si="95"/>
        <v>8</v>
      </c>
      <c r="AA426" s="64">
        <f t="shared" ca="1" si="96"/>
        <v>4600</v>
      </c>
      <c r="AB426" s="64">
        <f ca="1">IF(AND(AA426&lt;&gt;"",AA426&lt;&gt;0), IF(E426="Muni", AA426, IF(E426 = "Corp", (1-'Investor Input'!$C$4-'Investor Input'!$C$5)*AA426, (1-'Investor Input'!$C$4)*AA426)), AA426)</f>
        <v>2484</v>
      </c>
      <c r="AC426" s="94" t="str">
        <f t="shared" ca="1" si="97"/>
        <v>AA3</v>
      </c>
      <c r="AD426" s="60">
        <f ca="1">IF(AND(M426&lt;&gt;"", M426&lt;&gt;0), N426/$N$505*MATCH(AC426,'Misc Lists'!$K$2:$K$25,0), "")</f>
        <v>0.99253144897929302</v>
      </c>
      <c r="AE426" s="90" t="str">
        <f t="shared" ca="1" si="98"/>
        <v>A+</v>
      </c>
      <c r="AF426" s="99">
        <f ca="1">IF(AND(M426&lt;&gt;"", M426&lt;&gt;0), N426/$N$505*MATCH(AE426,'Misc Lists'!$L$2:$L$25,0), "")</f>
        <v>1.1910377387751516</v>
      </c>
    </row>
    <row r="427" spans="2:32" hidden="1" outlineLevel="1" x14ac:dyDescent="0.5">
      <c r="B427" s="65" t="str">
        <f ca="1"/>
        <v>26442UAA2</v>
      </c>
      <c r="C427" s="66" t="str">
        <f ca="1"/>
        <v>N/A</v>
      </c>
      <c r="D427" s="65" t="str">
        <f ca="1"/>
        <v>DUKE ENERGY PROGRESSLLC BOND            3.25000% 08/15/2025 CALL MAKE WHOLE</v>
      </c>
      <c r="E427" s="66" t="str">
        <f ca="1"/>
        <v>Corp</v>
      </c>
      <c r="F427" s="67">
        <f ca="1"/>
        <v>3.25</v>
      </c>
      <c r="G427" s="68">
        <f ca="1"/>
        <v>45884</v>
      </c>
      <c r="H427" s="66" t="str">
        <f ca="1"/>
        <v>AA3</v>
      </c>
      <c r="I427" s="66" t="str">
        <f ca="1"/>
        <v>A</v>
      </c>
      <c r="J427" s="69">
        <f ca="1"/>
        <v>99.600999999999999</v>
      </c>
      <c r="K427" s="70">
        <f ca="1"/>
        <v>4.1950000000000003</v>
      </c>
      <c r="L427" s="70" t="str">
        <f ca="1"/>
        <v>95(10)</v>
      </c>
      <c r="M427" s="83"/>
      <c r="N427" s="84" t="str">
        <f t="shared" si="99"/>
        <v/>
      </c>
      <c r="O427" s="20" t="str">
        <f t="shared" si="100"/>
        <v/>
      </c>
      <c r="P427" s="64" t="str">
        <f t="shared" si="101"/>
        <v/>
      </c>
      <c r="Q427" s="85" t="str">
        <f t="shared" ca="1" si="102"/>
        <v/>
      </c>
      <c r="R427" s="86" t="str">
        <f t="shared" si="103"/>
        <v/>
      </c>
      <c r="S427" s="86" t="str">
        <f t="shared" si="104"/>
        <v/>
      </c>
      <c r="T427" s="104" t="str">
        <f t="shared" si="90"/>
        <v/>
      </c>
      <c r="U427" s="19" t="str">
        <f>IF(AND(M427&lt;&gt;"",M427&lt;&gt;0), IF(E427 = "Muni", T427, IF(E427="Corp", T427*(1 -'Investor Input'!$C$4-'Investor Input'!$C$5), T427*(1 -'Investor Input'!$C$4))), T427)</f>
        <v/>
      </c>
      <c r="V427" s="84" t="str">
        <f t="shared" si="91"/>
        <v/>
      </c>
      <c r="W427" s="84" t="str">
        <f t="shared" si="92"/>
        <v/>
      </c>
      <c r="X427" s="46" t="str">
        <f t="shared" si="93"/>
        <v/>
      </c>
      <c r="Y427" s="60" t="str">
        <f t="shared" si="94"/>
        <v/>
      </c>
      <c r="Z427" s="60" t="str">
        <f t="shared" si="95"/>
        <v/>
      </c>
      <c r="AA427" s="64" t="str">
        <f t="shared" si="96"/>
        <v/>
      </c>
      <c r="AB427" s="64" t="str">
        <f>IF(AND(AA427&lt;&gt;"",AA427&lt;&gt;0), IF(E427="Muni", AA427, IF(E427 = "Corp", (1-'Investor Input'!$C$4-'Investor Input'!$C$5)*AA427, (1-'Investor Input'!$C$4)*AA427)), AA427)</f>
        <v/>
      </c>
      <c r="AC427" s="94" t="str">
        <f t="shared" si="97"/>
        <v/>
      </c>
      <c r="AD427" s="60" t="str">
        <f>IF(AND(M427&lt;&gt;"", M427&lt;&gt;0), N427/$N$505*MATCH(AC427,'Misc Lists'!$K$2:$K$25,0), "")</f>
        <v/>
      </c>
      <c r="AE427" s="90" t="str">
        <f t="shared" si="98"/>
        <v/>
      </c>
      <c r="AF427" s="99" t="str">
        <f>IF(AND(M427&lt;&gt;"", M427&lt;&gt;0), N427/$N$505*MATCH(AE427,'Misc Lists'!$L$2:$L$25,0), "")</f>
        <v/>
      </c>
    </row>
    <row r="428" spans="2:32" hidden="1" outlineLevel="1" x14ac:dyDescent="0.5">
      <c r="B428" s="65" t="str">
        <f ca="1"/>
        <v>57636QAJ3</v>
      </c>
      <c r="C428" s="66" t="str">
        <f ca="1"/>
        <v>N/A</v>
      </c>
      <c r="D428" s="65" t="str">
        <f ca="1"/>
        <v>MASTERCARD          INCORPORATED NOTE   3.50000% 02/26/2028 CALL MAKE WHOLE</v>
      </c>
      <c r="E428" s="66" t="str">
        <f ca="1"/>
        <v>Corp</v>
      </c>
      <c r="F428" s="67">
        <f ca="1"/>
        <v>3.5</v>
      </c>
      <c r="G428" s="68">
        <f ca="1"/>
        <v>46809</v>
      </c>
      <c r="H428" s="66" t="str">
        <f ca="1"/>
        <v>AA3</v>
      </c>
      <c r="I428" s="66" t="str">
        <f ca="1"/>
        <v>A+</v>
      </c>
      <c r="J428" s="69">
        <f ca="1"/>
        <v>98.087000000000003</v>
      </c>
      <c r="K428" s="70">
        <f ca="1"/>
        <v>4.194</v>
      </c>
      <c r="L428" s="70" t="str">
        <f ca="1"/>
        <v>550(2)</v>
      </c>
      <c r="M428" s="83"/>
      <c r="N428" s="84" t="str">
        <f t="shared" si="99"/>
        <v/>
      </c>
      <c r="O428" s="20" t="str">
        <f t="shared" si="100"/>
        <v/>
      </c>
      <c r="P428" s="64" t="str">
        <f t="shared" si="101"/>
        <v/>
      </c>
      <c r="Q428" s="85" t="str">
        <f t="shared" ca="1" si="102"/>
        <v/>
      </c>
      <c r="R428" s="86" t="str">
        <f t="shared" si="103"/>
        <v/>
      </c>
      <c r="S428" s="86" t="str">
        <f t="shared" si="104"/>
        <v/>
      </c>
      <c r="T428" s="104" t="str">
        <f t="shared" si="90"/>
        <v/>
      </c>
      <c r="U428" s="19" t="str">
        <f>IF(AND(M428&lt;&gt;"",M428&lt;&gt;0), IF(E428 = "Muni", T428, IF(E428="Corp", T428*(1 -'Investor Input'!$C$4-'Investor Input'!$C$5), T428*(1 -'Investor Input'!$C$4))), T428)</f>
        <v/>
      </c>
      <c r="V428" s="84" t="str">
        <f t="shared" si="91"/>
        <v/>
      </c>
      <c r="W428" s="84" t="str">
        <f t="shared" si="92"/>
        <v/>
      </c>
      <c r="X428" s="46" t="str">
        <f t="shared" si="93"/>
        <v/>
      </c>
      <c r="Y428" s="60" t="str">
        <f t="shared" si="94"/>
        <v/>
      </c>
      <c r="Z428" s="60" t="str">
        <f t="shared" si="95"/>
        <v/>
      </c>
      <c r="AA428" s="64" t="str">
        <f t="shared" si="96"/>
        <v/>
      </c>
      <c r="AB428" s="64" t="str">
        <f>IF(AND(AA428&lt;&gt;"",AA428&lt;&gt;0), IF(E428="Muni", AA428, IF(E428 = "Corp", (1-'Investor Input'!$C$4-'Investor Input'!$C$5)*AA428, (1-'Investor Input'!$C$4)*AA428)), AA428)</f>
        <v/>
      </c>
      <c r="AC428" s="94" t="str">
        <f t="shared" si="97"/>
        <v/>
      </c>
      <c r="AD428" s="60" t="str">
        <f>IF(AND(M428&lt;&gt;"", M428&lt;&gt;0), N428/$N$505*MATCH(AC428,'Misc Lists'!$K$2:$K$25,0), "")</f>
        <v/>
      </c>
      <c r="AE428" s="90" t="str">
        <f t="shared" si="98"/>
        <v/>
      </c>
      <c r="AF428" s="99" t="str">
        <f>IF(AND(M428&lt;&gt;"", M428&lt;&gt;0), N428/$N$505*MATCH(AE428,'Misc Lists'!$L$2:$L$25,0), "")</f>
        <v/>
      </c>
    </row>
    <row r="429" spans="2:32" hidden="1" outlineLevel="1" x14ac:dyDescent="0.5">
      <c r="B429" s="65" t="str">
        <f ca="1"/>
        <v>09247XAN1</v>
      </c>
      <c r="C429" s="66" t="str">
        <f ca="1"/>
        <v>N/A</v>
      </c>
      <c r="D429" s="65" t="str">
        <f ca="1"/>
        <v>BLACKROCK INC       NOTE CALL MAKE WHOLE3.20000% 03/15/2027</v>
      </c>
      <c r="E429" s="66" t="str">
        <f ca="1"/>
        <v>Corp</v>
      </c>
      <c r="F429" s="67">
        <f ca="1"/>
        <v>3.2</v>
      </c>
      <c r="G429" s="68">
        <f ca="1"/>
        <v>46461</v>
      </c>
      <c r="H429" s="66" t="str">
        <f ca="1"/>
        <v>AA3</v>
      </c>
      <c r="I429" s="66" t="str">
        <f ca="1"/>
        <v>AA-</v>
      </c>
      <c r="J429" s="69">
        <f ca="1"/>
        <v>98.105999999999995</v>
      </c>
      <c r="K429" s="70">
        <f ca="1"/>
        <v>4.1929999999999996</v>
      </c>
      <c r="L429" s="70" t="str">
        <f ca="1"/>
        <v>500(2)</v>
      </c>
      <c r="M429" s="83"/>
      <c r="N429" s="84" t="str">
        <f t="shared" si="99"/>
        <v/>
      </c>
      <c r="O429" s="20" t="str">
        <f t="shared" si="100"/>
        <v/>
      </c>
      <c r="P429" s="64" t="str">
        <f t="shared" si="101"/>
        <v/>
      </c>
      <c r="Q429" s="85" t="str">
        <f t="shared" ca="1" si="102"/>
        <v/>
      </c>
      <c r="R429" s="86" t="str">
        <f t="shared" si="103"/>
        <v/>
      </c>
      <c r="S429" s="86" t="str">
        <f t="shared" si="104"/>
        <v/>
      </c>
      <c r="T429" s="104" t="str">
        <f t="shared" si="90"/>
        <v/>
      </c>
      <c r="U429" s="19" t="str">
        <f>IF(AND(M429&lt;&gt;"",M429&lt;&gt;0), IF(E429 = "Muni", T429, IF(E429="Corp", T429*(1 -'Investor Input'!$C$4-'Investor Input'!$C$5), T429*(1 -'Investor Input'!$C$4))), T429)</f>
        <v/>
      </c>
      <c r="V429" s="84" t="str">
        <f t="shared" si="91"/>
        <v/>
      </c>
      <c r="W429" s="84" t="str">
        <f t="shared" si="92"/>
        <v/>
      </c>
      <c r="X429" s="46" t="str">
        <f t="shared" si="93"/>
        <v/>
      </c>
      <c r="Y429" s="60" t="str">
        <f t="shared" si="94"/>
        <v/>
      </c>
      <c r="Z429" s="60" t="str">
        <f t="shared" si="95"/>
        <v/>
      </c>
      <c r="AA429" s="64" t="str">
        <f t="shared" si="96"/>
        <v/>
      </c>
      <c r="AB429" s="64" t="str">
        <f>IF(AND(AA429&lt;&gt;"",AA429&lt;&gt;0), IF(E429="Muni", AA429, IF(E429 = "Corp", (1-'Investor Input'!$C$4-'Investor Input'!$C$5)*AA429, (1-'Investor Input'!$C$4)*AA429)), AA429)</f>
        <v/>
      </c>
      <c r="AC429" s="94" t="str">
        <f t="shared" si="97"/>
        <v/>
      </c>
      <c r="AD429" s="60" t="str">
        <f>IF(AND(M429&lt;&gt;"", M429&lt;&gt;0), N429/$N$505*MATCH(AC429,'Misc Lists'!$K$2:$K$25,0), "")</f>
        <v/>
      </c>
      <c r="AE429" s="90" t="str">
        <f t="shared" si="98"/>
        <v/>
      </c>
      <c r="AF429" s="99" t="str">
        <f>IF(AND(M429&lt;&gt;"", M429&lt;&gt;0), N429/$N$505*MATCH(AE429,'Misc Lists'!$L$2:$L$25,0), "")</f>
        <v/>
      </c>
    </row>
    <row r="430" spans="2:32" hidden="1" outlineLevel="1" x14ac:dyDescent="0.5">
      <c r="B430" s="65" t="str">
        <f ca="1"/>
        <v>66989HAN8</v>
      </c>
      <c r="C430" s="66" t="str">
        <f ca="1"/>
        <v>N/A</v>
      </c>
      <c r="D430" s="65" t="str">
        <f ca="1"/>
        <v>NOVARTIS CAPITAL    CORP NOTE           3.10000% 05/17/2027 CALL MAKE WHOLE</v>
      </c>
      <c r="E430" s="66" t="str">
        <f ca="1"/>
        <v>Corp</v>
      </c>
      <c r="F430" s="67">
        <f ca="1"/>
        <v>3.1</v>
      </c>
      <c r="G430" s="68">
        <f ca="1"/>
        <v>46524</v>
      </c>
      <c r="H430" s="66" t="str">
        <f ca="1"/>
        <v>AA3</v>
      </c>
      <c r="I430" s="66" t="str">
        <f ca="1"/>
        <v>AA-</v>
      </c>
      <c r="J430" s="69">
        <f ca="1"/>
        <v>97.741</v>
      </c>
      <c r="K430" s="70">
        <f ca="1"/>
        <v>4.1929999999999996</v>
      </c>
      <c r="L430" s="70" t="str">
        <f ca="1"/>
        <v>250(5)</v>
      </c>
      <c r="M430" s="83"/>
      <c r="N430" s="84" t="str">
        <f t="shared" si="99"/>
        <v/>
      </c>
      <c r="O430" s="20" t="str">
        <f t="shared" si="100"/>
        <v/>
      </c>
      <c r="P430" s="64" t="str">
        <f t="shared" si="101"/>
        <v/>
      </c>
      <c r="Q430" s="85" t="str">
        <f t="shared" ca="1" si="102"/>
        <v/>
      </c>
      <c r="R430" s="86" t="str">
        <f t="shared" si="103"/>
        <v/>
      </c>
      <c r="S430" s="86" t="str">
        <f t="shared" si="104"/>
        <v/>
      </c>
      <c r="T430" s="104" t="str">
        <f t="shared" si="90"/>
        <v/>
      </c>
      <c r="U430" s="19" t="str">
        <f>IF(AND(M430&lt;&gt;"",M430&lt;&gt;0), IF(E430 = "Muni", T430, IF(E430="Corp", T430*(1 -'Investor Input'!$C$4-'Investor Input'!$C$5), T430*(1 -'Investor Input'!$C$4))), T430)</f>
        <v/>
      </c>
      <c r="V430" s="84" t="str">
        <f t="shared" si="91"/>
        <v/>
      </c>
      <c r="W430" s="84" t="str">
        <f t="shared" si="92"/>
        <v/>
      </c>
      <c r="X430" s="46" t="str">
        <f t="shared" si="93"/>
        <v/>
      </c>
      <c r="Y430" s="60" t="str">
        <f t="shared" si="94"/>
        <v/>
      </c>
      <c r="Z430" s="60" t="str">
        <f t="shared" si="95"/>
        <v/>
      </c>
      <c r="AA430" s="64" t="str">
        <f t="shared" si="96"/>
        <v/>
      </c>
      <c r="AB430" s="64" t="str">
        <f>IF(AND(AA430&lt;&gt;"",AA430&lt;&gt;0), IF(E430="Muni", AA430, IF(E430 = "Corp", (1-'Investor Input'!$C$4-'Investor Input'!$C$5)*AA430, (1-'Investor Input'!$C$4)*AA430)), AA430)</f>
        <v/>
      </c>
      <c r="AC430" s="94" t="str">
        <f t="shared" si="97"/>
        <v/>
      </c>
      <c r="AD430" s="60" t="str">
        <f>IF(AND(M430&lt;&gt;"", M430&lt;&gt;0), N430/$N$505*MATCH(AC430,'Misc Lists'!$K$2:$K$25,0), "")</f>
        <v/>
      </c>
      <c r="AE430" s="90" t="str">
        <f t="shared" si="98"/>
        <v/>
      </c>
      <c r="AF430" s="99" t="str">
        <f>IF(AND(M430&lt;&gt;"", M430&lt;&gt;0), N430/$N$505*MATCH(AE430,'Misc Lists'!$L$2:$L$25,0), "")</f>
        <v/>
      </c>
    </row>
    <row r="431" spans="2:32" hidden="1" outlineLevel="1" x14ac:dyDescent="0.5">
      <c r="B431" s="65" t="str">
        <f ca="1"/>
        <v>037833BZ2</v>
      </c>
      <c r="C431" s="66" t="str">
        <f ca="1"/>
        <v>N/A</v>
      </c>
      <c r="D431" s="65" t="str">
        <f ca="1"/>
        <v>APPLE INC           NOTE CALL MAKE WHOLE2.45000% 08/04/2026</v>
      </c>
      <c r="E431" s="66" t="str">
        <f ca="1"/>
        <v>Corp</v>
      </c>
      <c r="F431" s="67">
        <f ca="1"/>
        <v>2.4500000000000002</v>
      </c>
      <c r="G431" s="68">
        <f ca="1"/>
        <v>46238</v>
      </c>
      <c r="H431" s="66" t="str">
        <f ca="1"/>
        <v>AAA</v>
      </c>
      <c r="I431" s="66" t="str">
        <f ca="1"/>
        <v>AA+</v>
      </c>
      <c r="J431" s="69">
        <f ca="1"/>
        <v>97.662000000000006</v>
      </c>
      <c r="K431" s="70">
        <f ca="1"/>
        <v>4.1920000000000002</v>
      </c>
      <c r="L431" s="70" t="str">
        <f ca="1"/>
        <v>500(2)</v>
      </c>
      <c r="M431" s="83"/>
      <c r="N431" s="84" t="str">
        <f t="shared" si="99"/>
        <v/>
      </c>
      <c r="O431" s="20" t="str">
        <f t="shared" si="100"/>
        <v/>
      </c>
      <c r="P431" s="64" t="str">
        <f t="shared" si="101"/>
        <v/>
      </c>
      <c r="Q431" s="85" t="str">
        <f t="shared" ca="1" si="102"/>
        <v/>
      </c>
      <c r="R431" s="86" t="str">
        <f t="shared" si="103"/>
        <v/>
      </c>
      <c r="S431" s="86" t="str">
        <f t="shared" si="104"/>
        <v/>
      </c>
      <c r="T431" s="104" t="str">
        <f t="shared" si="90"/>
        <v/>
      </c>
      <c r="U431" s="19" t="str">
        <f>IF(AND(M431&lt;&gt;"",M431&lt;&gt;0), IF(E431 = "Muni", T431, IF(E431="Corp", T431*(1 -'Investor Input'!$C$4-'Investor Input'!$C$5), T431*(1 -'Investor Input'!$C$4))), T431)</f>
        <v/>
      </c>
      <c r="V431" s="84" t="str">
        <f t="shared" si="91"/>
        <v/>
      </c>
      <c r="W431" s="84" t="str">
        <f t="shared" si="92"/>
        <v/>
      </c>
      <c r="X431" s="46" t="str">
        <f t="shared" si="93"/>
        <v/>
      </c>
      <c r="Y431" s="60" t="str">
        <f t="shared" si="94"/>
        <v/>
      </c>
      <c r="Z431" s="60" t="str">
        <f t="shared" si="95"/>
        <v/>
      </c>
      <c r="AA431" s="64" t="str">
        <f t="shared" si="96"/>
        <v/>
      </c>
      <c r="AB431" s="64" t="str">
        <f>IF(AND(AA431&lt;&gt;"",AA431&lt;&gt;0), IF(E431="Muni", AA431, IF(E431 = "Corp", (1-'Investor Input'!$C$4-'Investor Input'!$C$5)*AA431, (1-'Investor Input'!$C$4)*AA431)), AA431)</f>
        <v/>
      </c>
      <c r="AC431" s="94" t="str">
        <f t="shared" si="97"/>
        <v/>
      </c>
      <c r="AD431" s="60" t="str">
        <f>IF(AND(M431&lt;&gt;"", M431&lt;&gt;0), N431/$N$505*MATCH(AC431,'Misc Lists'!$K$2:$K$25,0), "")</f>
        <v/>
      </c>
      <c r="AE431" s="90" t="str">
        <f t="shared" si="98"/>
        <v/>
      </c>
      <c r="AF431" s="99" t="str">
        <f>IF(AND(M431&lt;&gt;"", M431&lt;&gt;0), N431/$N$505*MATCH(AE431,'Misc Lists'!$L$2:$L$25,0), "")</f>
        <v/>
      </c>
    </row>
    <row r="432" spans="2:32" hidden="1" outlineLevel="1" x14ac:dyDescent="0.5">
      <c r="B432" s="65" t="str">
        <f ca="1"/>
        <v>037833DN7</v>
      </c>
      <c r="C432" s="66" t="str">
        <f ca="1"/>
        <v>N/A</v>
      </c>
      <c r="D432" s="65" t="str">
        <f ca="1"/>
        <v>APPLE INC           NOTE CALL MAKE WHOLE2.05000% 09/11/2026</v>
      </c>
      <c r="E432" s="66" t="str">
        <f ca="1"/>
        <v>Corp</v>
      </c>
      <c r="F432" s="67">
        <f ca="1"/>
        <v>2.0499999999999998</v>
      </c>
      <c r="G432" s="68">
        <f ca="1"/>
        <v>46276</v>
      </c>
      <c r="H432" s="66" t="str">
        <f ca="1"/>
        <v>AAA</v>
      </c>
      <c r="I432" s="66" t="str">
        <f ca="1"/>
        <v>AA+</v>
      </c>
      <c r="J432" s="69">
        <f ca="1"/>
        <v>96.926000000000002</v>
      </c>
      <c r="K432" s="70">
        <f ca="1"/>
        <v>4.1900000000000004</v>
      </c>
      <c r="L432" s="70" t="str">
        <f ca="1"/>
        <v>500(10)</v>
      </c>
      <c r="M432" s="83"/>
      <c r="N432" s="84" t="str">
        <f t="shared" si="99"/>
        <v/>
      </c>
      <c r="O432" s="20" t="str">
        <f t="shared" si="100"/>
        <v/>
      </c>
      <c r="P432" s="64" t="str">
        <f t="shared" si="101"/>
        <v/>
      </c>
      <c r="Q432" s="85" t="str">
        <f t="shared" ca="1" si="102"/>
        <v/>
      </c>
      <c r="R432" s="86" t="str">
        <f t="shared" si="103"/>
        <v/>
      </c>
      <c r="S432" s="86" t="str">
        <f t="shared" si="104"/>
        <v/>
      </c>
      <c r="T432" s="104" t="str">
        <f t="shared" si="90"/>
        <v/>
      </c>
      <c r="U432" s="19" t="str">
        <f>IF(AND(M432&lt;&gt;"",M432&lt;&gt;0), IF(E432 = "Muni", T432, IF(E432="Corp", T432*(1 -'Investor Input'!$C$4-'Investor Input'!$C$5), T432*(1 -'Investor Input'!$C$4))), T432)</f>
        <v/>
      </c>
      <c r="V432" s="84" t="str">
        <f t="shared" si="91"/>
        <v/>
      </c>
      <c r="W432" s="84" t="str">
        <f t="shared" si="92"/>
        <v/>
      </c>
      <c r="X432" s="46" t="str">
        <f t="shared" si="93"/>
        <v/>
      </c>
      <c r="Y432" s="60" t="str">
        <f t="shared" si="94"/>
        <v/>
      </c>
      <c r="Z432" s="60" t="str">
        <f t="shared" si="95"/>
        <v/>
      </c>
      <c r="AA432" s="64" t="str">
        <f t="shared" si="96"/>
        <v/>
      </c>
      <c r="AB432" s="64" t="str">
        <f>IF(AND(AA432&lt;&gt;"",AA432&lt;&gt;0), IF(E432="Muni", AA432, IF(E432 = "Corp", (1-'Investor Input'!$C$4-'Investor Input'!$C$5)*AA432, (1-'Investor Input'!$C$4)*AA432)), AA432)</f>
        <v/>
      </c>
      <c r="AC432" s="94" t="str">
        <f t="shared" si="97"/>
        <v/>
      </c>
      <c r="AD432" s="60" t="str">
        <f>IF(AND(M432&lt;&gt;"", M432&lt;&gt;0), N432/$N$505*MATCH(AC432,'Misc Lists'!$K$2:$K$25,0), "")</f>
        <v/>
      </c>
      <c r="AE432" s="90" t="str">
        <f t="shared" si="98"/>
        <v/>
      </c>
      <c r="AF432" s="99" t="str">
        <f>IF(AND(M432&lt;&gt;"", M432&lt;&gt;0), N432/$N$505*MATCH(AE432,'Misc Lists'!$L$2:$L$25,0), "")</f>
        <v/>
      </c>
    </row>
    <row r="433" spans="2:32" hidden="1" outlineLevel="1" x14ac:dyDescent="0.5">
      <c r="B433" s="65" t="str">
        <f ca="1"/>
        <v>857449AC6</v>
      </c>
      <c r="C433" s="66" t="str">
        <f ca="1"/>
        <v>N/A</v>
      </c>
      <c r="D433" s="65" t="str">
        <f ca="1"/>
        <v>STATE STREET BANK &amp;TRUST NOTE         4.59400% 11/25/2026</v>
      </c>
      <c r="E433" s="66" t="str">
        <f ca="1"/>
        <v>Corp</v>
      </c>
      <c r="F433" s="67">
        <f ca="1"/>
        <v>4.5940000000000003</v>
      </c>
      <c r="G433" s="68">
        <f ca="1"/>
        <v>46351</v>
      </c>
      <c r="H433" s="66" t="str">
        <f ca="1"/>
        <v>AA2</v>
      </c>
      <c r="I433" s="66" t="str">
        <f ca="1"/>
        <v>AA-</v>
      </c>
      <c r="J433" s="69">
        <f ca="1"/>
        <v>100.651</v>
      </c>
      <c r="K433" s="70">
        <f ca="1"/>
        <v>4.1900000000000004</v>
      </c>
      <c r="L433" s="70" t="str">
        <f ca="1"/>
        <v>600(250)</v>
      </c>
      <c r="M433" s="83"/>
      <c r="N433" s="84" t="str">
        <f t="shared" si="99"/>
        <v/>
      </c>
      <c r="O433" s="20" t="str">
        <f t="shared" si="100"/>
        <v/>
      </c>
      <c r="P433" s="64" t="str">
        <f t="shared" si="101"/>
        <v/>
      </c>
      <c r="Q433" s="85" t="str">
        <f t="shared" ca="1" si="102"/>
        <v/>
      </c>
      <c r="R433" s="86" t="str">
        <f t="shared" si="103"/>
        <v/>
      </c>
      <c r="S433" s="86" t="str">
        <f t="shared" si="104"/>
        <v/>
      </c>
      <c r="T433" s="104" t="str">
        <f t="shared" si="90"/>
        <v/>
      </c>
      <c r="U433" s="19" t="str">
        <f>IF(AND(M433&lt;&gt;"",M433&lt;&gt;0), IF(E433 = "Muni", T433, IF(E433="Corp", T433*(1 -'Investor Input'!$C$4-'Investor Input'!$C$5), T433*(1 -'Investor Input'!$C$4))), T433)</f>
        <v/>
      </c>
      <c r="V433" s="84" t="str">
        <f t="shared" si="91"/>
        <v/>
      </c>
      <c r="W433" s="84" t="str">
        <f t="shared" si="92"/>
        <v/>
      </c>
      <c r="X433" s="46" t="str">
        <f t="shared" si="93"/>
        <v/>
      </c>
      <c r="Y433" s="60" t="str">
        <f t="shared" si="94"/>
        <v/>
      </c>
      <c r="Z433" s="60" t="str">
        <f t="shared" si="95"/>
        <v/>
      </c>
      <c r="AA433" s="64" t="str">
        <f t="shared" si="96"/>
        <v/>
      </c>
      <c r="AB433" s="64" t="str">
        <f>IF(AND(AA433&lt;&gt;"",AA433&lt;&gt;0), IF(E433="Muni", AA433, IF(E433 = "Corp", (1-'Investor Input'!$C$4-'Investor Input'!$C$5)*AA433, (1-'Investor Input'!$C$4)*AA433)), AA433)</f>
        <v/>
      </c>
      <c r="AC433" s="94" t="str">
        <f t="shared" si="97"/>
        <v/>
      </c>
      <c r="AD433" s="60" t="str">
        <f>IF(AND(M433&lt;&gt;"", M433&lt;&gt;0), N433/$N$505*MATCH(AC433,'Misc Lists'!$K$2:$K$25,0), "")</f>
        <v/>
      </c>
      <c r="AE433" s="90" t="str">
        <f t="shared" si="98"/>
        <v/>
      </c>
      <c r="AF433" s="99" t="str">
        <f>IF(AND(M433&lt;&gt;"", M433&lt;&gt;0), N433/$N$505*MATCH(AE433,'Misc Lists'!$L$2:$L$25,0), "")</f>
        <v/>
      </c>
    </row>
    <row r="434" spans="2:32" hidden="1" outlineLevel="1" x14ac:dyDescent="0.5">
      <c r="B434" s="65" t="str">
        <f ca="1"/>
        <v>037833DB3</v>
      </c>
      <c r="C434" s="66" t="str">
        <f ca="1"/>
        <v>N/A</v>
      </c>
      <c r="D434" s="65" t="str">
        <f ca="1"/>
        <v>APPLE INC           NOTE CALL MAKE WHOLE2.90000% 09/12/2027</v>
      </c>
      <c r="E434" s="66" t="str">
        <f ca="1"/>
        <v>Corp</v>
      </c>
      <c r="F434" s="67">
        <f ca="1"/>
        <v>2.9</v>
      </c>
      <c r="G434" s="68">
        <f ca="1"/>
        <v>46642</v>
      </c>
      <c r="H434" s="66" t="str">
        <f ca="1"/>
        <v>AAA</v>
      </c>
      <c r="I434" s="66" t="str">
        <f ca="1"/>
        <v>AA+</v>
      </c>
      <c r="J434" s="69">
        <f ca="1"/>
        <v>96.972999999999999</v>
      </c>
      <c r="K434" s="70">
        <f ca="1"/>
        <v>4.1879999999999997</v>
      </c>
      <c r="L434" s="70" t="str">
        <f ca="1"/>
        <v>500(2)</v>
      </c>
      <c r="M434" s="83"/>
      <c r="N434" s="84" t="str">
        <f t="shared" si="99"/>
        <v/>
      </c>
      <c r="O434" s="20" t="str">
        <f t="shared" si="100"/>
        <v/>
      </c>
      <c r="P434" s="64" t="str">
        <f t="shared" si="101"/>
        <v/>
      </c>
      <c r="Q434" s="85" t="str">
        <f t="shared" ca="1" si="102"/>
        <v/>
      </c>
      <c r="R434" s="86" t="str">
        <f t="shared" si="103"/>
        <v/>
      </c>
      <c r="S434" s="86" t="str">
        <f t="shared" si="104"/>
        <v/>
      </c>
      <c r="T434" s="104" t="str">
        <f t="shared" si="90"/>
        <v/>
      </c>
      <c r="U434" s="19" t="str">
        <f>IF(AND(M434&lt;&gt;"",M434&lt;&gt;0), IF(E434 = "Muni", T434, IF(E434="Corp", T434*(1 -'Investor Input'!$C$4-'Investor Input'!$C$5), T434*(1 -'Investor Input'!$C$4))), T434)</f>
        <v/>
      </c>
      <c r="V434" s="84" t="str">
        <f t="shared" si="91"/>
        <v/>
      </c>
      <c r="W434" s="84" t="str">
        <f t="shared" si="92"/>
        <v/>
      </c>
      <c r="X434" s="46" t="str">
        <f t="shared" si="93"/>
        <v/>
      </c>
      <c r="Y434" s="60" t="str">
        <f t="shared" si="94"/>
        <v/>
      </c>
      <c r="Z434" s="60" t="str">
        <f t="shared" si="95"/>
        <v/>
      </c>
      <c r="AA434" s="64" t="str">
        <f t="shared" si="96"/>
        <v/>
      </c>
      <c r="AB434" s="64" t="str">
        <f>IF(AND(AA434&lt;&gt;"",AA434&lt;&gt;0), IF(E434="Muni", AA434, IF(E434 = "Corp", (1-'Investor Input'!$C$4-'Investor Input'!$C$5)*AA434, (1-'Investor Input'!$C$4)*AA434)), AA434)</f>
        <v/>
      </c>
      <c r="AC434" s="94" t="str">
        <f t="shared" si="97"/>
        <v/>
      </c>
      <c r="AD434" s="60" t="str">
        <f>IF(AND(M434&lt;&gt;"", M434&lt;&gt;0), N434/$N$505*MATCH(AC434,'Misc Lists'!$K$2:$K$25,0), "")</f>
        <v/>
      </c>
      <c r="AE434" s="90" t="str">
        <f t="shared" si="98"/>
        <v/>
      </c>
      <c r="AF434" s="99" t="str">
        <f>IF(AND(M434&lt;&gt;"", M434&lt;&gt;0), N434/$N$505*MATCH(AE434,'Misc Lists'!$L$2:$L$25,0), "")</f>
        <v/>
      </c>
    </row>
    <row r="435" spans="2:32" hidden="1" outlineLevel="1" x14ac:dyDescent="0.5">
      <c r="B435" s="65" t="str">
        <f ca="1"/>
        <v>037833DT4</v>
      </c>
      <c r="C435" s="66" t="str">
        <f ca="1"/>
        <v>N/A</v>
      </c>
      <c r="D435" s="65" t="str">
        <f ca="1"/>
        <v>APPLE INC           NOTE CALL MAKE WHOLE1.12500% 05/11/2025</v>
      </c>
      <c r="E435" s="66" t="str">
        <f ca="1"/>
        <v>Corp</v>
      </c>
      <c r="F435" s="67">
        <f ca="1"/>
        <v>1.125</v>
      </c>
      <c r="G435" s="68">
        <f ca="1"/>
        <v>45788</v>
      </c>
      <c r="H435" s="66" t="str">
        <f ca="1"/>
        <v>AAA</v>
      </c>
      <c r="I435" s="66" t="str">
        <f ca="1"/>
        <v>AA+</v>
      </c>
      <c r="J435" s="69">
        <f ca="1"/>
        <v>99.498999999999995</v>
      </c>
      <c r="K435" s="70">
        <f ca="1"/>
        <v>4.1870000000000003</v>
      </c>
      <c r="L435" s="70" t="str">
        <f ca="1"/>
        <v>38(2)</v>
      </c>
      <c r="M435" s="83"/>
      <c r="N435" s="84" t="str">
        <f t="shared" si="99"/>
        <v/>
      </c>
      <c r="O435" s="20" t="str">
        <f t="shared" si="100"/>
        <v/>
      </c>
      <c r="P435" s="64" t="str">
        <f t="shared" si="101"/>
        <v/>
      </c>
      <c r="Q435" s="85" t="str">
        <f t="shared" ca="1" si="102"/>
        <v/>
      </c>
      <c r="R435" s="86" t="str">
        <f t="shared" si="103"/>
        <v/>
      </c>
      <c r="S435" s="86" t="str">
        <f t="shared" si="104"/>
        <v/>
      </c>
      <c r="T435" s="104" t="str">
        <f t="shared" si="90"/>
        <v/>
      </c>
      <c r="U435" s="19" t="str">
        <f>IF(AND(M435&lt;&gt;"",M435&lt;&gt;0), IF(E435 = "Muni", T435, IF(E435="Corp", T435*(1 -'Investor Input'!$C$4-'Investor Input'!$C$5), T435*(1 -'Investor Input'!$C$4))), T435)</f>
        <v/>
      </c>
      <c r="V435" s="84" t="str">
        <f t="shared" si="91"/>
        <v/>
      </c>
      <c r="W435" s="84" t="str">
        <f t="shared" si="92"/>
        <v/>
      </c>
      <c r="X435" s="46" t="str">
        <f t="shared" si="93"/>
        <v/>
      </c>
      <c r="Y435" s="60" t="str">
        <f t="shared" si="94"/>
        <v/>
      </c>
      <c r="Z435" s="60" t="str">
        <f t="shared" si="95"/>
        <v/>
      </c>
      <c r="AA435" s="64" t="str">
        <f t="shared" si="96"/>
        <v/>
      </c>
      <c r="AB435" s="64" t="str">
        <f>IF(AND(AA435&lt;&gt;"",AA435&lt;&gt;0), IF(E435="Muni", AA435, IF(E435 = "Corp", (1-'Investor Input'!$C$4-'Investor Input'!$C$5)*AA435, (1-'Investor Input'!$C$4)*AA435)), AA435)</f>
        <v/>
      </c>
      <c r="AC435" s="94" t="str">
        <f t="shared" si="97"/>
        <v/>
      </c>
      <c r="AD435" s="60" t="str">
        <f>IF(AND(M435&lt;&gt;"", M435&lt;&gt;0), N435/$N$505*MATCH(AC435,'Misc Lists'!$K$2:$K$25,0), "")</f>
        <v/>
      </c>
      <c r="AE435" s="90" t="str">
        <f t="shared" si="98"/>
        <v/>
      </c>
      <c r="AF435" s="99" t="str">
        <f>IF(AND(M435&lt;&gt;"", M435&lt;&gt;0), N435/$N$505*MATCH(AE435,'Misc Lists'!$L$2:$L$25,0), "")</f>
        <v/>
      </c>
    </row>
    <row r="436" spans="2:32" hidden="1" outlineLevel="1" x14ac:dyDescent="0.5">
      <c r="B436" s="65" t="str">
        <f ca="1"/>
        <v>084670BS6</v>
      </c>
      <c r="C436" s="66" t="str">
        <f ca="1"/>
        <v>N/A</v>
      </c>
      <c r="D436" s="65" t="str">
        <f ca="1"/>
        <v>BERKSHIRE HATHAWAY  INC DEL NOTE        3.12500% 03/15/2026 CALL MAKE WHOLE</v>
      </c>
      <c r="E436" s="66" t="str">
        <f ca="1"/>
        <v>Corp</v>
      </c>
      <c r="F436" s="67">
        <f ca="1"/>
        <v>3.125</v>
      </c>
      <c r="G436" s="68">
        <f ca="1"/>
        <v>46096</v>
      </c>
      <c r="H436" s="66" t="str">
        <f ca="1"/>
        <v>AA2</v>
      </c>
      <c r="I436" s="66" t="str">
        <f ca="1"/>
        <v>AA</v>
      </c>
      <c r="J436" s="69">
        <f ca="1"/>
        <v>98.962000000000003</v>
      </c>
      <c r="K436" s="70">
        <f ca="1"/>
        <v>4.1870000000000003</v>
      </c>
      <c r="L436" s="70" t="str">
        <f ca="1"/>
        <v>250(2)</v>
      </c>
      <c r="M436" s="83"/>
      <c r="N436" s="84" t="str">
        <f t="shared" si="99"/>
        <v/>
      </c>
      <c r="O436" s="20" t="str">
        <f t="shared" si="100"/>
        <v/>
      </c>
      <c r="P436" s="64" t="str">
        <f t="shared" si="101"/>
        <v/>
      </c>
      <c r="Q436" s="85" t="str">
        <f t="shared" ca="1" si="102"/>
        <v/>
      </c>
      <c r="R436" s="86" t="str">
        <f t="shared" si="103"/>
        <v/>
      </c>
      <c r="S436" s="86" t="str">
        <f t="shared" si="104"/>
        <v/>
      </c>
      <c r="T436" s="104" t="str">
        <f t="shared" si="90"/>
        <v/>
      </c>
      <c r="U436" s="19" t="str">
        <f>IF(AND(M436&lt;&gt;"",M436&lt;&gt;0), IF(E436 = "Muni", T436, IF(E436="Corp", T436*(1 -'Investor Input'!$C$4-'Investor Input'!$C$5), T436*(1 -'Investor Input'!$C$4))), T436)</f>
        <v/>
      </c>
      <c r="V436" s="84" t="str">
        <f t="shared" si="91"/>
        <v/>
      </c>
      <c r="W436" s="84" t="str">
        <f t="shared" si="92"/>
        <v/>
      </c>
      <c r="X436" s="46" t="str">
        <f t="shared" si="93"/>
        <v/>
      </c>
      <c r="Y436" s="60" t="str">
        <f t="shared" si="94"/>
        <v/>
      </c>
      <c r="Z436" s="60" t="str">
        <f t="shared" si="95"/>
        <v/>
      </c>
      <c r="AA436" s="64" t="str">
        <f t="shared" si="96"/>
        <v/>
      </c>
      <c r="AB436" s="64" t="str">
        <f>IF(AND(AA436&lt;&gt;"",AA436&lt;&gt;0), IF(E436="Muni", AA436, IF(E436 = "Corp", (1-'Investor Input'!$C$4-'Investor Input'!$C$5)*AA436, (1-'Investor Input'!$C$4)*AA436)), AA436)</f>
        <v/>
      </c>
      <c r="AC436" s="94" t="str">
        <f t="shared" si="97"/>
        <v/>
      </c>
      <c r="AD436" s="60" t="str">
        <f>IF(AND(M436&lt;&gt;"", M436&lt;&gt;0), N436/$N$505*MATCH(AC436,'Misc Lists'!$K$2:$K$25,0), "")</f>
        <v/>
      </c>
      <c r="AE436" s="90" t="str">
        <f t="shared" si="98"/>
        <v/>
      </c>
      <c r="AF436" s="99" t="str">
        <f>IF(AND(M436&lt;&gt;"", M436&lt;&gt;0), N436/$N$505*MATCH(AE436,'Misc Lists'!$L$2:$L$25,0), "")</f>
        <v/>
      </c>
    </row>
    <row r="437" spans="2:32" hidden="1" outlineLevel="1" x14ac:dyDescent="0.5">
      <c r="B437" s="65" t="str">
        <f ca="1"/>
        <v>29446MAE2</v>
      </c>
      <c r="C437" s="66" t="str">
        <f ca="1"/>
        <v>N/A</v>
      </c>
      <c r="D437" s="65" t="str">
        <f ca="1"/>
        <v>EQUINOR ASA         NOTE CALL MAKE WHOLE3.00000% 04/06/2027</v>
      </c>
      <c r="E437" s="66" t="str">
        <f ca="1"/>
        <v>Corp</v>
      </c>
      <c r="F437" s="67">
        <f ca="1"/>
        <v>3</v>
      </c>
      <c r="G437" s="68">
        <f ca="1"/>
        <v>46483</v>
      </c>
      <c r="H437" s="66" t="str">
        <f ca="1"/>
        <v>AA2</v>
      </c>
      <c r="I437" s="66" t="str">
        <f ca="1"/>
        <v>AA-</v>
      </c>
      <c r="J437" s="69">
        <f ca="1"/>
        <v>97.671000000000006</v>
      </c>
      <c r="K437" s="70">
        <f ca="1"/>
        <v>4.1870000000000003</v>
      </c>
      <c r="L437" s="70" t="str">
        <f ca="1"/>
        <v>41(1)</v>
      </c>
      <c r="M437" s="83"/>
      <c r="N437" s="84" t="str">
        <f t="shared" si="99"/>
        <v/>
      </c>
      <c r="O437" s="20" t="str">
        <f t="shared" si="100"/>
        <v/>
      </c>
      <c r="P437" s="64" t="str">
        <f t="shared" si="101"/>
        <v/>
      </c>
      <c r="Q437" s="85" t="str">
        <f t="shared" ca="1" si="102"/>
        <v/>
      </c>
      <c r="R437" s="86" t="str">
        <f t="shared" si="103"/>
        <v/>
      </c>
      <c r="S437" s="86" t="str">
        <f t="shared" si="104"/>
        <v/>
      </c>
      <c r="T437" s="104" t="str">
        <f t="shared" si="90"/>
        <v/>
      </c>
      <c r="U437" s="19" t="str">
        <f>IF(AND(M437&lt;&gt;"",M437&lt;&gt;0), IF(E437 = "Muni", T437, IF(E437="Corp", T437*(1 -'Investor Input'!$C$4-'Investor Input'!$C$5), T437*(1 -'Investor Input'!$C$4))), T437)</f>
        <v/>
      </c>
      <c r="V437" s="84" t="str">
        <f t="shared" si="91"/>
        <v/>
      </c>
      <c r="W437" s="84" t="str">
        <f t="shared" si="92"/>
        <v/>
      </c>
      <c r="X437" s="46" t="str">
        <f t="shared" si="93"/>
        <v/>
      </c>
      <c r="Y437" s="60" t="str">
        <f t="shared" si="94"/>
        <v/>
      </c>
      <c r="Z437" s="60" t="str">
        <f t="shared" si="95"/>
        <v/>
      </c>
      <c r="AA437" s="64" t="str">
        <f t="shared" si="96"/>
        <v/>
      </c>
      <c r="AB437" s="64" t="str">
        <f>IF(AND(AA437&lt;&gt;"",AA437&lt;&gt;0), IF(E437="Muni", AA437, IF(E437 = "Corp", (1-'Investor Input'!$C$4-'Investor Input'!$C$5)*AA437, (1-'Investor Input'!$C$4)*AA437)), AA437)</f>
        <v/>
      </c>
      <c r="AC437" s="94" t="str">
        <f t="shared" si="97"/>
        <v/>
      </c>
      <c r="AD437" s="60" t="str">
        <f>IF(AND(M437&lt;&gt;"", M437&lt;&gt;0), N437/$N$505*MATCH(AC437,'Misc Lists'!$K$2:$K$25,0), "")</f>
        <v/>
      </c>
      <c r="AE437" s="90" t="str">
        <f t="shared" si="98"/>
        <v/>
      </c>
      <c r="AF437" s="99" t="str">
        <f>IF(AND(M437&lt;&gt;"", M437&lt;&gt;0), N437/$N$505*MATCH(AE437,'Misc Lists'!$L$2:$L$25,0), "")</f>
        <v/>
      </c>
    </row>
    <row r="438" spans="2:32" hidden="1" outlineLevel="1" x14ac:dyDescent="0.5">
      <c r="B438" s="65" t="str">
        <f ca="1"/>
        <v>931142EE9</v>
      </c>
      <c r="C438" s="66" t="str">
        <f ca="1"/>
        <v>N/A</v>
      </c>
      <c r="D438" s="65" t="str">
        <f ca="1"/>
        <v>WALMART INC         NOTE CALL MAKE WHOLE3.70000% 06/26/2028</v>
      </c>
      <c r="E438" s="66" t="str">
        <f ca="1"/>
        <v>Corp</v>
      </c>
      <c r="F438" s="67">
        <f ca="1"/>
        <v>3.7</v>
      </c>
      <c r="G438" s="68">
        <f ca="1"/>
        <v>46930</v>
      </c>
      <c r="H438" s="66" t="str">
        <f ca="1"/>
        <v>AA2</v>
      </c>
      <c r="I438" s="66" t="str">
        <f ca="1"/>
        <v>AA</v>
      </c>
      <c r="J438" s="69">
        <f ca="1"/>
        <v>98.513999999999996</v>
      </c>
      <c r="K438" s="70">
        <f ca="1"/>
        <v>4.1870000000000003</v>
      </c>
      <c r="L438" s="70" t="str">
        <f ca="1"/>
        <v>200(2)</v>
      </c>
      <c r="M438" s="83"/>
      <c r="N438" s="84" t="str">
        <f t="shared" si="99"/>
        <v/>
      </c>
      <c r="O438" s="20" t="str">
        <f t="shared" si="100"/>
        <v/>
      </c>
      <c r="P438" s="64" t="str">
        <f t="shared" si="101"/>
        <v/>
      </c>
      <c r="Q438" s="85" t="str">
        <f t="shared" ca="1" si="102"/>
        <v/>
      </c>
      <c r="R438" s="86" t="str">
        <f t="shared" si="103"/>
        <v/>
      </c>
      <c r="S438" s="86" t="str">
        <f t="shared" si="104"/>
        <v/>
      </c>
      <c r="T438" s="104" t="str">
        <f t="shared" si="90"/>
        <v/>
      </c>
      <c r="U438" s="19" t="str">
        <f>IF(AND(M438&lt;&gt;"",M438&lt;&gt;0), IF(E438 = "Muni", T438, IF(E438="Corp", T438*(1 -'Investor Input'!$C$4-'Investor Input'!$C$5), T438*(1 -'Investor Input'!$C$4))), T438)</f>
        <v/>
      </c>
      <c r="V438" s="84" t="str">
        <f t="shared" si="91"/>
        <v/>
      </c>
      <c r="W438" s="84" t="str">
        <f t="shared" si="92"/>
        <v/>
      </c>
      <c r="X438" s="46" t="str">
        <f t="shared" si="93"/>
        <v/>
      </c>
      <c r="Y438" s="60" t="str">
        <f t="shared" si="94"/>
        <v/>
      </c>
      <c r="Z438" s="60" t="str">
        <f t="shared" si="95"/>
        <v/>
      </c>
      <c r="AA438" s="64" t="str">
        <f t="shared" si="96"/>
        <v/>
      </c>
      <c r="AB438" s="64" t="str">
        <f>IF(AND(AA438&lt;&gt;"",AA438&lt;&gt;0), IF(E438="Muni", AA438, IF(E438 = "Corp", (1-'Investor Input'!$C$4-'Investor Input'!$C$5)*AA438, (1-'Investor Input'!$C$4)*AA438)), AA438)</f>
        <v/>
      </c>
      <c r="AC438" s="94" t="str">
        <f t="shared" si="97"/>
        <v/>
      </c>
      <c r="AD438" s="60" t="str">
        <f>IF(AND(M438&lt;&gt;"", M438&lt;&gt;0), N438/$N$505*MATCH(AC438,'Misc Lists'!$K$2:$K$25,0), "")</f>
        <v/>
      </c>
      <c r="AE438" s="90" t="str">
        <f t="shared" si="98"/>
        <v/>
      </c>
      <c r="AF438" s="99" t="str">
        <f>IF(AND(M438&lt;&gt;"", M438&lt;&gt;0), N438/$N$505*MATCH(AE438,'Misc Lists'!$L$2:$L$25,0), "")</f>
        <v/>
      </c>
    </row>
    <row r="439" spans="2:32" hidden="1" outlineLevel="1" x14ac:dyDescent="0.5">
      <c r="B439" s="65" t="str">
        <f ca="1"/>
        <v>037833EC0</v>
      </c>
      <c r="C439" s="66" t="str">
        <f ca="1"/>
        <v>N/A</v>
      </c>
      <c r="D439" s="65" t="str">
        <f ca="1"/>
        <v>APPLE INC           NOTE CALL MAKE WHOLE1.20000% 02/08/2028</v>
      </c>
      <c r="E439" s="66" t="str">
        <f ca="1"/>
        <v>Corp</v>
      </c>
      <c r="F439" s="67">
        <f ca="1"/>
        <v>1.2</v>
      </c>
      <c r="G439" s="68">
        <f ca="1"/>
        <v>46791</v>
      </c>
      <c r="H439" s="66" t="str">
        <f ca="1"/>
        <v>AAA</v>
      </c>
      <c r="I439" s="66" t="str">
        <f ca="1"/>
        <v>AA+</v>
      </c>
      <c r="J439" s="69">
        <f ca="1"/>
        <v>91.915000000000006</v>
      </c>
      <c r="K439" s="70">
        <f ca="1"/>
        <v>4.1840000000000002</v>
      </c>
      <c r="L439" s="70" t="str">
        <f ca="1"/>
        <v>500(2)</v>
      </c>
      <c r="M439" s="83"/>
      <c r="N439" s="84" t="str">
        <f t="shared" si="99"/>
        <v/>
      </c>
      <c r="O439" s="20" t="str">
        <f t="shared" si="100"/>
        <v/>
      </c>
      <c r="P439" s="64" t="str">
        <f t="shared" si="101"/>
        <v/>
      </c>
      <c r="Q439" s="85" t="str">
        <f t="shared" ca="1" si="102"/>
        <v/>
      </c>
      <c r="R439" s="86" t="str">
        <f t="shared" si="103"/>
        <v/>
      </c>
      <c r="S439" s="86" t="str">
        <f t="shared" si="104"/>
        <v/>
      </c>
      <c r="T439" s="104" t="str">
        <f t="shared" si="90"/>
        <v/>
      </c>
      <c r="U439" s="19" t="str">
        <f>IF(AND(M439&lt;&gt;"",M439&lt;&gt;0), IF(E439 = "Muni", T439, IF(E439="Corp", T439*(1 -'Investor Input'!$C$4-'Investor Input'!$C$5), T439*(1 -'Investor Input'!$C$4))), T439)</f>
        <v/>
      </c>
      <c r="V439" s="84" t="str">
        <f t="shared" si="91"/>
        <v/>
      </c>
      <c r="W439" s="84" t="str">
        <f t="shared" si="92"/>
        <v/>
      </c>
      <c r="X439" s="46" t="str">
        <f t="shared" si="93"/>
        <v/>
      </c>
      <c r="Y439" s="60" t="str">
        <f t="shared" si="94"/>
        <v/>
      </c>
      <c r="Z439" s="60" t="str">
        <f t="shared" si="95"/>
        <v/>
      </c>
      <c r="AA439" s="64" t="str">
        <f t="shared" si="96"/>
        <v/>
      </c>
      <c r="AB439" s="64" t="str">
        <f>IF(AND(AA439&lt;&gt;"",AA439&lt;&gt;0), IF(E439="Muni", AA439, IF(E439 = "Corp", (1-'Investor Input'!$C$4-'Investor Input'!$C$5)*AA439, (1-'Investor Input'!$C$4)*AA439)), AA439)</f>
        <v/>
      </c>
      <c r="AC439" s="94" t="str">
        <f t="shared" si="97"/>
        <v/>
      </c>
      <c r="AD439" s="60" t="str">
        <f>IF(AND(M439&lt;&gt;"", M439&lt;&gt;0), N439/$N$505*MATCH(AC439,'Misc Lists'!$K$2:$K$25,0), "")</f>
        <v/>
      </c>
      <c r="AE439" s="90" t="str">
        <f t="shared" si="98"/>
        <v/>
      </c>
      <c r="AF439" s="99" t="str">
        <f>IF(AND(M439&lt;&gt;"", M439&lt;&gt;0), N439/$N$505*MATCH(AE439,'Misc Lists'!$L$2:$L$25,0), "")</f>
        <v/>
      </c>
    </row>
    <row r="440" spans="2:32" hidden="1" outlineLevel="1" x14ac:dyDescent="0.5">
      <c r="B440" s="65" t="str">
        <f ca="1"/>
        <v>742718ER6</v>
      </c>
      <c r="C440" s="66" t="str">
        <f ca="1"/>
        <v>N/A</v>
      </c>
      <c r="D440" s="65" t="str">
        <f ca="1"/>
        <v>PROCTER &amp;GAMBLE CO  NOTE CALL MAKE WHOLE2.45000% 11/03/2026</v>
      </c>
      <c r="E440" s="66" t="str">
        <f ca="1"/>
        <v>Corp</v>
      </c>
      <c r="F440" s="67">
        <f ca="1"/>
        <v>2.4500000000000002</v>
      </c>
      <c r="G440" s="68">
        <f ca="1"/>
        <v>46329</v>
      </c>
      <c r="H440" s="66" t="str">
        <f ca="1"/>
        <v>AA3</v>
      </c>
      <c r="I440" s="66" t="str">
        <f ca="1"/>
        <v>AA-</v>
      </c>
      <c r="J440" s="69">
        <f ca="1"/>
        <v>97.278999999999996</v>
      </c>
      <c r="K440" s="70">
        <f ca="1"/>
        <v>4.181</v>
      </c>
      <c r="L440" s="70" t="str">
        <f ca="1"/>
        <v>200(2)</v>
      </c>
      <c r="M440" s="83"/>
      <c r="N440" s="84" t="str">
        <f t="shared" si="99"/>
        <v/>
      </c>
      <c r="O440" s="20" t="str">
        <f t="shared" si="100"/>
        <v/>
      </c>
      <c r="P440" s="64" t="str">
        <f t="shared" si="101"/>
        <v/>
      </c>
      <c r="Q440" s="85" t="str">
        <f t="shared" ca="1" si="102"/>
        <v/>
      </c>
      <c r="R440" s="86" t="str">
        <f t="shared" si="103"/>
        <v/>
      </c>
      <c r="S440" s="86" t="str">
        <f t="shared" si="104"/>
        <v/>
      </c>
      <c r="T440" s="104" t="str">
        <f t="shared" si="90"/>
        <v/>
      </c>
      <c r="U440" s="19" t="str">
        <f>IF(AND(M440&lt;&gt;"",M440&lt;&gt;0), IF(E440 = "Muni", T440, IF(E440="Corp", T440*(1 -'Investor Input'!$C$4-'Investor Input'!$C$5), T440*(1 -'Investor Input'!$C$4))), T440)</f>
        <v/>
      </c>
      <c r="V440" s="84" t="str">
        <f t="shared" si="91"/>
        <v/>
      </c>
      <c r="W440" s="84" t="str">
        <f t="shared" si="92"/>
        <v/>
      </c>
      <c r="X440" s="46" t="str">
        <f t="shared" si="93"/>
        <v/>
      </c>
      <c r="Y440" s="60" t="str">
        <f t="shared" si="94"/>
        <v/>
      </c>
      <c r="Z440" s="60" t="str">
        <f t="shared" si="95"/>
        <v/>
      </c>
      <c r="AA440" s="64" t="str">
        <f t="shared" si="96"/>
        <v/>
      </c>
      <c r="AB440" s="64" t="str">
        <f>IF(AND(AA440&lt;&gt;"",AA440&lt;&gt;0), IF(E440="Muni", AA440, IF(E440 = "Corp", (1-'Investor Input'!$C$4-'Investor Input'!$C$5)*AA440, (1-'Investor Input'!$C$4)*AA440)), AA440)</f>
        <v/>
      </c>
      <c r="AC440" s="94" t="str">
        <f t="shared" si="97"/>
        <v/>
      </c>
      <c r="AD440" s="60" t="str">
        <f>IF(AND(M440&lt;&gt;"", M440&lt;&gt;0), N440/$N$505*MATCH(AC440,'Misc Lists'!$K$2:$K$25,0), "")</f>
        <v/>
      </c>
      <c r="AE440" s="90" t="str">
        <f t="shared" si="98"/>
        <v/>
      </c>
      <c r="AF440" s="99" t="str">
        <f>IF(AND(M440&lt;&gt;"", M440&lt;&gt;0), N440/$N$505*MATCH(AE440,'Misc Lists'!$L$2:$L$25,0), "")</f>
        <v/>
      </c>
    </row>
    <row r="441" spans="2:32" hidden="1" outlineLevel="1" x14ac:dyDescent="0.5">
      <c r="B441" s="65" t="str">
        <f ca="1"/>
        <v>656531AM2</v>
      </c>
      <c r="C441" s="66" t="str">
        <f ca="1"/>
        <v>N/A</v>
      </c>
      <c r="D441" s="65" t="str">
        <f ca="1"/>
        <v>EQUINOR ASA         BOND                7.25000% 09/23/2027</v>
      </c>
      <c r="E441" s="66" t="str">
        <f ca="1"/>
        <v>Corp</v>
      </c>
      <c r="F441" s="67">
        <f ca="1"/>
        <v>7.25</v>
      </c>
      <c r="G441" s="68">
        <f ca="1"/>
        <v>46653</v>
      </c>
      <c r="H441" s="66" t="str">
        <f ca="1"/>
        <v>AA2</v>
      </c>
      <c r="I441" s="66" t="str">
        <f ca="1"/>
        <v>AA-</v>
      </c>
      <c r="J441" s="69">
        <f ca="1"/>
        <v>107.30500000000001</v>
      </c>
      <c r="K441" s="70">
        <f ca="1"/>
        <v>4.1769999999999996</v>
      </c>
      <c r="L441" s="70" t="str">
        <f ca="1"/>
        <v>72(5)</v>
      </c>
      <c r="M441" s="83"/>
      <c r="N441" s="84" t="str">
        <f t="shared" si="99"/>
        <v/>
      </c>
      <c r="O441" s="20" t="str">
        <f t="shared" si="100"/>
        <v/>
      </c>
      <c r="P441" s="64" t="str">
        <f t="shared" si="101"/>
        <v/>
      </c>
      <c r="Q441" s="85" t="str">
        <f t="shared" ca="1" si="102"/>
        <v/>
      </c>
      <c r="R441" s="86" t="str">
        <f t="shared" si="103"/>
        <v/>
      </c>
      <c r="S441" s="86" t="str">
        <f t="shared" si="104"/>
        <v/>
      </c>
      <c r="T441" s="104" t="str">
        <f t="shared" si="90"/>
        <v/>
      </c>
      <c r="U441" s="19" t="str">
        <f>IF(AND(M441&lt;&gt;"",M441&lt;&gt;0), IF(E441 = "Muni", T441, IF(E441="Corp", T441*(1 -'Investor Input'!$C$4-'Investor Input'!$C$5), T441*(1 -'Investor Input'!$C$4))), T441)</f>
        <v/>
      </c>
      <c r="V441" s="84" t="str">
        <f t="shared" si="91"/>
        <v/>
      </c>
      <c r="W441" s="84" t="str">
        <f t="shared" si="92"/>
        <v/>
      </c>
      <c r="X441" s="46" t="str">
        <f t="shared" si="93"/>
        <v/>
      </c>
      <c r="Y441" s="60" t="str">
        <f t="shared" si="94"/>
        <v/>
      </c>
      <c r="Z441" s="60" t="str">
        <f t="shared" si="95"/>
        <v/>
      </c>
      <c r="AA441" s="64" t="str">
        <f t="shared" si="96"/>
        <v/>
      </c>
      <c r="AB441" s="64" t="str">
        <f>IF(AND(AA441&lt;&gt;"",AA441&lt;&gt;0), IF(E441="Muni", AA441, IF(E441 = "Corp", (1-'Investor Input'!$C$4-'Investor Input'!$C$5)*AA441, (1-'Investor Input'!$C$4)*AA441)), AA441)</f>
        <v/>
      </c>
      <c r="AC441" s="94" t="str">
        <f t="shared" si="97"/>
        <v/>
      </c>
      <c r="AD441" s="60" t="str">
        <f>IF(AND(M441&lt;&gt;"", M441&lt;&gt;0), N441/$N$505*MATCH(AC441,'Misc Lists'!$K$2:$K$25,0), "")</f>
        <v/>
      </c>
      <c r="AE441" s="90" t="str">
        <f t="shared" si="98"/>
        <v/>
      </c>
      <c r="AF441" s="99" t="str">
        <f>IF(AND(M441&lt;&gt;"", M441&lt;&gt;0), N441/$N$505*MATCH(AE441,'Misc Lists'!$L$2:$L$25,0), "")</f>
        <v/>
      </c>
    </row>
    <row r="442" spans="2:32" hidden="1" outlineLevel="1" x14ac:dyDescent="0.5">
      <c r="B442" s="65" t="str">
        <f ca="1"/>
        <v>961214FC2</v>
      </c>
      <c r="C442" s="66" t="str">
        <f ca="1"/>
        <v>N/A</v>
      </c>
      <c r="D442" s="65" t="str">
        <f ca="1"/>
        <v>WESTPAC BKG CORP    NOTE                4.04300% 08/26/2027</v>
      </c>
      <c r="E442" s="66" t="str">
        <f ca="1"/>
        <v>Corp</v>
      </c>
      <c r="F442" s="67">
        <f ca="1"/>
        <v>4.0430000000000001</v>
      </c>
      <c r="G442" s="68">
        <f ca="1"/>
        <v>46625</v>
      </c>
      <c r="H442" s="66" t="str">
        <f ca="1"/>
        <v>AA2</v>
      </c>
      <c r="I442" s="66" t="str">
        <f ca="1"/>
        <v>AA-</v>
      </c>
      <c r="J442" s="69">
        <f ca="1"/>
        <v>99.697999999999993</v>
      </c>
      <c r="K442" s="70">
        <f ca="1"/>
        <v>4.173</v>
      </c>
      <c r="L442" s="70" t="str">
        <f ca="1"/>
        <v>500(2)</v>
      </c>
      <c r="M442" s="83"/>
      <c r="N442" s="84" t="str">
        <f t="shared" si="99"/>
        <v/>
      </c>
      <c r="O442" s="20" t="str">
        <f t="shared" si="100"/>
        <v/>
      </c>
      <c r="P442" s="64" t="str">
        <f t="shared" si="101"/>
        <v/>
      </c>
      <c r="Q442" s="85" t="str">
        <f t="shared" ca="1" si="102"/>
        <v/>
      </c>
      <c r="R442" s="86" t="str">
        <f t="shared" si="103"/>
        <v/>
      </c>
      <c r="S442" s="86" t="str">
        <f t="shared" si="104"/>
        <v/>
      </c>
      <c r="T442" s="104" t="str">
        <f t="shared" si="90"/>
        <v/>
      </c>
      <c r="U442" s="19" t="str">
        <f>IF(AND(M442&lt;&gt;"",M442&lt;&gt;0), IF(E442 = "Muni", T442, IF(E442="Corp", T442*(1 -'Investor Input'!$C$4-'Investor Input'!$C$5), T442*(1 -'Investor Input'!$C$4))), T442)</f>
        <v/>
      </c>
      <c r="V442" s="84" t="str">
        <f t="shared" si="91"/>
        <v/>
      </c>
      <c r="W442" s="84" t="str">
        <f t="shared" si="92"/>
        <v/>
      </c>
      <c r="X442" s="46" t="str">
        <f t="shared" si="93"/>
        <v/>
      </c>
      <c r="Y442" s="60" t="str">
        <f t="shared" si="94"/>
        <v/>
      </c>
      <c r="Z442" s="60" t="str">
        <f t="shared" si="95"/>
        <v/>
      </c>
      <c r="AA442" s="64" t="str">
        <f t="shared" si="96"/>
        <v/>
      </c>
      <c r="AB442" s="64" t="str">
        <f>IF(AND(AA442&lt;&gt;"",AA442&lt;&gt;0), IF(E442="Muni", AA442, IF(E442 = "Corp", (1-'Investor Input'!$C$4-'Investor Input'!$C$5)*AA442, (1-'Investor Input'!$C$4)*AA442)), AA442)</f>
        <v/>
      </c>
      <c r="AC442" s="94" t="str">
        <f t="shared" si="97"/>
        <v/>
      </c>
      <c r="AD442" s="60" t="str">
        <f>IF(AND(M442&lt;&gt;"", M442&lt;&gt;0), N442/$N$505*MATCH(AC442,'Misc Lists'!$K$2:$K$25,0), "")</f>
        <v/>
      </c>
      <c r="AE442" s="90" t="str">
        <f t="shared" si="98"/>
        <v/>
      </c>
      <c r="AF442" s="99" t="str">
        <f>IF(AND(M442&lt;&gt;"", M442&lt;&gt;0), N442/$N$505*MATCH(AE442,'Misc Lists'!$L$2:$L$25,0), "")</f>
        <v/>
      </c>
    </row>
    <row r="443" spans="2:32" hidden="1" outlineLevel="1" x14ac:dyDescent="0.5">
      <c r="B443" s="65" t="str">
        <f ca="1"/>
        <v>30231GBD3</v>
      </c>
      <c r="C443" s="66" t="str">
        <f ca="1"/>
        <v>N/A</v>
      </c>
      <c r="D443" s="65" t="str">
        <f ca="1"/>
        <v>EXXON MOBIL CORP    NOTE CALL MAKE WHOLE2.27500% 08/16/2026</v>
      </c>
      <c r="E443" s="66" t="str">
        <f ca="1"/>
        <v>Corp</v>
      </c>
      <c r="F443" s="67">
        <f ca="1"/>
        <v>2.2749999999999999</v>
      </c>
      <c r="G443" s="68">
        <f ca="1"/>
        <v>46250</v>
      </c>
      <c r="H443" s="66" t="str">
        <f ca="1"/>
        <v>AA2</v>
      </c>
      <c r="I443" s="66" t="str">
        <f ca="1"/>
        <v>AA-</v>
      </c>
      <c r="J443" s="69">
        <f ca="1"/>
        <v>97.397000000000006</v>
      </c>
      <c r="K443" s="70">
        <f ca="1"/>
        <v>4.1710000000000003</v>
      </c>
      <c r="L443" s="70" t="str">
        <f ca="1"/>
        <v>2(2)</v>
      </c>
      <c r="M443" s="83"/>
      <c r="N443" s="84" t="str">
        <f t="shared" si="99"/>
        <v/>
      </c>
      <c r="O443" s="20" t="str">
        <f t="shared" si="100"/>
        <v/>
      </c>
      <c r="P443" s="64" t="str">
        <f t="shared" si="101"/>
        <v/>
      </c>
      <c r="Q443" s="85" t="str">
        <f t="shared" ca="1" si="102"/>
        <v/>
      </c>
      <c r="R443" s="86" t="str">
        <f t="shared" si="103"/>
        <v/>
      </c>
      <c r="S443" s="86" t="str">
        <f t="shared" si="104"/>
        <v/>
      </c>
      <c r="T443" s="104" t="str">
        <f t="shared" si="90"/>
        <v/>
      </c>
      <c r="U443" s="19" t="str">
        <f>IF(AND(M443&lt;&gt;"",M443&lt;&gt;0), IF(E443 = "Muni", T443, IF(E443="Corp", T443*(1 -'Investor Input'!$C$4-'Investor Input'!$C$5), T443*(1 -'Investor Input'!$C$4))), T443)</f>
        <v/>
      </c>
      <c r="V443" s="84" t="str">
        <f t="shared" si="91"/>
        <v/>
      </c>
      <c r="W443" s="84" t="str">
        <f t="shared" si="92"/>
        <v/>
      </c>
      <c r="X443" s="46" t="str">
        <f t="shared" si="93"/>
        <v/>
      </c>
      <c r="Y443" s="60" t="str">
        <f t="shared" si="94"/>
        <v/>
      </c>
      <c r="Z443" s="60" t="str">
        <f t="shared" si="95"/>
        <v/>
      </c>
      <c r="AA443" s="64" t="str">
        <f t="shared" si="96"/>
        <v/>
      </c>
      <c r="AB443" s="64" t="str">
        <f>IF(AND(AA443&lt;&gt;"",AA443&lt;&gt;0), IF(E443="Muni", AA443, IF(E443 = "Corp", (1-'Investor Input'!$C$4-'Investor Input'!$C$5)*AA443, (1-'Investor Input'!$C$4)*AA443)), AA443)</f>
        <v/>
      </c>
      <c r="AC443" s="94" t="str">
        <f t="shared" si="97"/>
        <v/>
      </c>
      <c r="AD443" s="60" t="str">
        <f>IF(AND(M443&lt;&gt;"", M443&lt;&gt;0), N443/$N$505*MATCH(AC443,'Misc Lists'!$K$2:$K$25,0), "")</f>
        <v/>
      </c>
      <c r="AE443" s="90" t="str">
        <f t="shared" si="98"/>
        <v/>
      </c>
      <c r="AF443" s="99" t="str">
        <f>IF(AND(M443&lt;&gt;"", M443&lt;&gt;0), N443/$N$505*MATCH(AE443,'Misc Lists'!$L$2:$L$25,0), "")</f>
        <v/>
      </c>
    </row>
    <row r="444" spans="2:32" hidden="1" outlineLevel="1" x14ac:dyDescent="0.5">
      <c r="B444" s="65" t="str">
        <f ca="1"/>
        <v>532457CJ5</v>
      </c>
      <c r="C444" s="66" t="str">
        <f ca="1"/>
        <v>N/A</v>
      </c>
      <c r="D444" s="65" t="str">
        <f ca="1"/>
        <v>ELI LILLY &amp;CO       NOTE CALL MAKE WHOLE4.50000% 02/09/2027</v>
      </c>
      <c r="E444" s="66" t="str">
        <f ca="1"/>
        <v>Corp</v>
      </c>
      <c r="F444" s="67">
        <f ca="1"/>
        <v>4.5</v>
      </c>
      <c r="G444" s="68">
        <f ca="1"/>
        <v>46427</v>
      </c>
      <c r="H444" s="66" t="str">
        <f ca="1"/>
        <v>AA3</v>
      </c>
      <c r="I444" s="66" t="str">
        <f ca="1"/>
        <v>A+</v>
      </c>
      <c r="J444" s="69">
        <f ca="1"/>
        <v>100.60299999999999</v>
      </c>
      <c r="K444" s="70">
        <f ca="1"/>
        <v>4.1660000000000004</v>
      </c>
      <c r="L444" s="70" t="str">
        <f ca="1"/>
        <v>100(10)</v>
      </c>
      <c r="M444" s="83"/>
      <c r="N444" s="84" t="str">
        <f t="shared" si="99"/>
        <v/>
      </c>
      <c r="O444" s="20" t="str">
        <f t="shared" si="100"/>
        <v/>
      </c>
      <c r="P444" s="64" t="str">
        <f t="shared" si="101"/>
        <v/>
      </c>
      <c r="Q444" s="85" t="str">
        <f t="shared" ca="1" si="102"/>
        <v/>
      </c>
      <c r="R444" s="86" t="str">
        <f t="shared" si="103"/>
        <v/>
      </c>
      <c r="S444" s="86" t="str">
        <f t="shared" si="104"/>
        <v/>
      </c>
      <c r="T444" s="104" t="str">
        <f t="shared" si="90"/>
        <v/>
      </c>
      <c r="U444" s="19" t="str">
        <f>IF(AND(M444&lt;&gt;"",M444&lt;&gt;0), IF(E444 = "Muni", T444, IF(E444="Corp", T444*(1 -'Investor Input'!$C$4-'Investor Input'!$C$5), T444*(1 -'Investor Input'!$C$4))), T444)</f>
        <v/>
      </c>
      <c r="V444" s="84" t="str">
        <f t="shared" si="91"/>
        <v/>
      </c>
      <c r="W444" s="84" t="str">
        <f t="shared" si="92"/>
        <v/>
      </c>
      <c r="X444" s="46" t="str">
        <f t="shared" si="93"/>
        <v/>
      </c>
      <c r="Y444" s="60" t="str">
        <f t="shared" si="94"/>
        <v/>
      </c>
      <c r="Z444" s="60" t="str">
        <f t="shared" si="95"/>
        <v/>
      </c>
      <c r="AA444" s="64" t="str">
        <f t="shared" si="96"/>
        <v/>
      </c>
      <c r="AB444" s="64" t="str">
        <f>IF(AND(AA444&lt;&gt;"",AA444&lt;&gt;0), IF(E444="Muni", AA444, IF(E444 = "Corp", (1-'Investor Input'!$C$4-'Investor Input'!$C$5)*AA444, (1-'Investor Input'!$C$4)*AA444)), AA444)</f>
        <v/>
      </c>
      <c r="AC444" s="94" t="str">
        <f t="shared" si="97"/>
        <v/>
      </c>
      <c r="AD444" s="60" t="str">
        <f>IF(AND(M444&lt;&gt;"", M444&lt;&gt;0), N444/$N$505*MATCH(AC444,'Misc Lists'!$K$2:$K$25,0), "")</f>
        <v/>
      </c>
      <c r="AE444" s="90" t="str">
        <f t="shared" si="98"/>
        <v/>
      </c>
      <c r="AF444" s="99" t="str">
        <f>IF(AND(M444&lt;&gt;"", M444&lt;&gt;0), N444/$N$505*MATCH(AE444,'Misc Lists'!$L$2:$L$25,0), "")</f>
        <v/>
      </c>
    </row>
    <row r="445" spans="2:32" hidden="1" outlineLevel="1" x14ac:dyDescent="0.5">
      <c r="B445" s="65" t="str">
        <f ca="1"/>
        <v>037833EB2</v>
      </c>
      <c r="C445" s="66" t="str">
        <f ca="1"/>
        <v>N/A</v>
      </c>
      <c r="D445" s="65" t="str">
        <f ca="1"/>
        <v>APPLE INC           NOTE CALL MAKE WHOLE0.70000% 02/08/2026</v>
      </c>
      <c r="E445" s="66" t="str">
        <f ca="1"/>
        <v>Corp</v>
      </c>
      <c r="F445" s="67">
        <f ca="1"/>
        <v>0.7</v>
      </c>
      <c r="G445" s="68">
        <f ca="1"/>
        <v>46061</v>
      </c>
      <c r="H445" s="66" t="str">
        <f ca="1"/>
        <v>AAA</v>
      </c>
      <c r="I445" s="66" t="str">
        <f ca="1"/>
        <v>AA+</v>
      </c>
      <c r="J445" s="69">
        <f ca="1"/>
        <v>96.954999999999998</v>
      </c>
      <c r="K445" s="70">
        <f ca="1"/>
        <v>4.1609999999999996</v>
      </c>
      <c r="L445" s="70" t="str">
        <f ca="1"/>
        <v>250(10)</v>
      </c>
      <c r="M445" s="83"/>
      <c r="N445" s="84" t="str">
        <f t="shared" si="99"/>
        <v/>
      </c>
      <c r="O445" s="20" t="str">
        <f t="shared" si="100"/>
        <v/>
      </c>
      <c r="P445" s="64" t="str">
        <f t="shared" si="101"/>
        <v/>
      </c>
      <c r="Q445" s="85" t="str">
        <f t="shared" ca="1" si="102"/>
        <v/>
      </c>
      <c r="R445" s="86" t="str">
        <f t="shared" si="103"/>
        <v/>
      </c>
      <c r="S445" s="86" t="str">
        <f t="shared" si="104"/>
        <v/>
      </c>
      <c r="T445" s="104" t="str">
        <f t="shared" si="90"/>
        <v/>
      </c>
      <c r="U445" s="19" t="str">
        <f>IF(AND(M445&lt;&gt;"",M445&lt;&gt;0), IF(E445 = "Muni", T445, IF(E445="Corp", T445*(1 -'Investor Input'!$C$4-'Investor Input'!$C$5), T445*(1 -'Investor Input'!$C$4))), T445)</f>
        <v/>
      </c>
      <c r="V445" s="84" t="str">
        <f t="shared" si="91"/>
        <v/>
      </c>
      <c r="W445" s="84" t="str">
        <f t="shared" si="92"/>
        <v/>
      </c>
      <c r="X445" s="46" t="str">
        <f t="shared" si="93"/>
        <v/>
      </c>
      <c r="Y445" s="60" t="str">
        <f t="shared" si="94"/>
        <v/>
      </c>
      <c r="Z445" s="60" t="str">
        <f t="shared" si="95"/>
        <v/>
      </c>
      <c r="AA445" s="64" t="str">
        <f t="shared" si="96"/>
        <v/>
      </c>
      <c r="AB445" s="64" t="str">
        <f>IF(AND(AA445&lt;&gt;"",AA445&lt;&gt;0), IF(E445="Muni", AA445, IF(E445 = "Corp", (1-'Investor Input'!$C$4-'Investor Input'!$C$5)*AA445, (1-'Investor Input'!$C$4)*AA445)), AA445)</f>
        <v/>
      </c>
      <c r="AC445" s="94" t="str">
        <f t="shared" si="97"/>
        <v/>
      </c>
      <c r="AD445" s="60" t="str">
        <f>IF(AND(M445&lt;&gt;"", M445&lt;&gt;0), N445/$N$505*MATCH(AC445,'Misc Lists'!$K$2:$K$25,0), "")</f>
        <v/>
      </c>
      <c r="AE445" s="90" t="str">
        <f t="shared" si="98"/>
        <v/>
      </c>
      <c r="AF445" s="99" t="str">
        <f>IF(AND(M445&lt;&gt;"", M445&lt;&gt;0), N445/$N$505*MATCH(AE445,'Misc Lists'!$L$2:$L$25,0), "")</f>
        <v/>
      </c>
    </row>
    <row r="446" spans="2:32" hidden="1" outlineLevel="1" x14ac:dyDescent="0.5">
      <c r="B446" s="65" t="str">
        <f ca="1"/>
        <v>037833BY5</v>
      </c>
      <c r="C446" s="66" t="str">
        <f ca="1"/>
        <v>N/A</v>
      </c>
      <c r="D446" s="65" t="str">
        <f ca="1"/>
        <v>APPLE INC           NOTE CALL MAKE WHOLE3.25000% 02/23/2026</v>
      </c>
      <c r="E446" s="66" t="str">
        <f ca="1"/>
        <v>Corp</v>
      </c>
      <c r="F446" s="67">
        <f ca="1"/>
        <v>3.25</v>
      </c>
      <c r="G446" s="68">
        <f ca="1"/>
        <v>46076</v>
      </c>
      <c r="H446" s="66" t="str">
        <f ca="1"/>
        <v>AAA</v>
      </c>
      <c r="I446" s="66" t="str">
        <f ca="1"/>
        <v>AA+</v>
      </c>
      <c r="J446" s="69">
        <f ca="1"/>
        <v>99.161000000000001</v>
      </c>
      <c r="K446" s="70">
        <f ca="1"/>
        <v>4.1609999999999996</v>
      </c>
      <c r="L446" s="70" t="str">
        <f ca="1"/>
        <v>5(5)</v>
      </c>
      <c r="M446" s="83"/>
      <c r="N446" s="84" t="str">
        <f t="shared" si="99"/>
        <v/>
      </c>
      <c r="O446" s="20" t="str">
        <f t="shared" si="100"/>
        <v/>
      </c>
      <c r="P446" s="64" t="str">
        <f t="shared" si="101"/>
        <v/>
      </c>
      <c r="Q446" s="85" t="str">
        <f t="shared" ca="1" si="102"/>
        <v/>
      </c>
      <c r="R446" s="86" t="str">
        <f t="shared" si="103"/>
        <v/>
      </c>
      <c r="S446" s="86" t="str">
        <f t="shared" si="104"/>
        <v/>
      </c>
      <c r="T446" s="104" t="str">
        <f t="shared" si="90"/>
        <v/>
      </c>
      <c r="U446" s="19" t="str">
        <f>IF(AND(M446&lt;&gt;"",M446&lt;&gt;0), IF(E446 = "Muni", T446, IF(E446="Corp", T446*(1 -'Investor Input'!$C$4-'Investor Input'!$C$5), T446*(1 -'Investor Input'!$C$4))), T446)</f>
        <v/>
      </c>
      <c r="V446" s="84" t="str">
        <f t="shared" si="91"/>
        <v/>
      </c>
      <c r="W446" s="84" t="str">
        <f t="shared" si="92"/>
        <v/>
      </c>
      <c r="X446" s="46" t="str">
        <f t="shared" si="93"/>
        <v/>
      </c>
      <c r="Y446" s="60" t="str">
        <f t="shared" si="94"/>
        <v/>
      </c>
      <c r="Z446" s="60" t="str">
        <f t="shared" si="95"/>
        <v/>
      </c>
      <c r="AA446" s="64" t="str">
        <f t="shared" si="96"/>
        <v/>
      </c>
      <c r="AB446" s="64" t="str">
        <f>IF(AND(AA446&lt;&gt;"",AA446&lt;&gt;0), IF(E446="Muni", AA446, IF(E446 = "Corp", (1-'Investor Input'!$C$4-'Investor Input'!$C$5)*AA446, (1-'Investor Input'!$C$4)*AA446)), AA446)</f>
        <v/>
      </c>
      <c r="AC446" s="94" t="str">
        <f t="shared" si="97"/>
        <v/>
      </c>
      <c r="AD446" s="60" t="str">
        <f>IF(AND(M446&lt;&gt;"", M446&lt;&gt;0), N446/$N$505*MATCH(AC446,'Misc Lists'!$K$2:$K$25,0), "")</f>
        <v/>
      </c>
      <c r="AE446" s="90" t="str">
        <f t="shared" si="98"/>
        <v/>
      </c>
      <c r="AF446" s="99" t="str">
        <f>IF(AND(M446&lt;&gt;"", M446&lt;&gt;0), N446/$N$505*MATCH(AE446,'Misc Lists'!$L$2:$L$25,0), "")</f>
        <v/>
      </c>
    </row>
    <row r="447" spans="2:32" hidden="1" outlineLevel="1" x14ac:dyDescent="0.5">
      <c r="B447" s="65" t="str">
        <f ca="1"/>
        <v>961214FR9</v>
      </c>
      <c r="C447" s="66" t="str">
        <f ca="1"/>
        <v>N/A</v>
      </c>
      <c r="D447" s="65" t="str">
        <f ca="1"/>
        <v>WESTPAC BKG CORP    MTN                 5.20000% 04/16/2026 ISIN #US961214FR90</v>
      </c>
      <c r="E447" s="66" t="str">
        <f ca="1"/>
        <v>Corp</v>
      </c>
      <c r="F447" s="67">
        <f ca="1"/>
        <v>5.2</v>
      </c>
      <c r="G447" s="68">
        <f ca="1"/>
        <v>46128</v>
      </c>
      <c r="H447" s="66" t="str">
        <f ca="1"/>
        <v>AA2</v>
      </c>
      <c r="I447" s="66" t="str">
        <f ca="1"/>
        <v>AA-</v>
      </c>
      <c r="J447" s="69">
        <f ca="1"/>
        <v>101.09699999999999</v>
      </c>
      <c r="K447" s="70">
        <f ca="1"/>
        <v>4.16</v>
      </c>
      <c r="L447" s="70" t="str">
        <f ca="1"/>
        <v>675(2)</v>
      </c>
      <c r="M447" s="83"/>
      <c r="N447" s="84" t="str">
        <f t="shared" si="99"/>
        <v/>
      </c>
      <c r="O447" s="20" t="str">
        <f t="shared" si="100"/>
        <v/>
      </c>
      <c r="P447" s="64" t="str">
        <f t="shared" si="101"/>
        <v/>
      </c>
      <c r="Q447" s="85" t="str">
        <f t="shared" ca="1" si="102"/>
        <v/>
      </c>
      <c r="R447" s="86" t="str">
        <f t="shared" si="103"/>
        <v/>
      </c>
      <c r="S447" s="86" t="str">
        <f t="shared" si="104"/>
        <v/>
      </c>
      <c r="T447" s="104" t="str">
        <f t="shared" si="90"/>
        <v/>
      </c>
      <c r="U447" s="19" t="str">
        <f>IF(AND(M447&lt;&gt;"",M447&lt;&gt;0), IF(E447 = "Muni", T447, IF(E447="Corp", T447*(1 -'Investor Input'!$C$4-'Investor Input'!$C$5), T447*(1 -'Investor Input'!$C$4))), T447)</f>
        <v/>
      </c>
      <c r="V447" s="84" t="str">
        <f t="shared" si="91"/>
        <v/>
      </c>
      <c r="W447" s="84" t="str">
        <f t="shared" si="92"/>
        <v/>
      </c>
      <c r="X447" s="46" t="str">
        <f t="shared" si="93"/>
        <v/>
      </c>
      <c r="Y447" s="60" t="str">
        <f t="shared" si="94"/>
        <v/>
      </c>
      <c r="Z447" s="60" t="str">
        <f t="shared" si="95"/>
        <v/>
      </c>
      <c r="AA447" s="64" t="str">
        <f t="shared" si="96"/>
        <v/>
      </c>
      <c r="AB447" s="64" t="str">
        <f>IF(AND(AA447&lt;&gt;"",AA447&lt;&gt;0), IF(E447="Muni", AA447, IF(E447 = "Corp", (1-'Investor Input'!$C$4-'Investor Input'!$C$5)*AA447, (1-'Investor Input'!$C$4)*AA447)), AA447)</f>
        <v/>
      </c>
      <c r="AC447" s="94" t="str">
        <f t="shared" si="97"/>
        <v/>
      </c>
      <c r="AD447" s="60" t="str">
        <f>IF(AND(M447&lt;&gt;"", M447&lt;&gt;0), N447/$N$505*MATCH(AC447,'Misc Lists'!$K$2:$K$25,0), "")</f>
        <v/>
      </c>
      <c r="AE447" s="90" t="str">
        <f t="shared" si="98"/>
        <v/>
      </c>
      <c r="AF447" s="99" t="str">
        <f>IF(AND(M447&lt;&gt;"", M447&lt;&gt;0), N447/$N$505*MATCH(AE447,'Misc Lists'!$L$2:$L$25,0), "")</f>
        <v/>
      </c>
    </row>
    <row r="448" spans="2:32" hidden="1" outlineLevel="1" x14ac:dyDescent="0.5">
      <c r="B448" s="65" t="str">
        <f ca="1"/>
        <v>67066GAE4</v>
      </c>
      <c r="C448" s="66" t="str">
        <f ca="1"/>
        <v>N/A</v>
      </c>
      <c r="D448" s="65" t="str">
        <f ca="1"/>
        <v>NVIDIA CORPORATION  NOTE CALL MAKE WHOLE3.20000% 09/16/2026</v>
      </c>
      <c r="E448" s="66" t="str">
        <f ca="1"/>
        <v>Corp</v>
      </c>
      <c r="F448" s="67">
        <f ca="1"/>
        <v>3.2</v>
      </c>
      <c r="G448" s="68">
        <f ca="1"/>
        <v>46281</v>
      </c>
      <c r="H448" s="66" t="str">
        <f ca="1"/>
        <v>AA3</v>
      </c>
      <c r="I448" s="66" t="str">
        <f ca="1"/>
        <v>AA-</v>
      </c>
      <c r="J448" s="69">
        <f ca="1"/>
        <v>98.608000000000004</v>
      </c>
      <c r="K448" s="70">
        <f ca="1"/>
        <v>4.16</v>
      </c>
      <c r="L448" s="70" t="str">
        <f ca="1"/>
        <v>500(10)</v>
      </c>
      <c r="M448" s="83"/>
      <c r="N448" s="84" t="str">
        <f t="shared" si="99"/>
        <v/>
      </c>
      <c r="O448" s="20" t="str">
        <f t="shared" si="100"/>
        <v/>
      </c>
      <c r="P448" s="64" t="str">
        <f t="shared" si="101"/>
        <v/>
      </c>
      <c r="Q448" s="85" t="str">
        <f t="shared" ca="1" si="102"/>
        <v/>
      </c>
      <c r="R448" s="86" t="str">
        <f t="shared" si="103"/>
        <v/>
      </c>
      <c r="S448" s="86" t="str">
        <f t="shared" si="104"/>
        <v/>
      </c>
      <c r="T448" s="104" t="str">
        <f t="shared" si="90"/>
        <v/>
      </c>
      <c r="U448" s="19" t="str">
        <f>IF(AND(M448&lt;&gt;"",M448&lt;&gt;0), IF(E448 = "Muni", T448, IF(E448="Corp", T448*(1 -'Investor Input'!$C$4-'Investor Input'!$C$5), T448*(1 -'Investor Input'!$C$4))), T448)</f>
        <v/>
      </c>
      <c r="V448" s="84" t="str">
        <f t="shared" si="91"/>
        <v/>
      </c>
      <c r="W448" s="84" t="str">
        <f t="shared" si="92"/>
        <v/>
      </c>
      <c r="X448" s="46" t="str">
        <f t="shared" si="93"/>
        <v/>
      </c>
      <c r="Y448" s="60" t="str">
        <f t="shared" si="94"/>
        <v/>
      </c>
      <c r="Z448" s="60" t="str">
        <f t="shared" si="95"/>
        <v/>
      </c>
      <c r="AA448" s="64" t="str">
        <f t="shared" si="96"/>
        <v/>
      </c>
      <c r="AB448" s="64" t="str">
        <f>IF(AND(AA448&lt;&gt;"",AA448&lt;&gt;0), IF(E448="Muni", AA448, IF(E448 = "Corp", (1-'Investor Input'!$C$4-'Investor Input'!$C$5)*AA448, (1-'Investor Input'!$C$4)*AA448)), AA448)</f>
        <v/>
      </c>
      <c r="AC448" s="94" t="str">
        <f t="shared" si="97"/>
        <v/>
      </c>
      <c r="AD448" s="60" t="str">
        <f>IF(AND(M448&lt;&gt;"", M448&lt;&gt;0), N448/$N$505*MATCH(AC448,'Misc Lists'!$K$2:$K$25,0), "")</f>
        <v/>
      </c>
      <c r="AE448" s="90" t="str">
        <f t="shared" si="98"/>
        <v/>
      </c>
      <c r="AF448" s="99" t="str">
        <f>IF(AND(M448&lt;&gt;"", M448&lt;&gt;0), N448/$N$505*MATCH(AE448,'Misc Lists'!$L$2:$L$25,0), "")</f>
        <v/>
      </c>
    </row>
    <row r="449" spans="2:32" hidden="1" outlineLevel="1" x14ac:dyDescent="0.5">
      <c r="B449" s="65" t="str">
        <f ca="1"/>
        <v>931142ER0</v>
      </c>
      <c r="C449" s="66" t="str">
        <f ca="1"/>
        <v>N/A</v>
      </c>
      <c r="D449" s="65" t="str">
        <f ca="1"/>
        <v>WALMART INC         NOTE CALL MAKE WHOLE1.05000% 09/17/2026</v>
      </c>
      <c r="E449" s="66" t="str">
        <f ca="1"/>
        <v>Corp</v>
      </c>
      <c r="F449" s="67">
        <f ca="1"/>
        <v>1.05</v>
      </c>
      <c r="G449" s="68">
        <f ca="1"/>
        <v>46282</v>
      </c>
      <c r="H449" s="66" t="str">
        <f ca="1"/>
        <v>AA2</v>
      </c>
      <c r="I449" s="66" t="str">
        <f ca="1"/>
        <v>AA</v>
      </c>
      <c r="J449" s="69">
        <f ca="1"/>
        <v>95.484999999999999</v>
      </c>
      <c r="K449" s="70">
        <f ca="1"/>
        <v>4.1580000000000004</v>
      </c>
      <c r="L449" s="70" t="str">
        <f ca="1"/>
        <v>125(2)</v>
      </c>
      <c r="M449" s="83"/>
      <c r="N449" s="84" t="str">
        <f t="shared" si="99"/>
        <v/>
      </c>
      <c r="O449" s="20" t="str">
        <f t="shared" si="100"/>
        <v/>
      </c>
      <c r="P449" s="64" t="str">
        <f t="shared" si="101"/>
        <v/>
      </c>
      <c r="Q449" s="85" t="str">
        <f t="shared" ca="1" si="102"/>
        <v/>
      </c>
      <c r="R449" s="86" t="str">
        <f t="shared" si="103"/>
        <v/>
      </c>
      <c r="S449" s="86" t="str">
        <f t="shared" si="104"/>
        <v/>
      </c>
      <c r="T449" s="104" t="str">
        <f t="shared" si="90"/>
        <v/>
      </c>
      <c r="U449" s="19" t="str">
        <f>IF(AND(M449&lt;&gt;"",M449&lt;&gt;0), IF(E449 = "Muni", T449, IF(E449="Corp", T449*(1 -'Investor Input'!$C$4-'Investor Input'!$C$5), T449*(1 -'Investor Input'!$C$4))), T449)</f>
        <v/>
      </c>
      <c r="V449" s="84" t="str">
        <f t="shared" si="91"/>
        <v/>
      </c>
      <c r="W449" s="84" t="str">
        <f t="shared" si="92"/>
        <v/>
      </c>
      <c r="X449" s="46" t="str">
        <f t="shared" si="93"/>
        <v/>
      </c>
      <c r="Y449" s="60" t="str">
        <f t="shared" si="94"/>
        <v/>
      </c>
      <c r="Z449" s="60" t="str">
        <f t="shared" si="95"/>
        <v/>
      </c>
      <c r="AA449" s="64" t="str">
        <f t="shared" si="96"/>
        <v/>
      </c>
      <c r="AB449" s="64" t="str">
        <f>IF(AND(AA449&lt;&gt;"",AA449&lt;&gt;0), IF(E449="Muni", AA449, IF(E449 = "Corp", (1-'Investor Input'!$C$4-'Investor Input'!$C$5)*AA449, (1-'Investor Input'!$C$4)*AA449)), AA449)</f>
        <v/>
      </c>
      <c r="AC449" s="94" t="str">
        <f t="shared" si="97"/>
        <v/>
      </c>
      <c r="AD449" s="60" t="str">
        <f>IF(AND(M449&lt;&gt;"", M449&lt;&gt;0), N449/$N$505*MATCH(AC449,'Misc Lists'!$K$2:$K$25,0), "")</f>
        <v/>
      </c>
      <c r="AE449" s="90" t="str">
        <f t="shared" si="98"/>
        <v/>
      </c>
      <c r="AF449" s="99" t="str">
        <f>IF(AND(M449&lt;&gt;"", M449&lt;&gt;0), N449/$N$505*MATCH(AE449,'Misc Lists'!$L$2:$L$25,0), "")</f>
        <v/>
      </c>
    </row>
    <row r="450" spans="2:32" hidden="1" outlineLevel="1" x14ac:dyDescent="0.5">
      <c r="B450" s="65" t="str">
        <f ca="1"/>
        <v>66989HAQ1</v>
      </c>
      <c r="C450" s="66" t="str">
        <f ca="1"/>
        <v>N/A</v>
      </c>
      <c r="D450" s="65" t="str">
        <f ca="1"/>
        <v>NOVARTIS CAPITAL    CORP NOTE           2.00000% 02/14/2027 CALL MAKE WHOLE</v>
      </c>
      <c r="E450" s="66" t="str">
        <f ca="1"/>
        <v>Corp</v>
      </c>
      <c r="F450" s="67">
        <f ca="1"/>
        <v>2</v>
      </c>
      <c r="G450" s="68">
        <f ca="1"/>
        <v>46432</v>
      </c>
      <c r="H450" s="66" t="str">
        <f ca="1"/>
        <v>AA3</v>
      </c>
      <c r="I450" s="66" t="str">
        <f ca="1"/>
        <v>AA-</v>
      </c>
      <c r="J450" s="69">
        <f ca="1"/>
        <v>96.052000000000007</v>
      </c>
      <c r="K450" s="70">
        <f ca="1"/>
        <v>4.1580000000000004</v>
      </c>
      <c r="L450" s="70" t="str">
        <f ca="1"/>
        <v>500(2)</v>
      </c>
      <c r="M450" s="83"/>
      <c r="N450" s="84" t="str">
        <f t="shared" si="99"/>
        <v/>
      </c>
      <c r="O450" s="20" t="str">
        <f t="shared" si="100"/>
        <v/>
      </c>
      <c r="P450" s="64" t="str">
        <f t="shared" si="101"/>
        <v/>
      </c>
      <c r="Q450" s="85" t="str">
        <f t="shared" ca="1" si="102"/>
        <v/>
      </c>
      <c r="R450" s="86" t="str">
        <f t="shared" si="103"/>
        <v/>
      </c>
      <c r="S450" s="86" t="str">
        <f t="shared" si="104"/>
        <v/>
      </c>
      <c r="T450" s="104" t="str">
        <f t="shared" si="90"/>
        <v/>
      </c>
      <c r="U450" s="19" t="str">
        <f>IF(AND(M450&lt;&gt;"",M450&lt;&gt;0), IF(E450 = "Muni", T450, IF(E450="Corp", T450*(1 -'Investor Input'!$C$4-'Investor Input'!$C$5), T450*(1 -'Investor Input'!$C$4))), T450)</f>
        <v/>
      </c>
      <c r="V450" s="84" t="str">
        <f t="shared" si="91"/>
        <v/>
      </c>
      <c r="W450" s="84" t="str">
        <f t="shared" si="92"/>
        <v/>
      </c>
      <c r="X450" s="46" t="str">
        <f t="shared" si="93"/>
        <v/>
      </c>
      <c r="Y450" s="60" t="str">
        <f t="shared" si="94"/>
        <v/>
      </c>
      <c r="Z450" s="60" t="str">
        <f t="shared" si="95"/>
        <v/>
      </c>
      <c r="AA450" s="64" t="str">
        <f t="shared" si="96"/>
        <v/>
      </c>
      <c r="AB450" s="64" t="str">
        <f>IF(AND(AA450&lt;&gt;"",AA450&lt;&gt;0), IF(E450="Muni", AA450, IF(E450 = "Corp", (1-'Investor Input'!$C$4-'Investor Input'!$C$5)*AA450, (1-'Investor Input'!$C$4)*AA450)), AA450)</f>
        <v/>
      </c>
      <c r="AC450" s="94" t="str">
        <f t="shared" si="97"/>
        <v/>
      </c>
      <c r="AD450" s="60" t="str">
        <f>IF(AND(M450&lt;&gt;"", M450&lt;&gt;0), N450/$N$505*MATCH(AC450,'Misc Lists'!$K$2:$K$25,0), "")</f>
        <v/>
      </c>
      <c r="AE450" s="90" t="str">
        <f t="shared" si="98"/>
        <v/>
      </c>
      <c r="AF450" s="99" t="str">
        <f>IF(AND(M450&lt;&gt;"", M450&lt;&gt;0), N450/$N$505*MATCH(AE450,'Misc Lists'!$L$2:$L$25,0), "")</f>
        <v/>
      </c>
    </row>
    <row r="451" spans="2:32" hidden="1" outlineLevel="1" x14ac:dyDescent="0.5">
      <c r="B451" s="65" t="str">
        <f ca="1"/>
        <v>166756AZ9</v>
      </c>
      <c r="C451" s="66" t="str">
        <f ca="1"/>
        <v>N/A</v>
      </c>
      <c r="D451" s="65" t="str">
        <f ca="1"/>
        <v>CHEVRON USA INC     NOTE CALL MAKE WHOLE4.40500% 02/26/2027</v>
      </c>
      <c r="E451" s="66" t="str">
        <f ca="1"/>
        <v>Corp</v>
      </c>
      <c r="F451" s="67">
        <f ca="1"/>
        <v>4.4050000000000002</v>
      </c>
      <c r="G451" s="68">
        <f ca="1"/>
        <v>46444</v>
      </c>
      <c r="H451" s="66" t="str">
        <f ca="1"/>
        <v>AA2</v>
      </c>
      <c r="I451" s="66" t="str">
        <f ca="1"/>
        <v>AA-</v>
      </c>
      <c r="J451" s="69">
        <f ca="1"/>
        <v>100.458</v>
      </c>
      <c r="K451" s="70">
        <f ca="1"/>
        <v>4.1580000000000004</v>
      </c>
      <c r="L451" s="70" t="str">
        <f ca="1"/>
        <v>500( 2)</v>
      </c>
      <c r="M451" s="83"/>
      <c r="N451" s="84" t="str">
        <f t="shared" si="99"/>
        <v/>
      </c>
      <c r="O451" s="20" t="str">
        <f t="shared" si="100"/>
        <v/>
      </c>
      <c r="P451" s="64" t="str">
        <f t="shared" si="101"/>
        <v/>
      </c>
      <c r="Q451" s="85" t="str">
        <f t="shared" ca="1" si="102"/>
        <v/>
      </c>
      <c r="R451" s="86" t="str">
        <f t="shared" si="103"/>
        <v/>
      </c>
      <c r="S451" s="86" t="str">
        <f t="shared" si="104"/>
        <v/>
      </c>
      <c r="T451" s="104" t="str">
        <f t="shared" si="90"/>
        <v/>
      </c>
      <c r="U451" s="19" t="str">
        <f>IF(AND(M451&lt;&gt;"",M451&lt;&gt;0), IF(E451 = "Muni", T451, IF(E451="Corp", T451*(1 -'Investor Input'!$C$4-'Investor Input'!$C$5), T451*(1 -'Investor Input'!$C$4))), T451)</f>
        <v/>
      </c>
      <c r="V451" s="84" t="str">
        <f t="shared" si="91"/>
        <v/>
      </c>
      <c r="W451" s="84" t="str">
        <f t="shared" si="92"/>
        <v/>
      </c>
      <c r="X451" s="46" t="str">
        <f t="shared" si="93"/>
        <v/>
      </c>
      <c r="Y451" s="60" t="str">
        <f t="shared" si="94"/>
        <v/>
      </c>
      <c r="Z451" s="60" t="str">
        <f t="shared" si="95"/>
        <v/>
      </c>
      <c r="AA451" s="64" t="str">
        <f t="shared" si="96"/>
        <v/>
      </c>
      <c r="AB451" s="64" t="str">
        <f>IF(AND(AA451&lt;&gt;"",AA451&lt;&gt;0), IF(E451="Muni", AA451, IF(E451 = "Corp", (1-'Investor Input'!$C$4-'Investor Input'!$C$5)*AA451, (1-'Investor Input'!$C$4)*AA451)), AA451)</f>
        <v/>
      </c>
      <c r="AC451" s="94" t="str">
        <f t="shared" si="97"/>
        <v/>
      </c>
      <c r="AD451" s="60" t="str">
        <f>IF(AND(M451&lt;&gt;"", M451&lt;&gt;0), N451/$N$505*MATCH(AC451,'Misc Lists'!$K$2:$K$25,0), "")</f>
        <v/>
      </c>
      <c r="AE451" s="90" t="str">
        <f t="shared" si="98"/>
        <v/>
      </c>
      <c r="AF451" s="99" t="str">
        <f>IF(AND(M451&lt;&gt;"", M451&lt;&gt;0), N451/$N$505*MATCH(AE451,'Misc Lists'!$L$2:$L$25,0), "")</f>
        <v/>
      </c>
    </row>
    <row r="452" spans="2:32" hidden="1" outlineLevel="1" x14ac:dyDescent="0.5">
      <c r="B452" s="65" t="str">
        <f ca="1"/>
        <v>92826CAL6</v>
      </c>
      <c r="C452" s="66" t="str">
        <f ca="1"/>
        <v>N/A</v>
      </c>
      <c r="D452" s="65" t="str">
        <f ca="1"/>
        <v>VISA INC            NOTE CALL MAKE WHOLE1.90000% 04/15/2027</v>
      </c>
      <c r="E452" s="66" t="str">
        <f ca="1"/>
        <v>Corp</v>
      </c>
      <c r="F452" s="67">
        <f ca="1"/>
        <v>1.9</v>
      </c>
      <c r="G452" s="68">
        <f ca="1"/>
        <v>46492</v>
      </c>
      <c r="H452" s="66" t="str">
        <f ca="1"/>
        <v>AA3</v>
      </c>
      <c r="I452" s="66" t="str">
        <f ca="1"/>
        <v>AA-</v>
      </c>
      <c r="J452" s="69">
        <f ca="1"/>
        <v>95.522000000000006</v>
      </c>
      <c r="K452" s="70">
        <f ca="1"/>
        <v>4.157</v>
      </c>
      <c r="L452" s="70" t="str">
        <f ca="1"/>
        <v>250(10)</v>
      </c>
      <c r="M452" s="83"/>
      <c r="N452" s="84" t="str">
        <f t="shared" si="99"/>
        <v/>
      </c>
      <c r="O452" s="20" t="str">
        <f t="shared" si="100"/>
        <v/>
      </c>
      <c r="P452" s="64" t="str">
        <f t="shared" si="101"/>
        <v/>
      </c>
      <c r="Q452" s="85" t="str">
        <f t="shared" ca="1" si="102"/>
        <v/>
      </c>
      <c r="R452" s="86" t="str">
        <f t="shared" si="103"/>
        <v/>
      </c>
      <c r="S452" s="86" t="str">
        <f t="shared" si="104"/>
        <v/>
      </c>
      <c r="T452" s="104" t="str">
        <f t="shared" ref="T452:T503" si="105">IF(AND(M452&lt;&gt;"",M452&lt;&gt;0),YIELD(Q452,G452,F452/100,N452/(M452*10),100,2),"")</f>
        <v/>
      </c>
      <c r="U452" s="19" t="str">
        <f>IF(AND(M452&lt;&gt;"",M452&lt;&gt;0), IF(E452 = "Muni", T452, IF(E452="Corp", T452*(1 -'Investor Input'!$C$4-'Investor Input'!$C$5), T452*(1 -'Investor Input'!$C$4))), T452)</f>
        <v/>
      </c>
      <c r="V452" s="84" t="str">
        <f t="shared" ref="V452:V503" si="106">IF(AND(M452&lt;&gt;"",M452&lt;&gt;0),(FV(K452/(2*100),(G452-Q452)*2/365, F452*1000/(2*100), -N452/M452))*M452, "")</f>
        <v/>
      </c>
      <c r="W452" s="84" t="str">
        <f t="shared" ref="W452:W503" si="107">IF(AND(M452&lt;&gt;"",M452&lt;&gt;0),V452-N452,"")</f>
        <v/>
      </c>
      <c r="X452" s="46" t="str">
        <f t="shared" ref="X452:X503" si="108">IF(AND(M452&lt;&gt;"",M452&lt;&gt;0),W452/N452,"")</f>
        <v/>
      </c>
      <c r="Y452" s="60" t="str">
        <f t="shared" si="94"/>
        <v/>
      </c>
      <c r="Z452" s="60" t="str">
        <f t="shared" si="95"/>
        <v/>
      </c>
      <c r="AA452" s="64" t="str">
        <f t="shared" si="96"/>
        <v/>
      </c>
      <c r="AB452" s="64" t="str">
        <f>IF(AND(AA452&lt;&gt;"",AA452&lt;&gt;0), IF(E452="Muni", AA452, IF(E452 = "Corp", (1-'Investor Input'!$C$4-'Investor Input'!$C$5)*AA452, (1-'Investor Input'!$C$4)*AA452)), AA452)</f>
        <v/>
      </c>
      <c r="AC452" s="94" t="str">
        <f t="shared" si="97"/>
        <v/>
      </c>
      <c r="AD452" s="60" t="str">
        <f>IF(AND(M452&lt;&gt;"", M452&lt;&gt;0), N452/$N$505*MATCH(AC452,'Misc Lists'!$K$2:$K$25,0), "")</f>
        <v/>
      </c>
      <c r="AE452" s="90" t="str">
        <f t="shared" si="98"/>
        <v/>
      </c>
      <c r="AF452" s="99" t="str">
        <f>IF(AND(M452&lt;&gt;"", M452&lt;&gt;0), N452/$N$505*MATCH(AE452,'Misc Lists'!$L$2:$L$25,0), "")</f>
        <v/>
      </c>
    </row>
    <row r="453" spans="2:32" hidden="1" outlineLevel="1" x14ac:dyDescent="0.5">
      <c r="B453" s="65" t="str">
        <f ca="1"/>
        <v>66989HAJ7</v>
      </c>
      <c r="C453" s="66" t="str">
        <f ca="1"/>
        <v>N/A</v>
      </c>
      <c r="D453" s="65" t="str">
        <f ca="1"/>
        <v>NOVARTIS CAPITAL    CORP NOTE           3.00000% 11/20/2025 CALL MAKE WHOLE</v>
      </c>
      <c r="E453" s="66" t="str">
        <f ca="1"/>
        <v>Corp</v>
      </c>
      <c r="F453" s="67">
        <f ca="1"/>
        <v>3</v>
      </c>
      <c r="G453" s="68">
        <f ca="1"/>
        <v>45981</v>
      </c>
      <c r="H453" s="66" t="str">
        <f ca="1"/>
        <v>AA3</v>
      </c>
      <c r="I453" s="66" t="str">
        <f ca="1"/>
        <v>AA-</v>
      </c>
      <c r="J453" s="69">
        <f ca="1"/>
        <v>99.218999999999994</v>
      </c>
      <c r="K453" s="70">
        <f ca="1"/>
        <v>4.1559999999999997</v>
      </c>
      <c r="L453" s="70" t="str">
        <f ca="1"/>
        <v>675(2)</v>
      </c>
      <c r="M453" s="83"/>
      <c r="N453" s="84" t="str">
        <f t="shared" ref="N453:N503" si="109">IF(AND(M453&lt;&gt;"", M453&lt;&gt;0), IF(L453 &lt;&gt; "N/A", IF(M453&gt;=VALUE(LEFT(L453, FIND("(", L453)-1)), J453*10*M453, 1000*M453), 1000*M453), "")</f>
        <v/>
      </c>
      <c r="O453" s="20" t="str">
        <f t="shared" ref="O453:O503" si="110">IF(AND(M453&lt;&gt;"",M453&lt;&gt;0),N453/$N$505, "")</f>
        <v/>
      </c>
      <c r="P453" s="64" t="str">
        <f t="shared" ref="P453:P503" si="111">IF(AND(M453&lt;&gt;"", M453&lt;&gt;0), F453*1000/100, "")</f>
        <v/>
      </c>
      <c r="Q453" s="85" t="str">
        <f t="shared" ref="Q453:Q503" ca="1" si="112">IF(AND(M453&lt;&gt;"", M453&lt;&gt;0), NOW(), "")</f>
        <v/>
      </c>
      <c r="R453" s="86" t="str">
        <f t="shared" ref="R453:R503" si="113">IF(AND(M453&lt;&gt;"", M453&lt;&gt;0), ROUND((G453 - Q453)/365, 0), "")</f>
        <v/>
      </c>
      <c r="S453" s="86" t="str">
        <f t="shared" ref="S453:S503" si="114">IF(AND(M453&lt;&gt;"",M453&lt;&gt;0),MDURATION(Q453,G453,F453/100,K453/100,2), "")</f>
        <v/>
      </c>
      <c r="T453" s="104" t="str">
        <f t="shared" si="105"/>
        <v/>
      </c>
      <c r="U453" s="19" t="str">
        <f>IF(AND(M453&lt;&gt;"",M453&lt;&gt;0), IF(E453 = "Muni", T453, IF(E453="Corp", T453*(1 -'Investor Input'!$C$4-'Investor Input'!$C$5), T453*(1 -'Investor Input'!$C$4))), T453)</f>
        <v/>
      </c>
      <c r="V453" s="84" t="str">
        <f t="shared" si="106"/>
        <v/>
      </c>
      <c r="W453" s="84" t="str">
        <f t="shared" si="107"/>
        <v/>
      </c>
      <c r="X453" s="46" t="str">
        <f t="shared" si="108"/>
        <v/>
      </c>
      <c r="Y453" s="60" t="str">
        <f t="shared" ref="Y453:Y503" si="115">IF(AND(M453&lt;&gt;"", M453&lt;&gt;0), MONTH(G453), "")</f>
        <v/>
      </c>
      <c r="Z453" s="60" t="str">
        <f t="shared" ref="Z453:Z503" si="116">IF(AND(M453&lt;&gt;"", M453&lt;&gt;0), MONTH(EDATE(G453, 6)), "")</f>
        <v/>
      </c>
      <c r="AA453" s="64" t="str">
        <f t="shared" ref="AA453:AA503" si="117">IF(AND(M453&lt;&gt;"", M453&lt;&gt;0), F453*1000*M453/(100*2), "")</f>
        <v/>
      </c>
      <c r="AB453" s="64" t="str">
        <f>IF(AND(AA453&lt;&gt;"",AA453&lt;&gt;0), IF(E453="Muni", AA453, IF(E453 = "Corp", (1-'Investor Input'!$C$4-'Investor Input'!$C$5)*AA453, (1-'Investor Input'!$C$4)*AA453)), AA453)</f>
        <v/>
      </c>
      <c r="AC453" s="94" t="str">
        <f t="shared" ref="AC453:AC503" si="118">IF(AND(M453&lt;&gt;"", M453&lt;&gt;0), H453, "")</f>
        <v/>
      </c>
      <c r="AD453" s="60" t="str">
        <f>IF(AND(M453&lt;&gt;"", M453&lt;&gt;0), N453/$N$505*MATCH(AC453,'Misc Lists'!$K$2:$K$25,0), "")</f>
        <v/>
      </c>
      <c r="AE453" s="90" t="str">
        <f t="shared" ref="AE453:AE503" si="119">IF(AND(M453&lt;&gt;"", M453&lt;&gt;0), I453, "")</f>
        <v/>
      </c>
      <c r="AF453" s="99" t="str">
        <f>IF(AND(M453&lt;&gt;"", M453&lt;&gt;0), N453/$N$505*MATCH(AE453,'Misc Lists'!$L$2:$L$25,0), "")</f>
        <v/>
      </c>
    </row>
    <row r="454" spans="2:32" hidden="1" outlineLevel="1" x14ac:dyDescent="0.5">
      <c r="B454" s="65" t="str">
        <f ca="1"/>
        <v>448814DC4</v>
      </c>
      <c r="C454" s="66" t="str">
        <f ca="1"/>
        <v>N/A</v>
      </c>
      <c r="D454" s="65" t="str">
        <f ca="1"/>
        <v>HYDRO-QUEBEC        BOND                8.50000% 12/01/2029</v>
      </c>
      <c r="E454" s="66" t="str">
        <f ca="1"/>
        <v>Corp</v>
      </c>
      <c r="F454" s="67">
        <f ca="1"/>
        <v>8.5</v>
      </c>
      <c r="G454" s="68">
        <f ca="1"/>
        <v>47453</v>
      </c>
      <c r="H454" s="66" t="str">
        <f ca="1"/>
        <v>AA2</v>
      </c>
      <c r="I454" s="66" t="str">
        <f ca="1"/>
        <v>AA-</v>
      </c>
      <c r="J454" s="69">
        <f ca="1"/>
        <v>118.437</v>
      </c>
      <c r="K454" s="70">
        <f ca="1"/>
        <v>4.1550000000000002</v>
      </c>
      <c r="L454" s="70" t="str">
        <f ca="1"/>
        <v>11(5)</v>
      </c>
      <c r="M454" s="83"/>
      <c r="N454" s="84" t="str">
        <f t="shared" si="109"/>
        <v/>
      </c>
      <c r="O454" s="20" t="str">
        <f t="shared" si="110"/>
        <v/>
      </c>
      <c r="P454" s="64" t="str">
        <f t="shared" si="111"/>
        <v/>
      </c>
      <c r="Q454" s="85" t="str">
        <f t="shared" ca="1" si="112"/>
        <v/>
      </c>
      <c r="R454" s="86" t="str">
        <f t="shared" si="113"/>
        <v/>
      </c>
      <c r="S454" s="86" t="str">
        <f t="shared" si="114"/>
        <v/>
      </c>
      <c r="T454" s="104" t="str">
        <f t="shared" si="105"/>
        <v/>
      </c>
      <c r="U454" s="19" t="str">
        <f>IF(AND(M454&lt;&gt;"",M454&lt;&gt;0), IF(E454 = "Muni", T454, IF(E454="Corp", T454*(1 -'Investor Input'!$C$4-'Investor Input'!$C$5), T454*(1 -'Investor Input'!$C$4))), T454)</f>
        <v/>
      </c>
      <c r="V454" s="84" t="str">
        <f t="shared" si="106"/>
        <v/>
      </c>
      <c r="W454" s="84" t="str">
        <f t="shared" si="107"/>
        <v/>
      </c>
      <c r="X454" s="46" t="str">
        <f t="shared" si="108"/>
        <v/>
      </c>
      <c r="Y454" s="60" t="str">
        <f t="shared" si="115"/>
        <v/>
      </c>
      <c r="Z454" s="60" t="str">
        <f t="shared" si="116"/>
        <v/>
      </c>
      <c r="AA454" s="64" t="str">
        <f t="shared" si="117"/>
        <v/>
      </c>
      <c r="AB454" s="64" t="str">
        <f>IF(AND(AA454&lt;&gt;"",AA454&lt;&gt;0), IF(E454="Muni", AA454, IF(E454 = "Corp", (1-'Investor Input'!$C$4-'Investor Input'!$C$5)*AA454, (1-'Investor Input'!$C$4)*AA454)), AA454)</f>
        <v/>
      </c>
      <c r="AC454" s="94" t="str">
        <f t="shared" si="118"/>
        <v/>
      </c>
      <c r="AD454" s="60" t="str">
        <f>IF(AND(M454&lt;&gt;"", M454&lt;&gt;0), N454/$N$505*MATCH(AC454,'Misc Lists'!$K$2:$K$25,0), "")</f>
        <v/>
      </c>
      <c r="AE454" s="90" t="str">
        <f t="shared" si="119"/>
        <v/>
      </c>
      <c r="AF454" s="99" t="str">
        <f>IF(AND(M454&lt;&gt;"", M454&lt;&gt;0), N454/$N$505*MATCH(AE454,'Misc Lists'!$L$2:$L$25,0), "")</f>
        <v/>
      </c>
    </row>
    <row r="455" spans="2:32" hidden="1" outlineLevel="1" x14ac:dyDescent="0.5">
      <c r="B455" s="65" t="str">
        <f ca="1"/>
        <v>594918BR4</v>
      </c>
      <c r="C455" s="66" t="str">
        <f ca="1"/>
        <v>N/A</v>
      </c>
      <c r="D455" s="65" t="str">
        <f ca="1"/>
        <v>MICROSOFT CORP      NOTE CALL MAKE WHOLE2.40000% 08/08/2026</v>
      </c>
      <c r="E455" s="66" t="str">
        <f ca="1"/>
        <v>Corp</v>
      </c>
      <c r="F455" s="67">
        <f ca="1"/>
        <v>2.4</v>
      </c>
      <c r="G455" s="68">
        <f ca="1"/>
        <v>46242</v>
      </c>
      <c r="H455" s="66" t="str">
        <f ca="1"/>
        <v>AAA</v>
      </c>
      <c r="I455" s="66" t="str">
        <f ca="1"/>
        <v>AAA</v>
      </c>
      <c r="J455" s="69">
        <f ca="1"/>
        <v>97.628</v>
      </c>
      <c r="K455" s="70">
        <f ca="1"/>
        <v>4.1529999999999996</v>
      </c>
      <c r="L455" s="70" t="str">
        <f ca="1"/>
        <v>250(2)</v>
      </c>
      <c r="M455" s="83"/>
      <c r="N455" s="84" t="str">
        <f t="shared" si="109"/>
        <v/>
      </c>
      <c r="O455" s="20" t="str">
        <f t="shared" si="110"/>
        <v/>
      </c>
      <c r="P455" s="64" t="str">
        <f t="shared" si="111"/>
        <v/>
      </c>
      <c r="Q455" s="85" t="str">
        <f t="shared" ca="1" si="112"/>
        <v/>
      </c>
      <c r="R455" s="86" t="str">
        <f t="shared" si="113"/>
        <v/>
      </c>
      <c r="S455" s="86" t="str">
        <f t="shared" si="114"/>
        <v/>
      </c>
      <c r="T455" s="104" t="str">
        <f t="shared" si="105"/>
        <v/>
      </c>
      <c r="U455" s="19" t="str">
        <f>IF(AND(M455&lt;&gt;"",M455&lt;&gt;0), IF(E455 = "Muni", T455, IF(E455="Corp", T455*(1 -'Investor Input'!$C$4-'Investor Input'!$C$5), T455*(1 -'Investor Input'!$C$4))), T455)</f>
        <v/>
      </c>
      <c r="V455" s="84" t="str">
        <f t="shared" si="106"/>
        <v/>
      </c>
      <c r="W455" s="84" t="str">
        <f t="shared" si="107"/>
        <v/>
      </c>
      <c r="X455" s="46" t="str">
        <f t="shared" si="108"/>
        <v/>
      </c>
      <c r="Y455" s="60" t="str">
        <f t="shared" si="115"/>
        <v/>
      </c>
      <c r="Z455" s="60" t="str">
        <f t="shared" si="116"/>
        <v/>
      </c>
      <c r="AA455" s="64" t="str">
        <f t="shared" si="117"/>
        <v/>
      </c>
      <c r="AB455" s="64" t="str">
        <f>IF(AND(AA455&lt;&gt;"",AA455&lt;&gt;0), IF(E455="Muni", AA455, IF(E455 = "Corp", (1-'Investor Input'!$C$4-'Investor Input'!$C$5)*AA455, (1-'Investor Input'!$C$4)*AA455)), AA455)</f>
        <v/>
      </c>
      <c r="AC455" s="94" t="str">
        <f t="shared" si="118"/>
        <v/>
      </c>
      <c r="AD455" s="60" t="str">
        <f>IF(AND(M455&lt;&gt;"", M455&lt;&gt;0), N455/$N$505*MATCH(AC455,'Misc Lists'!$K$2:$K$25,0), "")</f>
        <v/>
      </c>
      <c r="AE455" s="90" t="str">
        <f t="shared" si="119"/>
        <v/>
      </c>
      <c r="AF455" s="99" t="str">
        <f>IF(AND(M455&lt;&gt;"", M455&lt;&gt;0), N455/$N$505*MATCH(AE455,'Misc Lists'!$L$2:$L$25,0), "")</f>
        <v/>
      </c>
    </row>
    <row r="456" spans="2:32" hidden="1" outlineLevel="1" x14ac:dyDescent="0.5">
      <c r="B456" s="65" t="str">
        <f ca="1"/>
        <v>57636QAG9</v>
      </c>
      <c r="C456" s="66" t="str">
        <f ca="1"/>
        <v>N/A</v>
      </c>
      <c r="D456" s="65" t="str">
        <f ca="1"/>
        <v>MASTERCARD          INCORPORATED NOTE   2.95000% 11/21/2026 CALL MAKE WHOLE</v>
      </c>
      <c r="E456" s="66" t="str">
        <f ca="1"/>
        <v>Corp</v>
      </c>
      <c r="F456" s="67">
        <f ca="1"/>
        <v>2.95</v>
      </c>
      <c r="G456" s="68">
        <f ca="1"/>
        <v>46347</v>
      </c>
      <c r="H456" s="66" t="str">
        <f ca="1"/>
        <v>AA3</v>
      </c>
      <c r="I456" s="66" t="str">
        <f ca="1"/>
        <v>A+</v>
      </c>
      <c r="J456" s="69">
        <f ca="1"/>
        <v>98.052999999999997</v>
      </c>
      <c r="K456" s="70">
        <f ca="1"/>
        <v>4.1520000000000001</v>
      </c>
      <c r="L456" s="70" t="str">
        <f ca="1"/>
        <v>200(2)</v>
      </c>
      <c r="M456" s="83"/>
      <c r="N456" s="84" t="str">
        <f t="shared" si="109"/>
        <v/>
      </c>
      <c r="O456" s="20" t="str">
        <f t="shared" si="110"/>
        <v/>
      </c>
      <c r="P456" s="64" t="str">
        <f t="shared" si="111"/>
        <v/>
      </c>
      <c r="Q456" s="85" t="str">
        <f t="shared" ca="1" si="112"/>
        <v/>
      </c>
      <c r="R456" s="86" t="str">
        <f t="shared" si="113"/>
        <v/>
      </c>
      <c r="S456" s="86" t="str">
        <f t="shared" si="114"/>
        <v/>
      </c>
      <c r="T456" s="104" t="str">
        <f t="shared" si="105"/>
        <v/>
      </c>
      <c r="U456" s="19" t="str">
        <f>IF(AND(M456&lt;&gt;"",M456&lt;&gt;0), IF(E456 = "Muni", T456, IF(E456="Corp", T456*(1 -'Investor Input'!$C$4-'Investor Input'!$C$5), T456*(1 -'Investor Input'!$C$4))), T456)</f>
        <v/>
      </c>
      <c r="V456" s="84" t="str">
        <f t="shared" si="106"/>
        <v/>
      </c>
      <c r="W456" s="84" t="str">
        <f t="shared" si="107"/>
        <v/>
      </c>
      <c r="X456" s="46" t="str">
        <f t="shared" si="108"/>
        <v/>
      </c>
      <c r="Y456" s="60" t="str">
        <f t="shared" si="115"/>
        <v/>
      </c>
      <c r="Z456" s="60" t="str">
        <f t="shared" si="116"/>
        <v/>
      </c>
      <c r="AA456" s="64" t="str">
        <f t="shared" si="117"/>
        <v/>
      </c>
      <c r="AB456" s="64" t="str">
        <f>IF(AND(AA456&lt;&gt;"",AA456&lt;&gt;0), IF(E456="Muni", AA456, IF(E456 = "Corp", (1-'Investor Input'!$C$4-'Investor Input'!$C$5)*AA456, (1-'Investor Input'!$C$4)*AA456)), AA456)</f>
        <v/>
      </c>
      <c r="AC456" s="94" t="str">
        <f t="shared" si="118"/>
        <v/>
      </c>
      <c r="AD456" s="60" t="str">
        <f>IF(AND(M456&lt;&gt;"", M456&lt;&gt;0), N456/$N$505*MATCH(AC456,'Misc Lists'!$K$2:$K$25,0), "")</f>
        <v/>
      </c>
      <c r="AE456" s="90" t="str">
        <f t="shared" si="119"/>
        <v/>
      </c>
      <c r="AF456" s="99" t="str">
        <f>IF(AND(M456&lt;&gt;"", M456&lt;&gt;0), N456/$N$505*MATCH(AE456,'Misc Lists'!$L$2:$L$25,0), "")</f>
        <v/>
      </c>
    </row>
    <row r="457" spans="2:32" hidden="1" outlineLevel="1" x14ac:dyDescent="0.5">
      <c r="B457" s="65" t="str">
        <f ca="1"/>
        <v>931142FB4</v>
      </c>
      <c r="C457" s="66" t="str">
        <f ca="1"/>
        <v>N/A</v>
      </c>
      <c r="D457" s="65" t="str">
        <f ca="1"/>
        <v>WALMART INC         NOTE CALL MAKE WHOLE3.90000% 04/15/2028</v>
      </c>
      <c r="E457" s="66" t="str">
        <f ca="1"/>
        <v>Corp</v>
      </c>
      <c r="F457" s="67">
        <f ca="1"/>
        <v>3.9</v>
      </c>
      <c r="G457" s="68">
        <f ca="1"/>
        <v>46858</v>
      </c>
      <c r="H457" s="66" t="str">
        <f ca="1"/>
        <v>AA2</v>
      </c>
      <c r="I457" s="66" t="str">
        <f ca="1"/>
        <v>AA</v>
      </c>
      <c r="J457" s="69">
        <f ca="1"/>
        <v>99.275000000000006</v>
      </c>
      <c r="K457" s="70">
        <f ca="1"/>
        <v>4.1509999999999998</v>
      </c>
      <c r="L457" s="70" t="str">
        <f ca="1"/>
        <v>100(10)</v>
      </c>
      <c r="M457" s="83"/>
      <c r="N457" s="84" t="str">
        <f t="shared" si="109"/>
        <v/>
      </c>
      <c r="O457" s="20" t="str">
        <f t="shared" si="110"/>
        <v/>
      </c>
      <c r="P457" s="64" t="str">
        <f t="shared" si="111"/>
        <v/>
      </c>
      <c r="Q457" s="85" t="str">
        <f t="shared" ca="1" si="112"/>
        <v/>
      </c>
      <c r="R457" s="86" t="str">
        <f t="shared" si="113"/>
        <v/>
      </c>
      <c r="S457" s="86" t="str">
        <f t="shared" si="114"/>
        <v/>
      </c>
      <c r="T457" s="104" t="str">
        <f t="shared" si="105"/>
        <v/>
      </c>
      <c r="U457" s="19" t="str">
        <f>IF(AND(M457&lt;&gt;"",M457&lt;&gt;0), IF(E457 = "Muni", T457, IF(E457="Corp", T457*(1 -'Investor Input'!$C$4-'Investor Input'!$C$5), T457*(1 -'Investor Input'!$C$4))), T457)</f>
        <v/>
      </c>
      <c r="V457" s="84" t="str">
        <f t="shared" si="106"/>
        <v/>
      </c>
      <c r="W457" s="84" t="str">
        <f t="shared" si="107"/>
        <v/>
      </c>
      <c r="X457" s="46" t="str">
        <f t="shared" si="108"/>
        <v/>
      </c>
      <c r="Y457" s="60" t="str">
        <f t="shared" si="115"/>
        <v/>
      </c>
      <c r="Z457" s="60" t="str">
        <f t="shared" si="116"/>
        <v/>
      </c>
      <c r="AA457" s="64" t="str">
        <f t="shared" si="117"/>
        <v/>
      </c>
      <c r="AB457" s="64" t="str">
        <f>IF(AND(AA457&lt;&gt;"",AA457&lt;&gt;0), IF(E457="Muni", AA457, IF(E457 = "Corp", (1-'Investor Input'!$C$4-'Investor Input'!$C$5)*AA457, (1-'Investor Input'!$C$4)*AA457)), AA457)</f>
        <v/>
      </c>
      <c r="AC457" s="94" t="str">
        <f t="shared" si="118"/>
        <v/>
      </c>
      <c r="AD457" s="60" t="str">
        <f>IF(AND(M457&lt;&gt;"", M457&lt;&gt;0), N457/$N$505*MATCH(AC457,'Misc Lists'!$K$2:$K$25,0), "")</f>
        <v/>
      </c>
      <c r="AE457" s="90" t="str">
        <f t="shared" si="119"/>
        <v/>
      </c>
      <c r="AF457" s="99" t="str">
        <f>IF(AND(M457&lt;&gt;"", M457&lt;&gt;0), N457/$N$505*MATCH(AE457,'Misc Lists'!$L$2:$L$25,0), "")</f>
        <v/>
      </c>
    </row>
    <row r="458" spans="2:32" hidden="1" outlineLevel="1" x14ac:dyDescent="0.5">
      <c r="B458" s="65" t="str">
        <f ca="1"/>
        <v>478160CN2</v>
      </c>
      <c r="C458" s="66" t="str">
        <f ca="1"/>
        <v>N/A</v>
      </c>
      <c r="D458" s="65" t="str">
        <f ca="1"/>
        <v>JOHNSON &amp;JOHNSON    NOTE CALL MAKE WHOLE0.55000% 09/01/2025</v>
      </c>
      <c r="E458" s="66" t="str">
        <f ca="1"/>
        <v>Corp</v>
      </c>
      <c r="F458" s="67">
        <f ca="1"/>
        <v>0.55000000000000004</v>
      </c>
      <c r="G458" s="68">
        <f ca="1"/>
        <v>45901</v>
      </c>
      <c r="H458" s="66" t="str">
        <f ca="1"/>
        <v>AAA</v>
      </c>
      <c r="I458" s="66" t="str">
        <f ca="1"/>
        <v>AAA</v>
      </c>
      <c r="J458" s="69">
        <f ca="1"/>
        <v>98.343999999999994</v>
      </c>
      <c r="K458" s="70">
        <f ca="1"/>
        <v>4.1459999999999999</v>
      </c>
      <c r="L458" s="70" t="str">
        <f ca="1"/>
        <v>725(2)</v>
      </c>
      <c r="M458" s="83"/>
      <c r="N458" s="84" t="str">
        <f t="shared" si="109"/>
        <v/>
      </c>
      <c r="O458" s="20" t="str">
        <f t="shared" si="110"/>
        <v/>
      </c>
      <c r="P458" s="64" t="str">
        <f t="shared" si="111"/>
        <v/>
      </c>
      <c r="Q458" s="85" t="str">
        <f t="shared" ca="1" si="112"/>
        <v/>
      </c>
      <c r="R458" s="86" t="str">
        <f t="shared" si="113"/>
        <v/>
      </c>
      <c r="S458" s="86" t="str">
        <f t="shared" si="114"/>
        <v/>
      </c>
      <c r="T458" s="104" t="str">
        <f t="shared" si="105"/>
        <v/>
      </c>
      <c r="U458" s="19" t="str">
        <f>IF(AND(M458&lt;&gt;"",M458&lt;&gt;0), IF(E458 = "Muni", T458, IF(E458="Corp", T458*(1 -'Investor Input'!$C$4-'Investor Input'!$C$5), T458*(1 -'Investor Input'!$C$4))), T458)</f>
        <v/>
      </c>
      <c r="V458" s="84" t="str">
        <f t="shared" si="106"/>
        <v/>
      </c>
      <c r="W458" s="84" t="str">
        <f t="shared" si="107"/>
        <v/>
      </c>
      <c r="X458" s="46" t="str">
        <f t="shared" si="108"/>
        <v/>
      </c>
      <c r="Y458" s="60" t="str">
        <f t="shared" si="115"/>
        <v/>
      </c>
      <c r="Z458" s="60" t="str">
        <f t="shared" si="116"/>
        <v/>
      </c>
      <c r="AA458" s="64" t="str">
        <f t="shared" si="117"/>
        <v/>
      </c>
      <c r="AB458" s="64" t="str">
        <f>IF(AND(AA458&lt;&gt;"",AA458&lt;&gt;0), IF(E458="Muni", AA458, IF(E458 = "Corp", (1-'Investor Input'!$C$4-'Investor Input'!$C$5)*AA458, (1-'Investor Input'!$C$4)*AA458)), AA458)</f>
        <v/>
      </c>
      <c r="AC458" s="94" t="str">
        <f t="shared" si="118"/>
        <v/>
      </c>
      <c r="AD458" s="60" t="str">
        <f>IF(AND(M458&lt;&gt;"", M458&lt;&gt;0), N458/$N$505*MATCH(AC458,'Misc Lists'!$K$2:$K$25,0), "")</f>
        <v/>
      </c>
      <c r="AE458" s="90" t="str">
        <f t="shared" si="119"/>
        <v/>
      </c>
      <c r="AF458" s="99" t="str">
        <f>IF(AND(M458&lt;&gt;"", M458&lt;&gt;0), N458/$N$505*MATCH(AE458,'Misc Lists'!$L$2:$L$25,0), "")</f>
        <v/>
      </c>
    </row>
    <row r="459" spans="2:32" hidden="1" outlineLevel="1" x14ac:dyDescent="0.5">
      <c r="B459" s="65" t="str">
        <f ca="1"/>
        <v>742718EV7</v>
      </c>
      <c r="C459" s="66" t="str">
        <f ca="1"/>
        <v>N/A</v>
      </c>
      <c r="D459" s="65" t="str">
        <f ca="1"/>
        <v>PROCTER &amp;GAMBLE CO  NOTE CALL MAKE WHOLE2.85000% 08/11/2027</v>
      </c>
      <c r="E459" s="66" t="str">
        <f ca="1"/>
        <v>Corp</v>
      </c>
      <c r="F459" s="67">
        <f ca="1"/>
        <v>2.85</v>
      </c>
      <c r="G459" s="68">
        <f ca="1"/>
        <v>46610</v>
      </c>
      <c r="H459" s="66" t="str">
        <f ca="1"/>
        <v>AA3</v>
      </c>
      <c r="I459" s="66" t="str">
        <f ca="1"/>
        <v>AA-</v>
      </c>
      <c r="J459" s="69">
        <f ca="1"/>
        <v>97.05</v>
      </c>
      <c r="K459" s="70">
        <f ca="1"/>
        <v>4.1459999999999999</v>
      </c>
      <c r="L459" s="70" t="str">
        <f ca="1"/>
        <v>1,000(2)</v>
      </c>
      <c r="M459" s="83"/>
      <c r="N459" s="84" t="str">
        <f t="shared" si="109"/>
        <v/>
      </c>
      <c r="O459" s="20" t="str">
        <f t="shared" si="110"/>
        <v/>
      </c>
      <c r="P459" s="64" t="str">
        <f t="shared" si="111"/>
        <v/>
      </c>
      <c r="Q459" s="85" t="str">
        <f t="shared" ca="1" si="112"/>
        <v/>
      </c>
      <c r="R459" s="86" t="str">
        <f t="shared" si="113"/>
        <v/>
      </c>
      <c r="S459" s="86" t="str">
        <f t="shared" si="114"/>
        <v/>
      </c>
      <c r="T459" s="104" t="str">
        <f t="shared" si="105"/>
        <v/>
      </c>
      <c r="U459" s="19" t="str">
        <f>IF(AND(M459&lt;&gt;"",M459&lt;&gt;0), IF(E459 = "Muni", T459, IF(E459="Corp", T459*(1 -'Investor Input'!$C$4-'Investor Input'!$C$5), T459*(1 -'Investor Input'!$C$4))), T459)</f>
        <v/>
      </c>
      <c r="V459" s="84" t="str">
        <f t="shared" si="106"/>
        <v/>
      </c>
      <c r="W459" s="84" t="str">
        <f t="shared" si="107"/>
        <v/>
      </c>
      <c r="X459" s="46" t="str">
        <f t="shared" si="108"/>
        <v/>
      </c>
      <c r="Y459" s="60" t="str">
        <f t="shared" si="115"/>
        <v/>
      </c>
      <c r="Z459" s="60" t="str">
        <f t="shared" si="116"/>
        <v/>
      </c>
      <c r="AA459" s="64" t="str">
        <f t="shared" si="117"/>
        <v/>
      </c>
      <c r="AB459" s="64" t="str">
        <f>IF(AND(AA459&lt;&gt;"",AA459&lt;&gt;0), IF(E459="Muni", AA459, IF(E459 = "Corp", (1-'Investor Input'!$C$4-'Investor Input'!$C$5)*AA459, (1-'Investor Input'!$C$4)*AA459)), AA459)</f>
        <v/>
      </c>
      <c r="AC459" s="94" t="str">
        <f t="shared" si="118"/>
        <v/>
      </c>
      <c r="AD459" s="60" t="str">
        <f>IF(AND(M459&lt;&gt;"", M459&lt;&gt;0), N459/$N$505*MATCH(AC459,'Misc Lists'!$K$2:$K$25,0), "")</f>
        <v/>
      </c>
      <c r="AE459" s="90" t="str">
        <f t="shared" si="119"/>
        <v/>
      </c>
      <c r="AF459" s="99" t="str">
        <f>IF(AND(M459&lt;&gt;"", M459&lt;&gt;0), N459/$N$505*MATCH(AE459,'Misc Lists'!$L$2:$L$25,0), "")</f>
        <v/>
      </c>
    </row>
    <row r="460" spans="2:32" hidden="1" outlineLevel="1" x14ac:dyDescent="0.5">
      <c r="B460" s="65" t="str">
        <f ca="1"/>
        <v>742718FL8</v>
      </c>
      <c r="C460" s="66" t="str">
        <f ca="1"/>
        <v>N/A</v>
      </c>
      <c r="D460" s="65" t="str">
        <f ca="1"/>
        <v>PROCTER &amp;GAMBLE CO  NOTE CALL MAKE WHOLE0.55000% 10/29/2025</v>
      </c>
      <c r="E460" s="66" t="str">
        <f ca="1"/>
        <v>Corp</v>
      </c>
      <c r="F460" s="67">
        <f ca="1"/>
        <v>0.55000000000000004</v>
      </c>
      <c r="G460" s="68">
        <f ca="1"/>
        <v>45959</v>
      </c>
      <c r="H460" s="66" t="str">
        <f ca="1"/>
        <v>AA3</v>
      </c>
      <c r="I460" s="66" t="str">
        <f ca="1"/>
        <v>AA-</v>
      </c>
      <c r="J460" s="69">
        <f ca="1"/>
        <v>97.786000000000001</v>
      </c>
      <c r="K460" s="70">
        <f ca="1"/>
        <v>4.1429999999999998</v>
      </c>
      <c r="L460" s="70" t="str">
        <f ca="1"/>
        <v>12(2)</v>
      </c>
      <c r="M460" s="83"/>
      <c r="N460" s="84" t="str">
        <f t="shared" si="109"/>
        <v/>
      </c>
      <c r="O460" s="20" t="str">
        <f t="shared" si="110"/>
        <v/>
      </c>
      <c r="P460" s="64" t="str">
        <f t="shared" si="111"/>
        <v/>
      </c>
      <c r="Q460" s="85" t="str">
        <f t="shared" ca="1" si="112"/>
        <v/>
      </c>
      <c r="R460" s="86" t="str">
        <f t="shared" si="113"/>
        <v/>
      </c>
      <c r="S460" s="86" t="str">
        <f t="shared" si="114"/>
        <v/>
      </c>
      <c r="T460" s="104" t="str">
        <f t="shared" si="105"/>
        <v/>
      </c>
      <c r="U460" s="19" t="str">
        <f>IF(AND(M460&lt;&gt;"",M460&lt;&gt;0), IF(E460 = "Muni", T460, IF(E460="Corp", T460*(1 -'Investor Input'!$C$4-'Investor Input'!$C$5), T460*(1 -'Investor Input'!$C$4))), T460)</f>
        <v/>
      </c>
      <c r="V460" s="84" t="str">
        <f t="shared" si="106"/>
        <v/>
      </c>
      <c r="W460" s="84" t="str">
        <f t="shared" si="107"/>
        <v/>
      </c>
      <c r="X460" s="46" t="str">
        <f t="shared" si="108"/>
        <v/>
      </c>
      <c r="Y460" s="60" t="str">
        <f t="shared" si="115"/>
        <v/>
      </c>
      <c r="Z460" s="60" t="str">
        <f t="shared" si="116"/>
        <v/>
      </c>
      <c r="AA460" s="64" t="str">
        <f t="shared" si="117"/>
        <v/>
      </c>
      <c r="AB460" s="64" t="str">
        <f>IF(AND(AA460&lt;&gt;"",AA460&lt;&gt;0), IF(E460="Muni", AA460, IF(E460 = "Corp", (1-'Investor Input'!$C$4-'Investor Input'!$C$5)*AA460, (1-'Investor Input'!$C$4)*AA460)), AA460)</f>
        <v/>
      </c>
      <c r="AC460" s="94" t="str">
        <f t="shared" si="118"/>
        <v/>
      </c>
      <c r="AD460" s="60" t="str">
        <f>IF(AND(M460&lt;&gt;"", M460&lt;&gt;0), N460/$N$505*MATCH(AC460,'Misc Lists'!$K$2:$K$25,0), "")</f>
        <v/>
      </c>
      <c r="AE460" s="90" t="str">
        <f t="shared" si="119"/>
        <v/>
      </c>
      <c r="AF460" s="99" t="str">
        <f>IF(AND(M460&lt;&gt;"", M460&lt;&gt;0), N460/$N$505*MATCH(AE460,'Misc Lists'!$L$2:$L$25,0), "")</f>
        <v/>
      </c>
    </row>
    <row r="461" spans="2:32" hidden="1" outlineLevel="1" x14ac:dyDescent="0.5">
      <c r="B461" s="65" t="str">
        <f ca="1"/>
        <v>931142EX7</v>
      </c>
      <c r="C461" s="66" t="str">
        <f ca="1"/>
        <v>N/A</v>
      </c>
      <c r="D461" s="65" t="str">
        <f ca="1"/>
        <v>WALMART INC         NOTE CALL MAKE WHOLE3.95000% 09/09/2027</v>
      </c>
      <c r="E461" s="66" t="str">
        <f ca="1"/>
        <v>Corp</v>
      </c>
      <c r="F461" s="67">
        <f ca="1"/>
        <v>3.95</v>
      </c>
      <c r="G461" s="68">
        <f ca="1"/>
        <v>46639</v>
      </c>
      <c r="H461" s="66" t="str">
        <f ca="1"/>
        <v>AA2</v>
      </c>
      <c r="I461" s="66" t="str">
        <f ca="1"/>
        <v>AA</v>
      </c>
      <c r="J461" s="69">
        <f ca="1"/>
        <v>99.561000000000007</v>
      </c>
      <c r="K461" s="70">
        <f ca="1"/>
        <v>4.1369999999999996</v>
      </c>
      <c r="L461" s="70" t="str">
        <f ca="1"/>
        <v>235(2)</v>
      </c>
      <c r="M461" s="83"/>
      <c r="N461" s="84" t="str">
        <f t="shared" si="109"/>
        <v/>
      </c>
      <c r="O461" s="20" t="str">
        <f t="shared" si="110"/>
        <v/>
      </c>
      <c r="P461" s="64" t="str">
        <f t="shared" si="111"/>
        <v/>
      </c>
      <c r="Q461" s="85" t="str">
        <f t="shared" ca="1" si="112"/>
        <v/>
      </c>
      <c r="R461" s="86" t="str">
        <f t="shared" si="113"/>
        <v/>
      </c>
      <c r="S461" s="86" t="str">
        <f t="shared" si="114"/>
        <v/>
      </c>
      <c r="T461" s="104" t="str">
        <f t="shared" si="105"/>
        <v/>
      </c>
      <c r="U461" s="19" t="str">
        <f>IF(AND(M461&lt;&gt;"",M461&lt;&gt;0), IF(E461 = "Muni", T461, IF(E461="Corp", T461*(1 -'Investor Input'!$C$4-'Investor Input'!$C$5), T461*(1 -'Investor Input'!$C$4))), T461)</f>
        <v/>
      </c>
      <c r="V461" s="84" t="str">
        <f t="shared" si="106"/>
        <v/>
      </c>
      <c r="W461" s="84" t="str">
        <f t="shared" si="107"/>
        <v/>
      </c>
      <c r="X461" s="46" t="str">
        <f t="shared" si="108"/>
        <v/>
      </c>
      <c r="Y461" s="60" t="str">
        <f t="shared" si="115"/>
        <v/>
      </c>
      <c r="Z461" s="60" t="str">
        <f t="shared" si="116"/>
        <v/>
      </c>
      <c r="AA461" s="64" t="str">
        <f t="shared" si="117"/>
        <v/>
      </c>
      <c r="AB461" s="64" t="str">
        <f>IF(AND(AA461&lt;&gt;"",AA461&lt;&gt;0), IF(E461="Muni", AA461, IF(E461 = "Corp", (1-'Investor Input'!$C$4-'Investor Input'!$C$5)*AA461, (1-'Investor Input'!$C$4)*AA461)), AA461)</f>
        <v/>
      </c>
      <c r="AC461" s="94" t="str">
        <f t="shared" si="118"/>
        <v/>
      </c>
      <c r="AD461" s="60" t="str">
        <f>IF(AND(M461&lt;&gt;"", M461&lt;&gt;0), N461/$N$505*MATCH(AC461,'Misc Lists'!$K$2:$K$25,0), "")</f>
        <v/>
      </c>
      <c r="AE461" s="90" t="str">
        <f t="shared" si="119"/>
        <v/>
      </c>
      <c r="AF461" s="99" t="str">
        <f>IF(AND(M461&lt;&gt;"", M461&lt;&gt;0), N461/$N$505*MATCH(AE461,'Misc Lists'!$L$2:$L$25,0), "")</f>
        <v/>
      </c>
    </row>
    <row r="462" spans="2:32" hidden="1" outlineLevel="1" x14ac:dyDescent="0.5">
      <c r="B462" s="65" t="str">
        <f ca="1"/>
        <v>166756AR7</v>
      </c>
      <c r="C462" s="66" t="str">
        <f ca="1"/>
        <v>N/A</v>
      </c>
      <c r="D462" s="65" t="str">
        <f ca="1"/>
        <v>CHEVRON USA INC     NOTE CALL MAKE WHOLE3.85000% 01/15/2028</v>
      </c>
      <c r="E462" s="66" t="str">
        <f ca="1"/>
        <v>Corp</v>
      </c>
      <c r="F462" s="67">
        <f ca="1"/>
        <v>3.85</v>
      </c>
      <c r="G462" s="68">
        <f ca="1"/>
        <v>46767</v>
      </c>
      <c r="H462" s="66" t="str">
        <f ca="1"/>
        <v>AA2</v>
      </c>
      <c r="I462" s="66" t="str">
        <f ca="1"/>
        <v>AA-</v>
      </c>
      <c r="J462" s="69">
        <f ca="1"/>
        <v>99.236000000000004</v>
      </c>
      <c r="K462" s="70">
        <f ca="1"/>
        <v>4.1360000000000001</v>
      </c>
      <c r="L462" s="70" t="str">
        <f ca="1"/>
        <v>500(2)</v>
      </c>
      <c r="M462" s="83"/>
      <c r="N462" s="84" t="str">
        <f t="shared" si="109"/>
        <v/>
      </c>
      <c r="O462" s="20" t="str">
        <f t="shared" si="110"/>
        <v/>
      </c>
      <c r="P462" s="64" t="str">
        <f t="shared" si="111"/>
        <v/>
      </c>
      <c r="Q462" s="85" t="str">
        <f t="shared" ca="1" si="112"/>
        <v/>
      </c>
      <c r="R462" s="86" t="str">
        <f t="shared" si="113"/>
        <v/>
      </c>
      <c r="S462" s="86" t="str">
        <f t="shared" si="114"/>
        <v/>
      </c>
      <c r="T462" s="104" t="str">
        <f t="shared" si="105"/>
        <v/>
      </c>
      <c r="U462" s="19" t="str">
        <f>IF(AND(M462&lt;&gt;"",M462&lt;&gt;0), IF(E462 = "Muni", T462, IF(E462="Corp", T462*(1 -'Investor Input'!$C$4-'Investor Input'!$C$5), T462*(1 -'Investor Input'!$C$4))), T462)</f>
        <v/>
      </c>
      <c r="V462" s="84" t="str">
        <f t="shared" si="106"/>
        <v/>
      </c>
      <c r="W462" s="84" t="str">
        <f t="shared" si="107"/>
        <v/>
      </c>
      <c r="X462" s="46" t="str">
        <f t="shared" si="108"/>
        <v/>
      </c>
      <c r="Y462" s="60" t="str">
        <f t="shared" si="115"/>
        <v/>
      </c>
      <c r="Z462" s="60" t="str">
        <f t="shared" si="116"/>
        <v/>
      </c>
      <c r="AA462" s="64" t="str">
        <f t="shared" si="117"/>
        <v/>
      </c>
      <c r="AB462" s="64" t="str">
        <f>IF(AND(AA462&lt;&gt;"",AA462&lt;&gt;0), IF(E462="Muni", AA462, IF(E462 = "Corp", (1-'Investor Input'!$C$4-'Investor Input'!$C$5)*AA462, (1-'Investor Input'!$C$4)*AA462)), AA462)</f>
        <v/>
      </c>
      <c r="AC462" s="94" t="str">
        <f t="shared" si="118"/>
        <v/>
      </c>
      <c r="AD462" s="60" t="str">
        <f>IF(AND(M462&lt;&gt;"", M462&lt;&gt;0), N462/$N$505*MATCH(AC462,'Misc Lists'!$K$2:$K$25,0), "")</f>
        <v/>
      </c>
      <c r="AE462" s="90" t="str">
        <f t="shared" si="119"/>
        <v/>
      </c>
      <c r="AF462" s="99" t="str">
        <f>IF(AND(M462&lt;&gt;"", M462&lt;&gt;0), N462/$N$505*MATCH(AE462,'Misc Lists'!$L$2:$L$25,0), "")</f>
        <v/>
      </c>
    </row>
    <row r="463" spans="2:32" hidden="1" outlineLevel="1" x14ac:dyDescent="0.5">
      <c r="B463" s="65" t="str">
        <f ca="1"/>
        <v>037833EU0</v>
      </c>
      <c r="C463" s="66" t="str">
        <f ca="1"/>
        <v>N/A</v>
      </c>
      <c r="D463" s="65" t="str">
        <f ca="1"/>
        <v>APPLE INC           NOTE CALL MAKE WHOLE4.15000% 05/10/2030</v>
      </c>
      <c r="E463" s="66" t="str">
        <f ca="1"/>
        <v>Corp</v>
      </c>
      <c r="F463" s="67">
        <f ca="1"/>
        <v>4.1500000000000004</v>
      </c>
      <c r="G463" s="68">
        <f ca="1"/>
        <v>47613</v>
      </c>
      <c r="H463" s="66" t="str">
        <f ca="1"/>
        <v>AAA</v>
      </c>
      <c r="I463" s="66" t="str">
        <f ca="1"/>
        <v>AA+</v>
      </c>
      <c r="J463" s="69">
        <f ca="1"/>
        <v>100.071</v>
      </c>
      <c r="K463" s="70">
        <f ca="1"/>
        <v>4.1340000000000003</v>
      </c>
      <c r="L463" s="70" t="str">
        <f ca="1"/>
        <v>500(2)</v>
      </c>
      <c r="M463" s="83"/>
      <c r="N463" s="84" t="str">
        <f t="shared" si="109"/>
        <v/>
      </c>
      <c r="O463" s="20" t="str">
        <f t="shared" si="110"/>
        <v/>
      </c>
      <c r="P463" s="64" t="str">
        <f t="shared" si="111"/>
        <v/>
      </c>
      <c r="Q463" s="85" t="str">
        <f t="shared" ca="1" si="112"/>
        <v/>
      </c>
      <c r="R463" s="86" t="str">
        <f t="shared" si="113"/>
        <v/>
      </c>
      <c r="S463" s="86" t="str">
        <f t="shared" si="114"/>
        <v/>
      </c>
      <c r="T463" s="104" t="str">
        <f t="shared" si="105"/>
        <v/>
      </c>
      <c r="U463" s="19" t="str">
        <f>IF(AND(M463&lt;&gt;"",M463&lt;&gt;0), IF(E463 = "Muni", T463, IF(E463="Corp", T463*(1 -'Investor Input'!$C$4-'Investor Input'!$C$5), T463*(1 -'Investor Input'!$C$4))), T463)</f>
        <v/>
      </c>
      <c r="V463" s="84" t="str">
        <f t="shared" si="106"/>
        <v/>
      </c>
      <c r="W463" s="84" t="str">
        <f t="shared" si="107"/>
        <v/>
      </c>
      <c r="X463" s="46" t="str">
        <f t="shared" si="108"/>
        <v/>
      </c>
      <c r="Y463" s="60" t="str">
        <f t="shared" si="115"/>
        <v/>
      </c>
      <c r="Z463" s="60" t="str">
        <f t="shared" si="116"/>
        <v/>
      </c>
      <c r="AA463" s="64" t="str">
        <f t="shared" si="117"/>
        <v/>
      </c>
      <c r="AB463" s="64" t="str">
        <f>IF(AND(AA463&lt;&gt;"",AA463&lt;&gt;0), IF(E463="Muni", AA463, IF(E463 = "Corp", (1-'Investor Input'!$C$4-'Investor Input'!$C$5)*AA463, (1-'Investor Input'!$C$4)*AA463)), AA463)</f>
        <v/>
      </c>
      <c r="AC463" s="94" t="str">
        <f t="shared" si="118"/>
        <v/>
      </c>
      <c r="AD463" s="60" t="str">
        <f>IF(AND(M463&lt;&gt;"", M463&lt;&gt;0), N463/$N$505*MATCH(AC463,'Misc Lists'!$K$2:$K$25,0), "")</f>
        <v/>
      </c>
      <c r="AE463" s="90" t="str">
        <f t="shared" si="119"/>
        <v/>
      </c>
      <c r="AF463" s="99" t="str">
        <f>IF(AND(M463&lt;&gt;"", M463&lt;&gt;0), N463/$N$505*MATCH(AE463,'Misc Lists'!$L$2:$L$25,0), "")</f>
        <v/>
      </c>
    </row>
    <row r="464" spans="2:32" hidden="1" outlineLevel="1" x14ac:dyDescent="0.5">
      <c r="B464" s="65" t="str">
        <f ca="1"/>
        <v>084664CZ2</v>
      </c>
      <c r="C464" s="66" t="str">
        <f ca="1"/>
        <v>N/A</v>
      </c>
      <c r="D464" s="65" t="str">
        <f ca="1"/>
        <v>BERKSHIRE HATHAWAY  FIN CORP NOTE       2.30000% 03/15/2027 CALL MAKE WHOLE</v>
      </c>
      <c r="E464" s="66" t="str">
        <f ca="1"/>
        <v>Corp</v>
      </c>
      <c r="F464" s="67">
        <f ca="1"/>
        <v>2.2999999999999998</v>
      </c>
      <c r="G464" s="68">
        <f ca="1"/>
        <v>46461</v>
      </c>
      <c r="H464" s="66" t="str">
        <f ca="1"/>
        <v>AA2</v>
      </c>
      <c r="I464" s="66" t="str">
        <f ca="1"/>
        <v>AA</v>
      </c>
      <c r="J464" s="69">
        <f ca="1"/>
        <v>96.504000000000005</v>
      </c>
      <c r="K464" s="70">
        <f ca="1"/>
        <v>4.1319999999999997</v>
      </c>
      <c r="L464" s="70" t="str">
        <f ca="1"/>
        <v>2,000(2)</v>
      </c>
      <c r="M464" s="83"/>
      <c r="N464" s="84" t="str">
        <f t="shared" si="109"/>
        <v/>
      </c>
      <c r="O464" s="20" t="str">
        <f t="shared" si="110"/>
        <v/>
      </c>
      <c r="P464" s="64" t="str">
        <f t="shared" si="111"/>
        <v/>
      </c>
      <c r="Q464" s="85" t="str">
        <f t="shared" ca="1" si="112"/>
        <v/>
      </c>
      <c r="R464" s="86" t="str">
        <f t="shared" si="113"/>
        <v/>
      </c>
      <c r="S464" s="86" t="str">
        <f t="shared" si="114"/>
        <v/>
      </c>
      <c r="T464" s="104" t="str">
        <f t="shared" si="105"/>
        <v/>
      </c>
      <c r="U464" s="19" t="str">
        <f>IF(AND(M464&lt;&gt;"",M464&lt;&gt;0), IF(E464 = "Muni", T464, IF(E464="Corp", T464*(1 -'Investor Input'!$C$4-'Investor Input'!$C$5), T464*(1 -'Investor Input'!$C$4))), T464)</f>
        <v/>
      </c>
      <c r="V464" s="84" t="str">
        <f t="shared" si="106"/>
        <v/>
      </c>
      <c r="W464" s="84" t="str">
        <f t="shared" si="107"/>
        <v/>
      </c>
      <c r="X464" s="46" t="str">
        <f t="shared" si="108"/>
        <v/>
      </c>
      <c r="Y464" s="60" t="str">
        <f t="shared" si="115"/>
        <v/>
      </c>
      <c r="Z464" s="60" t="str">
        <f t="shared" si="116"/>
        <v/>
      </c>
      <c r="AA464" s="64" t="str">
        <f t="shared" si="117"/>
        <v/>
      </c>
      <c r="AB464" s="64" t="str">
        <f>IF(AND(AA464&lt;&gt;"",AA464&lt;&gt;0), IF(E464="Muni", AA464, IF(E464 = "Corp", (1-'Investor Input'!$C$4-'Investor Input'!$C$5)*AA464, (1-'Investor Input'!$C$4)*AA464)), AA464)</f>
        <v/>
      </c>
      <c r="AC464" s="94" t="str">
        <f t="shared" si="118"/>
        <v/>
      </c>
      <c r="AD464" s="60" t="str">
        <f>IF(AND(M464&lt;&gt;"", M464&lt;&gt;0), N464/$N$505*MATCH(AC464,'Misc Lists'!$K$2:$K$25,0), "")</f>
        <v/>
      </c>
      <c r="AE464" s="90" t="str">
        <f t="shared" si="119"/>
        <v/>
      </c>
      <c r="AF464" s="99" t="str">
        <f>IF(AND(M464&lt;&gt;"", M464&lt;&gt;0), N464/$N$505*MATCH(AE464,'Misc Lists'!$L$2:$L$25,0), "")</f>
        <v/>
      </c>
    </row>
    <row r="465" spans="2:32" hidden="1" outlineLevel="1" x14ac:dyDescent="0.5">
      <c r="B465" s="65" t="str">
        <f ca="1"/>
        <v>02079KAJ6</v>
      </c>
      <c r="C465" s="66" t="str">
        <f ca="1"/>
        <v>N/A</v>
      </c>
      <c r="D465" s="65" t="str">
        <f ca="1"/>
        <v>ALPHABET INC        NOTE CALL MAKE WHOLE0.80000% 08/15/2027</v>
      </c>
      <c r="E465" s="66" t="str">
        <f ca="1"/>
        <v>Corp</v>
      </c>
      <c r="F465" s="67">
        <f ca="1"/>
        <v>0.8</v>
      </c>
      <c r="G465" s="68">
        <f ca="1"/>
        <v>46614</v>
      </c>
      <c r="H465" s="66" t="str">
        <f ca="1"/>
        <v>AA2</v>
      </c>
      <c r="I465" s="66" t="str">
        <f ca="1"/>
        <v>AA+</v>
      </c>
      <c r="J465" s="69">
        <f ca="1"/>
        <v>92.388999999999996</v>
      </c>
      <c r="K465" s="70">
        <f ca="1"/>
        <v>4.13</v>
      </c>
      <c r="L465" s="70" t="str">
        <f ca="1"/>
        <v>500(2)</v>
      </c>
      <c r="M465" s="83"/>
      <c r="N465" s="84" t="str">
        <f t="shared" si="109"/>
        <v/>
      </c>
      <c r="O465" s="20" t="str">
        <f t="shared" si="110"/>
        <v/>
      </c>
      <c r="P465" s="64" t="str">
        <f t="shared" si="111"/>
        <v/>
      </c>
      <c r="Q465" s="85" t="str">
        <f t="shared" ca="1" si="112"/>
        <v/>
      </c>
      <c r="R465" s="86" t="str">
        <f t="shared" si="113"/>
        <v/>
      </c>
      <c r="S465" s="86" t="str">
        <f t="shared" si="114"/>
        <v/>
      </c>
      <c r="T465" s="104" t="str">
        <f t="shared" si="105"/>
        <v/>
      </c>
      <c r="U465" s="19" t="str">
        <f>IF(AND(M465&lt;&gt;"",M465&lt;&gt;0), IF(E465 = "Muni", T465, IF(E465="Corp", T465*(1 -'Investor Input'!$C$4-'Investor Input'!$C$5), T465*(1 -'Investor Input'!$C$4))), T465)</f>
        <v/>
      </c>
      <c r="V465" s="84" t="str">
        <f t="shared" si="106"/>
        <v/>
      </c>
      <c r="W465" s="84" t="str">
        <f t="shared" si="107"/>
        <v/>
      </c>
      <c r="X465" s="46" t="str">
        <f t="shared" si="108"/>
        <v/>
      </c>
      <c r="Y465" s="60" t="str">
        <f t="shared" si="115"/>
        <v/>
      </c>
      <c r="Z465" s="60" t="str">
        <f t="shared" si="116"/>
        <v/>
      </c>
      <c r="AA465" s="64" t="str">
        <f t="shared" si="117"/>
        <v/>
      </c>
      <c r="AB465" s="64" t="str">
        <f>IF(AND(AA465&lt;&gt;"",AA465&lt;&gt;0), IF(E465="Muni", AA465, IF(E465 = "Corp", (1-'Investor Input'!$C$4-'Investor Input'!$C$5)*AA465, (1-'Investor Input'!$C$4)*AA465)), AA465)</f>
        <v/>
      </c>
      <c r="AC465" s="94" t="str">
        <f t="shared" si="118"/>
        <v/>
      </c>
      <c r="AD465" s="60" t="str">
        <f>IF(AND(M465&lt;&gt;"", M465&lt;&gt;0), N465/$N$505*MATCH(AC465,'Misc Lists'!$K$2:$K$25,0), "")</f>
        <v/>
      </c>
      <c r="AE465" s="90" t="str">
        <f t="shared" si="119"/>
        <v/>
      </c>
      <c r="AF465" s="99" t="str">
        <f>IF(AND(M465&lt;&gt;"", M465&lt;&gt;0), N465/$N$505*MATCH(AE465,'Misc Lists'!$L$2:$L$25,0), "")</f>
        <v/>
      </c>
    </row>
    <row r="466" spans="2:32" hidden="1" outlineLevel="1" x14ac:dyDescent="0.5">
      <c r="B466" s="65" t="str">
        <f ca="1"/>
        <v>30231GBJ0</v>
      </c>
      <c r="C466" s="66" t="str">
        <f ca="1"/>
        <v>N/A</v>
      </c>
      <c r="D466" s="65" t="str">
        <f ca="1"/>
        <v>EXXON MOBIL CORP    NOTE CALL MAKE WHOLE3.29400% 03/19/2027</v>
      </c>
      <c r="E466" s="66" t="str">
        <f ca="1"/>
        <v>Corp</v>
      </c>
      <c r="F466" s="67">
        <f ca="1"/>
        <v>3.294</v>
      </c>
      <c r="G466" s="68">
        <f ca="1"/>
        <v>46465</v>
      </c>
      <c r="H466" s="66" t="str">
        <f ca="1"/>
        <v>AA2</v>
      </c>
      <c r="I466" s="66" t="str">
        <f ca="1"/>
        <v>AA-</v>
      </c>
      <c r="J466" s="69">
        <f ca="1"/>
        <v>98.397000000000006</v>
      </c>
      <c r="K466" s="70">
        <f ca="1"/>
        <v>4.1289999999999996</v>
      </c>
      <c r="L466" s="70" t="str">
        <f ca="1"/>
        <v>200(2)</v>
      </c>
      <c r="M466" s="83"/>
      <c r="N466" s="84" t="str">
        <f t="shared" si="109"/>
        <v/>
      </c>
      <c r="O466" s="20" t="str">
        <f t="shared" si="110"/>
        <v/>
      </c>
      <c r="P466" s="64" t="str">
        <f t="shared" si="111"/>
        <v/>
      </c>
      <c r="Q466" s="85" t="str">
        <f t="shared" ca="1" si="112"/>
        <v/>
      </c>
      <c r="R466" s="86" t="str">
        <f t="shared" si="113"/>
        <v/>
      </c>
      <c r="S466" s="86" t="str">
        <f t="shared" si="114"/>
        <v/>
      </c>
      <c r="T466" s="104" t="str">
        <f t="shared" si="105"/>
        <v/>
      </c>
      <c r="U466" s="19" t="str">
        <f>IF(AND(M466&lt;&gt;"",M466&lt;&gt;0), IF(E466 = "Muni", T466, IF(E466="Corp", T466*(1 -'Investor Input'!$C$4-'Investor Input'!$C$5), T466*(1 -'Investor Input'!$C$4))), T466)</f>
        <v/>
      </c>
      <c r="V466" s="84" t="str">
        <f t="shared" si="106"/>
        <v/>
      </c>
      <c r="W466" s="84" t="str">
        <f t="shared" si="107"/>
        <v/>
      </c>
      <c r="X466" s="46" t="str">
        <f t="shared" si="108"/>
        <v/>
      </c>
      <c r="Y466" s="60" t="str">
        <f t="shared" si="115"/>
        <v/>
      </c>
      <c r="Z466" s="60" t="str">
        <f t="shared" si="116"/>
        <v/>
      </c>
      <c r="AA466" s="64" t="str">
        <f t="shared" si="117"/>
        <v/>
      </c>
      <c r="AB466" s="64" t="str">
        <f>IF(AND(AA466&lt;&gt;"",AA466&lt;&gt;0), IF(E466="Muni", AA466, IF(E466 = "Corp", (1-'Investor Input'!$C$4-'Investor Input'!$C$5)*AA466, (1-'Investor Input'!$C$4)*AA466)), AA466)</f>
        <v/>
      </c>
      <c r="AC466" s="94" t="str">
        <f t="shared" si="118"/>
        <v/>
      </c>
      <c r="AD466" s="60" t="str">
        <f>IF(AND(M466&lt;&gt;"", M466&lt;&gt;0), N466/$N$505*MATCH(AC466,'Misc Lists'!$K$2:$K$25,0), "")</f>
        <v/>
      </c>
      <c r="AE466" s="90" t="str">
        <f t="shared" si="119"/>
        <v/>
      </c>
      <c r="AF466" s="99" t="str">
        <f>IF(AND(M466&lt;&gt;"", M466&lt;&gt;0), N466/$N$505*MATCH(AE466,'Misc Lists'!$L$2:$L$25,0), "")</f>
        <v/>
      </c>
    </row>
    <row r="467" spans="2:32" hidden="1" outlineLevel="1" x14ac:dyDescent="0.5">
      <c r="B467" s="65" t="str">
        <f ca="1"/>
        <v>92826CAP7</v>
      </c>
      <c r="C467" s="66" t="str">
        <f ca="1"/>
        <v>N/A</v>
      </c>
      <c r="D467" s="65" t="str">
        <f ca="1"/>
        <v>VISA INC            NOTE CALL MAKE WHOLE0.75000% 08/15/2027</v>
      </c>
      <c r="E467" s="66" t="str">
        <f ca="1"/>
        <v>Corp</v>
      </c>
      <c r="F467" s="67">
        <f ca="1"/>
        <v>0.75</v>
      </c>
      <c r="G467" s="68">
        <f ca="1"/>
        <v>46614</v>
      </c>
      <c r="H467" s="66" t="str">
        <f ca="1"/>
        <v>AA3</v>
      </c>
      <c r="I467" s="66" t="str">
        <f ca="1"/>
        <v>AA-</v>
      </c>
      <c r="J467" s="69">
        <f ca="1"/>
        <v>92.28</v>
      </c>
      <c r="K467" s="70">
        <f ca="1"/>
        <v>4.1280000000000001</v>
      </c>
      <c r="L467" s="70" t="str">
        <f ca="1"/>
        <v>550(2)</v>
      </c>
      <c r="M467" s="83"/>
      <c r="N467" s="84" t="str">
        <f t="shared" si="109"/>
        <v/>
      </c>
      <c r="O467" s="20" t="str">
        <f t="shared" si="110"/>
        <v/>
      </c>
      <c r="P467" s="64" t="str">
        <f t="shared" si="111"/>
        <v/>
      </c>
      <c r="Q467" s="85" t="str">
        <f t="shared" ca="1" si="112"/>
        <v/>
      </c>
      <c r="R467" s="86" t="str">
        <f t="shared" si="113"/>
        <v/>
      </c>
      <c r="S467" s="86" t="str">
        <f t="shared" si="114"/>
        <v/>
      </c>
      <c r="T467" s="104" t="str">
        <f t="shared" si="105"/>
        <v/>
      </c>
      <c r="U467" s="19" t="str">
        <f>IF(AND(M467&lt;&gt;"",M467&lt;&gt;0), IF(E467 = "Muni", T467, IF(E467="Corp", T467*(1 -'Investor Input'!$C$4-'Investor Input'!$C$5), T467*(1 -'Investor Input'!$C$4))), T467)</f>
        <v/>
      </c>
      <c r="V467" s="84" t="str">
        <f t="shared" si="106"/>
        <v/>
      </c>
      <c r="W467" s="84" t="str">
        <f t="shared" si="107"/>
        <v/>
      </c>
      <c r="X467" s="46" t="str">
        <f t="shared" si="108"/>
        <v/>
      </c>
      <c r="Y467" s="60" t="str">
        <f t="shared" si="115"/>
        <v/>
      </c>
      <c r="Z467" s="60" t="str">
        <f t="shared" si="116"/>
        <v/>
      </c>
      <c r="AA467" s="64" t="str">
        <f t="shared" si="117"/>
        <v/>
      </c>
      <c r="AB467" s="64" t="str">
        <f>IF(AND(AA467&lt;&gt;"",AA467&lt;&gt;0), IF(E467="Muni", AA467, IF(E467 = "Corp", (1-'Investor Input'!$C$4-'Investor Input'!$C$5)*AA467, (1-'Investor Input'!$C$4)*AA467)), AA467)</f>
        <v/>
      </c>
      <c r="AC467" s="94" t="str">
        <f t="shared" si="118"/>
        <v/>
      </c>
      <c r="AD467" s="60" t="str">
        <f>IF(AND(M467&lt;&gt;"", M467&lt;&gt;0), N467/$N$505*MATCH(AC467,'Misc Lists'!$K$2:$K$25,0), "")</f>
        <v/>
      </c>
      <c r="AE467" s="90" t="str">
        <f t="shared" si="119"/>
        <v/>
      </c>
      <c r="AF467" s="99" t="str">
        <f>IF(AND(M467&lt;&gt;"", M467&lt;&gt;0), N467/$N$505*MATCH(AE467,'Misc Lists'!$L$2:$L$25,0), "")</f>
        <v/>
      </c>
    </row>
    <row r="468" spans="2:32" hidden="1" outlineLevel="1" x14ac:dyDescent="0.5">
      <c r="B468" s="65" t="str">
        <f ca="1"/>
        <v>478160DG6</v>
      </c>
      <c r="C468" s="66" t="str">
        <f ca="1"/>
        <v>N/A</v>
      </c>
      <c r="D468" s="65" t="str">
        <f ca="1"/>
        <v>JOHNSON &amp;JOHNSON    NOTE CALL MAKE WHOLE4.50000% 03/01/2027</v>
      </c>
      <c r="E468" s="66" t="str">
        <f ca="1"/>
        <v>Corp</v>
      </c>
      <c r="F468" s="67">
        <f ca="1"/>
        <v>4.5</v>
      </c>
      <c r="G468" s="68">
        <f ca="1"/>
        <v>46447</v>
      </c>
      <c r="H468" s="66" t="str">
        <f ca="1"/>
        <v>AAA</v>
      </c>
      <c r="I468" s="66" t="str">
        <f ca="1"/>
        <v>AAA</v>
      </c>
      <c r="J468" s="69">
        <f ca="1"/>
        <v>100.69499999999999</v>
      </c>
      <c r="K468" s="70">
        <f ca="1"/>
        <v>4.1269999999999998</v>
      </c>
      <c r="L468" s="70" t="str">
        <f ca="1"/>
        <v>500(2)</v>
      </c>
      <c r="M468" s="83"/>
      <c r="N468" s="84" t="str">
        <f t="shared" si="109"/>
        <v/>
      </c>
      <c r="O468" s="20" t="str">
        <f t="shared" si="110"/>
        <v/>
      </c>
      <c r="P468" s="64" t="str">
        <f t="shared" si="111"/>
        <v/>
      </c>
      <c r="Q468" s="85" t="str">
        <f t="shared" ca="1" si="112"/>
        <v/>
      </c>
      <c r="R468" s="86" t="str">
        <f t="shared" si="113"/>
        <v/>
      </c>
      <c r="S468" s="86" t="str">
        <f t="shared" si="114"/>
        <v/>
      </c>
      <c r="T468" s="104" t="str">
        <f t="shared" si="105"/>
        <v/>
      </c>
      <c r="U468" s="19" t="str">
        <f>IF(AND(M468&lt;&gt;"",M468&lt;&gt;0), IF(E468 = "Muni", T468, IF(E468="Corp", T468*(1 -'Investor Input'!$C$4-'Investor Input'!$C$5), T468*(1 -'Investor Input'!$C$4))), T468)</f>
        <v/>
      </c>
      <c r="V468" s="84" t="str">
        <f t="shared" si="106"/>
        <v/>
      </c>
      <c r="W468" s="84" t="str">
        <f t="shared" si="107"/>
        <v/>
      </c>
      <c r="X468" s="46" t="str">
        <f t="shared" si="108"/>
        <v/>
      </c>
      <c r="Y468" s="60" t="str">
        <f t="shared" si="115"/>
        <v/>
      </c>
      <c r="Z468" s="60" t="str">
        <f t="shared" si="116"/>
        <v/>
      </c>
      <c r="AA468" s="64" t="str">
        <f t="shared" si="117"/>
        <v/>
      </c>
      <c r="AB468" s="64" t="str">
        <f>IF(AND(AA468&lt;&gt;"",AA468&lt;&gt;0), IF(E468="Muni", AA468, IF(E468 = "Corp", (1-'Investor Input'!$C$4-'Investor Input'!$C$5)*AA468, (1-'Investor Input'!$C$4)*AA468)), AA468)</f>
        <v/>
      </c>
      <c r="AC468" s="94" t="str">
        <f t="shared" si="118"/>
        <v/>
      </c>
      <c r="AD468" s="60" t="str">
        <f>IF(AND(M468&lt;&gt;"", M468&lt;&gt;0), N468/$N$505*MATCH(AC468,'Misc Lists'!$K$2:$K$25,0), "")</f>
        <v/>
      </c>
      <c r="AE468" s="90" t="str">
        <f t="shared" si="119"/>
        <v/>
      </c>
      <c r="AF468" s="99" t="str">
        <f>IF(AND(M468&lt;&gt;"", M468&lt;&gt;0), N468/$N$505*MATCH(AE468,'Misc Lists'!$L$2:$L$25,0), "")</f>
        <v/>
      </c>
    </row>
    <row r="469" spans="2:32" hidden="1" outlineLevel="1" x14ac:dyDescent="0.5">
      <c r="B469" s="65" t="str">
        <f ca="1"/>
        <v>532457CP1</v>
      </c>
      <c r="C469" s="66" t="str">
        <f ca="1"/>
        <v>N/A</v>
      </c>
      <c r="D469" s="65" t="str">
        <f ca="1"/>
        <v>ELI LILLY &amp;CO       NOTE CALL MAKE WHOLE4.15000% 08/14/2027</v>
      </c>
      <c r="E469" s="66" t="str">
        <f ca="1"/>
        <v>Corp</v>
      </c>
      <c r="F469" s="67">
        <f ca="1"/>
        <v>4.1500000000000004</v>
      </c>
      <c r="G469" s="68">
        <f ca="1"/>
        <v>46613</v>
      </c>
      <c r="H469" s="66" t="str">
        <f ca="1"/>
        <v>AA3</v>
      </c>
      <c r="I469" s="66" t="str">
        <f ca="1"/>
        <v>A+</v>
      </c>
      <c r="J469" s="69">
        <f ca="1"/>
        <v>100.05200000000001</v>
      </c>
      <c r="K469" s="70">
        <f ca="1"/>
        <v>4.1260000000000003</v>
      </c>
      <c r="L469" s="70" t="str">
        <f ca="1"/>
        <v>750(2)</v>
      </c>
      <c r="M469" s="83"/>
      <c r="N469" s="84" t="str">
        <f t="shared" si="109"/>
        <v/>
      </c>
      <c r="O469" s="20" t="str">
        <f t="shared" si="110"/>
        <v/>
      </c>
      <c r="P469" s="64" t="str">
        <f t="shared" si="111"/>
        <v/>
      </c>
      <c r="Q469" s="85" t="str">
        <f t="shared" ca="1" si="112"/>
        <v/>
      </c>
      <c r="R469" s="86" t="str">
        <f t="shared" si="113"/>
        <v/>
      </c>
      <c r="S469" s="86" t="str">
        <f t="shared" si="114"/>
        <v/>
      </c>
      <c r="T469" s="104" t="str">
        <f t="shared" si="105"/>
        <v/>
      </c>
      <c r="U469" s="19" t="str">
        <f>IF(AND(M469&lt;&gt;"",M469&lt;&gt;0), IF(E469 = "Muni", T469, IF(E469="Corp", T469*(1 -'Investor Input'!$C$4-'Investor Input'!$C$5), T469*(1 -'Investor Input'!$C$4))), T469)</f>
        <v/>
      </c>
      <c r="V469" s="84" t="str">
        <f t="shared" si="106"/>
        <v/>
      </c>
      <c r="W469" s="84" t="str">
        <f t="shared" si="107"/>
        <v/>
      </c>
      <c r="X469" s="46" t="str">
        <f t="shared" si="108"/>
        <v/>
      </c>
      <c r="Y469" s="60" t="str">
        <f t="shared" si="115"/>
        <v/>
      </c>
      <c r="Z469" s="60" t="str">
        <f t="shared" si="116"/>
        <v/>
      </c>
      <c r="AA469" s="64" t="str">
        <f t="shared" si="117"/>
        <v/>
      </c>
      <c r="AB469" s="64" t="str">
        <f>IF(AND(AA469&lt;&gt;"",AA469&lt;&gt;0), IF(E469="Muni", AA469, IF(E469 = "Corp", (1-'Investor Input'!$C$4-'Investor Input'!$C$5)*AA469, (1-'Investor Input'!$C$4)*AA469)), AA469)</f>
        <v/>
      </c>
      <c r="AC469" s="94" t="str">
        <f t="shared" si="118"/>
        <v/>
      </c>
      <c r="AD469" s="60" t="str">
        <f>IF(AND(M469&lt;&gt;"", M469&lt;&gt;0), N469/$N$505*MATCH(AC469,'Misc Lists'!$K$2:$K$25,0), "")</f>
        <v/>
      </c>
      <c r="AE469" s="90" t="str">
        <f t="shared" si="119"/>
        <v/>
      </c>
      <c r="AF469" s="99" t="str">
        <f>IF(AND(M469&lt;&gt;"", M469&lt;&gt;0), N469/$N$505*MATCH(AE469,'Misc Lists'!$L$2:$L$25,0), "")</f>
        <v/>
      </c>
    </row>
    <row r="470" spans="2:32" hidden="1" outlineLevel="1" x14ac:dyDescent="0.5">
      <c r="B470" s="65" t="str">
        <f ca="1"/>
        <v>22160KAM7</v>
      </c>
      <c r="C470" s="66" t="str">
        <f ca="1"/>
        <v>N/A</v>
      </c>
      <c r="D470" s="65" t="str">
        <f ca="1"/>
        <v>COSTCO WHOLESALE    CORPORATION NOTE    3.00000% 05/18/2027 CALL MAKE</v>
      </c>
      <c r="E470" s="66" t="str">
        <f ca="1"/>
        <v>Corp</v>
      </c>
      <c r="F470" s="67">
        <f ca="1"/>
        <v>3</v>
      </c>
      <c r="G470" s="68">
        <f ca="1"/>
        <v>46525</v>
      </c>
      <c r="H470" s="66" t="str">
        <f ca="1"/>
        <v>AA3</v>
      </c>
      <c r="I470" s="66" t="str">
        <f ca="1"/>
        <v>AA</v>
      </c>
      <c r="J470" s="69">
        <f ca="1"/>
        <v>97.67</v>
      </c>
      <c r="K470" s="70">
        <f ca="1"/>
        <v>4.125</v>
      </c>
      <c r="L470" s="70" t="str">
        <f ca="1"/>
        <v>500(2)</v>
      </c>
      <c r="M470" s="83"/>
      <c r="N470" s="84" t="str">
        <f t="shared" si="109"/>
        <v/>
      </c>
      <c r="O470" s="20" t="str">
        <f t="shared" si="110"/>
        <v/>
      </c>
      <c r="P470" s="64" t="str">
        <f t="shared" si="111"/>
        <v/>
      </c>
      <c r="Q470" s="85" t="str">
        <f t="shared" ca="1" si="112"/>
        <v/>
      </c>
      <c r="R470" s="86" t="str">
        <f t="shared" si="113"/>
        <v/>
      </c>
      <c r="S470" s="86" t="str">
        <f t="shared" si="114"/>
        <v/>
      </c>
      <c r="T470" s="104" t="str">
        <f t="shared" si="105"/>
        <v/>
      </c>
      <c r="U470" s="19" t="str">
        <f>IF(AND(M470&lt;&gt;"",M470&lt;&gt;0), IF(E470 = "Muni", T470, IF(E470="Corp", T470*(1 -'Investor Input'!$C$4-'Investor Input'!$C$5), T470*(1 -'Investor Input'!$C$4))), T470)</f>
        <v/>
      </c>
      <c r="V470" s="84" t="str">
        <f t="shared" si="106"/>
        <v/>
      </c>
      <c r="W470" s="84" t="str">
        <f t="shared" si="107"/>
        <v/>
      </c>
      <c r="X470" s="46" t="str">
        <f t="shared" si="108"/>
        <v/>
      </c>
      <c r="Y470" s="60" t="str">
        <f t="shared" si="115"/>
        <v/>
      </c>
      <c r="Z470" s="60" t="str">
        <f t="shared" si="116"/>
        <v/>
      </c>
      <c r="AA470" s="64" t="str">
        <f t="shared" si="117"/>
        <v/>
      </c>
      <c r="AB470" s="64" t="str">
        <f>IF(AND(AA470&lt;&gt;"",AA470&lt;&gt;0), IF(E470="Muni", AA470, IF(E470 = "Corp", (1-'Investor Input'!$C$4-'Investor Input'!$C$5)*AA470, (1-'Investor Input'!$C$4)*AA470)), AA470)</f>
        <v/>
      </c>
      <c r="AC470" s="94" t="str">
        <f t="shared" si="118"/>
        <v/>
      </c>
      <c r="AD470" s="60" t="str">
        <f>IF(AND(M470&lt;&gt;"", M470&lt;&gt;0), N470/$N$505*MATCH(AC470,'Misc Lists'!$K$2:$K$25,0), "")</f>
        <v/>
      </c>
      <c r="AE470" s="90" t="str">
        <f t="shared" si="119"/>
        <v/>
      </c>
      <c r="AF470" s="99" t="str">
        <f>IF(AND(M470&lt;&gt;"", M470&lt;&gt;0), N470/$N$505*MATCH(AE470,'Misc Lists'!$L$2:$L$25,0), "")</f>
        <v/>
      </c>
    </row>
    <row r="471" spans="2:32" outlineLevel="1" x14ac:dyDescent="0.5">
      <c r="B471" s="65" t="str">
        <f ca="1"/>
        <v>478160CE2</v>
      </c>
      <c r="C471" s="66" t="str">
        <f ca="1"/>
        <v>N/A</v>
      </c>
      <c r="D471" s="65" t="str">
        <f ca="1"/>
        <v>JOHNSON &amp;JOHNSON    NOTE CALL MAKE WHOLE2.95000% 03/03/2027</v>
      </c>
      <c r="E471" s="66" t="str">
        <f ca="1"/>
        <v>Corp</v>
      </c>
      <c r="F471" s="67">
        <f ca="1"/>
        <v>2.95</v>
      </c>
      <c r="G471" s="68">
        <f ca="1"/>
        <v>46449</v>
      </c>
      <c r="H471" s="66" t="str">
        <f ca="1"/>
        <v>AAA</v>
      </c>
      <c r="I471" s="66" t="str">
        <f ca="1"/>
        <v>AAA</v>
      </c>
      <c r="J471" s="69">
        <f ca="1"/>
        <v>97.796000000000006</v>
      </c>
      <c r="K471" s="70">
        <f ca="1"/>
        <v>4.1230000000000002</v>
      </c>
      <c r="L471" s="70" t="str">
        <f ca="1"/>
        <v>500(2)</v>
      </c>
      <c r="M471" s="83">
        <v>100</v>
      </c>
      <c r="N471" s="84">
        <f t="shared" ca="1" si="109"/>
        <v>100000</v>
      </c>
      <c r="O471" s="20">
        <f t="shared" ca="1" si="110"/>
        <v>9.9253144897929302E-2</v>
      </c>
      <c r="P471" s="64">
        <f t="shared" ca="1" si="111"/>
        <v>29.5</v>
      </c>
      <c r="Q471" s="85">
        <f t="shared" ca="1" si="112"/>
        <v>45791.491364930553</v>
      </c>
      <c r="R471" s="86">
        <f t="shared" ca="1" si="113"/>
        <v>2</v>
      </c>
      <c r="S471" s="86">
        <f t="shared" ca="1" si="114"/>
        <v>1.7234969478087883</v>
      </c>
      <c r="T471" s="104">
        <f t="shared" ca="1" si="105"/>
        <v>2.9485218572944744E-2</v>
      </c>
      <c r="U471" s="19">
        <f ca="1">IF(AND(M471&lt;&gt;"",M471&lt;&gt;0), IF(E471 = "Muni", T471, IF(E471="Corp", T471*(1 -'Investor Input'!$C$4-'Investor Input'!$C$5), T471*(1 -'Investor Input'!$C$4))), T471)</f>
        <v>1.5922018029390164E-2</v>
      </c>
      <c r="V471" s="84">
        <f t="shared" ca="1" si="106"/>
        <v>102170.34987117322</v>
      </c>
      <c r="W471" s="84">
        <f t="shared" ca="1" si="107"/>
        <v>2170.3498711732245</v>
      </c>
      <c r="X471" s="46">
        <f t="shared" ca="1" si="108"/>
        <v>2.1703498711732244E-2</v>
      </c>
      <c r="Y471" s="60">
        <f t="shared" ca="1" si="115"/>
        <v>3</v>
      </c>
      <c r="Z471" s="60">
        <f t="shared" ca="1" si="116"/>
        <v>9</v>
      </c>
      <c r="AA471" s="64">
        <f t="shared" ca="1" si="117"/>
        <v>1475</v>
      </c>
      <c r="AB471" s="64">
        <f ca="1">IF(AND(AA471&lt;&gt;"",AA471&lt;&gt;0), IF(E471="Muni", AA471, IF(E471 = "Corp", (1-'Investor Input'!$C$4-'Investor Input'!$C$5)*AA471, (1-'Investor Input'!$C$4)*AA471)), AA471)</f>
        <v>796.5</v>
      </c>
      <c r="AC471" s="94" t="str">
        <f t="shared" ca="1" si="118"/>
        <v>AAA</v>
      </c>
      <c r="AD471" s="60">
        <f ca="1">IF(AND(M471&lt;&gt;"", M471&lt;&gt;0), N471/$N$505*MATCH(AC471,'Misc Lists'!$K$2:$K$25,0), "")</f>
        <v>0.1985062897958586</v>
      </c>
      <c r="AE471" s="90" t="str">
        <f t="shared" ca="1" si="119"/>
        <v>AAA</v>
      </c>
      <c r="AF471" s="99">
        <f ca="1">IF(AND(M471&lt;&gt;"", M471&lt;&gt;0), N471/$N$505*MATCH(AE471,'Misc Lists'!$L$2:$L$25,0), "")</f>
        <v>0.1985062897958586</v>
      </c>
    </row>
    <row r="472" spans="2:32" hidden="1" outlineLevel="1" x14ac:dyDescent="0.5">
      <c r="B472" s="65" t="str">
        <f ca="1"/>
        <v>037833CJ7</v>
      </c>
      <c r="C472" s="66" t="str">
        <f ca="1"/>
        <v>N/A</v>
      </c>
      <c r="D472" s="65" t="str">
        <f ca="1"/>
        <v>APPLE INC           NOTE CALL MAKE WHOLE3.35000% 02/09/2027</v>
      </c>
      <c r="E472" s="66" t="str">
        <f ca="1"/>
        <v>Corp</v>
      </c>
      <c r="F472" s="67">
        <f ca="1"/>
        <v>3.35</v>
      </c>
      <c r="G472" s="68">
        <f ca="1"/>
        <v>46427</v>
      </c>
      <c r="H472" s="66" t="str">
        <f ca="1"/>
        <v>AAA</v>
      </c>
      <c r="I472" s="66" t="str">
        <f ca="1"/>
        <v>AA+</v>
      </c>
      <c r="J472" s="69">
        <f ca="1"/>
        <v>98.6</v>
      </c>
      <c r="K472" s="70">
        <f ca="1"/>
        <v>4.1189999999999998</v>
      </c>
      <c r="L472" s="70" t="str">
        <f ca="1"/>
        <v>200(2)</v>
      </c>
      <c r="M472" s="83"/>
      <c r="N472" s="84" t="str">
        <f t="shared" si="109"/>
        <v/>
      </c>
      <c r="O472" s="20" t="str">
        <f t="shared" si="110"/>
        <v/>
      </c>
      <c r="P472" s="64" t="str">
        <f t="shared" si="111"/>
        <v/>
      </c>
      <c r="Q472" s="85" t="str">
        <f t="shared" ca="1" si="112"/>
        <v/>
      </c>
      <c r="R472" s="86" t="str">
        <f t="shared" si="113"/>
        <v/>
      </c>
      <c r="S472" s="86" t="str">
        <f t="shared" si="114"/>
        <v/>
      </c>
      <c r="T472" s="104" t="str">
        <f t="shared" si="105"/>
        <v/>
      </c>
      <c r="U472" s="19" t="str">
        <f>IF(AND(M472&lt;&gt;"",M472&lt;&gt;0), IF(E472 = "Muni", T472, IF(E472="Corp", T472*(1 -'Investor Input'!$C$4-'Investor Input'!$C$5), T472*(1 -'Investor Input'!$C$4))), T472)</f>
        <v/>
      </c>
      <c r="V472" s="84" t="str">
        <f t="shared" si="106"/>
        <v/>
      </c>
      <c r="W472" s="84" t="str">
        <f t="shared" si="107"/>
        <v/>
      </c>
      <c r="X472" s="46" t="str">
        <f t="shared" si="108"/>
        <v/>
      </c>
      <c r="Y472" s="60" t="str">
        <f t="shared" si="115"/>
        <v/>
      </c>
      <c r="Z472" s="60" t="str">
        <f t="shared" si="116"/>
        <v/>
      </c>
      <c r="AA472" s="64" t="str">
        <f t="shared" si="117"/>
        <v/>
      </c>
      <c r="AB472" s="64" t="str">
        <f>IF(AND(AA472&lt;&gt;"",AA472&lt;&gt;0), IF(E472="Muni", AA472, IF(E472 = "Corp", (1-'Investor Input'!$C$4-'Investor Input'!$C$5)*AA472, (1-'Investor Input'!$C$4)*AA472)), AA472)</f>
        <v/>
      </c>
      <c r="AC472" s="94" t="str">
        <f t="shared" si="118"/>
        <v/>
      </c>
      <c r="AD472" s="60" t="str">
        <f>IF(AND(M472&lt;&gt;"", M472&lt;&gt;0), N472/$N$505*MATCH(AC472,'Misc Lists'!$K$2:$K$25,0), "")</f>
        <v/>
      </c>
      <c r="AE472" s="90" t="str">
        <f t="shared" si="119"/>
        <v/>
      </c>
      <c r="AF472" s="99" t="str">
        <f>IF(AND(M472&lt;&gt;"", M472&lt;&gt;0), N472/$N$505*MATCH(AE472,'Misc Lists'!$L$2:$L$25,0), "")</f>
        <v/>
      </c>
    </row>
    <row r="473" spans="2:32" hidden="1" outlineLevel="1" x14ac:dyDescent="0.5">
      <c r="B473" s="65" t="str">
        <f ca="1"/>
        <v>931142EM1</v>
      </c>
      <c r="C473" s="66" t="str">
        <f ca="1"/>
        <v>N/A</v>
      </c>
      <c r="D473" s="65" t="str">
        <f ca="1"/>
        <v>WALMART INC         NOTE CALL MAKE WHOLE3.05000% 07/08/2026</v>
      </c>
      <c r="E473" s="66" t="str">
        <f ca="1"/>
        <v>Corp</v>
      </c>
      <c r="F473" s="67">
        <f ca="1"/>
        <v>3.05</v>
      </c>
      <c r="G473" s="68">
        <f ca="1"/>
        <v>46211</v>
      </c>
      <c r="H473" s="66" t="str">
        <f ca="1"/>
        <v>AA2</v>
      </c>
      <c r="I473" s="66" t="str">
        <f ca="1"/>
        <v>AA</v>
      </c>
      <c r="J473" s="69">
        <f ca="1"/>
        <v>98.637</v>
      </c>
      <c r="K473" s="70">
        <f ca="1"/>
        <v>4.117</v>
      </c>
      <c r="L473" s="70" t="str">
        <f ca="1"/>
        <v>92(2)</v>
      </c>
      <c r="M473" s="83"/>
      <c r="N473" s="84" t="str">
        <f t="shared" si="109"/>
        <v/>
      </c>
      <c r="O473" s="20" t="str">
        <f t="shared" si="110"/>
        <v/>
      </c>
      <c r="P473" s="64" t="str">
        <f t="shared" si="111"/>
        <v/>
      </c>
      <c r="Q473" s="85" t="str">
        <f t="shared" ca="1" si="112"/>
        <v/>
      </c>
      <c r="R473" s="86" t="str">
        <f t="shared" si="113"/>
        <v/>
      </c>
      <c r="S473" s="86" t="str">
        <f t="shared" si="114"/>
        <v/>
      </c>
      <c r="T473" s="104" t="str">
        <f t="shared" si="105"/>
        <v/>
      </c>
      <c r="U473" s="19" t="str">
        <f>IF(AND(M473&lt;&gt;"",M473&lt;&gt;0), IF(E473 = "Muni", T473, IF(E473="Corp", T473*(1 -'Investor Input'!$C$4-'Investor Input'!$C$5), T473*(1 -'Investor Input'!$C$4))), T473)</f>
        <v/>
      </c>
      <c r="V473" s="84" t="str">
        <f t="shared" si="106"/>
        <v/>
      </c>
      <c r="W473" s="84" t="str">
        <f t="shared" si="107"/>
        <v/>
      </c>
      <c r="X473" s="46" t="str">
        <f t="shared" si="108"/>
        <v/>
      </c>
      <c r="Y473" s="60" t="str">
        <f t="shared" si="115"/>
        <v/>
      </c>
      <c r="Z473" s="60" t="str">
        <f t="shared" si="116"/>
        <v/>
      </c>
      <c r="AA473" s="64" t="str">
        <f t="shared" si="117"/>
        <v/>
      </c>
      <c r="AB473" s="64" t="str">
        <f>IF(AND(AA473&lt;&gt;"",AA473&lt;&gt;0), IF(E473="Muni", AA473, IF(E473 = "Corp", (1-'Investor Input'!$C$4-'Investor Input'!$C$5)*AA473, (1-'Investor Input'!$C$4)*AA473)), AA473)</f>
        <v/>
      </c>
      <c r="AC473" s="94" t="str">
        <f t="shared" si="118"/>
        <v/>
      </c>
      <c r="AD473" s="60" t="str">
        <f>IF(AND(M473&lt;&gt;"", M473&lt;&gt;0), N473/$N$505*MATCH(AC473,'Misc Lists'!$K$2:$K$25,0), "")</f>
        <v/>
      </c>
      <c r="AE473" s="90" t="str">
        <f t="shared" si="119"/>
        <v/>
      </c>
      <c r="AF473" s="99" t="str">
        <f>IF(AND(M473&lt;&gt;"", M473&lt;&gt;0), N473/$N$505*MATCH(AE473,'Misc Lists'!$L$2:$L$25,0), "")</f>
        <v/>
      </c>
    </row>
    <row r="474" spans="2:32" hidden="1" outlineLevel="1" x14ac:dyDescent="0.5">
      <c r="B474" s="65" t="str">
        <f ca="1"/>
        <v>478160CK8</v>
      </c>
      <c r="C474" s="66" t="str">
        <f ca="1"/>
        <v>N/A</v>
      </c>
      <c r="D474" s="65" t="str">
        <f ca="1"/>
        <v>JOHNSON &amp;JOHNSON    NOTE CALL MAKE WHOLE2.90000% 01/15/2028</v>
      </c>
      <c r="E474" s="66" t="str">
        <f ca="1"/>
        <v>Corp</v>
      </c>
      <c r="F474" s="67">
        <f ca="1"/>
        <v>2.9</v>
      </c>
      <c r="G474" s="68">
        <f ca="1"/>
        <v>46767</v>
      </c>
      <c r="H474" s="66" t="str">
        <f ca="1"/>
        <v>AAA</v>
      </c>
      <c r="I474" s="66" t="str">
        <f ca="1"/>
        <v>AAA</v>
      </c>
      <c r="J474" s="69">
        <f ca="1"/>
        <v>96.763999999999996</v>
      </c>
      <c r="K474" s="70">
        <f ca="1"/>
        <v>4.117</v>
      </c>
      <c r="L474" s="70" t="str">
        <f ca="1"/>
        <v>500(2)</v>
      </c>
      <c r="M474" s="83"/>
      <c r="N474" s="84" t="str">
        <f t="shared" si="109"/>
        <v/>
      </c>
      <c r="O474" s="20" t="str">
        <f t="shared" si="110"/>
        <v/>
      </c>
      <c r="P474" s="64" t="str">
        <f t="shared" si="111"/>
        <v/>
      </c>
      <c r="Q474" s="85" t="str">
        <f t="shared" ca="1" si="112"/>
        <v/>
      </c>
      <c r="R474" s="86" t="str">
        <f t="shared" si="113"/>
        <v/>
      </c>
      <c r="S474" s="86" t="str">
        <f t="shared" si="114"/>
        <v/>
      </c>
      <c r="T474" s="104" t="str">
        <f t="shared" si="105"/>
        <v/>
      </c>
      <c r="U474" s="19" t="str">
        <f>IF(AND(M474&lt;&gt;"",M474&lt;&gt;0), IF(E474 = "Muni", T474, IF(E474="Corp", T474*(1 -'Investor Input'!$C$4-'Investor Input'!$C$5), T474*(1 -'Investor Input'!$C$4))), T474)</f>
        <v/>
      </c>
      <c r="V474" s="84" t="str">
        <f t="shared" si="106"/>
        <v/>
      </c>
      <c r="W474" s="84" t="str">
        <f t="shared" si="107"/>
        <v/>
      </c>
      <c r="X474" s="46" t="str">
        <f t="shared" si="108"/>
        <v/>
      </c>
      <c r="Y474" s="60" t="str">
        <f t="shared" si="115"/>
        <v/>
      </c>
      <c r="Z474" s="60" t="str">
        <f t="shared" si="116"/>
        <v/>
      </c>
      <c r="AA474" s="64" t="str">
        <f t="shared" si="117"/>
        <v/>
      </c>
      <c r="AB474" s="64" t="str">
        <f>IF(AND(AA474&lt;&gt;"",AA474&lt;&gt;0), IF(E474="Muni", AA474, IF(E474 = "Corp", (1-'Investor Input'!$C$4-'Investor Input'!$C$5)*AA474, (1-'Investor Input'!$C$4)*AA474)), AA474)</f>
        <v/>
      </c>
      <c r="AC474" s="94" t="str">
        <f t="shared" si="118"/>
        <v/>
      </c>
      <c r="AD474" s="60" t="str">
        <f>IF(AND(M474&lt;&gt;"", M474&lt;&gt;0), N474/$N$505*MATCH(AC474,'Misc Lists'!$K$2:$K$25,0), "")</f>
        <v/>
      </c>
      <c r="AE474" s="90" t="str">
        <f t="shared" si="119"/>
        <v/>
      </c>
      <c r="AF474" s="99" t="str">
        <f>IF(AND(M474&lt;&gt;"", M474&lt;&gt;0), N474/$N$505*MATCH(AE474,'Misc Lists'!$L$2:$L$25,0), "")</f>
        <v/>
      </c>
    </row>
    <row r="475" spans="2:32" hidden="1" outlineLevel="1" x14ac:dyDescent="0.5">
      <c r="B475" s="65" t="str">
        <f ca="1"/>
        <v>037833CR9</v>
      </c>
      <c r="C475" s="66" t="str">
        <f ca="1"/>
        <v>N/A</v>
      </c>
      <c r="D475" s="65" t="str">
        <f ca="1"/>
        <v>APPLE INC           NOTE CALL MAKE WHOLE3.20000% 05/11/2027</v>
      </c>
      <c r="E475" s="66" t="str">
        <f ca="1"/>
        <v>Corp</v>
      </c>
      <c r="F475" s="67">
        <f ca="1"/>
        <v>3.2</v>
      </c>
      <c r="G475" s="68">
        <f ca="1"/>
        <v>46518</v>
      </c>
      <c r="H475" s="66" t="str">
        <f ca="1"/>
        <v>AAA</v>
      </c>
      <c r="I475" s="66" t="str">
        <f ca="1"/>
        <v>AA+</v>
      </c>
      <c r="J475" s="69">
        <f ca="1"/>
        <v>98.120999999999995</v>
      </c>
      <c r="K475" s="70">
        <f ca="1"/>
        <v>4.1150000000000002</v>
      </c>
      <c r="L475" s="70" t="str">
        <f ca="1"/>
        <v>500(2)</v>
      </c>
      <c r="M475" s="83"/>
      <c r="N475" s="84" t="str">
        <f t="shared" si="109"/>
        <v/>
      </c>
      <c r="O475" s="20" t="str">
        <f t="shared" si="110"/>
        <v/>
      </c>
      <c r="P475" s="64" t="str">
        <f t="shared" si="111"/>
        <v/>
      </c>
      <c r="Q475" s="85" t="str">
        <f t="shared" ca="1" si="112"/>
        <v/>
      </c>
      <c r="R475" s="86" t="str">
        <f t="shared" si="113"/>
        <v/>
      </c>
      <c r="S475" s="86" t="str">
        <f t="shared" si="114"/>
        <v/>
      </c>
      <c r="T475" s="104" t="str">
        <f t="shared" si="105"/>
        <v/>
      </c>
      <c r="U475" s="19" t="str">
        <f>IF(AND(M475&lt;&gt;"",M475&lt;&gt;0), IF(E475 = "Muni", T475, IF(E475="Corp", T475*(1 -'Investor Input'!$C$4-'Investor Input'!$C$5), T475*(1 -'Investor Input'!$C$4))), T475)</f>
        <v/>
      </c>
      <c r="V475" s="84" t="str">
        <f t="shared" si="106"/>
        <v/>
      </c>
      <c r="W475" s="84" t="str">
        <f t="shared" si="107"/>
        <v/>
      </c>
      <c r="X475" s="46" t="str">
        <f t="shared" si="108"/>
        <v/>
      </c>
      <c r="Y475" s="60" t="str">
        <f t="shared" si="115"/>
        <v/>
      </c>
      <c r="Z475" s="60" t="str">
        <f t="shared" si="116"/>
        <v/>
      </c>
      <c r="AA475" s="64" t="str">
        <f t="shared" si="117"/>
        <v/>
      </c>
      <c r="AB475" s="64" t="str">
        <f>IF(AND(AA475&lt;&gt;"",AA475&lt;&gt;0), IF(E475="Muni", AA475, IF(E475 = "Corp", (1-'Investor Input'!$C$4-'Investor Input'!$C$5)*AA475, (1-'Investor Input'!$C$4)*AA475)), AA475)</f>
        <v/>
      </c>
      <c r="AC475" s="94" t="str">
        <f t="shared" si="118"/>
        <v/>
      </c>
      <c r="AD475" s="60" t="str">
        <f>IF(AND(M475&lt;&gt;"", M475&lt;&gt;0), N475/$N$505*MATCH(AC475,'Misc Lists'!$K$2:$K$25,0), "")</f>
        <v/>
      </c>
      <c r="AE475" s="90" t="str">
        <f t="shared" si="119"/>
        <v/>
      </c>
      <c r="AF475" s="99" t="str">
        <f>IF(AND(M475&lt;&gt;"", M475&lt;&gt;0), N475/$N$505*MATCH(AE475,'Misc Lists'!$L$2:$L$25,0), "")</f>
        <v/>
      </c>
    </row>
    <row r="476" spans="2:32" hidden="1" outlineLevel="1" x14ac:dyDescent="0.5">
      <c r="B476" s="65" t="str">
        <f ca="1"/>
        <v>50064FAX2</v>
      </c>
      <c r="C476" s="66" t="str">
        <f ca="1"/>
        <v>N/A</v>
      </c>
      <c r="D476" s="65" t="str">
        <f ca="1"/>
        <v>KOREA(REPUBLIC OF)  NOTE                4.50000% 07/03/2029 ISIN #US50064FAX24  SEDOL #BT3JYM6</v>
      </c>
      <c r="E476" s="66" t="str">
        <f ca="1"/>
        <v>Corp</v>
      </c>
      <c r="F476" s="67">
        <f ca="1"/>
        <v>4.5</v>
      </c>
      <c r="G476" s="68">
        <f ca="1"/>
        <v>47302</v>
      </c>
      <c r="H476" s="66" t="str">
        <f ca="1"/>
        <v>AA2</v>
      </c>
      <c r="I476" s="66" t="str">
        <f ca="1"/>
        <v>AA</v>
      </c>
      <c r="J476" s="69">
        <f ca="1"/>
        <v>101.5</v>
      </c>
      <c r="K476" s="70">
        <f ca="1"/>
        <v>4.1150000000000002</v>
      </c>
      <c r="L476" s="70" t="str">
        <f ca="1"/>
        <v>200(200)</v>
      </c>
      <c r="M476" s="83"/>
      <c r="N476" s="84" t="str">
        <f t="shared" si="109"/>
        <v/>
      </c>
      <c r="O476" s="20" t="str">
        <f t="shared" si="110"/>
        <v/>
      </c>
      <c r="P476" s="64" t="str">
        <f t="shared" si="111"/>
        <v/>
      </c>
      <c r="Q476" s="85" t="str">
        <f t="shared" ca="1" si="112"/>
        <v/>
      </c>
      <c r="R476" s="86" t="str">
        <f t="shared" si="113"/>
        <v/>
      </c>
      <c r="S476" s="86" t="str">
        <f t="shared" si="114"/>
        <v/>
      </c>
      <c r="T476" s="104" t="str">
        <f t="shared" si="105"/>
        <v/>
      </c>
      <c r="U476" s="19" t="str">
        <f>IF(AND(M476&lt;&gt;"",M476&lt;&gt;0), IF(E476 = "Muni", T476, IF(E476="Corp", T476*(1 -'Investor Input'!$C$4-'Investor Input'!$C$5), T476*(1 -'Investor Input'!$C$4))), T476)</f>
        <v/>
      </c>
      <c r="V476" s="84" t="str">
        <f t="shared" si="106"/>
        <v/>
      </c>
      <c r="W476" s="84" t="str">
        <f t="shared" si="107"/>
        <v/>
      </c>
      <c r="X476" s="46" t="str">
        <f t="shared" si="108"/>
        <v/>
      </c>
      <c r="Y476" s="60" t="str">
        <f t="shared" si="115"/>
        <v/>
      </c>
      <c r="Z476" s="60" t="str">
        <f t="shared" si="116"/>
        <v/>
      </c>
      <c r="AA476" s="64" t="str">
        <f t="shared" si="117"/>
        <v/>
      </c>
      <c r="AB476" s="64" t="str">
        <f>IF(AND(AA476&lt;&gt;"",AA476&lt;&gt;0), IF(E476="Muni", AA476, IF(E476 = "Corp", (1-'Investor Input'!$C$4-'Investor Input'!$C$5)*AA476, (1-'Investor Input'!$C$4)*AA476)), AA476)</f>
        <v/>
      </c>
      <c r="AC476" s="94" t="str">
        <f t="shared" si="118"/>
        <v/>
      </c>
      <c r="AD476" s="60" t="str">
        <f>IF(AND(M476&lt;&gt;"", M476&lt;&gt;0), N476/$N$505*MATCH(AC476,'Misc Lists'!$K$2:$K$25,0), "")</f>
        <v/>
      </c>
      <c r="AE476" s="90" t="str">
        <f t="shared" si="119"/>
        <v/>
      </c>
      <c r="AF476" s="99" t="str">
        <f>IF(AND(M476&lt;&gt;"", M476&lt;&gt;0), N476/$N$505*MATCH(AE476,'Misc Lists'!$L$2:$L$25,0), "")</f>
        <v/>
      </c>
    </row>
    <row r="477" spans="2:32" hidden="1" outlineLevel="1" x14ac:dyDescent="0.5">
      <c r="B477" s="65" t="str">
        <f ca="1"/>
        <v>742718FZ7</v>
      </c>
      <c r="C477" s="66" t="str">
        <f ca="1"/>
        <v>N/A</v>
      </c>
      <c r="D477" s="65" t="str">
        <f ca="1"/>
        <v>PROCTER &amp;GAMBLE CO  NOTE CALL MAKE WHOLE3.95000% 01/26/2028</v>
      </c>
      <c r="E477" s="66" t="str">
        <f ca="1"/>
        <v>Corp</v>
      </c>
      <c r="F477" s="67">
        <f ca="1"/>
        <v>3.95</v>
      </c>
      <c r="G477" s="68">
        <f ca="1"/>
        <v>46778</v>
      </c>
      <c r="H477" s="66" t="str">
        <f ca="1"/>
        <v>AA3</v>
      </c>
      <c r="I477" s="66" t="str">
        <f ca="1"/>
        <v>AA-</v>
      </c>
      <c r="J477" s="69">
        <f ca="1"/>
        <v>99.561999999999998</v>
      </c>
      <c r="K477" s="70">
        <f ca="1"/>
        <v>4.1120000000000001</v>
      </c>
      <c r="L477" s="70" t="str">
        <f ca="1"/>
        <v>500(2)</v>
      </c>
      <c r="M477" s="83"/>
      <c r="N477" s="84" t="str">
        <f t="shared" si="109"/>
        <v/>
      </c>
      <c r="O477" s="20" t="str">
        <f t="shared" si="110"/>
        <v/>
      </c>
      <c r="P477" s="64" t="str">
        <f t="shared" si="111"/>
        <v/>
      </c>
      <c r="Q477" s="85" t="str">
        <f t="shared" ca="1" si="112"/>
        <v/>
      </c>
      <c r="R477" s="86" t="str">
        <f t="shared" si="113"/>
        <v/>
      </c>
      <c r="S477" s="86" t="str">
        <f t="shared" si="114"/>
        <v/>
      </c>
      <c r="T477" s="104" t="str">
        <f t="shared" si="105"/>
        <v/>
      </c>
      <c r="U477" s="19" t="str">
        <f>IF(AND(M477&lt;&gt;"",M477&lt;&gt;0), IF(E477 = "Muni", T477, IF(E477="Corp", T477*(1 -'Investor Input'!$C$4-'Investor Input'!$C$5), T477*(1 -'Investor Input'!$C$4))), T477)</f>
        <v/>
      </c>
      <c r="V477" s="84" t="str">
        <f t="shared" si="106"/>
        <v/>
      </c>
      <c r="W477" s="84" t="str">
        <f t="shared" si="107"/>
        <v/>
      </c>
      <c r="X477" s="46" t="str">
        <f t="shared" si="108"/>
        <v/>
      </c>
      <c r="Y477" s="60" t="str">
        <f t="shared" si="115"/>
        <v/>
      </c>
      <c r="Z477" s="60" t="str">
        <f t="shared" si="116"/>
        <v/>
      </c>
      <c r="AA477" s="64" t="str">
        <f t="shared" si="117"/>
        <v/>
      </c>
      <c r="AB477" s="64" t="str">
        <f>IF(AND(AA477&lt;&gt;"",AA477&lt;&gt;0), IF(E477="Muni", AA477, IF(E477 = "Corp", (1-'Investor Input'!$C$4-'Investor Input'!$C$5)*AA477, (1-'Investor Input'!$C$4)*AA477)), AA477)</f>
        <v/>
      </c>
      <c r="AC477" s="94" t="str">
        <f t="shared" si="118"/>
        <v/>
      </c>
      <c r="AD477" s="60" t="str">
        <f>IF(AND(M477&lt;&gt;"", M477&lt;&gt;0), N477/$N$505*MATCH(AC477,'Misc Lists'!$K$2:$K$25,0), "")</f>
        <v/>
      </c>
      <c r="AE477" s="90" t="str">
        <f t="shared" si="119"/>
        <v/>
      </c>
      <c r="AF477" s="99" t="str">
        <f>IF(AND(M477&lt;&gt;"", M477&lt;&gt;0), N477/$N$505*MATCH(AE477,'Misc Lists'!$L$2:$L$25,0), "")</f>
        <v/>
      </c>
    </row>
    <row r="478" spans="2:32" hidden="1" outlineLevel="1" x14ac:dyDescent="0.5">
      <c r="B478" s="65" t="str">
        <f ca="1"/>
        <v>02079KAC1</v>
      </c>
      <c r="C478" s="66" t="str">
        <f ca="1"/>
        <v>N/A</v>
      </c>
      <c r="D478" s="65" t="str">
        <f ca="1"/>
        <v>ALPHABET INC        NOTE CALL MAKE WHOLE1.99800% 08/15/2026</v>
      </c>
      <c r="E478" s="66" t="str">
        <f ca="1"/>
        <v>Corp</v>
      </c>
      <c r="F478" s="67">
        <f ca="1"/>
        <v>1.998</v>
      </c>
      <c r="G478" s="68">
        <f ca="1"/>
        <v>46249</v>
      </c>
      <c r="H478" s="66" t="str">
        <f ca="1"/>
        <v>AA2</v>
      </c>
      <c r="I478" s="66" t="str">
        <f ca="1"/>
        <v>AA+</v>
      </c>
      <c r="J478" s="69">
        <f ca="1"/>
        <v>97.102999999999994</v>
      </c>
      <c r="K478" s="70">
        <f ca="1"/>
        <v>4.1109999999999998</v>
      </c>
      <c r="L478" s="70" t="str">
        <f ca="1"/>
        <v>250(2)</v>
      </c>
      <c r="M478" s="83"/>
      <c r="N478" s="84" t="str">
        <f t="shared" si="109"/>
        <v/>
      </c>
      <c r="O478" s="20" t="str">
        <f t="shared" si="110"/>
        <v/>
      </c>
      <c r="P478" s="64" t="str">
        <f t="shared" si="111"/>
        <v/>
      </c>
      <c r="Q478" s="85" t="str">
        <f t="shared" ca="1" si="112"/>
        <v/>
      </c>
      <c r="R478" s="86" t="str">
        <f t="shared" si="113"/>
        <v/>
      </c>
      <c r="S478" s="86" t="str">
        <f t="shared" si="114"/>
        <v/>
      </c>
      <c r="T478" s="104" t="str">
        <f t="shared" si="105"/>
        <v/>
      </c>
      <c r="U478" s="19" t="str">
        <f>IF(AND(M478&lt;&gt;"",M478&lt;&gt;0), IF(E478 = "Muni", T478, IF(E478="Corp", T478*(1 -'Investor Input'!$C$4-'Investor Input'!$C$5), T478*(1 -'Investor Input'!$C$4))), T478)</f>
        <v/>
      </c>
      <c r="V478" s="84" t="str">
        <f t="shared" si="106"/>
        <v/>
      </c>
      <c r="W478" s="84" t="str">
        <f t="shared" si="107"/>
        <v/>
      </c>
      <c r="X478" s="46" t="str">
        <f t="shared" si="108"/>
        <v/>
      </c>
      <c r="Y478" s="60" t="str">
        <f t="shared" si="115"/>
        <v/>
      </c>
      <c r="Z478" s="60" t="str">
        <f t="shared" si="116"/>
        <v/>
      </c>
      <c r="AA478" s="64" t="str">
        <f t="shared" si="117"/>
        <v/>
      </c>
      <c r="AB478" s="64" t="str">
        <f>IF(AND(AA478&lt;&gt;"",AA478&lt;&gt;0), IF(E478="Muni", AA478, IF(E478 = "Corp", (1-'Investor Input'!$C$4-'Investor Input'!$C$5)*AA478, (1-'Investor Input'!$C$4)*AA478)), AA478)</f>
        <v/>
      </c>
      <c r="AC478" s="94" t="str">
        <f t="shared" si="118"/>
        <v/>
      </c>
      <c r="AD478" s="60" t="str">
        <f>IF(AND(M478&lt;&gt;"", M478&lt;&gt;0), N478/$N$505*MATCH(AC478,'Misc Lists'!$K$2:$K$25,0), "")</f>
        <v/>
      </c>
      <c r="AE478" s="90" t="str">
        <f t="shared" si="119"/>
        <v/>
      </c>
      <c r="AF478" s="99" t="str">
        <f>IF(AND(M478&lt;&gt;"", M478&lt;&gt;0), N478/$N$505*MATCH(AE478,'Misc Lists'!$L$2:$L$25,0), "")</f>
        <v/>
      </c>
    </row>
    <row r="479" spans="2:32" hidden="1" outlineLevel="1" x14ac:dyDescent="0.5">
      <c r="B479" s="65" t="str">
        <f ca="1"/>
        <v>002824BM1</v>
      </c>
      <c r="C479" s="66" t="str">
        <f ca="1"/>
        <v>N/A</v>
      </c>
      <c r="D479" s="65" t="str">
        <f ca="1"/>
        <v>ABBOTT LABORATORIES SER B NOTE          3.87500% 09/15/2025 CALL MAKE WHOLE</v>
      </c>
      <c r="E479" s="66" t="str">
        <f ca="1"/>
        <v>Corp</v>
      </c>
      <c r="F479" s="67">
        <f ca="1"/>
        <v>3.875</v>
      </c>
      <c r="G479" s="68">
        <f ca="1"/>
        <v>45915</v>
      </c>
      <c r="H479" s="66" t="str">
        <f ca="1"/>
        <v>AA3</v>
      </c>
      <c r="I479" s="66" t="str">
        <f ca="1"/>
        <v>AA-</v>
      </c>
      <c r="J479" s="69">
        <f ca="1"/>
        <v>99.882999999999996</v>
      </c>
      <c r="K479" s="70">
        <f ca="1"/>
        <v>4.109</v>
      </c>
      <c r="L479" s="70" t="str">
        <f ca="1"/>
        <v>500(10)</v>
      </c>
      <c r="M479" s="83"/>
      <c r="N479" s="84" t="str">
        <f t="shared" si="109"/>
        <v/>
      </c>
      <c r="O479" s="20" t="str">
        <f t="shared" si="110"/>
        <v/>
      </c>
      <c r="P479" s="64" t="str">
        <f t="shared" si="111"/>
        <v/>
      </c>
      <c r="Q479" s="85" t="str">
        <f t="shared" ca="1" si="112"/>
        <v/>
      </c>
      <c r="R479" s="86" t="str">
        <f t="shared" si="113"/>
        <v/>
      </c>
      <c r="S479" s="86" t="str">
        <f t="shared" si="114"/>
        <v/>
      </c>
      <c r="T479" s="104" t="str">
        <f t="shared" si="105"/>
        <v/>
      </c>
      <c r="U479" s="19" t="str">
        <f>IF(AND(M479&lt;&gt;"",M479&lt;&gt;0), IF(E479 = "Muni", T479, IF(E479="Corp", T479*(1 -'Investor Input'!$C$4-'Investor Input'!$C$5), T479*(1 -'Investor Input'!$C$4))), T479)</f>
        <v/>
      </c>
      <c r="V479" s="84" t="str">
        <f t="shared" si="106"/>
        <v/>
      </c>
      <c r="W479" s="84" t="str">
        <f t="shared" si="107"/>
        <v/>
      </c>
      <c r="X479" s="46" t="str">
        <f t="shared" si="108"/>
        <v/>
      </c>
      <c r="Y479" s="60" t="str">
        <f t="shared" si="115"/>
        <v/>
      </c>
      <c r="Z479" s="60" t="str">
        <f t="shared" si="116"/>
        <v/>
      </c>
      <c r="AA479" s="64" t="str">
        <f t="shared" si="117"/>
        <v/>
      </c>
      <c r="AB479" s="64" t="str">
        <f>IF(AND(AA479&lt;&gt;"",AA479&lt;&gt;0), IF(E479="Muni", AA479, IF(E479 = "Corp", (1-'Investor Input'!$C$4-'Investor Input'!$C$5)*AA479, (1-'Investor Input'!$C$4)*AA479)), AA479)</f>
        <v/>
      </c>
      <c r="AC479" s="94" t="str">
        <f t="shared" si="118"/>
        <v/>
      </c>
      <c r="AD479" s="60" t="str">
        <f>IF(AND(M479&lt;&gt;"", M479&lt;&gt;0), N479/$N$505*MATCH(AC479,'Misc Lists'!$K$2:$K$25,0), "")</f>
        <v/>
      </c>
      <c r="AE479" s="90" t="str">
        <f t="shared" si="119"/>
        <v/>
      </c>
      <c r="AF479" s="99" t="str">
        <f>IF(AND(M479&lt;&gt;"", M479&lt;&gt;0), N479/$N$505*MATCH(AE479,'Misc Lists'!$L$2:$L$25,0), "")</f>
        <v/>
      </c>
    </row>
    <row r="480" spans="2:32" hidden="1" outlineLevel="1" x14ac:dyDescent="0.5">
      <c r="B480" s="65" t="str">
        <f ca="1"/>
        <v>742718FY0</v>
      </c>
      <c r="C480" s="66" t="str">
        <f ca="1"/>
        <v>N/A</v>
      </c>
      <c r="D480" s="65" t="str">
        <f ca="1"/>
        <v>PROCTER &amp;GAMBLE CO  NOTE CALL MAKE WHOLE4.10000% 01/26/2026</v>
      </c>
      <c r="E480" s="66" t="str">
        <f ca="1"/>
        <v>Corp</v>
      </c>
      <c r="F480" s="67">
        <f ca="1"/>
        <v>4.0999999999999996</v>
      </c>
      <c r="G480" s="68">
        <f ca="1"/>
        <v>46048</v>
      </c>
      <c r="H480" s="66" t="str">
        <f ca="1"/>
        <v>AA3</v>
      </c>
      <c r="I480" s="66" t="str">
        <f ca="1"/>
        <v>AA-</v>
      </c>
      <c r="J480" s="69">
        <f ca="1"/>
        <v>99.989000000000004</v>
      </c>
      <c r="K480" s="70">
        <f ca="1"/>
        <v>4.1079999999999997</v>
      </c>
      <c r="L480" s="70" t="str">
        <f ca="1"/>
        <v>700(2)</v>
      </c>
      <c r="M480" s="83"/>
      <c r="N480" s="84" t="str">
        <f t="shared" si="109"/>
        <v/>
      </c>
      <c r="O480" s="20" t="str">
        <f t="shared" si="110"/>
        <v/>
      </c>
      <c r="P480" s="64" t="str">
        <f t="shared" si="111"/>
        <v/>
      </c>
      <c r="Q480" s="85" t="str">
        <f t="shared" ca="1" si="112"/>
        <v/>
      </c>
      <c r="R480" s="86" t="str">
        <f t="shared" si="113"/>
        <v/>
      </c>
      <c r="S480" s="86" t="str">
        <f t="shared" si="114"/>
        <v/>
      </c>
      <c r="T480" s="104" t="str">
        <f t="shared" si="105"/>
        <v/>
      </c>
      <c r="U480" s="19" t="str">
        <f>IF(AND(M480&lt;&gt;"",M480&lt;&gt;0), IF(E480 = "Muni", T480, IF(E480="Corp", T480*(1 -'Investor Input'!$C$4-'Investor Input'!$C$5), T480*(1 -'Investor Input'!$C$4))), T480)</f>
        <v/>
      </c>
      <c r="V480" s="84" t="str">
        <f t="shared" si="106"/>
        <v/>
      </c>
      <c r="W480" s="84" t="str">
        <f t="shared" si="107"/>
        <v/>
      </c>
      <c r="X480" s="46" t="str">
        <f t="shared" si="108"/>
        <v/>
      </c>
      <c r="Y480" s="60" t="str">
        <f t="shared" si="115"/>
        <v/>
      </c>
      <c r="Z480" s="60" t="str">
        <f t="shared" si="116"/>
        <v/>
      </c>
      <c r="AA480" s="64" t="str">
        <f t="shared" si="117"/>
        <v/>
      </c>
      <c r="AB480" s="64" t="str">
        <f>IF(AND(AA480&lt;&gt;"",AA480&lt;&gt;0), IF(E480="Muni", AA480, IF(E480 = "Corp", (1-'Investor Input'!$C$4-'Investor Input'!$C$5)*AA480, (1-'Investor Input'!$C$4)*AA480)), AA480)</f>
        <v/>
      </c>
      <c r="AC480" s="94" t="str">
        <f t="shared" si="118"/>
        <v/>
      </c>
      <c r="AD480" s="60" t="str">
        <f>IF(AND(M480&lt;&gt;"", M480&lt;&gt;0), N480/$N$505*MATCH(AC480,'Misc Lists'!$K$2:$K$25,0), "")</f>
        <v/>
      </c>
      <c r="AE480" s="90" t="str">
        <f t="shared" si="119"/>
        <v/>
      </c>
      <c r="AF480" s="99" t="str">
        <f>IF(AND(M480&lt;&gt;"", M480&lt;&gt;0), N480/$N$505*MATCH(AE480,'Misc Lists'!$L$2:$L$25,0), "")</f>
        <v/>
      </c>
    </row>
    <row r="481" spans="2:32" hidden="1" outlineLevel="1" x14ac:dyDescent="0.5">
      <c r="B481" s="65" t="str">
        <f ca="1"/>
        <v>532457BP2</v>
      </c>
      <c r="C481" s="66" t="str">
        <f ca="1"/>
        <v>N/A</v>
      </c>
      <c r="D481" s="65" t="str">
        <f ca="1"/>
        <v>ELI LILLY &amp;CO       NOTE CALL MAKE WHOLE3.10000% 05/15/2027</v>
      </c>
      <c r="E481" s="66" t="str">
        <f ca="1"/>
        <v>Corp</v>
      </c>
      <c r="F481" s="67">
        <f ca="1"/>
        <v>3.1</v>
      </c>
      <c r="G481" s="68">
        <f ca="1"/>
        <v>46522</v>
      </c>
      <c r="H481" s="66" t="str">
        <f ca="1"/>
        <v>AA3</v>
      </c>
      <c r="I481" s="66" t="str">
        <f ca="1"/>
        <v>A+</v>
      </c>
      <c r="J481" s="69">
        <f ca="1"/>
        <v>97.92</v>
      </c>
      <c r="K481" s="70">
        <f ca="1"/>
        <v>4.1079999999999997</v>
      </c>
      <c r="L481" s="70" t="str">
        <f ca="1"/>
        <v>1,000(2)</v>
      </c>
      <c r="M481" s="83"/>
      <c r="N481" s="84" t="str">
        <f t="shared" si="109"/>
        <v/>
      </c>
      <c r="O481" s="20" t="str">
        <f t="shared" si="110"/>
        <v/>
      </c>
      <c r="P481" s="64" t="str">
        <f t="shared" si="111"/>
        <v/>
      </c>
      <c r="Q481" s="85" t="str">
        <f t="shared" ca="1" si="112"/>
        <v/>
      </c>
      <c r="R481" s="86" t="str">
        <f t="shared" si="113"/>
        <v/>
      </c>
      <c r="S481" s="86" t="str">
        <f t="shared" si="114"/>
        <v/>
      </c>
      <c r="T481" s="104" t="str">
        <f t="shared" si="105"/>
        <v/>
      </c>
      <c r="U481" s="19" t="str">
        <f>IF(AND(M481&lt;&gt;"",M481&lt;&gt;0), IF(E481 = "Muni", T481, IF(E481="Corp", T481*(1 -'Investor Input'!$C$4-'Investor Input'!$C$5), T481*(1 -'Investor Input'!$C$4))), T481)</f>
        <v/>
      </c>
      <c r="V481" s="84" t="str">
        <f t="shared" si="106"/>
        <v/>
      </c>
      <c r="W481" s="84" t="str">
        <f t="shared" si="107"/>
        <v/>
      </c>
      <c r="X481" s="46" t="str">
        <f t="shared" si="108"/>
        <v/>
      </c>
      <c r="Y481" s="60" t="str">
        <f t="shared" si="115"/>
        <v/>
      </c>
      <c r="Z481" s="60" t="str">
        <f t="shared" si="116"/>
        <v/>
      </c>
      <c r="AA481" s="64" t="str">
        <f t="shared" si="117"/>
        <v/>
      </c>
      <c r="AB481" s="64" t="str">
        <f>IF(AND(AA481&lt;&gt;"",AA481&lt;&gt;0), IF(E481="Muni", AA481, IF(E481 = "Corp", (1-'Investor Input'!$C$4-'Investor Input'!$C$5)*AA481, (1-'Investor Input'!$C$4)*AA481)), AA481)</f>
        <v/>
      </c>
      <c r="AC481" s="94" t="str">
        <f t="shared" si="118"/>
        <v/>
      </c>
      <c r="AD481" s="60" t="str">
        <f>IF(AND(M481&lt;&gt;"", M481&lt;&gt;0), N481/$N$505*MATCH(AC481,'Misc Lists'!$K$2:$K$25,0), "")</f>
        <v/>
      </c>
      <c r="AE481" s="90" t="str">
        <f t="shared" si="119"/>
        <v/>
      </c>
      <c r="AF481" s="99" t="str">
        <f>IF(AND(M481&lt;&gt;"", M481&lt;&gt;0), N481/$N$505*MATCH(AE481,'Misc Lists'!$L$2:$L$25,0), "")</f>
        <v/>
      </c>
    </row>
    <row r="482" spans="2:32" hidden="1" outlineLevel="1" x14ac:dyDescent="0.5">
      <c r="B482" s="65" t="str">
        <f ca="1"/>
        <v>594918CN2</v>
      </c>
      <c r="C482" s="66" t="str">
        <f ca="1"/>
        <v>N/A</v>
      </c>
      <c r="D482" s="65" t="str">
        <f ca="1"/>
        <v>MICROSOFT CORP      NOTE CALL MAKE WHOLE3.40000% 09/15/2026</v>
      </c>
      <c r="E482" s="66" t="str">
        <f ca="1"/>
        <v>Corp</v>
      </c>
      <c r="F482" s="67">
        <f ca="1"/>
        <v>3.4</v>
      </c>
      <c r="G482" s="68">
        <f ca="1"/>
        <v>46280</v>
      </c>
      <c r="H482" s="66" t="str">
        <f ca="1"/>
        <v>AAA</v>
      </c>
      <c r="I482" s="66" t="str">
        <f ca="1"/>
        <v>AAA</v>
      </c>
      <c r="J482" s="69">
        <f ca="1"/>
        <v>98.975999999999999</v>
      </c>
      <c r="K482" s="70">
        <f ca="1"/>
        <v>4.1070000000000002</v>
      </c>
      <c r="L482" s="70" t="str">
        <f ca="1"/>
        <v>500(2)</v>
      </c>
      <c r="M482" s="83"/>
      <c r="N482" s="84" t="str">
        <f t="shared" si="109"/>
        <v/>
      </c>
      <c r="O482" s="20" t="str">
        <f t="shared" si="110"/>
        <v/>
      </c>
      <c r="P482" s="64" t="str">
        <f t="shared" si="111"/>
        <v/>
      </c>
      <c r="Q482" s="85" t="str">
        <f t="shared" ca="1" si="112"/>
        <v/>
      </c>
      <c r="R482" s="86" t="str">
        <f t="shared" si="113"/>
        <v/>
      </c>
      <c r="S482" s="86" t="str">
        <f t="shared" si="114"/>
        <v/>
      </c>
      <c r="T482" s="104" t="str">
        <f t="shared" si="105"/>
        <v/>
      </c>
      <c r="U482" s="19" t="str">
        <f>IF(AND(M482&lt;&gt;"",M482&lt;&gt;0), IF(E482 = "Muni", T482, IF(E482="Corp", T482*(1 -'Investor Input'!$C$4-'Investor Input'!$C$5), T482*(1 -'Investor Input'!$C$4))), T482)</f>
        <v/>
      </c>
      <c r="V482" s="84" t="str">
        <f t="shared" si="106"/>
        <v/>
      </c>
      <c r="W482" s="84" t="str">
        <f t="shared" si="107"/>
        <v/>
      </c>
      <c r="X482" s="46" t="str">
        <f t="shared" si="108"/>
        <v/>
      </c>
      <c r="Y482" s="60" t="str">
        <f t="shared" si="115"/>
        <v/>
      </c>
      <c r="Z482" s="60" t="str">
        <f t="shared" si="116"/>
        <v/>
      </c>
      <c r="AA482" s="64" t="str">
        <f t="shared" si="117"/>
        <v/>
      </c>
      <c r="AB482" s="64" t="str">
        <f>IF(AND(AA482&lt;&gt;"",AA482&lt;&gt;0), IF(E482="Muni", AA482, IF(E482 = "Corp", (1-'Investor Input'!$C$4-'Investor Input'!$C$5)*AA482, (1-'Investor Input'!$C$4)*AA482)), AA482)</f>
        <v/>
      </c>
      <c r="AC482" s="94" t="str">
        <f t="shared" si="118"/>
        <v/>
      </c>
      <c r="AD482" s="60" t="str">
        <f>IF(AND(M482&lt;&gt;"", M482&lt;&gt;0), N482/$N$505*MATCH(AC482,'Misc Lists'!$K$2:$K$25,0), "")</f>
        <v/>
      </c>
      <c r="AE482" s="90" t="str">
        <f t="shared" si="119"/>
        <v/>
      </c>
      <c r="AF482" s="99" t="str">
        <f>IF(AND(M482&lt;&gt;"", M482&lt;&gt;0), N482/$N$505*MATCH(AE482,'Misc Lists'!$L$2:$L$25,0), "")</f>
        <v/>
      </c>
    </row>
    <row r="483" spans="2:32" hidden="1" outlineLevel="1" x14ac:dyDescent="0.5">
      <c r="B483" s="65" t="str">
        <f ca="1"/>
        <v>742718FV6</v>
      </c>
      <c r="C483" s="66" t="str">
        <f ca="1"/>
        <v>N/A</v>
      </c>
      <c r="D483" s="65" t="str">
        <f ca="1"/>
        <v>PROCTER &amp;GAMBLE CO  NOTE CALL MAKE WHOLE1.90000% 02/01/2027</v>
      </c>
      <c r="E483" s="66" t="str">
        <f ca="1"/>
        <v>Corp</v>
      </c>
      <c r="F483" s="67">
        <f ca="1"/>
        <v>1.9</v>
      </c>
      <c r="G483" s="68">
        <f ca="1"/>
        <v>46419</v>
      </c>
      <c r="H483" s="66" t="str">
        <f ca="1"/>
        <v>AA3</v>
      </c>
      <c r="I483" s="66" t="str">
        <f ca="1"/>
        <v>AA-</v>
      </c>
      <c r="J483" s="69">
        <f ca="1"/>
        <v>96.036000000000001</v>
      </c>
      <c r="K483" s="70">
        <f ca="1"/>
        <v>4.1050000000000004</v>
      </c>
      <c r="L483" s="70" t="str">
        <f ca="1"/>
        <v>500(2)</v>
      </c>
      <c r="M483" s="83"/>
      <c r="N483" s="84" t="str">
        <f t="shared" si="109"/>
        <v/>
      </c>
      <c r="O483" s="20" t="str">
        <f t="shared" si="110"/>
        <v/>
      </c>
      <c r="P483" s="64" t="str">
        <f t="shared" si="111"/>
        <v/>
      </c>
      <c r="Q483" s="85" t="str">
        <f t="shared" ca="1" si="112"/>
        <v/>
      </c>
      <c r="R483" s="86" t="str">
        <f t="shared" si="113"/>
        <v/>
      </c>
      <c r="S483" s="86" t="str">
        <f t="shared" si="114"/>
        <v/>
      </c>
      <c r="T483" s="104" t="str">
        <f t="shared" si="105"/>
        <v/>
      </c>
      <c r="U483" s="19" t="str">
        <f>IF(AND(M483&lt;&gt;"",M483&lt;&gt;0), IF(E483 = "Muni", T483, IF(E483="Corp", T483*(1 -'Investor Input'!$C$4-'Investor Input'!$C$5), T483*(1 -'Investor Input'!$C$4))), T483)</f>
        <v/>
      </c>
      <c r="V483" s="84" t="str">
        <f t="shared" si="106"/>
        <v/>
      </c>
      <c r="W483" s="84" t="str">
        <f t="shared" si="107"/>
        <v/>
      </c>
      <c r="X483" s="46" t="str">
        <f t="shared" si="108"/>
        <v/>
      </c>
      <c r="Y483" s="60" t="str">
        <f t="shared" si="115"/>
        <v/>
      </c>
      <c r="Z483" s="60" t="str">
        <f t="shared" si="116"/>
        <v/>
      </c>
      <c r="AA483" s="64" t="str">
        <f t="shared" si="117"/>
        <v/>
      </c>
      <c r="AB483" s="64" t="str">
        <f>IF(AND(AA483&lt;&gt;"",AA483&lt;&gt;0), IF(E483="Muni", AA483, IF(E483 = "Corp", (1-'Investor Input'!$C$4-'Investor Input'!$C$5)*AA483, (1-'Investor Input'!$C$4)*AA483)), AA483)</f>
        <v/>
      </c>
      <c r="AC483" s="94" t="str">
        <f t="shared" si="118"/>
        <v/>
      </c>
      <c r="AD483" s="60" t="str">
        <f>IF(AND(M483&lt;&gt;"", M483&lt;&gt;0), N483/$N$505*MATCH(AC483,'Misc Lists'!$K$2:$K$25,0), "")</f>
        <v/>
      </c>
      <c r="AE483" s="90" t="str">
        <f t="shared" si="119"/>
        <v/>
      </c>
      <c r="AF483" s="99" t="str">
        <f>IF(AND(M483&lt;&gt;"", M483&lt;&gt;0), N483/$N$505*MATCH(AE483,'Misc Lists'!$L$2:$L$25,0), "")</f>
        <v/>
      </c>
    </row>
    <row r="484" spans="2:32" hidden="1" outlineLevel="1" x14ac:dyDescent="0.5">
      <c r="B484" s="65" t="str">
        <f ca="1"/>
        <v>194162AN3</v>
      </c>
      <c r="C484" s="66" t="str">
        <f ca="1"/>
        <v>N/A</v>
      </c>
      <c r="D484" s="65" t="str">
        <f ca="1"/>
        <v>COLGATE PALMOLIVE CONOTE CALL MAKE WHOLE3.10000% 08/15/2027</v>
      </c>
      <c r="E484" s="66" t="str">
        <f ca="1"/>
        <v>Corp</v>
      </c>
      <c r="F484" s="67">
        <f ca="1"/>
        <v>3.1</v>
      </c>
      <c r="G484" s="68">
        <f ca="1"/>
        <v>46614</v>
      </c>
      <c r="H484" s="66" t="str">
        <f ca="1"/>
        <v>AA3</v>
      </c>
      <c r="I484" s="66" t="str">
        <f ca="1"/>
        <v>A+</v>
      </c>
      <c r="J484" s="69">
        <f ca="1"/>
        <v>97.701999999999998</v>
      </c>
      <c r="K484" s="70">
        <f ca="1"/>
        <v>4.1040000000000001</v>
      </c>
      <c r="L484" s="70" t="str">
        <f ca="1"/>
        <v>1,000(2)</v>
      </c>
      <c r="M484" s="83"/>
      <c r="N484" s="84" t="str">
        <f t="shared" si="109"/>
        <v/>
      </c>
      <c r="O484" s="20" t="str">
        <f t="shared" si="110"/>
        <v/>
      </c>
      <c r="P484" s="64" t="str">
        <f t="shared" si="111"/>
        <v/>
      </c>
      <c r="Q484" s="85" t="str">
        <f t="shared" ca="1" si="112"/>
        <v/>
      </c>
      <c r="R484" s="86" t="str">
        <f t="shared" si="113"/>
        <v/>
      </c>
      <c r="S484" s="86" t="str">
        <f t="shared" si="114"/>
        <v/>
      </c>
      <c r="T484" s="104" t="str">
        <f t="shared" si="105"/>
        <v/>
      </c>
      <c r="U484" s="19" t="str">
        <f>IF(AND(M484&lt;&gt;"",M484&lt;&gt;0), IF(E484 = "Muni", T484, IF(E484="Corp", T484*(1 -'Investor Input'!$C$4-'Investor Input'!$C$5), T484*(1 -'Investor Input'!$C$4))), T484)</f>
        <v/>
      </c>
      <c r="V484" s="84" t="str">
        <f t="shared" si="106"/>
        <v/>
      </c>
      <c r="W484" s="84" t="str">
        <f t="shared" si="107"/>
        <v/>
      </c>
      <c r="X484" s="46" t="str">
        <f t="shared" si="108"/>
        <v/>
      </c>
      <c r="Y484" s="60" t="str">
        <f t="shared" si="115"/>
        <v/>
      </c>
      <c r="Z484" s="60" t="str">
        <f t="shared" si="116"/>
        <v/>
      </c>
      <c r="AA484" s="64" t="str">
        <f t="shared" si="117"/>
        <v/>
      </c>
      <c r="AB484" s="64" t="str">
        <f>IF(AND(AA484&lt;&gt;"",AA484&lt;&gt;0), IF(E484="Muni", AA484, IF(E484 = "Corp", (1-'Investor Input'!$C$4-'Investor Input'!$C$5)*AA484, (1-'Investor Input'!$C$4)*AA484)), AA484)</f>
        <v/>
      </c>
      <c r="AC484" s="94" t="str">
        <f t="shared" si="118"/>
        <v/>
      </c>
      <c r="AD484" s="60" t="str">
        <f>IF(AND(M484&lt;&gt;"", M484&lt;&gt;0), N484/$N$505*MATCH(AC484,'Misc Lists'!$K$2:$K$25,0), "")</f>
        <v/>
      </c>
      <c r="AE484" s="90" t="str">
        <f t="shared" si="119"/>
        <v/>
      </c>
      <c r="AF484" s="99" t="str">
        <f>IF(AND(M484&lt;&gt;"", M484&lt;&gt;0), N484/$N$505*MATCH(AE484,'Misc Lists'!$L$2:$L$25,0), "")</f>
        <v/>
      </c>
    </row>
    <row r="485" spans="2:32" hidden="1" outlineLevel="1" x14ac:dyDescent="0.5">
      <c r="B485" s="65" t="str">
        <f ca="1"/>
        <v>742718EP0</v>
      </c>
      <c r="C485" s="66" t="str">
        <f ca="1"/>
        <v>N/A</v>
      </c>
      <c r="D485" s="65" t="str">
        <f ca="1"/>
        <v>PROCTER &amp;GAMBLE CO  NOTE CALL MAKE WHOLE2.70000% 02/02/2026</v>
      </c>
      <c r="E485" s="66" t="str">
        <f ca="1"/>
        <v>Corp</v>
      </c>
      <c r="F485" s="67">
        <f ca="1"/>
        <v>2.7</v>
      </c>
      <c r="G485" s="68">
        <f ca="1"/>
        <v>46055</v>
      </c>
      <c r="H485" s="66" t="str">
        <f ca="1"/>
        <v>AA3</v>
      </c>
      <c r="I485" s="66" t="str">
        <f ca="1"/>
        <v>AA-</v>
      </c>
      <c r="J485" s="69">
        <f ca="1"/>
        <v>98.786000000000001</v>
      </c>
      <c r="K485" s="70">
        <f ca="1"/>
        <v>4.1020000000000003</v>
      </c>
      <c r="L485" s="70" t="str">
        <f ca="1"/>
        <v>725(2)</v>
      </c>
      <c r="M485" s="83"/>
      <c r="N485" s="84" t="str">
        <f t="shared" si="109"/>
        <v/>
      </c>
      <c r="O485" s="20" t="str">
        <f t="shared" si="110"/>
        <v/>
      </c>
      <c r="P485" s="64" t="str">
        <f t="shared" si="111"/>
        <v/>
      </c>
      <c r="Q485" s="85" t="str">
        <f t="shared" ca="1" si="112"/>
        <v/>
      </c>
      <c r="R485" s="86" t="str">
        <f t="shared" si="113"/>
        <v/>
      </c>
      <c r="S485" s="86" t="str">
        <f t="shared" si="114"/>
        <v/>
      </c>
      <c r="T485" s="104" t="str">
        <f t="shared" si="105"/>
        <v/>
      </c>
      <c r="U485" s="19" t="str">
        <f>IF(AND(M485&lt;&gt;"",M485&lt;&gt;0), IF(E485 = "Muni", T485, IF(E485="Corp", T485*(1 -'Investor Input'!$C$4-'Investor Input'!$C$5), T485*(1 -'Investor Input'!$C$4))), T485)</f>
        <v/>
      </c>
      <c r="V485" s="84" t="str">
        <f t="shared" si="106"/>
        <v/>
      </c>
      <c r="W485" s="84" t="str">
        <f t="shared" si="107"/>
        <v/>
      </c>
      <c r="X485" s="46" t="str">
        <f t="shared" si="108"/>
        <v/>
      </c>
      <c r="Y485" s="60" t="str">
        <f t="shared" si="115"/>
        <v/>
      </c>
      <c r="Z485" s="60" t="str">
        <f t="shared" si="116"/>
        <v/>
      </c>
      <c r="AA485" s="64" t="str">
        <f t="shared" si="117"/>
        <v/>
      </c>
      <c r="AB485" s="64" t="str">
        <f>IF(AND(AA485&lt;&gt;"",AA485&lt;&gt;0), IF(E485="Muni", AA485, IF(E485 = "Corp", (1-'Investor Input'!$C$4-'Investor Input'!$C$5)*AA485, (1-'Investor Input'!$C$4)*AA485)), AA485)</f>
        <v/>
      </c>
      <c r="AC485" s="94" t="str">
        <f t="shared" si="118"/>
        <v/>
      </c>
      <c r="AD485" s="60" t="str">
        <f>IF(AND(M485&lt;&gt;"", M485&lt;&gt;0), N485/$N$505*MATCH(AC485,'Misc Lists'!$K$2:$K$25,0), "")</f>
        <v/>
      </c>
      <c r="AE485" s="90" t="str">
        <f t="shared" si="119"/>
        <v/>
      </c>
      <c r="AF485" s="99" t="str">
        <f>IF(AND(M485&lt;&gt;"", M485&lt;&gt;0), N485/$N$505*MATCH(AE485,'Misc Lists'!$L$2:$L$25,0), "")</f>
        <v/>
      </c>
    </row>
    <row r="486" spans="2:32" hidden="1" outlineLevel="1" x14ac:dyDescent="0.5">
      <c r="B486" s="65" t="str">
        <f ca="1"/>
        <v>002824BP4</v>
      </c>
      <c r="C486" s="66" t="str">
        <f ca="1"/>
        <v>N/A</v>
      </c>
      <c r="D486" s="65" t="str">
        <f ca="1"/>
        <v>ABBOTT LABORATORIES NOTE CALL MAKE WHOLE1.15000% 01/30/2028</v>
      </c>
      <c r="E486" s="66" t="str">
        <f ca="1"/>
        <v>Corp</v>
      </c>
      <c r="F486" s="67">
        <f ca="1"/>
        <v>1.1499999999999999</v>
      </c>
      <c r="G486" s="68">
        <f ca="1"/>
        <v>46782</v>
      </c>
      <c r="H486" s="66" t="str">
        <f ca="1"/>
        <v>AA3</v>
      </c>
      <c r="I486" s="66" t="str">
        <f ca="1"/>
        <v>AA-</v>
      </c>
      <c r="J486" s="69">
        <f ca="1"/>
        <v>92.048000000000002</v>
      </c>
      <c r="K486" s="70">
        <f ca="1"/>
        <v>4.1020000000000003</v>
      </c>
      <c r="L486" s="70" t="str">
        <f ca="1"/>
        <v>500(2)</v>
      </c>
      <c r="M486" s="83"/>
      <c r="N486" s="84" t="str">
        <f t="shared" si="109"/>
        <v/>
      </c>
      <c r="O486" s="20" t="str">
        <f t="shared" si="110"/>
        <v/>
      </c>
      <c r="P486" s="64" t="str">
        <f t="shared" si="111"/>
        <v/>
      </c>
      <c r="Q486" s="85" t="str">
        <f t="shared" ca="1" si="112"/>
        <v/>
      </c>
      <c r="R486" s="86" t="str">
        <f t="shared" si="113"/>
        <v/>
      </c>
      <c r="S486" s="86" t="str">
        <f t="shared" si="114"/>
        <v/>
      </c>
      <c r="T486" s="104" t="str">
        <f t="shared" si="105"/>
        <v/>
      </c>
      <c r="U486" s="19" t="str">
        <f>IF(AND(M486&lt;&gt;"",M486&lt;&gt;0), IF(E486 = "Muni", T486, IF(E486="Corp", T486*(1 -'Investor Input'!$C$4-'Investor Input'!$C$5), T486*(1 -'Investor Input'!$C$4))), T486)</f>
        <v/>
      </c>
      <c r="V486" s="84" t="str">
        <f t="shared" si="106"/>
        <v/>
      </c>
      <c r="W486" s="84" t="str">
        <f t="shared" si="107"/>
        <v/>
      </c>
      <c r="X486" s="46" t="str">
        <f t="shared" si="108"/>
        <v/>
      </c>
      <c r="Y486" s="60" t="str">
        <f t="shared" si="115"/>
        <v/>
      </c>
      <c r="Z486" s="60" t="str">
        <f t="shared" si="116"/>
        <v/>
      </c>
      <c r="AA486" s="64" t="str">
        <f t="shared" si="117"/>
        <v/>
      </c>
      <c r="AB486" s="64" t="str">
        <f>IF(AND(AA486&lt;&gt;"",AA486&lt;&gt;0), IF(E486="Muni", AA486, IF(E486 = "Corp", (1-'Investor Input'!$C$4-'Investor Input'!$C$5)*AA486, (1-'Investor Input'!$C$4)*AA486)), AA486)</f>
        <v/>
      </c>
      <c r="AC486" s="94" t="str">
        <f t="shared" si="118"/>
        <v/>
      </c>
      <c r="AD486" s="60" t="str">
        <f>IF(AND(M486&lt;&gt;"", M486&lt;&gt;0), N486/$N$505*MATCH(AC486,'Misc Lists'!$K$2:$K$25,0), "")</f>
        <v/>
      </c>
      <c r="AE486" s="90" t="str">
        <f t="shared" si="119"/>
        <v/>
      </c>
      <c r="AF486" s="99" t="str">
        <f>IF(AND(M486&lt;&gt;"", M486&lt;&gt;0), N486/$N$505*MATCH(AE486,'Misc Lists'!$L$2:$L$25,0), "")</f>
        <v/>
      </c>
    </row>
    <row r="487" spans="2:32" hidden="1" outlineLevel="1" x14ac:dyDescent="0.5">
      <c r="B487" s="65" t="str">
        <f ca="1"/>
        <v>037833CX6</v>
      </c>
      <c r="C487" s="66" t="str">
        <f ca="1"/>
        <v>N/A</v>
      </c>
      <c r="D487" s="65" t="str">
        <f ca="1"/>
        <v>APPLE INC           NOTE CALL MAKE WHOLE3.00000% 06/20/2027</v>
      </c>
      <c r="E487" s="66" t="str">
        <f ca="1"/>
        <v>Corp</v>
      </c>
      <c r="F487" s="67">
        <f ca="1"/>
        <v>3</v>
      </c>
      <c r="G487" s="68">
        <f ca="1"/>
        <v>46558</v>
      </c>
      <c r="H487" s="66" t="str">
        <f ca="1"/>
        <v>AAA</v>
      </c>
      <c r="I487" s="66" t="str">
        <f ca="1"/>
        <v>AA+</v>
      </c>
      <c r="J487" s="69">
        <f ca="1"/>
        <v>97.631</v>
      </c>
      <c r="K487" s="70">
        <f ca="1"/>
        <v>4.101</v>
      </c>
      <c r="L487" s="70" t="str">
        <f ca="1"/>
        <v>500(2)</v>
      </c>
      <c r="M487" s="83"/>
      <c r="N487" s="84" t="str">
        <f t="shared" si="109"/>
        <v/>
      </c>
      <c r="O487" s="20" t="str">
        <f t="shared" si="110"/>
        <v/>
      </c>
      <c r="P487" s="64" t="str">
        <f t="shared" si="111"/>
        <v/>
      </c>
      <c r="Q487" s="85" t="str">
        <f t="shared" ca="1" si="112"/>
        <v/>
      </c>
      <c r="R487" s="86" t="str">
        <f t="shared" si="113"/>
        <v/>
      </c>
      <c r="S487" s="86" t="str">
        <f t="shared" si="114"/>
        <v/>
      </c>
      <c r="T487" s="104" t="str">
        <f t="shared" si="105"/>
        <v/>
      </c>
      <c r="U487" s="19" t="str">
        <f>IF(AND(M487&lt;&gt;"",M487&lt;&gt;0), IF(E487 = "Muni", T487, IF(E487="Corp", T487*(1 -'Investor Input'!$C$4-'Investor Input'!$C$5), T487*(1 -'Investor Input'!$C$4))), T487)</f>
        <v/>
      </c>
      <c r="V487" s="84" t="str">
        <f t="shared" si="106"/>
        <v/>
      </c>
      <c r="W487" s="84" t="str">
        <f t="shared" si="107"/>
        <v/>
      </c>
      <c r="X487" s="46" t="str">
        <f t="shared" si="108"/>
        <v/>
      </c>
      <c r="Y487" s="60" t="str">
        <f t="shared" si="115"/>
        <v/>
      </c>
      <c r="Z487" s="60" t="str">
        <f t="shared" si="116"/>
        <v/>
      </c>
      <c r="AA487" s="64" t="str">
        <f t="shared" si="117"/>
        <v/>
      </c>
      <c r="AB487" s="64" t="str">
        <f>IF(AND(AA487&lt;&gt;"",AA487&lt;&gt;0), IF(E487="Muni", AA487, IF(E487 = "Corp", (1-'Investor Input'!$C$4-'Investor Input'!$C$5)*AA487, (1-'Investor Input'!$C$4)*AA487)), AA487)</f>
        <v/>
      </c>
      <c r="AC487" s="94" t="str">
        <f t="shared" si="118"/>
        <v/>
      </c>
      <c r="AD487" s="60" t="str">
        <f>IF(AND(M487&lt;&gt;"", M487&lt;&gt;0), N487/$N$505*MATCH(AC487,'Misc Lists'!$K$2:$K$25,0), "")</f>
        <v/>
      </c>
      <c r="AE487" s="90" t="str">
        <f t="shared" si="119"/>
        <v/>
      </c>
      <c r="AF487" s="99" t="str">
        <f>IF(AND(M487&lt;&gt;"", M487&lt;&gt;0), N487/$N$505*MATCH(AE487,'Misc Lists'!$L$2:$L$25,0), "")</f>
        <v/>
      </c>
    </row>
    <row r="488" spans="2:32" hidden="1" outlineLevel="1" x14ac:dyDescent="0.5">
      <c r="B488" s="65" t="str">
        <f ca="1"/>
        <v>037833ET3</v>
      </c>
      <c r="C488" s="66" t="str">
        <f ca="1"/>
        <v>N/A</v>
      </c>
      <c r="D488" s="65" t="str">
        <f ca="1"/>
        <v>APPLE INC           NOTE CALL MAKE WHOLE4.00000% 05/10/2028</v>
      </c>
      <c r="E488" s="66" t="str">
        <f ca="1"/>
        <v>Corp</v>
      </c>
      <c r="F488" s="67">
        <f ca="1"/>
        <v>4</v>
      </c>
      <c r="G488" s="68">
        <f ca="1"/>
        <v>46883</v>
      </c>
      <c r="H488" s="66" t="str">
        <f ca="1"/>
        <v>AAA</v>
      </c>
      <c r="I488" s="66" t="str">
        <f ca="1"/>
        <v>AA+</v>
      </c>
      <c r="J488" s="69">
        <f ca="1"/>
        <v>99.698999999999998</v>
      </c>
      <c r="K488" s="70">
        <f ca="1"/>
        <v>4.101</v>
      </c>
      <c r="L488" s="70" t="str">
        <f ca="1"/>
        <v>500(2)</v>
      </c>
      <c r="M488" s="83"/>
      <c r="N488" s="84" t="str">
        <f t="shared" si="109"/>
        <v/>
      </c>
      <c r="O488" s="20" t="str">
        <f t="shared" si="110"/>
        <v/>
      </c>
      <c r="P488" s="64" t="str">
        <f t="shared" si="111"/>
        <v/>
      </c>
      <c r="Q488" s="85" t="str">
        <f t="shared" ca="1" si="112"/>
        <v/>
      </c>
      <c r="R488" s="86" t="str">
        <f t="shared" si="113"/>
        <v/>
      </c>
      <c r="S488" s="86" t="str">
        <f t="shared" si="114"/>
        <v/>
      </c>
      <c r="T488" s="104" t="str">
        <f t="shared" si="105"/>
        <v/>
      </c>
      <c r="U488" s="19" t="str">
        <f>IF(AND(M488&lt;&gt;"",M488&lt;&gt;0), IF(E488 = "Muni", T488, IF(E488="Corp", T488*(1 -'Investor Input'!$C$4-'Investor Input'!$C$5), T488*(1 -'Investor Input'!$C$4))), T488)</f>
        <v/>
      </c>
      <c r="V488" s="84" t="str">
        <f t="shared" si="106"/>
        <v/>
      </c>
      <c r="W488" s="84" t="str">
        <f t="shared" si="107"/>
        <v/>
      </c>
      <c r="X488" s="46" t="str">
        <f t="shared" si="108"/>
        <v/>
      </c>
      <c r="Y488" s="60" t="str">
        <f t="shared" si="115"/>
        <v/>
      </c>
      <c r="Z488" s="60" t="str">
        <f t="shared" si="116"/>
        <v/>
      </c>
      <c r="AA488" s="64" t="str">
        <f t="shared" si="117"/>
        <v/>
      </c>
      <c r="AB488" s="64" t="str">
        <f>IF(AND(AA488&lt;&gt;"",AA488&lt;&gt;0), IF(E488="Muni", AA488, IF(E488 = "Corp", (1-'Investor Input'!$C$4-'Investor Input'!$C$5)*AA488, (1-'Investor Input'!$C$4)*AA488)), AA488)</f>
        <v/>
      </c>
      <c r="AC488" s="94" t="str">
        <f t="shared" si="118"/>
        <v/>
      </c>
      <c r="AD488" s="60" t="str">
        <f>IF(AND(M488&lt;&gt;"", M488&lt;&gt;0), N488/$N$505*MATCH(AC488,'Misc Lists'!$K$2:$K$25,0), "")</f>
        <v/>
      </c>
      <c r="AE488" s="90" t="str">
        <f t="shared" si="119"/>
        <v/>
      </c>
      <c r="AF488" s="99" t="str">
        <f>IF(AND(M488&lt;&gt;"", M488&lt;&gt;0), N488/$N$505*MATCH(AE488,'Misc Lists'!$L$2:$L$25,0), "")</f>
        <v/>
      </c>
    </row>
    <row r="489" spans="2:32" hidden="1" outlineLevel="1" x14ac:dyDescent="0.5">
      <c r="B489" s="65" t="str">
        <f ca="1"/>
        <v>742718FG9</v>
      </c>
      <c r="C489" s="66" t="str">
        <f ca="1"/>
        <v>N/A</v>
      </c>
      <c r="D489" s="65" t="str">
        <f ca="1"/>
        <v>PROCTER &amp;GAMBLE CO  NOTE CALL MAKE WHOLE2.80000% 03/25/2027</v>
      </c>
      <c r="E489" s="66" t="str">
        <f ca="1"/>
        <v>Corp</v>
      </c>
      <c r="F489" s="67">
        <f ca="1"/>
        <v>2.8</v>
      </c>
      <c r="G489" s="68">
        <f ca="1"/>
        <v>46471</v>
      </c>
      <c r="H489" s="66" t="str">
        <f ca="1"/>
        <v>AA3</v>
      </c>
      <c r="I489" s="66" t="str">
        <f ca="1"/>
        <v>AA-</v>
      </c>
      <c r="J489" s="69">
        <f ca="1"/>
        <v>97.488</v>
      </c>
      <c r="K489" s="70">
        <f ca="1"/>
        <v>4.0979999999999999</v>
      </c>
      <c r="L489" s="70" t="str">
        <f ca="1"/>
        <v>80( 9)</v>
      </c>
      <c r="M489" s="83"/>
      <c r="N489" s="84" t="str">
        <f t="shared" si="109"/>
        <v/>
      </c>
      <c r="O489" s="20" t="str">
        <f t="shared" si="110"/>
        <v/>
      </c>
      <c r="P489" s="64" t="str">
        <f t="shared" si="111"/>
        <v/>
      </c>
      <c r="Q489" s="85" t="str">
        <f t="shared" ca="1" si="112"/>
        <v/>
      </c>
      <c r="R489" s="86" t="str">
        <f t="shared" si="113"/>
        <v/>
      </c>
      <c r="S489" s="86" t="str">
        <f t="shared" si="114"/>
        <v/>
      </c>
      <c r="T489" s="104" t="str">
        <f t="shared" si="105"/>
        <v/>
      </c>
      <c r="U489" s="19" t="str">
        <f>IF(AND(M489&lt;&gt;"",M489&lt;&gt;0), IF(E489 = "Muni", T489, IF(E489="Corp", T489*(1 -'Investor Input'!$C$4-'Investor Input'!$C$5), T489*(1 -'Investor Input'!$C$4))), T489)</f>
        <v/>
      </c>
      <c r="V489" s="84" t="str">
        <f t="shared" si="106"/>
        <v/>
      </c>
      <c r="W489" s="84" t="str">
        <f t="shared" si="107"/>
        <v/>
      </c>
      <c r="X489" s="46" t="str">
        <f t="shared" si="108"/>
        <v/>
      </c>
      <c r="Y489" s="60" t="str">
        <f t="shared" si="115"/>
        <v/>
      </c>
      <c r="Z489" s="60" t="str">
        <f t="shared" si="116"/>
        <v/>
      </c>
      <c r="AA489" s="64" t="str">
        <f t="shared" si="117"/>
        <v/>
      </c>
      <c r="AB489" s="64" t="str">
        <f>IF(AND(AA489&lt;&gt;"",AA489&lt;&gt;0), IF(E489="Muni", AA489, IF(E489 = "Corp", (1-'Investor Input'!$C$4-'Investor Input'!$C$5)*AA489, (1-'Investor Input'!$C$4)*AA489)), AA489)</f>
        <v/>
      </c>
      <c r="AC489" s="94" t="str">
        <f t="shared" si="118"/>
        <v/>
      </c>
      <c r="AD489" s="60" t="str">
        <f>IF(AND(M489&lt;&gt;"", M489&lt;&gt;0), N489/$N$505*MATCH(AC489,'Misc Lists'!$K$2:$K$25,0), "")</f>
        <v/>
      </c>
      <c r="AE489" s="90" t="str">
        <f t="shared" si="119"/>
        <v/>
      </c>
      <c r="AF489" s="99" t="str">
        <f>IF(AND(M489&lt;&gt;"", M489&lt;&gt;0), N489/$N$505*MATCH(AE489,'Misc Lists'!$L$2:$L$25,0), "")</f>
        <v/>
      </c>
    </row>
    <row r="490" spans="2:32" hidden="1" outlineLevel="1" x14ac:dyDescent="0.5">
      <c r="B490" s="65" t="str">
        <f ca="1"/>
        <v>478160CP7</v>
      </c>
      <c r="C490" s="66" t="str">
        <f ca="1"/>
        <v>N/A</v>
      </c>
      <c r="D490" s="65" t="str">
        <f ca="1"/>
        <v>JOHNSON &amp;JOHNSON    NOTE CALL MAKE WHOLE0.95000% 09/01/2027</v>
      </c>
      <c r="E490" s="66" t="str">
        <f ca="1"/>
        <v>Corp</v>
      </c>
      <c r="F490" s="67">
        <f ca="1"/>
        <v>0.95</v>
      </c>
      <c r="G490" s="68">
        <f ca="1"/>
        <v>46631</v>
      </c>
      <c r="H490" s="66" t="str">
        <f ca="1"/>
        <v>AAA</v>
      </c>
      <c r="I490" s="66" t="str">
        <f ca="1"/>
        <v>AAA</v>
      </c>
      <c r="J490" s="69">
        <f ca="1"/>
        <v>92.677000000000007</v>
      </c>
      <c r="K490" s="70">
        <f ca="1"/>
        <v>4.0979999999999999</v>
      </c>
      <c r="L490" s="70" t="str">
        <f ca="1"/>
        <v>200(2)</v>
      </c>
      <c r="M490" s="83"/>
      <c r="N490" s="84" t="str">
        <f t="shared" si="109"/>
        <v/>
      </c>
      <c r="O490" s="20" t="str">
        <f t="shared" si="110"/>
        <v/>
      </c>
      <c r="P490" s="64" t="str">
        <f t="shared" si="111"/>
        <v/>
      </c>
      <c r="Q490" s="85" t="str">
        <f t="shared" ca="1" si="112"/>
        <v/>
      </c>
      <c r="R490" s="86" t="str">
        <f t="shared" si="113"/>
        <v/>
      </c>
      <c r="S490" s="86" t="str">
        <f t="shared" si="114"/>
        <v/>
      </c>
      <c r="T490" s="104" t="str">
        <f t="shared" si="105"/>
        <v/>
      </c>
      <c r="U490" s="19" t="str">
        <f>IF(AND(M490&lt;&gt;"",M490&lt;&gt;0), IF(E490 = "Muni", T490, IF(E490="Corp", T490*(1 -'Investor Input'!$C$4-'Investor Input'!$C$5), T490*(1 -'Investor Input'!$C$4))), T490)</f>
        <v/>
      </c>
      <c r="V490" s="84" t="str">
        <f t="shared" si="106"/>
        <v/>
      </c>
      <c r="W490" s="84" t="str">
        <f t="shared" si="107"/>
        <v/>
      </c>
      <c r="X490" s="46" t="str">
        <f t="shared" si="108"/>
        <v/>
      </c>
      <c r="Y490" s="60" t="str">
        <f t="shared" si="115"/>
        <v/>
      </c>
      <c r="Z490" s="60" t="str">
        <f t="shared" si="116"/>
        <v/>
      </c>
      <c r="AA490" s="64" t="str">
        <f t="shared" si="117"/>
        <v/>
      </c>
      <c r="AB490" s="64" t="str">
        <f>IF(AND(AA490&lt;&gt;"",AA490&lt;&gt;0), IF(E490="Muni", AA490, IF(E490 = "Corp", (1-'Investor Input'!$C$4-'Investor Input'!$C$5)*AA490, (1-'Investor Input'!$C$4)*AA490)), AA490)</f>
        <v/>
      </c>
      <c r="AC490" s="94" t="str">
        <f t="shared" si="118"/>
        <v/>
      </c>
      <c r="AD490" s="60" t="str">
        <f>IF(AND(M490&lt;&gt;"", M490&lt;&gt;0), N490/$N$505*MATCH(AC490,'Misc Lists'!$K$2:$K$25,0), "")</f>
        <v/>
      </c>
      <c r="AE490" s="90" t="str">
        <f t="shared" si="119"/>
        <v/>
      </c>
      <c r="AF490" s="99" t="str">
        <f>IF(AND(M490&lt;&gt;"", M490&lt;&gt;0), N490/$N$505*MATCH(AE490,'Misc Lists'!$L$2:$L$25,0), "")</f>
        <v/>
      </c>
    </row>
    <row r="491" spans="2:32" hidden="1" outlineLevel="1" x14ac:dyDescent="0.5">
      <c r="B491" s="65" t="str">
        <f ca="1"/>
        <v>931142FA6</v>
      </c>
      <c r="C491" s="66" t="str">
        <f ca="1"/>
        <v>N/A</v>
      </c>
      <c r="D491" s="65" t="str">
        <f ca="1"/>
        <v>WALMART INC         NOTE CALL MAKE WHOLE4.00000% 04/15/2026</v>
      </c>
      <c r="E491" s="66" t="str">
        <f ca="1"/>
        <v>Corp</v>
      </c>
      <c r="F491" s="67">
        <f ca="1"/>
        <v>4</v>
      </c>
      <c r="G491" s="68">
        <f ca="1"/>
        <v>46127</v>
      </c>
      <c r="H491" s="66" t="str">
        <f ca="1"/>
        <v>AA2</v>
      </c>
      <c r="I491" s="66" t="str">
        <f ca="1"/>
        <v>AA</v>
      </c>
      <c r="J491" s="69">
        <f ca="1"/>
        <v>99.894000000000005</v>
      </c>
      <c r="K491" s="70">
        <f ca="1"/>
        <v>4.0970000000000004</v>
      </c>
      <c r="L491" s="70" t="str">
        <f ca="1"/>
        <v>25(2)</v>
      </c>
      <c r="M491" s="83"/>
      <c r="N491" s="84" t="str">
        <f t="shared" si="109"/>
        <v/>
      </c>
      <c r="O491" s="20" t="str">
        <f t="shared" si="110"/>
        <v/>
      </c>
      <c r="P491" s="64" t="str">
        <f t="shared" si="111"/>
        <v/>
      </c>
      <c r="Q491" s="85" t="str">
        <f t="shared" ca="1" si="112"/>
        <v/>
      </c>
      <c r="R491" s="86" t="str">
        <f t="shared" si="113"/>
        <v/>
      </c>
      <c r="S491" s="86" t="str">
        <f t="shared" si="114"/>
        <v/>
      </c>
      <c r="T491" s="104" t="str">
        <f t="shared" si="105"/>
        <v/>
      </c>
      <c r="U491" s="19" t="str">
        <f>IF(AND(M491&lt;&gt;"",M491&lt;&gt;0), IF(E491 = "Muni", T491, IF(E491="Corp", T491*(1 -'Investor Input'!$C$4-'Investor Input'!$C$5), T491*(1 -'Investor Input'!$C$4))), T491)</f>
        <v/>
      </c>
      <c r="V491" s="84" t="str">
        <f t="shared" si="106"/>
        <v/>
      </c>
      <c r="W491" s="84" t="str">
        <f t="shared" si="107"/>
        <v/>
      </c>
      <c r="X491" s="46" t="str">
        <f t="shared" si="108"/>
        <v/>
      </c>
      <c r="Y491" s="60" t="str">
        <f t="shared" si="115"/>
        <v/>
      </c>
      <c r="Z491" s="60" t="str">
        <f t="shared" si="116"/>
        <v/>
      </c>
      <c r="AA491" s="64" t="str">
        <f t="shared" si="117"/>
        <v/>
      </c>
      <c r="AB491" s="64" t="str">
        <f>IF(AND(AA491&lt;&gt;"",AA491&lt;&gt;0), IF(E491="Muni", AA491, IF(E491 = "Corp", (1-'Investor Input'!$C$4-'Investor Input'!$C$5)*AA491, (1-'Investor Input'!$C$4)*AA491)), AA491)</f>
        <v/>
      </c>
      <c r="AC491" s="94" t="str">
        <f t="shared" si="118"/>
        <v/>
      </c>
      <c r="AD491" s="60" t="str">
        <f>IF(AND(M491&lt;&gt;"", M491&lt;&gt;0), N491/$N$505*MATCH(AC491,'Misc Lists'!$K$2:$K$25,0), "")</f>
        <v/>
      </c>
      <c r="AE491" s="90" t="str">
        <f t="shared" si="119"/>
        <v/>
      </c>
      <c r="AF491" s="99" t="str">
        <f>IF(AND(M491&lt;&gt;"", M491&lt;&gt;0), N491/$N$505*MATCH(AE491,'Misc Lists'!$L$2:$L$25,0), "")</f>
        <v/>
      </c>
    </row>
    <row r="492" spans="2:32" hidden="1" outlineLevel="1" x14ac:dyDescent="0.5">
      <c r="B492" s="65" t="str">
        <f ca="1"/>
        <v>037833DK3</v>
      </c>
      <c r="C492" s="66" t="str">
        <f ca="1"/>
        <v>N/A</v>
      </c>
      <c r="D492" s="65" t="str">
        <f ca="1"/>
        <v>APPLE INC           NOTE CALL MAKE WHOLE3.00000% 11/13/2027</v>
      </c>
      <c r="E492" s="66" t="str">
        <f ca="1"/>
        <v>Corp</v>
      </c>
      <c r="F492" s="67">
        <f ca="1"/>
        <v>3</v>
      </c>
      <c r="G492" s="68">
        <f ca="1"/>
        <v>46704</v>
      </c>
      <c r="H492" s="66" t="str">
        <f ca="1"/>
        <v>AAA</v>
      </c>
      <c r="I492" s="66" t="str">
        <f ca="1"/>
        <v>AA+</v>
      </c>
      <c r="J492" s="69">
        <f ca="1"/>
        <v>97.25</v>
      </c>
      <c r="K492" s="70">
        <f ca="1"/>
        <v>4.0970000000000004</v>
      </c>
      <c r="L492" s="70" t="str">
        <f ca="1"/>
        <v>500(2)</v>
      </c>
      <c r="M492" s="83"/>
      <c r="N492" s="84" t="str">
        <f t="shared" si="109"/>
        <v/>
      </c>
      <c r="O492" s="20" t="str">
        <f t="shared" si="110"/>
        <v/>
      </c>
      <c r="P492" s="64" t="str">
        <f t="shared" si="111"/>
        <v/>
      </c>
      <c r="Q492" s="85" t="str">
        <f t="shared" ca="1" si="112"/>
        <v/>
      </c>
      <c r="R492" s="86" t="str">
        <f t="shared" si="113"/>
        <v/>
      </c>
      <c r="S492" s="86" t="str">
        <f t="shared" si="114"/>
        <v/>
      </c>
      <c r="T492" s="104" t="str">
        <f t="shared" si="105"/>
        <v/>
      </c>
      <c r="U492" s="19" t="str">
        <f>IF(AND(M492&lt;&gt;"",M492&lt;&gt;0), IF(E492 = "Muni", T492, IF(E492="Corp", T492*(1 -'Investor Input'!$C$4-'Investor Input'!$C$5), T492*(1 -'Investor Input'!$C$4))), T492)</f>
        <v/>
      </c>
      <c r="V492" s="84" t="str">
        <f t="shared" si="106"/>
        <v/>
      </c>
      <c r="W492" s="84" t="str">
        <f t="shared" si="107"/>
        <v/>
      </c>
      <c r="X492" s="46" t="str">
        <f t="shared" si="108"/>
        <v/>
      </c>
      <c r="Y492" s="60" t="str">
        <f t="shared" si="115"/>
        <v/>
      </c>
      <c r="Z492" s="60" t="str">
        <f t="shared" si="116"/>
        <v/>
      </c>
      <c r="AA492" s="64" t="str">
        <f t="shared" si="117"/>
        <v/>
      </c>
      <c r="AB492" s="64" t="str">
        <f>IF(AND(AA492&lt;&gt;"",AA492&lt;&gt;0), IF(E492="Muni", AA492, IF(E492 = "Corp", (1-'Investor Input'!$C$4-'Investor Input'!$C$5)*AA492, (1-'Investor Input'!$C$4)*AA492)), AA492)</f>
        <v/>
      </c>
      <c r="AC492" s="94" t="str">
        <f t="shared" si="118"/>
        <v/>
      </c>
      <c r="AD492" s="60" t="str">
        <f>IF(AND(M492&lt;&gt;"", M492&lt;&gt;0), N492/$N$505*MATCH(AC492,'Misc Lists'!$K$2:$K$25,0), "")</f>
        <v/>
      </c>
      <c r="AE492" s="90" t="str">
        <f t="shared" si="119"/>
        <v/>
      </c>
      <c r="AF492" s="99" t="str">
        <f>IF(AND(M492&lt;&gt;"", M492&lt;&gt;0), N492/$N$505*MATCH(AE492,'Misc Lists'!$L$2:$L$25,0), "")</f>
        <v/>
      </c>
    </row>
    <row r="493" spans="2:32" hidden="1" outlineLevel="1" x14ac:dyDescent="0.5">
      <c r="B493" s="60" t="str">
        <f ca="1"/>
        <v>194162AQ6</v>
      </c>
      <c r="C493" s="61" t="str">
        <f ca="1"/>
        <v>N/A</v>
      </c>
      <c r="D493" s="60" t="str">
        <f ca="1"/>
        <v>COLGATE PALMOLIVE CONOTE CALL MAKE WHOLE4.80000% 03/02/2026</v>
      </c>
      <c r="E493" s="61" t="str">
        <f ca="1"/>
        <v>Corp</v>
      </c>
      <c r="F493" s="62">
        <f ca="1"/>
        <v>4.8</v>
      </c>
      <c r="G493" s="63">
        <f ca="1"/>
        <v>46083</v>
      </c>
      <c r="H493" s="61" t="str">
        <f ca="1"/>
        <v>AA3</v>
      </c>
      <c r="I493" s="61" t="str">
        <f ca="1"/>
        <v>A+</v>
      </c>
      <c r="J493" s="64">
        <f ca="1"/>
        <v>100.663</v>
      </c>
      <c r="K493" s="17">
        <f ca="1"/>
        <v>4.0960000000000001</v>
      </c>
      <c r="L493" s="17" t="str">
        <f ca="1"/>
        <v>675(2)</v>
      </c>
      <c r="M493" s="83"/>
      <c r="N493" s="84" t="str">
        <f t="shared" si="109"/>
        <v/>
      </c>
      <c r="O493" s="20" t="str">
        <f t="shared" si="110"/>
        <v/>
      </c>
      <c r="P493" s="64" t="str">
        <f t="shared" si="111"/>
        <v/>
      </c>
      <c r="Q493" s="85" t="str">
        <f t="shared" ca="1" si="112"/>
        <v/>
      </c>
      <c r="R493" s="86" t="str">
        <f t="shared" si="113"/>
        <v/>
      </c>
      <c r="S493" s="86" t="str">
        <f t="shared" si="114"/>
        <v/>
      </c>
      <c r="T493" s="104" t="str">
        <f t="shared" si="105"/>
        <v/>
      </c>
      <c r="U493" s="19" t="str">
        <f>IF(AND(M493&lt;&gt;"",M493&lt;&gt;0), IF(E493 = "Muni", T493, IF(E493="Corp", T493*(1 -'Investor Input'!$C$4-'Investor Input'!$C$5), T493*(1 -'Investor Input'!$C$4))), T493)</f>
        <v/>
      </c>
      <c r="V493" s="84" t="str">
        <f t="shared" si="106"/>
        <v/>
      </c>
      <c r="W493" s="84" t="str">
        <f t="shared" si="107"/>
        <v/>
      </c>
      <c r="X493" s="46" t="str">
        <f t="shared" si="108"/>
        <v/>
      </c>
      <c r="Y493" s="60" t="str">
        <f t="shared" si="115"/>
        <v/>
      </c>
      <c r="Z493" s="60" t="str">
        <f t="shared" si="116"/>
        <v/>
      </c>
      <c r="AA493" s="64" t="str">
        <f t="shared" si="117"/>
        <v/>
      </c>
      <c r="AB493" s="64" t="str">
        <f>IF(AND(AA493&lt;&gt;"",AA493&lt;&gt;0), IF(E493="Muni", AA493, IF(E493 = "Corp", (1-'Investor Input'!$C$4-'Investor Input'!$C$5)*AA493, (1-'Investor Input'!$C$4)*AA493)), AA493)</f>
        <v/>
      </c>
      <c r="AC493" s="94" t="str">
        <f t="shared" si="118"/>
        <v/>
      </c>
      <c r="AD493" s="60" t="str">
        <f>IF(AND(M493&lt;&gt;"", M493&lt;&gt;0), N493/$N$505*MATCH(AC493,'Misc Lists'!$K$2:$K$25,0), "")</f>
        <v/>
      </c>
      <c r="AE493" s="90" t="str">
        <f t="shared" si="119"/>
        <v/>
      </c>
      <c r="AF493" s="99" t="str">
        <f>IF(AND(M493&lt;&gt;"", M493&lt;&gt;0), N493/$N$505*MATCH(AE493,'Misc Lists'!$L$2:$L$25,0), "")</f>
        <v/>
      </c>
    </row>
    <row r="494" spans="2:32" hidden="1" outlineLevel="1" x14ac:dyDescent="0.5">
      <c r="B494" s="60" t="str">
        <f ca="1"/>
        <v>448814FH1</v>
      </c>
      <c r="C494" s="61" t="str">
        <f ca="1"/>
        <v>N/A</v>
      </c>
      <c r="D494" s="60" t="str">
        <f ca="1"/>
        <v>HYDRO-QUEBEC        BOND                8.25000% 01/15/2027</v>
      </c>
      <c r="E494" s="61" t="str">
        <f ca="1"/>
        <v>Corp</v>
      </c>
      <c r="F494" s="62">
        <f ca="1"/>
        <v>8.25</v>
      </c>
      <c r="G494" s="63">
        <f ca="1"/>
        <v>46402</v>
      </c>
      <c r="H494" s="61" t="str">
        <f ca="1"/>
        <v>AA2</v>
      </c>
      <c r="I494" s="61" t="str">
        <f ca="1"/>
        <v>AA-</v>
      </c>
      <c r="J494" s="64">
        <f ca="1"/>
        <v>107.29</v>
      </c>
      <c r="K494" s="17">
        <f ca="1"/>
        <v>4.0949999999999998</v>
      </c>
      <c r="L494" s="17" t="str">
        <f ca="1"/>
        <v>6(6)</v>
      </c>
      <c r="M494" s="83"/>
      <c r="N494" s="84" t="str">
        <f t="shared" si="109"/>
        <v/>
      </c>
      <c r="O494" s="20" t="str">
        <f t="shared" si="110"/>
        <v/>
      </c>
      <c r="P494" s="64" t="str">
        <f t="shared" si="111"/>
        <v/>
      </c>
      <c r="Q494" s="85" t="str">
        <f t="shared" ca="1" si="112"/>
        <v/>
      </c>
      <c r="R494" s="86" t="str">
        <f t="shared" si="113"/>
        <v/>
      </c>
      <c r="S494" s="86" t="str">
        <f t="shared" si="114"/>
        <v/>
      </c>
      <c r="T494" s="104" t="str">
        <f t="shared" si="105"/>
        <v/>
      </c>
      <c r="U494" s="19" t="str">
        <f>IF(AND(M494&lt;&gt;"",M494&lt;&gt;0), IF(E494 = "Muni", T494, IF(E494="Corp", T494*(1 -'Investor Input'!$C$4-'Investor Input'!$C$5), T494*(1 -'Investor Input'!$C$4))), T494)</f>
        <v/>
      </c>
      <c r="V494" s="84" t="str">
        <f t="shared" si="106"/>
        <v/>
      </c>
      <c r="W494" s="84" t="str">
        <f t="shared" si="107"/>
        <v/>
      </c>
      <c r="X494" s="46" t="str">
        <f t="shared" si="108"/>
        <v/>
      </c>
      <c r="Y494" s="60" t="str">
        <f t="shared" si="115"/>
        <v/>
      </c>
      <c r="Z494" s="60" t="str">
        <f t="shared" si="116"/>
        <v/>
      </c>
      <c r="AA494" s="64" t="str">
        <f t="shared" si="117"/>
        <v/>
      </c>
      <c r="AB494" s="64" t="str">
        <f>IF(AND(AA494&lt;&gt;"",AA494&lt;&gt;0), IF(E494="Muni", AA494, IF(E494 = "Corp", (1-'Investor Input'!$C$4-'Investor Input'!$C$5)*AA494, (1-'Investor Input'!$C$4)*AA494)), AA494)</f>
        <v/>
      </c>
      <c r="AC494" s="94" t="str">
        <f t="shared" si="118"/>
        <v/>
      </c>
      <c r="AD494" s="60" t="str">
        <f>IF(AND(M494&lt;&gt;"", M494&lt;&gt;0), N494/$N$505*MATCH(AC494,'Misc Lists'!$K$2:$K$25,0), "")</f>
        <v/>
      </c>
      <c r="AE494" s="90" t="str">
        <f t="shared" si="119"/>
        <v/>
      </c>
      <c r="AF494" s="99" t="str">
        <f>IF(AND(M494&lt;&gt;"", M494&lt;&gt;0), N494/$N$505*MATCH(AE494,'Misc Lists'!$L$2:$L$25,0), "")</f>
        <v/>
      </c>
    </row>
    <row r="495" spans="2:32" hidden="1" outlineLevel="1" x14ac:dyDescent="0.5">
      <c r="B495" s="60" t="str">
        <f ca="1"/>
        <v>594918BY9</v>
      </c>
      <c r="C495" s="61" t="str">
        <f ca="1"/>
        <v>N/A</v>
      </c>
      <c r="D495" s="60" t="str">
        <f ca="1"/>
        <v>MICROSOFT CORP      NOTE CALL MAKE WHOLE3.30000% 02/06/2027</v>
      </c>
      <c r="E495" s="61" t="str">
        <f ca="1"/>
        <v>Corp</v>
      </c>
      <c r="F495" s="62">
        <f ca="1"/>
        <v>3.3</v>
      </c>
      <c r="G495" s="63">
        <f ca="1"/>
        <v>46424</v>
      </c>
      <c r="H495" s="61" t="str">
        <f ca="1"/>
        <v>AAA</v>
      </c>
      <c r="I495" s="61" t="str">
        <f ca="1"/>
        <v>AAA</v>
      </c>
      <c r="J495" s="64">
        <f ca="1"/>
        <v>98.572000000000003</v>
      </c>
      <c r="K495" s="17">
        <f ca="1"/>
        <v>4.0869999999999997</v>
      </c>
      <c r="L495" s="17" t="str">
        <f ca="1"/>
        <v>500(2)</v>
      </c>
      <c r="M495" s="83"/>
      <c r="N495" s="84" t="str">
        <f t="shared" si="109"/>
        <v/>
      </c>
      <c r="O495" s="20" t="str">
        <f t="shared" si="110"/>
        <v/>
      </c>
      <c r="P495" s="64" t="str">
        <f t="shared" si="111"/>
        <v/>
      </c>
      <c r="Q495" s="85" t="str">
        <f t="shared" ca="1" si="112"/>
        <v/>
      </c>
      <c r="R495" s="86" t="str">
        <f t="shared" si="113"/>
        <v/>
      </c>
      <c r="S495" s="86" t="str">
        <f t="shared" si="114"/>
        <v/>
      </c>
      <c r="T495" s="104" t="str">
        <f t="shared" si="105"/>
        <v/>
      </c>
      <c r="U495" s="19" t="str">
        <f>IF(AND(M495&lt;&gt;"",M495&lt;&gt;0), IF(E495 = "Muni", T495, IF(E495="Corp", T495*(1 -'Investor Input'!$C$4-'Investor Input'!$C$5), T495*(1 -'Investor Input'!$C$4))), T495)</f>
        <v/>
      </c>
      <c r="V495" s="84" t="str">
        <f t="shared" si="106"/>
        <v/>
      </c>
      <c r="W495" s="84" t="str">
        <f t="shared" si="107"/>
        <v/>
      </c>
      <c r="X495" s="46" t="str">
        <f t="shared" si="108"/>
        <v/>
      </c>
      <c r="Y495" s="60" t="str">
        <f t="shared" si="115"/>
        <v/>
      </c>
      <c r="Z495" s="60" t="str">
        <f t="shared" si="116"/>
        <v/>
      </c>
      <c r="AA495" s="64" t="str">
        <f t="shared" si="117"/>
        <v/>
      </c>
      <c r="AB495" s="64" t="str">
        <f>IF(AND(AA495&lt;&gt;"",AA495&lt;&gt;0), IF(E495="Muni", AA495, IF(E495 = "Corp", (1-'Investor Input'!$C$4-'Investor Input'!$C$5)*AA495, (1-'Investor Input'!$C$4)*AA495)), AA495)</f>
        <v/>
      </c>
      <c r="AC495" s="94" t="str">
        <f t="shared" si="118"/>
        <v/>
      </c>
      <c r="AD495" s="60" t="str">
        <f>IF(AND(M495&lt;&gt;"", M495&lt;&gt;0), N495/$N$505*MATCH(AC495,'Misc Lists'!$K$2:$K$25,0), "")</f>
        <v/>
      </c>
      <c r="AE495" s="90" t="str">
        <f t="shared" si="119"/>
        <v/>
      </c>
      <c r="AF495" s="99" t="str">
        <f>IF(AND(M495&lt;&gt;"", M495&lt;&gt;0), N495/$N$505*MATCH(AE495,'Misc Lists'!$L$2:$L$25,0), "")</f>
        <v/>
      </c>
    </row>
    <row r="496" spans="2:32" hidden="1" outlineLevel="1" x14ac:dyDescent="0.5">
      <c r="B496" s="60" t="str">
        <f ca="1"/>
        <v>594918CQ5</v>
      </c>
      <c r="C496" s="61" t="str">
        <f ca="1"/>
        <v>N/A</v>
      </c>
      <c r="D496" s="60" t="str">
        <f ca="1"/>
        <v>MICROSOFT CORP      NOTE CALL MAKE WHOLE3.40000% 06/15/2027</v>
      </c>
      <c r="E496" s="61" t="str">
        <f ca="1"/>
        <v>Corp</v>
      </c>
      <c r="F496" s="62">
        <f ca="1"/>
        <v>3.4</v>
      </c>
      <c r="G496" s="63">
        <f ca="1"/>
        <v>46553</v>
      </c>
      <c r="H496" s="61" t="str">
        <f ca="1"/>
        <v>AAA</v>
      </c>
      <c r="I496" s="61" t="str">
        <f ca="1"/>
        <v>AAA</v>
      </c>
      <c r="J496" s="64">
        <f ca="1"/>
        <v>98.527000000000001</v>
      </c>
      <c r="K496" s="17">
        <f ca="1"/>
        <v>4.0869999999999997</v>
      </c>
      <c r="L496" s="17" t="str">
        <f ca="1"/>
        <v>650(2)</v>
      </c>
      <c r="M496" s="83"/>
      <c r="N496" s="84" t="str">
        <f t="shared" si="109"/>
        <v/>
      </c>
      <c r="O496" s="20" t="str">
        <f t="shared" si="110"/>
        <v/>
      </c>
      <c r="P496" s="64" t="str">
        <f t="shared" si="111"/>
        <v/>
      </c>
      <c r="Q496" s="85" t="str">
        <f t="shared" ca="1" si="112"/>
        <v/>
      </c>
      <c r="R496" s="86" t="str">
        <f t="shared" si="113"/>
        <v/>
      </c>
      <c r="S496" s="86" t="str">
        <f t="shared" si="114"/>
        <v/>
      </c>
      <c r="T496" s="104" t="str">
        <f t="shared" si="105"/>
        <v/>
      </c>
      <c r="U496" s="19" t="str">
        <f>IF(AND(M496&lt;&gt;"",M496&lt;&gt;0), IF(E496 = "Muni", T496, IF(E496="Corp", T496*(1 -'Investor Input'!$C$4-'Investor Input'!$C$5), T496*(1 -'Investor Input'!$C$4))), T496)</f>
        <v/>
      </c>
      <c r="V496" s="84" t="str">
        <f t="shared" si="106"/>
        <v/>
      </c>
      <c r="W496" s="84" t="str">
        <f t="shared" si="107"/>
        <v/>
      </c>
      <c r="X496" s="46" t="str">
        <f t="shared" si="108"/>
        <v/>
      </c>
      <c r="Y496" s="60" t="str">
        <f t="shared" si="115"/>
        <v/>
      </c>
      <c r="Z496" s="60" t="str">
        <f t="shared" si="116"/>
        <v/>
      </c>
      <c r="AA496" s="64" t="str">
        <f t="shared" si="117"/>
        <v/>
      </c>
      <c r="AB496" s="64" t="str">
        <f>IF(AND(AA496&lt;&gt;"",AA496&lt;&gt;0), IF(E496="Muni", AA496, IF(E496 = "Corp", (1-'Investor Input'!$C$4-'Investor Input'!$C$5)*AA496, (1-'Investor Input'!$C$4)*AA496)), AA496)</f>
        <v/>
      </c>
      <c r="AC496" s="94" t="str">
        <f t="shared" si="118"/>
        <v/>
      </c>
      <c r="AD496" s="60" t="str">
        <f>IF(AND(M496&lt;&gt;"", M496&lt;&gt;0), N496/$N$505*MATCH(AC496,'Misc Lists'!$K$2:$K$25,0), "")</f>
        <v/>
      </c>
      <c r="AE496" s="90" t="str">
        <f t="shared" si="119"/>
        <v/>
      </c>
      <c r="AF496" s="99" t="str">
        <f>IF(AND(M496&lt;&gt;"", M496&lt;&gt;0), N496/$N$505*MATCH(AE496,'Misc Lists'!$L$2:$L$25,0), "")</f>
        <v/>
      </c>
    </row>
    <row r="497" spans="2:32" hidden="1" outlineLevel="1" x14ac:dyDescent="0.5">
      <c r="B497" s="60" t="str">
        <f ca="1"/>
        <v>448814ET6</v>
      </c>
      <c r="C497" s="61" t="str">
        <f ca="1"/>
        <v>N/A</v>
      </c>
      <c r="D497" s="60" t="str">
        <f ca="1"/>
        <v>HYDRO-QUEBEC        BOND                8.50000% 12/01/2029 ISIN #US448814ET67  SEDOL #B0LNX97</v>
      </c>
      <c r="E497" s="61" t="str">
        <f ca="1"/>
        <v>Corp</v>
      </c>
      <c r="F497" s="62">
        <f ca="1"/>
        <v>8.5</v>
      </c>
      <c r="G497" s="63">
        <f ca="1"/>
        <v>47453</v>
      </c>
      <c r="H497" s="61" t="str">
        <f ca="1"/>
        <v>AA2</v>
      </c>
      <c r="I497" s="61" t="str">
        <f ca="1"/>
        <v>AA</v>
      </c>
      <c r="J497" s="64">
        <f ca="1"/>
        <v>118.806</v>
      </c>
      <c r="K497" s="17">
        <f ca="1"/>
        <v>4.077</v>
      </c>
      <c r="L497" s="17" t="str">
        <f ca="1"/>
        <v>21(5)</v>
      </c>
      <c r="M497" s="83"/>
      <c r="N497" s="84" t="str">
        <f t="shared" si="109"/>
        <v/>
      </c>
      <c r="O497" s="20" t="str">
        <f t="shared" si="110"/>
        <v/>
      </c>
      <c r="P497" s="64" t="str">
        <f t="shared" si="111"/>
        <v/>
      </c>
      <c r="Q497" s="85" t="str">
        <f t="shared" ca="1" si="112"/>
        <v/>
      </c>
      <c r="R497" s="86" t="str">
        <f t="shared" si="113"/>
        <v/>
      </c>
      <c r="S497" s="86" t="str">
        <f t="shared" si="114"/>
        <v/>
      </c>
      <c r="T497" s="104" t="str">
        <f t="shared" si="105"/>
        <v/>
      </c>
      <c r="U497" s="19" t="str">
        <f>IF(AND(M497&lt;&gt;"",M497&lt;&gt;0), IF(E497 = "Muni", T497, IF(E497="Corp", T497*(1 -'Investor Input'!$C$4-'Investor Input'!$C$5), T497*(1 -'Investor Input'!$C$4))), T497)</f>
        <v/>
      </c>
      <c r="V497" s="84" t="str">
        <f t="shared" si="106"/>
        <v/>
      </c>
      <c r="W497" s="84" t="str">
        <f t="shared" si="107"/>
        <v/>
      </c>
      <c r="X497" s="46" t="str">
        <f t="shared" si="108"/>
        <v/>
      </c>
      <c r="Y497" s="60" t="str">
        <f t="shared" si="115"/>
        <v/>
      </c>
      <c r="Z497" s="60" t="str">
        <f t="shared" si="116"/>
        <v/>
      </c>
      <c r="AA497" s="64" t="str">
        <f t="shared" si="117"/>
        <v/>
      </c>
      <c r="AB497" s="64" t="str">
        <f>IF(AND(AA497&lt;&gt;"",AA497&lt;&gt;0), IF(E497="Muni", AA497, IF(E497 = "Corp", (1-'Investor Input'!$C$4-'Investor Input'!$C$5)*AA497, (1-'Investor Input'!$C$4)*AA497)), AA497)</f>
        <v/>
      </c>
      <c r="AC497" s="94" t="str">
        <f t="shared" si="118"/>
        <v/>
      </c>
      <c r="AD497" s="60" t="str">
        <f>IF(AND(M497&lt;&gt;"", M497&lt;&gt;0), N497/$N$505*MATCH(AC497,'Misc Lists'!$K$2:$K$25,0), "")</f>
        <v/>
      </c>
      <c r="AE497" s="90" t="str">
        <f t="shared" si="119"/>
        <v/>
      </c>
      <c r="AF497" s="99" t="str">
        <f>IF(AND(M497&lt;&gt;"", M497&lt;&gt;0), N497/$N$505*MATCH(AE497,'Misc Lists'!$L$2:$L$25,0), "")</f>
        <v/>
      </c>
    </row>
    <row r="498" spans="2:32" hidden="1" outlineLevel="1" x14ac:dyDescent="0.5">
      <c r="B498" s="60" t="str">
        <f ca="1"/>
        <v>448814CT8</v>
      </c>
      <c r="C498" s="61" t="str">
        <f ca="1"/>
        <v>N/A</v>
      </c>
      <c r="D498" s="60" t="str">
        <f ca="1"/>
        <v>HYDRO-QUEBEC        BOND                8.25000% 01/15/2027 ISIN #US448814CT85  SEDOL #BBHXCS0</v>
      </c>
      <c r="E498" s="61" t="str">
        <f ca="1"/>
        <v>Corp</v>
      </c>
      <c r="F498" s="62">
        <f ca="1"/>
        <v>8.25</v>
      </c>
      <c r="G498" s="63">
        <f ca="1"/>
        <v>46402</v>
      </c>
      <c r="H498" s="61" t="str">
        <f ca="1"/>
        <v>AA2</v>
      </c>
      <c r="I498" s="61" t="str">
        <f ca="1"/>
        <v>AA-</v>
      </c>
      <c r="J498" s="64">
        <f ca="1"/>
        <v>107.334</v>
      </c>
      <c r="K498" s="17">
        <f ca="1"/>
        <v>4.0709999999999997</v>
      </c>
      <c r="L498" s="17" t="str">
        <f ca="1"/>
        <v>9(9)</v>
      </c>
      <c r="M498" s="83"/>
      <c r="N498" s="84" t="str">
        <f t="shared" si="109"/>
        <v/>
      </c>
      <c r="O498" s="20" t="str">
        <f t="shared" si="110"/>
        <v/>
      </c>
      <c r="P498" s="64" t="str">
        <f t="shared" si="111"/>
        <v/>
      </c>
      <c r="Q498" s="85" t="str">
        <f t="shared" ca="1" si="112"/>
        <v/>
      </c>
      <c r="R498" s="86" t="str">
        <f t="shared" si="113"/>
        <v/>
      </c>
      <c r="S498" s="86" t="str">
        <f t="shared" si="114"/>
        <v/>
      </c>
      <c r="T498" s="104" t="str">
        <f t="shared" si="105"/>
        <v/>
      </c>
      <c r="U498" s="19" t="str">
        <f>IF(AND(M498&lt;&gt;"",M498&lt;&gt;0), IF(E498 = "Muni", T498, IF(E498="Corp", T498*(1 -'Investor Input'!$C$4-'Investor Input'!$C$5), T498*(1 -'Investor Input'!$C$4))), T498)</f>
        <v/>
      </c>
      <c r="V498" s="84" t="str">
        <f t="shared" si="106"/>
        <v/>
      </c>
      <c r="W498" s="84" t="str">
        <f t="shared" si="107"/>
        <v/>
      </c>
      <c r="X498" s="46" t="str">
        <f t="shared" si="108"/>
        <v/>
      </c>
      <c r="Y498" s="60" t="str">
        <f t="shared" si="115"/>
        <v/>
      </c>
      <c r="Z498" s="60" t="str">
        <f t="shared" si="116"/>
        <v/>
      </c>
      <c r="AA498" s="64" t="str">
        <f t="shared" si="117"/>
        <v/>
      </c>
      <c r="AB498" s="64" t="str">
        <f>IF(AND(AA498&lt;&gt;"",AA498&lt;&gt;0), IF(E498="Muni", AA498, IF(E498 = "Corp", (1-'Investor Input'!$C$4-'Investor Input'!$C$5)*AA498, (1-'Investor Input'!$C$4)*AA498)), AA498)</f>
        <v/>
      </c>
      <c r="AC498" s="94" t="str">
        <f t="shared" si="118"/>
        <v/>
      </c>
      <c r="AD498" s="60" t="str">
        <f>IF(AND(M498&lt;&gt;"", M498&lt;&gt;0), N498/$N$505*MATCH(AC498,'Misc Lists'!$K$2:$K$25,0), "")</f>
        <v/>
      </c>
      <c r="AE498" s="90" t="str">
        <f t="shared" si="119"/>
        <v/>
      </c>
      <c r="AF498" s="99" t="str">
        <f>IF(AND(M498&lt;&gt;"", M498&lt;&gt;0), N498/$N$505*MATCH(AE498,'Misc Lists'!$L$2:$L$25,0), "")</f>
        <v/>
      </c>
    </row>
    <row r="499" spans="2:32" hidden="1" outlineLevel="1" x14ac:dyDescent="0.5">
      <c r="B499" s="60" t="str">
        <f ca="1"/>
        <v>4581X0EB0</v>
      </c>
      <c r="C499" s="61" t="str">
        <f ca="1"/>
        <v>N/A</v>
      </c>
      <c r="D499" s="60" t="str">
        <f ca="1"/>
        <v>INTER-AMERICAN DEV  BK SER 817 NOTE     1.50000% 01/13/2027</v>
      </c>
      <c r="E499" s="61" t="str">
        <f ca="1"/>
        <v>Corp</v>
      </c>
      <c r="F499" s="62">
        <f ca="1"/>
        <v>1.5</v>
      </c>
      <c r="G499" s="63">
        <f ca="1"/>
        <v>46400</v>
      </c>
      <c r="H499" s="61" t="str">
        <f ca="1"/>
        <v>AAA</v>
      </c>
      <c r="I499" s="61" t="str">
        <f ca="1"/>
        <v>AAA</v>
      </c>
      <c r="J499" s="64">
        <f ca="1"/>
        <v>95.495000000000005</v>
      </c>
      <c r="K499" s="17">
        <f ca="1"/>
        <v>4.07</v>
      </c>
      <c r="L499" s="17" t="str">
        <f ca="1"/>
        <v>20,000(100)</v>
      </c>
      <c r="M499" s="83"/>
      <c r="N499" s="84" t="str">
        <f t="shared" si="109"/>
        <v/>
      </c>
      <c r="O499" s="20" t="str">
        <f t="shared" si="110"/>
        <v/>
      </c>
      <c r="P499" s="64" t="str">
        <f t="shared" si="111"/>
        <v/>
      </c>
      <c r="Q499" s="85" t="str">
        <f t="shared" ca="1" si="112"/>
        <v/>
      </c>
      <c r="R499" s="86" t="str">
        <f t="shared" si="113"/>
        <v/>
      </c>
      <c r="S499" s="86" t="str">
        <f t="shared" si="114"/>
        <v/>
      </c>
      <c r="T499" s="104" t="str">
        <f t="shared" si="105"/>
        <v/>
      </c>
      <c r="U499" s="19" t="str">
        <f>IF(AND(M499&lt;&gt;"",M499&lt;&gt;0), IF(E499 = "Muni", T499, IF(E499="Corp", T499*(1 -'Investor Input'!$C$4-'Investor Input'!$C$5), T499*(1 -'Investor Input'!$C$4))), T499)</f>
        <v/>
      </c>
      <c r="V499" s="84" t="str">
        <f t="shared" si="106"/>
        <v/>
      </c>
      <c r="W499" s="84" t="str">
        <f t="shared" si="107"/>
        <v/>
      </c>
      <c r="X499" s="46" t="str">
        <f t="shared" si="108"/>
        <v/>
      </c>
      <c r="Y499" s="60" t="str">
        <f t="shared" si="115"/>
        <v/>
      </c>
      <c r="Z499" s="60" t="str">
        <f t="shared" si="116"/>
        <v/>
      </c>
      <c r="AA499" s="64" t="str">
        <f t="shared" si="117"/>
        <v/>
      </c>
      <c r="AB499" s="64" t="str">
        <f>IF(AND(AA499&lt;&gt;"",AA499&lt;&gt;0), IF(E499="Muni", AA499, IF(E499 = "Corp", (1-'Investor Input'!$C$4-'Investor Input'!$C$5)*AA499, (1-'Investor Input'!$C$4)*AA499)), AA499)</f>
        <v/>
      </c>
      <c r="AC499" s="94" t="str">
        <f t="shared" si="118"/>
        <v/>
      </c>
      <c r="AD499" s="60" t="str">
        <f>IF(AND(M499&lt;&gt;"", M499&lt;&gt;0), N499/$N$505*MATCH(AC499,'Misc Lists'!$K$2:$K$25,0), "")</f>
        <v/>
      </c>
      <c r="AE499" s="90" t="str">
        <f t="shared" si="119"/>
        <v/>
      </c>
      <c r="AF499" s="99" t="str">
        <f>IF(AND(M499&lt;&gt;"", M499&lt;&gt;0), N499/$N$505*MATCH(AE499,'Misc Lists'!$L$2:$L$25,0), "")</f>
        <v/>
      </c>
    </row>
    <row r="500" spans="2:32" hidden="1" outlineLevel="1" x14ac:dyDescent="0.5">
      <c r="B500" s="60" t="str">
        <f ca="1"/>
        <v>448814DF7</v>
      </c>
      <c r="C500" s="61" t="str">
        <f ca="1"/>
        <v>N/A</v>
      </c>
      <c r="D500" s="60" t="str">
        <f ca="1"/>
        <v>HYDRO-QUEBEC        BOND                9.37500% 04/15/2030 ISIN #CA448814DF74  SEDOL #BDVLK46</v>
      </c>
      <c r="E500" s="61" t="str">
        <f ca="1"/>
        <v>Corp</v>
      </c>
      <c r="F500" s="62">
        <f ca="1"/>
        <v>9.375</v>
      </c>
      <c r="G500" s="63">
        <f ca="1"/>
        <v>47588</v>
      </c>
      <c r="H500" s="61" t="str">
        <f ca="1"/>
        <v>AA2</v>
      </c>
      <c r="I500" s="61" t="str">
        <f ca="1"/>
        <v>AA-</v>
      </c>
      <c r="J500" s="64">
        <f ca="1"/>
        <v>124.18600000000001</v>
      </c>
      <c r="K500" s="17">
        <f ca="1"/>
        <v>4.0670000000000002</v>
      </c>
      <c r="L500" s="17" t="str">
        <f ca="1"/>
        <v>4,802(5)</v>
      </c>
      <c r="M500" s="83"/>
      <c r="N500" s="84" t="str">
        <f t="shared" si="109"/>
        <v/>
      </c>
      <c r="O500" s="20" t="str">
        <f t="shared" si="110"/>
        <v/>
      </c>
      <c r="P500" s="64" t="str">
        <f t="shared" si="111"/>
        <v/>
      </c>
      <c r="Q500" s="85" t="str">
        <f t="shared" ca="1" si="112"/>
        <v/>
      </c>
      <c r="R500" s="86" t="str">
        <f t="shared" si="113"/>
        <v/>
      </c>
      <c r="S500" s="86" t="str">
        <f t="shared" si="114"/>
        <v/>
      </c>
      <c r="T500" s="104" t="str">
        <f t="shared" si="105"/>
        <v/>
      </c>
      <c r="U500" s="19" t="str">
        <f>IF(AND(M500&lt;&gt;"",M500&lt;&gt;0), IF(E500 = "Muni", T500, IF(E500="Corp", T500*(1 -'Investor Input'!$C$4-'Investor Input'!$C$5), T500*(1 -'Investor Input'!$C$4))), T500)</f>
        <v/>
      </c>
      <c r="V500" s="84" t="str">
        <f t="shared" si="106"/>
        <v/>
      </c>
      <c r="W500" s="84" t="str">
        <f t="shared" si="107"/>
        <v/>
      </c>
      <c r="X500" s="46" t="str">
        <f t="shared" si="108"/>
        <v/>
      </c>
      <c r="Y500" s="60" t="str">
        <f t="shared" si="115"/>
        <v/>
      </c>
      <c r="Z500" s="60" t="str">
        <f t="shared" si="116"/>
        <v/>
      </c>
      <c r="AA500" s="64" t="str">
        <f t="shared" si="117"/>
        <v/>
      </c>
      <c r="AB500" s="64" t="str">
        <f>IF(AND(AA500&lt;&gt;"",AA500&lt;&gt;0), IF(E500="Muni", AA500, IF(E500 = "Corp", (1-'Investor Input'!$C$4-'Investor Input'!$C$5)*AA500, (1-'Investor Input'!$C$4)*AA500)), AA500)</f>
        <v/>
      </c>
      <c r="AC500" s="94" t="str">
        <f t="shared" si="118"/>
        <v/>
      </c>
      <c r="AD500" s="60" t="str">
        <f>IF(AND(M500&lt;&gt;"", M500&lt;&gt;0), N500/$N$505*MATCH(AC500,'Misc Lists'!$K$2:$K$25,0), "")</f>
        <v/>
      </c>
      <c r="AE500" s="90" t="str">
        <f t="shared" si="119"/>
        <v/>
      </c>
      <c r="AF500" s="99" t="str">
        <f>IF(AND(M500&lt;&gt;"", M500&lt;&gt;0), N500/$N$505*MATCH(AE500,'Misc Lists'!$L$2:$L$25,0), "")</f>
        <v/>
      </c>
    </row>
    <row r="501" spans="2:32" hidden="1" outlineLevel="1" x14ac:dyDescent="0.5">
      <c r="B501" s="60" t="str">
        <f ca="1"/>
        <v>478160BY9</v>
      </c>
      <c r="C501" s="61" t="str">
        <f ca="1"/>
        <v>N/A</v>
      </c>
      <c r="D501" s="60" t="str">
        <f ca="1"/>
        <v>JOHNSON &amp;JOHNSON    NOTE CALL MAKE WHOLE2.45000% 03/01/2026</v>
      </c>
      <c r="E501" s="61" t="str">
        <f ca="1"/>
        <v>Corp</v>
      </c>
      <c r="F501" s="62">
        <f ca="1"/>
        <v>2.4500000000000002</v>
      </c>
      <c r="G501" s="63">
        <f ca="1"/>
        <v>46082</v>
      </c>
      <c r="H501" s="61" t="str">
        <f ca="1"/>
        <v>AAA</v>
      </c>
      <c r="I501" s="61" t="str">
        <f ca="1"/>
        <v>AAA</v>
      </c>
      <c r="J501" s="64">
        <f ca="1"/>
        <v>98.478999999999999</v>
      </c>
      <c r="K501" s="17">
        <f ca="1"/>
        <v>4.0650000000000004</v>
      </c>
      <c r="L501" s="17" t="str">
        <f ca="1"/>
        <v>500(2)</v>
      </c>
      <c r="M501" s="83"/>
      <c r="N501" s="84" t="str">
        <f t="shared" si="109"/>
        <v/>
      </c>
      <c r="O501" s="20" t="str">
        <f t="shared" si="110"/>
        <v/>
      </c>
      <c r="P501" s="64" t="str">
        <f t="shared" si="111"/>
        <v/>
      </c>
      <c r="Q501" s="85" t="str">
        <f t="shared" ca="1" si="112"/>
        <v/>
      </c>
      <c r="R501" s="86" t="str">
        <f t="shared" si="113"/>
        <v/>
      </c>
      <c r="S501" s="86" t="str">
        <f t="shared" si="114"/>
        <v/>
      </c>
      <c r="T501" s="104" t="str">
        <f t="shared" si="105"/>
        <v/>
      </c>
      <c r="U501" s="19" t="str">
        <f>IF(AND(M501&lt;&gt;"",M501&lt;&gt;0), IF(E501 = "Muni", T501, IF(E501="Corp", T501*(1 -'Investor Input'!$C$4-'Investor Input'!$C$5), T501*(1 -'Investor Input'!$C$4))), T501)</f>
        <v/>
      </c>
      <c r="V501" s="84" t="str">
        <f t="shared" si="106"/>
        <v/>
      </c>
      <c r="W501" s="84" t="str">
        <f t="shared" si="107"/>
        <v/>
      </c>
      <c r="X501" s="46" t="str">
        <f t="shared" si="108"/>
        <v/>
      </c>
      <c r="Y501" s="60" t="str">
        <f t="shared" si="115"/>
        <v/>
      </c>
      <c r="Z501" s="60" t="str">
        <f t="shared" si="116"/>
        <v/>
      </c>
      <c r="AA501" s="64" t="str">
        <f t="shared" si="117"/>
        <v/>
      </c>
      <c r="AB501" s="64" t="str">
        <f>IF(AND(AA501&lt;&gt;"",AA501&lt;&gt;0), IF(E501="Muni", AA501, IF(E501 = "Corp", (1-'Investor Input'!$C$4-'Investor Input'!$C$5)*AA501, (1-'Investor Input'!$C$4)*AA501)), AA501)</f>
        <v/>
      </c>
      <c r="AC501" s="94" t="str">
        <f t="shared" si="118"/>
        <v/>
      </c>
      <c r="AD501" s="60" t="str">
        <f>IF(AND(M501&lt;&gt;"", M501&lt;&gt;0), N501/$N$505*MATCH(AC501,'Misc Lists'!$K$2:$K$25,0), "")</f>
        <v/>
      </c>
      <c r="AE501" s="90" t="str">
        <f t="shared" si="119"/>
        <v/>
      </c>
      <c r="AF501" s="99" t="str">
        <f>IF(AND(M501&lt;&gt;"", M501&lt;&gt;0), N501/$N$505*MATCH(AE501,'Misc Lists'!$L$2:$L$25,0), "")</f>
        <v/>
      </c>
    </row>
    <row r="502" spans="2:32" hidden="1" outlineLevel="1" x14ac:dyDescent="0.5">
      <c r="B502" s="60" t="str">
        <f ca="1"/>
        <v>459058JZ7</v>
      </c>
      <c r="C502" s="61" t="str">
        <f ca="1"/>
        <v>N/A</v>
      </c>
      <c r="D502" s="60" t="str">
        <f ca="1"/>
        <v>INTERNATIONAL BK FORRECON&amp;DEV NOTE      1.12500% 09/13/2028</v>
      </c>
      <c r="E502" s="61" t="str">
        <f ca="1"/>
        <v>Corp</v>
      </c>
      <c r="F502" s="62">
        <f ca="1"/>
        <v>1.125</v>
      </c>
      <c r="G502" s="63">
        <f ca="1"/>
        <v>47009</v>
      </c>
      <c r="H502" s="61" t="str">
        <f ca="1"/>
        <v>AAA</v>
      </c>
      <c r="I502" s="61" t="str">
        <f ca="1"/>
        <v>AAA</v>
      </c>
      <c r="J502" s="64">
        <f ca="1"/>
        <v>90.51</v>
      </c>
      <c r="K502" s="17">
        <f ca="1"/>
        <v>4.0590000000000002</v>
      </c>
      <c r="L502" s="17" t="str">
        <f ca="1"/>
        <v>30(15)</v>
      </c>
      <c r="M502" s="83"/>
      <c r="N502" s="84" t="str">
        <f t="shared" si="109"/>
        <v/>
      </c>
      <c r="O502" s="20" t="str">
        <f t="shared" si="110"/>
        <v/>
      </c>
      <c r="P502" s="64" t="str">
        <f t="shared" si="111"/>
        <v/>
      </c>
      <c r="Q502" s="85" t="str">
        <f t="shared" ca="1" si="112"/>
        <v/>
      </c>
      <c r="R502" s="86" t="str">
        <f t="shared" si="113"/>
        <v/>
      </c>
      <c r="S502" s="86" t="str">
        <f t="shared" si="114"/>
        <v/>
      </c>
      <c r="T502" s="104" t="str">
        <f t="shared" si="105"/>
        <v/>
      </c>
      <c r="U502" s="19" t="str">
        <f>IF(AND(M502&lt;&gt;"",M502&lt;&gt;0), IF(E502 = "Muni", T502, IF(E502="Corp", T502*(1 -'Investor Input'!$C$4-'Investor Input'!$C$5), T502*(1 -'Investor Input'!$C$4))), T502)</f>
        <v/>
      </c>
      <c r="V502" s="84" t="str">
        <f t="shared" si="106"/>
        <v/>
      </c>
      <c r="W502" s="84" t="str">
        <f t="shared" si="107"/>
        <v/>
      </c>
      <c r="X502" s="46" t="str">
        <f t="shared" si="108"/>
        <v/>
      </c>
      <c r="Y502" s="60" t="str">
        <f t="shared" si="115"/>
        <v/>
      </c>
      <c r="Z502" s="60" t="str">
        <f t="shared" si="116"/>
        <v/>
      </c>
      <c r="AA502" s="64" t="str">
        <f t="shared" si="117"/>
        <v/>
      </c>
      <c r="AB502" s="64" t="str">
        <f>IF(AND(AA502&lt;&gt;"",AA502&lt;&gt;0), IF(E502="Muni", AA502, IF(E502 = "Corp", (1-'Investor Input'!$C$4-'Investor Input'!$C$5)*AA502, (1-'Investor Input'!$C$4)*AA502)), AA502)</f>
        <v/>
      </c>
      <c r="AC502" s="94" t="str">
        <f t="shared" si="118"/>
        <v/>
      </c>
      <c r="AD502" s="60" t="str">
        <f>IF(AND(M502&lt;&gt;"", M502&lt;&gt;0), N502/$N$505*MATCH(AC502,'Misc Lists'!$K$2:$K$25,0), "")</f>
        <v/>
      </c>
      <c r="AE502" s="90" t="str">
        <f t="shared" si="119"/>
        <v/>
      </c>
      <c r="AF502" s="99" t="str">
        <f>IF(AND(M502&lt;&gt;"", M502&lt;&gt;0), N502/$N$505*MATCH(AE502,'Misc Lists'!$L$2:$L$25,0), "")</f>
        <v/>
      </c>
    </row>
    <row r="503" spans="2:32" hidden="1" outlineLevel="1" x14ac:dyDescent="0.5">
      <c r="B503" s="60" t="str">
        <f ca="1"/>
        <v>459058LN1</v>
      </c>
      <c r="C503" s="61" t="str">
        <f ca="1"/>
        <v>N/A</v>
      </c>
      <c r="D503" s="60" t="str">
        <f ca="1"/>
        <v>INTERNATIONAL BK FORRECON&amp;DEV NOTE      3.87500% 10/16/2029</v>
      </c>
      <c r="E503" s="61" t="str">
        <f ca="1"/>
        <v>Corp</v>
      </c>
      <c r="F503" s="62">
        <f ca="1"/>
        <v>3.875</v>
      </c>
      <c r="G503" s="63">
        <f ca="1"/>
        <v>47407</v>
      </c>
      <c r="H503" s="61" t="str">
        <f ca="1"/>
        <v>AAA</v>
      </c>
      <c r="I503" s="61" t="str">
        <f ca="1"/>
        <v>AAA</v>
      </c>
      <c r="J503" s="64">
        <f ca="1"/>
        <v>99.290999999999997</v>
      </c>
      <c r="K503" s="17">
        <f ca="1"/>
        <v>4.0449999999999999</v>
      </c>
      <c r="L503" s="17" t="str">
        <f ca="1"/>
        <v>2,000(50)</v>
      </c>
      <c r="M503" s="83"/>
      <c r="N503" s="84" t="str">
        <f t="shared" si="109"/>
        <v/>
      </c>
      <c r="O503" s="20" t="str">
        <f t="shared" si="110"/>
        <v/>
      </c>
      <c r="P503" s="64" t="str">
        <f t="shared" si="111"/>
        <v/>
      </c>
      <c r="Q503" s="85" t="str">
        <f t="shared" ca="1" si="112"/>
        <v/>
      </c>
      <c r="R503" s="86" t="str">
        <f t="shared" si="113"/>
        <v/>
      </c>
      <c r="S503" s="86" t="str">
        <f t="shared" si="114"/>
        <v/>
      </c>
      <c r="T503" s="104" t="str">
        <f t="shared" si="105"/>
        <v/>
      </c>
      <c r="U503" s="19" t="str">
        <f>IF(AND(M503&lt;&gt;"",M503&lt;&gt;0), IF(E503 = "Muni", T503, IF(E503="Corp", T503*(1 -'Investor Input'!$C$4-'Investor Input'!$C$5), T503*(1 -'Investor Input'!$C$4))), T503)</f>
        <v/>
      </c>
      <c r="V503" s="84" t="str">
        <f t="shared" si="106"/>
        <v/>
      </c>
      <c r="W503" s="84" t="str">
        <f t="shared" si="107"/>
        <v/>
      </c>
      <c r="X503" s="46" t="str">
        <f t="shared" si="108"/>
        <v/>
      </c>
      <c r="Y503" s="60" t="str">
        <f t="shared" si="115"/>
        <v/>
      </c>
      <c r="Z503" s="60" t="str">
        <f t="shared" si="116"/>
        <v/>
      </c>
      <c r="AA503" s="64" t="str">
        <f t="shared" si="117"/>
        <v/>
      </c>
      <c r="AB503" s="64" t="str">
        <f>IF(AND(AA503&lt;&gt;"",AA503&lt;&gt;0), IF(E503="Muni", AA503, IF(E503 = "Corp", (1-'Investor Input'!$C$4-'Investor Input'!$C$5)*AA503, (1-'Investor Input'!$C$4)*AA503)), AA503)</f>
        <v/>
      </c>
      <c r="AC503" s="94" t="str">
        <f t="shared" si="118"/>
        <v/>
      </c>
      <c r="AD503" s="60" t="str">
        <f>IF(AND(M503&lt;&gt;"", M503&lt;&gt;0), N503/$N$505*MATCH(AC503,'Misc Lists'!$K$2:$K$25,0), "")</f>
        <v/>
      </c>
      <c r="AE503" s="90" t="str">
        <f t="shared" si="119"/>
        <v/>
      </c>
      <c r="AF503" s="99" t="str">
        <f>IF(AND(M503&lt;&gt;"", M503&lt;&gt;0), N503/$N$505*MATCH(AE503,'Misc Lists'!$L$2:$L$25,0), "")</f>
        <v/>
      </c>
    </row>
    <row r="504" spans="2:32" outlineLevel="1" x14ac:dyDescent="0.5">
      <c r="B504" s="60"/>
      <c r="C504" s="61"/>
      <c r="D504" s="60"/>
      <c r="E504" s="61"/>
      <c r="F504" s="62"/>
      <c r="G504" s="63"/>
      <c r="H504" s="61"/>
      <c r="I504" s="61"/>
      <c r="J504" s="64"/>
      <c r="K504" s="17"/>
      <c r="L504" s="17"/>
      <c r="M504" s="61"/>
      <c r="N504" s="84"/>
      <c r="O504" s="20"/>
      <c r="P504" s="64"/>
      <c r="Q504" s="85"/>
      <c r="R504" s="86"/>
      <c r="S504" s="86"/>
      <c r="T504" s="104"/>
      <c r="U504" s="19"/>
      <c r="V504" s="84"/>
      <c r="W504" s="84"/>
      <c r="X504" s="21"/>
      <c r="AC504" s="95"/>
      <c r="AD504" s="60"/>
      <c r="AE504" s="60"/>
      <c r="AF504" s="99"/>
    </row>
    <row r="505" spans="2:32" ht="14.7" thickBot="1" x14ac:dyDescent="0.55000000000000004">
      <c r="B505" s="22"/>
      <c r="C505" s="23"/>
      <c r="D505" s="22"/>
      <c r="E505" s="23"/>
      <c r="F505" s="24"/>
      <c r="G505" s="25"/>
      <c r="H505" s="23"/>
      <c r="I505" s="23"/>
      <c r="J505" s="26"/>
      <c r="K505" s="27"/>
      <c r="L505" s="28"/>
      <c r="M505" s="29">
        <f>SUM(M4:M503)</f>
        <v>1015</v>
      </c>
      <c r="N505" s="30">
        <f ca="1">SUM(N4:N503)</f>
        <v>1007524.75</v>
      </c>
      <c r="O505" s="32">
        <f ca="1">SUM(O4:O503)</f>
        <v>1</v>
      </c>
      <c r="P505" s="31"/>
      <c r="Q505" s="31"/>
      <c r="R505" s="31"/>
      <c r="S505" s="110" t="e">
        <f ca="1">SUMPRODUCT(O4:O503, S4:S503)</f>
        <v>#NUM!</v>
      </c>
      <c r="T505" s="105" t="e">
        <f ca="1">AVERAGE(T4:T503)</f>
        <v>#NUM!</v>
      </c>
      <c r="U505" s="101" t="e">
        <f ca="1">AVERAGE(U4:U503)</f>
        <v>#NUM!</v>
      </c>
      <c r="V505" s="30">
        <f ca="1">SUM(V4:V503)</f>
        <v>1056270.8144379405</v>
      </c>
      <c r="W505" s="30">
        <f ca="1">SUM(W4:W503)</f>
        <v>48746.064437940455</v>
      </c>
      <c r="X505" s="34">
        <f ca="1">W505/N505</f>
        <v>4.8382001968627027E-2</v>
      </c>
      <c r="Y505" s="23"/>
      <c r="Z505" s="23"/>
      <c r="AA505" s="45">
        <f ca="1">SUM(AA4:AA503)</f>
        <v>15266.25</v>
      </c>
      <c r="AB505" s="45">
        <f ca="1">SUM(AB4:AB503)</f>
        <v>9659.2749999999996</v>
      </c>
      <c r="AC505" s="96" t="str">
        <f ca="1">VLOOKUP(AD505, 'Misc Lists'!$J$2:$L$25, 2, 1)</f>
        <v>AA1</v>
      </c>
      <c r="AD505" s="91">
        <f ca="1">SUM(AD4:AD503)</f>
        <v>3.1863703596363266</v>
      </c>
      <c r="AE505" s="45" t="str">
        <f ca="1">VLOOKUP(AF505, 'Misc Lists'!$J$2:$L$25, 3, 1)</f>
        <v>B+</v>
      </c>
      <c r="AF505" s="100">
        <f ca="1">SUM(AF4:AF503)</f>
        <v>15.347582528369649</v>
      </c>
    </row>
    <row r="506" spans="2:32" ht="14.7" thickTop="1" x14ac:dyDescent="0.5"/>
  </sheetData>
  <sheetProtection selectLockedCells="1"/>
  <autoFilter ref="B3:AF503" xr:uid="{198B2BA8-3FF8-4F00-A272-61B7B97B8835}">
    <filterColumn colId="11">
      <customFilters>
        <customFilter operator="notEqual" val=" "/>
      </customFilters>
    </filterColumn>
  </autoFilter>
  <dataValidations count="3">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4:M503" xr:uid="{3A508394-BB68-4A9D-AEF1-7AD21B8967AB}">
      <formula1>IF(L4 &lt;&gt;"N/A", VALUE(MID(L4,FIND("(",L4)+1,LEN(L4)-FIND("(",L4)-1)), 0)</formula1>
    </dataValidation>
    <dataValidation operator="lessThanOrEqual" allowBlank="1" showInputMessage="1" showErrorMessage="1" sqref="N505:O505" xr:uid="{A602EC6C-FAE0-4006-8B80-C7E690DA47AC}"/>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504" xr:uid="{2C3A973A-A9CF-4448-86E3-F63926DEDC0A}">
      <formula1>VALUE(MID(L504, FIND("(", L504) + 1, LEN(L504) - FIND("(", L504)-1))</formula1>
    </dataValidation>
  </dataValidations>
  <pageMargins left="0.7" right="0.7" top="0.75" bottom="0.75" header="0.3" footer="0.3"/>
  <ignoredErrors>
    <ignoredError sqref="N504:N505 AC505 AE505" formula="1"/>
  </ignoredErrors>
  <legacyDrawing r:id="rId1"/>
  <extLst>
    <ext xmlns:x14="http://schemas.microsoft.com/office/spreadsheetml/2009/9/main" uri="{78C0D931-6437-407d-A8EE-F0AAD7539E65}">
      <x14:conditionalFormattings>
        <x14:conditionalFormatting xmlns:xm="http://schemas.microsoft.com/office/excel/2006/main">
          <x14:cfRule type="cellIs" priority="1" operator="greaterThan" id="{8E4AC1A7-F294-414A-99FC-C2D4C80048C9}">
            <xm:f>'Investor Input'!$C$6</xm:f>
            <x14:dxf>
              <font>
                <color rgb="FF9C0006"/>
              </font>
              <fill>
                <patternFill>
                  <bgColor rgb="FFFFC7CE"/>
                </patternFill>
              </fill>
            </x14:dxf>
          </x14:cfRule>
          <xm:sqref>N505:O505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780D-81C2-4BE0-8BA6-2AA9BB9B3D25}">
  <sheetPr filterMode="1"/>
  <dimension ref="A1:AF506"/>
  <sheetViews>
    <sheetView showGridLines="0" workbookViewId="0">
      <pane xSplit="14" ySplit="3" topLeftCell="O4" activePane="bottomRight" state="frozen"/>
      <selection pane="topRight" activeCell="O1" sqref="O1"/>
      <selection pane="bottomLeft" activeCell="A4" sqref="A4"/>
      <selection pane="bottomRight" activeCell="O1" sqref="O1"/>
    </sheetView>
  </sheetViews>
  <sheetFormatPr defaultRowHeight="14.35" outlineLevelRow="1" x14ac:dyDescent="0.5"/>
  <cols>
    <col min="1" max="1" width="2.703125" customWidth="1"/>
    <col min="2" max="2" width="14.1171875" customWidth="1"/>
    <col min="3" max="3" width="8.87890625" style="72"/>
    <col min="4" max="4" width="18.17578125" customWidth="1"/>
    <col min="5" max="5" width="9.703125" style="72" customWidth="1"/>
    <col min="6" max="6" width="8.87890625" style="73"/>
    <col min="7" max="7" width="12.9375" style="2" bestFit="1" customWidth="1"/>
    <col min="8" max="9" width="8.87890625" style="72"/>
    <col min="10" max="10" width="8.87890625" style="74"/>
    <col min="11" max="11" width="8.87890625" style="3"/>
    <col min="12" max="12" width="12.9375" style="3" bestFit="1" customWidth="1"/>
    <col min="13" max="13" width="16.29296875" bestFit="1" customWidth="1"/>
    <col min="14" max="14" width="12.234375" style="75" customWidth="1"/>
    <col min="15" max="15" width="15.3515625" style="5" bestFit="1" customWidth="1"/>
    <col min="16" max="16" width="14.64453125" style="5" bestFit="1" customWidth="1"/>
    <col min="17" max="17" width="14.64453125" style="5" customWidth="1"/>
    <col min="18" max="18" width="14" style="5" bestFit="1" customWidth="1"/>
    <col min="19" max="19" width="15.3515625" style="5" bestFit="1" customWidth="1"/>
    <col min="20" max="20" width="11.703125" style="5" bestFit="1" customWidth="1"/>
    <col min="21" max="21" width="16.29296875" style="5" bestFit="1" customWidth="1"/>
    <col min="22" max="22" width="12.64453125" style="5" bestFit="1" customWidth="1"/>
    <col min="23" max="23" width="17.76171875" style="5" bestFit="1" customWidth="1"/>
    <col min="24" max="24" width="12.9375" style="5" bestFit="1" customWidth="1"/>
    <col min="25" max="25" width="19.76171875" bestFit="1" customWidth="1"/>
    <col min="26" max="26" width="19.76171875" customWidth="1"/>
    <col min="27" max="27" width="16.29296875" bestFit="1" customWidth="1"/>
    <col min="28" max="28" width="23" bestFit="1" customWidth="1"/>
  </cols>
  <sheetData>
    <row r="1" spans="1:32" hidden="1" x14ac:dyDescent="0.5">
      <c r="A1" t="str" cm="1">
        <f t="array" aca="1" ref="A1" ca="1">MID(CELL("filename",A1),FIND("]",CELL("filename",A1))+1,255)</f>
        <v>Stable Income Scenario</v>
      </c>
      <c r="L1" s="4"/>
      <c r="X1" s="76"/>
    </row>
    <row r="2" spans="1:32" x14ac:dyDescent="0.5">
      <c r="B2" s="6" t="s">
        <v>29</v>
      </c>
      <c r="C2" s="6"/>
      <c r="D2" s="6"/>
      <c r="E2" s="6"/>
      <c r="F2" s="7"/>
      <c r="G2" s="8"/>
      <c r="H2" s="6"/>
      <c r="I2" s="6"/>
      <c r="J2" s="9"/>
      <c r="K2" s="10"/>
      <c r="L2" s="11"/>
      <c r="M2" s="6" t="s">
        <v>30</v>
      </c>
      <c r="N2" s="12"/>
      <c r="O2" s="6"/>
      <c r="P2" s="6"/>
      <c r="Q2" s="6"/>
      <c r="R2" s="6"/>
      <c r="S2" s="6"/>
      <c r="T2" s="6"/>
      <c r="U2" s="13"/>
      <c r="V2" s="6" t="s">
        <v>31</v>
      </c>
      <c r="W2" s="6"/>
      <c r="X2" s="13"/>
      <c r="Y2" s="6" t="s">
        <v>32</v>
      </c>
      <c r="Z2" s="6"/>
      <c r="AA2" s="12"/>
      <c r="AB2" s="12"/>
      <c r="AC2" s="92" t="s">
        <v>33</v>
      </c>
      <c r="AD2" s="89"/>
      <c r="AE2" s="89"/>
      <c r="AF2" s="97"/>
    </row>
    <row r="3" spans="1:32" s="72" customFormat="1" x14ac:dyDescent="0.5">
      <c r="B3" s="77" t="s">
        <v>34</v>
      </c>
      <c r="C3" s="77" t="s">
        <v>35</v>
      </c>
      <c r="D3" s="77" t="s">
        <v>36</v>
      </c>
      <c r="E3" s="77" t="s">
        <v>37</v>
      </c>
      <c r="F3" s="78" t="s">
        <v>38</v>
      </c>
      <c r="G3" s="79" t="s">
        <v>39</v>
      </c>
      <c r="H3" s="77" t="s">
        <v>40</v>
      </c>
      <c r="I3" s="77" t="s">
        <v>41</v>
      </c>
      <c r="J3" s="80" t="s">
        <v>42</v>
      </c>
      <c r="K3" s="14" t="s">
        <v>43</v>
      </c>
      <c r="L3" s="15" t="s">
        <v>44</v>
      </c>
      <c r="M3" s="16" t="s">
        <v>45</v>
      </c>
      <c r="N3" s="81" t="s">
        <v>46</v>
      </c>
      <c r="O3" s="77" t="s">
        <v>47</v>
      </c>
      <c r="P3" s="77" t="s">
        <v>48</v>
      </c>
      <c r="Q3" s="77" t="s">
        <v>49</v>
      </c>
      <c r="R3" s="77" t="s">
        <v>50</v>
      </c>
      <c r="S3" s="77" t="s">
        <v>51</v>
      </c>
      <c r="T3" s="77" t="s">
        <v>52</v>
      </c>
      <c r="U3" s="82" t="s">
        <v>53</v>
      </c>
      <c r="V3" s="77" t="s">
        <v>42</v>
      </c>
      <c r="W3" s="77" t="s">
        <v>54</v>
      </c>
      <c r="X3" s="82" t="s">
        <v>55</v>
      </c>
      <c r="Y3" s="72" t="s">
        <v>56</v>
      </c>
      <c r="Z3" s="72" t="s">
        <v>57</v>
      </c>
      <c r="AA3" s="72" t="s">
        <v>58</v>
      </c>
      <c r="AB3" s="72" t="s">
        <v>59</v>
      </c>
      <c r="AC3" s="93" t="s">
        <v>60</v>
      </c>
      <c r="AD3" s="72" t="s">
        <v>61</v>
      </c>
      <c r="AE3" s="72" t="s">
        <v>62</v>
      </c>
      <c r="AF3" s="98" t="s">
        <v>63</v>
      </c>
    </row>
    <row r="4" spans="1:32" hidden="1" x14ac:dyDescent="0.5">
      <c r="B4" s="60" t="str" cm="1">
        <f t="array" aca="1" ref="B4:L271" ca="1" xml:space="preserve"> _xlfn.TAKE(_xlfn._xlws.SORT(_xlfn._xlws.FILTER(_xlfn._xlws.FILTER(Master_Bond_List[], ('Investor Input'!C6 &gt;= IFERROR(VALUE(MID(Master_Bond_List[Quantity Ask(min)], FIND("(", Master_Bond_List[Quantity Ask(min)]) + 1, LEN(Master_Bond_List[Quantity Ask(min)]) - FIND("(", Master_Bond_List[Quantity Ask(min)])-1)), 1)*1000)*((Master_Bond_List[Maturity Date]-TODAY()) &lt; 'Investor Input'!C7*365)*(Master_Bond_List[Type] = "Muni")*(Master_Bond_List[State]='Investor Input'!D3) + ('Investor Input'!C6 &gt;= IFERROR(VALUE(MID(Master_Bond_List[Quantity Ask(min)], FIND("(", Master_Bond_List[Quantity Ask(min)]) + 1, LEN(Master_Bond_List[Quantity Ask(min)]) - FIND("(", Master_Bond_List[Quantity Ask(min)])-1)), 1)*1000)*((Master_Bond_List[Maturity Date]-TODAY()) &lt; 'Investor Input'!C7*365)*(Master_Bond_List[Type] = "Tres") + ('Investor Input'!C6 &gt;= IFERROR(VALUE(MID(Master_Bond_List[Quantity Ask(min)], FIND("(", Master_Bond_List[Quantity Ask(min)]) + 1, LEN(Master_Bond_List[Quantity Ask(min)]) - FIND("(", Master_Bond_List[Quantity Ask(min)])-1)), 1)*1000)*((Master_Bond_List[Maturity Date]-TODAY()) &lt; 'Investor Input'!C7*365)*(Master_Bond_List[Type] = "TIPS")), {1,1,1,1,1,1,0,1,1,0,1,0,0,1,0,0,1,0}), {4,10}, {1,-1}), 500)</f>
        <v>404774GU9</v>
      </c>
      <c r="C4" s="61" t="str">
        <f ca="1"/>
        <v>NJ</v>
      </c>
      <c r="D4" s="60" t="str">
        <f ca="1"/>
        <v>HADDONFIELD N J GO  BDS SER. 2013       02.50000% 03/01/2025</v>
      </c>
      <c r="E4" s="61" t="str">
        <f ca="1"/>
        <v>Muni</v>
      </c>
      <c r="F4" s="62">
        <f ca="1"/>
        <v>2.5</v>
      </c>
      <c r="G4" s="63">
        <f ca="1"/>
        <v>45717</v>
      </c>
      <c r="H4" s="61" t="str">
        <f ca="1"/>
        <v>AA1</v>
      </c>
      <c r="I4" s="61" t="str">
        <f ca="1"/>
        <v>--</v>
      </c>
      <c r="J4" s="64">
        <f ca="1"/>
        <v>99.93</v>
      </c>
      <c r="K4" s="17">
        <f ca="1"/>
        <v>4.391</v>
      </c>
      <c r="L4" s="18" t="str">
        <f ca="1"/>
        <v>10(5)</v>
      </c>
      <c r="M4" s="83"/>
      <c r="N4" s="84" t="str">
        <f>IF(AND(M4&lt;&gt;"", M4&lt;&gt;0), IF(L4 &lt;&gt; "N/A", IF(M4&gt;=VALUE(LEFT(L4, FIND("(", L4)-1)), J4*10*M4, 1000*M4), 1000*M4), "")</f>
        <v/>
      </c>
      <c r="O4" s="20" t="str">
        <f>IF(AND(M4&lt;&gt;"",M4&lt;&gt;0),N4/$N$505, "")</f>
        <v/>
      </c>
      <c r="P4" s="64" t="str">
        <f>IF(AND(M4&lt;&gt;"", M4&lt;&gt;0), F4*1000/100, "")</f>
        <v/>
      </c>
      <c r="Q4" s="85" t="str">
        <f ca="1">IF(AND(M4&lt;&gt;"", M4&lt;&gt;0), NOW(), "")</f>
        <v/>
      </c>
      <c r="R4" s="86" t="str">
        <f>IF(AND(M4&lt;&gt;"", M4&lt;&gt;0), ROUND((G4 - Q4)/365, 0), "")</f>
        <v/>
      </c>
      <c r="S4" s="86" t="str">
        <f>IF(AND(M4&lt;&gt;"",M4&lt;&gt;0),MDURATION(Q4,G4,F4/100,K4/100,2), "")</f>
        <v/>
      </c>
      <c r="T4" s="104" t="str">
        <f>IF(AND(M4&lt;&gt;"",M4&lt;&gt;0),YIELD(Q4,G4,F4/100,N4/(M4*10),100,2),"")</f>
        <v/>
      </c>
      <c r="U4" s="19" t="str">
        <f>IF(AND(M4&lt;&gt;"",M4&lt;&gt;0), IF(E4 = "Muni", T4, IF(E4="Corp", T4*(1 -'Investor Input'!$C$4-'Investor Input'!$C$5), T4*(1 -'Investor Input'!$C$4))), T4)</f>
        <v/>
      </c>
      <c r="V4" s="84" t="str">
        <f>IF(AND(M4&lt;&gt;"",M4&lt;&gt;0),(FV(K4/(2*100),(G4-Q4)*2/365, F4*1000/(2*100), -N4/M4))*M4, "")</f>
        <v/>
      </c>
      <c r="W4" s="84" t="str">
        <f t="shared" ref="W4:W67" si="0">IF(AND(M4&lt;&gt;"",M4&lt;&gt;0),V4-N4,"")</f>
        <v/>
      </c>
      <c r="X4" s="21" t="str">
        <f t="shared" ref="X4:X67" si="1">IF(AND(M4&lt;&gt;"",M4&lt;&gt;0),W4/N4,"")</f>
        <v/>
      </c>
      <c r="Y4" s="60" t="str">
        <f t="shared" ref="Y4:Y67" si="2">IF(AND(M4&lt;&gt;"", M4&lt;&gt;0), MONTH(G4), "")</f>
        <v/>
      </c>
      <c r="Z4" s="60" t="str">
        <f t="shared" ref="Z4:Z67" si="3">IF(AND(M4&lt;&gt;"", M4&lt;&gt;0), MONTH(EDATE(G4, 6)), "")</f>
        <v/>
      </c>
      <c r="AA4" s="64" t="str">
        <f t="shared" ref="AA4:AA67" si="4">IF(AND(M4&lt;&gt;"", M4&lt;&gt;0), F4*1000*M4/(100*2), "")</f>
        <v/>
      </c>
      <c r="AB4" s="64" t="str">
        <f>IF(AND(AA4&lt;&gt;"",AA4&lt;&gt;0), IF(E4="Muni", AA4, IF(E4 = "Corp", (1-'Investor Input'!$C$4-'Investor Input'!$C$5)*AA4, (1-'Investor Input'!$C$4)*AA4)), AA4)</f>
        <v/>
      </c>
      <c r="AC4" s="94" t="str">
        <f t="shared" ref="AC4:AC67" si="5">IF(AND(M4&lt;&gt;"", M4&lt;&gt;0), H4, "")</f>
        <v/>
      </c>
      <c r="AD4" s="60" t="str">
        <f>IF(AND(M4&lt;&gt;"", M4&lt;&gt;0), N4/$N$505*MATCH(AC4,'Misc Lists'!$K$2:$K$25,0), "")</f>
        <v/>
      </c>
      <c r="AE4" s="90" t="str">
        <f t="shared" ref="AE4:AE67" si="6">IF(AND(M4&lt;&gt;"", M4&lt;&gt;0), I4, "")</f>
        <v/>
      </c>
      <c r="AF4" s="99" t="str">
        <f>IF(AND(M4&lt;&gt;"", M4&lt;&gt;0), N4/$N$505*MATCH(AE4,'Misc Lists'!$L$2:$L$25,0), "")</f>
        <v/>
      </c>
    </row>
    <row r="5" spans="1:32" hidden="1" x14ac:dyDescent="0.5">
      <c r="B5" s="60" t="str">
        <f ca="1"/>
        <v>166042CC3</v>
      </c>
      <c r="C5" s="61" t="str">
        <f ca="1"/>
        <v>NJ</v>
      </c>
      <c r="D5" s="60" t="str">
        <f ca="1"/>
        <v>CHESTER N J BRD ED  REF SCH BDS         04.00000% 03/01/2030</v>
      </c>
      <c r="E5" s="61" t="str">
        <f ca="1"/>
        <v>Muni</v>
      </c>
      <c r="F5" s="62">
        <f ca="1"/>
        <v>4</v>
      </c>
      <c r="G5" s="63">
        <f ca="1"/>
        <v>47543</v>
      </c>
      <c r="H5" s="61" t="str">
        <f ca="1"/>
        <v>--</v>
      </c>
      <c r="I5" s="61" t="str">
        <f ca="1"/>
        <v>AA+</v>
      </c>
      <c r="J5" s="64">
        <f ca="1"/>
        <v>99.986999999999995</v>
      </c>
      <c r="K5" s="17">
        <f ca="1"/>
        <v>4.0030000000000001</v>
      </c>
      <c r="L5" s="18" t="str">
        <f ca="1"/>
        <v>20(5)</v>
      </c>
      <c r="M5" s="83"/>
      <c r="N5" s="84" t="str">
        <f t="shared" ref="N5:N68" si="7">IF(AND(M5&lt;&gt;"", M5&lt;&gt;0), IF(L5 &lt;&gt; "N/A", IF(M5&gt;=VALUE(LEFT(L5, FIND("(", L5)-1)), J5*10*M5, 1000*M5), 1000*M5), "")</f>
        <v/>
      </c>
      <c r="O5" s="20" t="str">
        <f t="shared" ref="O5:O68" si="8">IF(AND(M5&lt;&gt;"",M5&lt;&gt;0),N5/$N$505, "")</f>
        <v/>
      </c>
      <c r="P5" s="64" t="str">
        <f t="shared" ref="P5:P68" si="9">IF(AND(M5&lt;&gt;"", M5&lt;&gt;0), F5*1000/100, "")</f>
        <v/>
      </c>
      <c r="Q5" s="85" t="str">
        <f t="shared" ref="Q5:Q68" ca="1" si="10">IF(AND(M5&lt;&gt;"", M5&lt;&gt;0), NOW(), "")</f>
        <v/>
      </c>
      <c r="R5" s="86" t="str">
        <f t="shared" ref="R5:R68" si="11">IF(AND(M5&lt;&gt;"", M5&lt;&gt;0), ROUND((G5 - Q5)/365, 0), "")</f>
        <v/>
      </c>
      <c r="S5" s="86" t="str">
        <f t="shared" ref="S5:S68" si="12">IF(AND(M5&lt;&gt;"",M5&lt;&gt;0),MDURATION(Q5,G5,F5/100,K5/100,2), "")</f>
        <v/>
      </c>
      <c r="T5" s="104" t="str">
        <f t="shared" ref="T5:T68" si="13">IF(AND(M5&lt;&gt;"",M5&lt;&gt;0),YIELD(Q5,G5,F5/100,N5/(M5*10),100,2),"")</f>
        <v/>
      </c>
      <c r="U5" s="19" t="str">
        <f>IF(AND(M5&lt;&gt;"",M5&lt;&gt;0), IF(E5 = "Muni", T5, IF(E5="Corp", T5*(1 -'Investor Input'!$C$4-'Investor Input'!$C$5), T5*(1 -'Investor Input'!$C$4))), T5)</f>
        <v/>
      </c>
      <c r="V5" s="84" t="str">
        <f t="shared" ref="V5:V68" si="14">IF(AND(M5&lt;&gt;"",M5&lt;&gt;0),(FV(K5/(2*100),(G5-Q5)*2/365, F5*1000/(2*100), -N5/M5))*M5, "")</f>
        <v/>
      </c>
      <c r="W5" s="84" t="str">
        <f t="shared" si="0"/>
        <v/>
      </c>
      <c r="X5" s="21" t="str">
        <f t="shared" si="1"/>
        <v/>
      </c>
      <c r="Y5" s="60" t="str">
        <f t="shared" si="2"/>
        <v/>
      </c>
      <c r="Z5" s="60" t="str">
        <f t="shared" si="3"/>
        <v/>
      </c>
      <c r="AA5" s="64" t="str">
        <f t="shared" si="4"/>
        <v/>
      </c>
      <c r="AB5" s="64" t="str">
        <f>IF(AND(AA5&lt;&gt;"",AA5&lt;&gt;0), IF(E5="Muni", AA5, IF(E5 = "Corp", (1-'Investor Input'!$C$4-'Investor Input'!$C$5)*AA5, (1-'Investor Input'!$C$4)*AA5)), AA5)</f>
        <v/>
      </c>
      <c r="AC5" s="94" t="str">
        <f t="shared" si="5"/>
        <v/>
      </c>
      <c r="AD5" s="60" t="str">
        <f>IF(AND(M5&lt;&gt;"", M5&lt;&gt;0), N5/$N$505*MATCH(AC5,'Misc Lists'!$K$2:$K$25,0), "")</f>
        <v/>
      </c>
      <c r="AE5" s="90" t="str">
        <f t="shared" si="6"/>
        <v/>
      </c>
      <c r="AF5" s="99" t="str">
        <f>IF(AND(M5&lt;&gt;"", M5&lt;&gt;0), N5/$N$505*MATCH(AE5,'Misc Lists'!$L$2:$L$25,0), "")</f>
        <v/>
      </c>
    </row>
    <row r="6" spans="1:32" hidden="1" x14ac:dyDescent="0.5">
      <c r="B6" s="60" t="str">
        <f ca="1"/>
        <v>685312LJ7</v>
      </c>
      <c r="C6" s="61" t="str">
        <f ca="1"/>
        <v>NJ</v>
      </c>
      <c r="D6" s="60" t="str">
        <f ca="1"/>
        <v>ORANGE TWP N J GO   CONS GEN IMPT WTR   02.00000% 12/01/2029UTIL BDS SER. 2020</v>
      </c>
      <c r="E6" s="61" t="str">
        <f ca="1"/>
        <v>Muni</v>
      </c>
      <c r="F6" s="62">
        <f ca="1"/>
        <v>2</v>
      </c>
      <c r="G6" s="63">
        <f ca="1"/>
        <v>47453</v>
      </c>
      <c r="H6" s="61" t="str">
        <f ca="1"/>
        <v>--</v>
      </c>
      <c r="I6" s="61" t="str">
        <f ca="1"/>
        <v>AA</v>
      </c>
      <c r="J6" s="64">
        <f ca="1"/>
        <v>91.358999999999995</v>
      </c>
      <c r="K6" s="17">
        <f ca="1"/>
        <v>4.0010000000000003</v>
      </c>
      <c r="L6" s="18" t="str">
        <f ca="1"/>
        <v>10(10)</v>
      </c>
      <c r="M6" s="83"/>
      <c r="N6" s="84" t="str">
        <f t="shared" si="7"/>
        <v/>
      </c>
      <c r="O6" s="20" t="str">
        <f t="shared" si="8"/>
        <v/>
      </c>
      <c r="P6" s="64" t="str">
        <f t="shared" si="9"/>
        <v/>
      </c>
      <c r="Q6" s="85" t="str">
        <f t="shared" ca="1" si="10"/>
        <v/>
      </c>
      <c r="R6" s="86" t="str">
        <f t="shared" si="11"/>
        <v/>
      </c>
      <c r="S6" s="86" t="str">
        <f t="shared" si="12"/>
        <v/>
      </c>
      <c r="T6" s="104" t="str">
        <f t="shared" si="13"/>
        <v/>
      </c>
      <c r="U6" s="19" t="str">
        <f>IF(AND(M6&lt;&gt;"",M6&lt;&gt;0), IF(E6 = "Muni", T6, IF(E6="Corp", T6*(1 -'Investor Input'!$C$4-'Investor Input'!$C$5), T6*(1 -'Investor Input'!$C$4))), T6)</f>
        <v/>
      </c>
      <c r="V6" s="84" t="str">
        <f t="shared" si="14"/>
        <v/>
      </c>
      <c r="W6" s="84" t="str">
        <f t="shared" si="0"/>
        <v/>
      </c>
      <c r="X6" s="21" t="str">
        <f t="shared" si="1"/>
        <v/>
      </c>
      <c r="Y6" s="60" t="str">
        <f t="shared" si="2"/>
        <v/>
      </c>
      <c r="Z6" s="60" t="str">
        <f t="shared" si="3"/>
        <v/>
      </c>
      <c r="AA6" s="64" t="str">
        <f t="shared" si="4"/>
        <v/>
      </c>
      <c r="AB6" s="64" t="str">
        <f>IF(AND(AA6&lt;&gt;"",AA6&lt;&gt;0), IF(E6="Muni", AA6, IF(E6 = "Corp", (1-'Investor Input'!$C$4-'Investor Input'!$C$5)*AA6, (1-'Investor Input'!$C$4)*AA6)), AA6)</f>
        <v/>
      </c>
      <c r="AC6" s="94" t="str">
        <f t="shared" si="5"/>
        <v/>
      </c>
      <c r="AD6" s="60" t="str">
        <f>IF(AND(M6&lt;&gt;"", M6&lt;&gt;0), N6/$N$505*MATCH(AC6,'Misc Lists'!$K$2:$K$25,0), "")</f>
        <v/>
      </c>
      <c r="AE6" s="90" t="str">
        <f t="shared" si="6"/>
        <v/>
      </c>
      <c r="AF6" s="99" t="str">
        <f>IF(AND(M6&lt;&gt;"", M6&lt;&gt;0), N6/$N$505*MATCH(AE6,'Misc Lists'!$L$2:$L$25,0), "")</f>
        <v/>
      </c>
    </row>
    <row r="7" spans="1:32" hidden="1" x14ac:dyDescent="0.5">
      <c r="B7" s="60" t="str">
        <f ca="1"/>
        <v>274803DH5</v>
      </c>
      <c r="C7" s="61" t="str">
        <f ca="1"/>
        <v>NJ</v>
      </c>
      <c r="D7" s="60" t="str">
        <f ca="1"/>
        <v>EAST RUTHERFORD N J SCH DIST BDS        02.00000% 07/15/2029</v>
      </c>
      <c r="E7" s="61" t="str">
        <f ca="1"/>
        <v>Muni</v>
      </c>
      <c r="F7" s="62">
        <f ca="1"/>
        <v>2</v>
      </c>
      <c r="G7" s="63">
        <f ca="1"/>
        <v>47314</v>
      </c>
      <c r="H7" s="61" t="str">
        <f ca="1"/>
        <v>--</v>
      </c>
      <c r="I7" s="61" t="str">
        <f ca="1"/>
        <v>AA</v>
      </c>
      <c r="J7" s="64">
        <f ca="1"/>
        <v>91.988</v>
      </c>
      <c r="K7" s="17">
        <f ca="1"/>
        <v>4</v>
      </c>
      <c r="L7" s="18" t="str">
        <f ca="1"/>
        <v>20(5)</v>
      </c>
      <c r="M7" s="83"/>
      <c r="N7" s="84" t="str">
        <f t="shared" si="7"/>
        <v/>
      </c>
      <c r="O7" s="20" t="str">
        <f t="shared" si="8"/>
        <v/>
      </c>
      <c r="P7" s="64" t="str">
        <f t="shared" si="9"/>
        <v/>
      </c>
      <c r="Q7" s="85" t="str">
        <f t="shared" ca="1" si="10"/>
        <v/>
      </c>
      <c r="R7" s="86" t="str">
        <f t="shared" si="11"/>
        <v/>
      </c>
      <c r="S7" s="86" t="str">
        <f t="shared" si="12"/>
        <v/>
      </c>
      <c r="T7" s="104" t="str">
        <f t="shared" si="13"/>
        <v/>
      </c>
      <c r="U7" s="19" t="str">
        <f>IF(AND(M7&lt;&gt;"",M7&lt;&gt;0), IF(E7 = "Muni", T7, IF(E7="Corp", T7*(1 -'Investor Input'!$C$4-'Investor Input'!$C$5), T7*(1 -'Investor Input'!$C$4))), T7)</f>
        <v/>
      </c>
      <c r="V7" s="84" t="str">
        <f t="shared" si="14"/>
        <v/>
      </c>
      <c r="W7" s="84" t="str">
        <f t="shared" si="0"/>
        <v/>
      </c>
      <c r="X7" s="21" t="str">
        <f t="shared" si="1"/>
        <v/>
      </c>
      <c r="Y7" s="60" t="str">
        <f t="shared" si="2"/>
        <v/>
      </c>
      <c r="Z7" s="60" t="str">
        <f t="shared" si="3"/>
        <v/>
      </c>
      <c r="AA7" s="64" t="str">
        <f t="shared" si="4"/>
        <v/>
      </c>
      <c r="AB7" s="64" t="str">
        <f>IF(AND(AA7&lt;&gt;"",AA7&lt;&gt;0), IF(E7="Muni", AA7, IF(E7 = "Corp", (1-'Investor Input'!$C$4-'Investor Input'!$C$5)*AA7, (1-'Investor Input'!$C$4)*AA7)), AA7)</f>
        <v/>
      </c>
      <c r="AC7" s="94" t="str">
        <f t="shared" si="5"/>
        <v/>
      </c>
      <c r="AD7" s="60" t="str">
        <f>IF(AND(M7&lt;&gt;"", M7&lt;&gt;0), N7/$N$505*MATCH(AC7,'Misc Lists'!$K$2:$K$25,0), "")</f>
        <v/>
      </c>
      <c r="AE7" s="90" t="str">
        <f t="shared" si="6"/>
        <v/>
      </c>
      <c r="AF7" s="99" t="str">
        <f>IF(AND(M7&lt;&gt;"", M7&lt;&gt;0), N7/$N$505*MATCH(AE7,'Misc Lists'!$L$2:$L$25,0), "")</f>
        <v/>
      </c>
    </row>
    <row r="8" spans="1:32" x14ac:dyDescent="0.5">
      <c r="B8" s="60" t="str">
        <f ca="1"/>
        <v>432380KK8</v>
      </c>
      <c r="C8" s="61" t="str">
        <f ca="1"/>
        <v>NJ</v>
      </c>
      <c r="D8" s="60" t="str">
        <f ca="1"/>
        <v>HILLSBOROUGH TWP N JSCH DIST BDS SER.   02.00000% 07/15/20292020</v>
      </c>
      <c r="E8" s="61" t="str">
        <f ca="1"/>
        <v>Muni</v>
      </c>
      <c r="F8" s="62">
        <f ca="1"/>
        <v>2</v>
      </c>
      <c r="G8" s="63">
        <f ca="1"/>
        <v>47314</v>
      </c>
      <c r="H8" s="61" t="str">
        <f ca="1"/>
        <v>--</v>
      </c>
      <c r="I8" s="61" t="str">
        <f ca="1"/>
        <v>AA-</v>
      </c>
      <c r="J8" s="64">
        <f ca="1"/>
        <v>91.988</v>
      </c>
      <c r="K8" s="17">
        <f ca="1"/>
        <v>4</v>
      </c>
      <c r="L8" s="18" t="str">
        <f ca="1"/>
        <v>5(5)</v>
      </c>
      <c r="M8" s="83">
        <v>75</v>
      </c>
      <c r="N8" s="84">
        <f t="shared" ca="1" si="7"/>
        <v>68991</v>
      </c>
      <c r="O8" s="20">
        <f t="shared" ca="1" si="8"/>
        <v>6.9463707475743167E-2</v>
      </c>
      <c r="P8" s="64">
        <f t="shared" ca="1" si="9"/>
        <v>20</v>
      </c>
      <c r="Q8" s="85">
        <f t="shared" ca="1" si="10"/>
        <v>45791.491364930553</v>
      </c>
      <c r="R8" s="86">
        <f t="shared" ca="1" si="11"/>
        <v>4</v>
      </c>
      <c r="S8" s="86">
        <f t="shared" ca="1" si="12"/>
        <v>3.9076740782465174</v>
      </c>
      <c r="T8" s="104">
        <f t="shared" ca="1" si="13"/>
        <v>4.109973375795347E-2</v>
      </c>
      <c r="U8" s="19">
        <f ca="1">IF(AND(M8&lt;&gt;"",M8&lt;&gt;0), IF(E8 = "Muni", T8, IF(E8="Corp", T8*(1 -'Investor Input'!$C$4-'Investor Input'!$C$5), T8*(1 -'Investor Input'!$C$4))), T8)</f>
        <v>4.109973375795347E-2</v>
      </c>
      <c r="V8" s="84">
        <f t="shared" ca="1" si="14"/>
        <v>74647.834090880147</v>
      </c>
      <c r="W8" s="84">
        <f t="shared" ca="1" si="0"/>
        <v>5656.8340908801474</v>
      </c>
      <c r="X8" s="21">
        <f t="shared" ca="1" si="1"/>
        <v>8.1993797609545407E-2</v>
      </c>
      <c r="Y8" s="60">
        <f t="shared" ca="1" si="2"/>
        <v>7</v>
      </c>
      <c r="Z8" s="60">
        <f t="shared" ca="1" si="3"/>
        <v>1</v>
      </c>
      <c r="AA8" s="64">
        <f t="shared" ca="1" si="4"/>
        <v>750</v>
      </c>
      <c r="AB8" s="64">
        <f ca="1">IF(AND(AA8&lt;&gt;"",AA8&lt;&gt;0), IF(E8="Muni", AA8, IF(E8 = "Corp", (1-'Investor Input'!$C$4-'Investor Input'!$C$5)*AA8, (1-'Investor Input'!$C$4)*AA8)), AA8)</f>
        <v>750</v>
      </c>
      <c r="AC8" s="94" t="str">
        <f t="shared" ca="1" si="5"/>
        <v>--</v>
      </c>
      <c r="AD8" s="60">
        <f ca="1">IF(AND(M8&lt;&gt;"", M8&lt;&gt;0), N8/$N$505*MATCH(AC8,'Misc Lists'!$K$2:$K$25,0), "")</f>
        <v>1.5976652719420927</v>
      </c>
      <c r="AE8" s="90" t="str">
        <f t="shared" ca="1" si="6"/>
        <v>AA-</v>
      </c>
      <c r="AF8" s="99">
        <f ca="1">IF(AND(M8&lt;&gt;"", M8&lt;&gt;0), N8/$N$505*MATCH(AE8,'Misc Lists'!$L$2:$L$25,0), "")</f>
        <v>0.34731853737871582</v>
      </c>
    </row>
    <row r="9" spans="1:32" hidden="1" x14ac:dyDescent="0.5">
      <c r="B9" s="60" t="str">
        <f ca="1"/>
        <v>811403VA9</v>
      </c>
      <c r="C9" s="61" t="str">
        <f ca="1"/>
        <v>NJ</v>
      </c>
      <c r="D9" s="60" t="str">
        <f ca="1"/>
        <v>SEA ISLE CITY N J   GEN IMPT BDS SER.   02.00000% 09/01/20292019</v>
      </c>
      <c r="E9" s="61" t="str">
        <f ca="1"/>
        <v>Muni</v>
      </c>
      <c r="F9" s="62">
        <f ca="1"/>
        <v>2</v>
      </c>
      <c r="G9" s="63">
        <f ca="1"/>
        <v>47362</v>
      </c>
      <c r="H9" s="61" t="str">
        <f ca="1"/>
        <v>--</v>
      </c>
      <c r="I9" s="61" t="str">
        <f ca="1"/>
        <v>AA</v>
      </c>
      <c r="J9" s="64">
        <f ca="1"/>
        <v>91.819000000000003</v>
      </c>
      <c r="K9" s="17">
        <f ca="1"/>
        <v>3.9889999999999999</v>
      </c>
      <c r="L9" s="18" t="str">
        <f ca="1"/>
        <v>10(10)</v>
      </c>
      <c r="M9" s="83"/>
      <c r="N9" s="84" t="str">
        <f t="shared" si="7"/>
        <v/>
      </c>
      <c r="O9" s="20" t="str">
        <f t="shared" si="8"/>
        <v/>
      </c>
      <c r="P9" s="64" t="str">
        <f t="shared" si="9"/>
        <v/>
      </c>
      <c r="Q9" s="85" t="str">
        <f t="shared" ca="1" si="10"/>
        <v/>
      </c>
      <c r="R9" s="86" t="str">
        <f t="shared" si="11"/>
        <v/>
      </c>
      <c r="S9" s="86" t="str">
        <f t="shared" si="12"/>
        <v/>
      </c>
      <c r="T9" s="104" t="str">
        <f t="shared" si="13"/>
        <v/>
      </c>
      <c r="U9" s="19" t="str">
        <f>IF(AND(M9&lt;&gt;"",M9&lt;&gt;0), IF(E9 = "Muni", T9, IF(E9="Corp", T9*(1 -'Investor Input'!$C$4-'Investor Input'!$C$5), T9*(1 -'Investor Input'!$C$4))), T9)</f>
        <v/>
      </c>
      <c r="V9" s="84" t="str">
        <f t="shared" si="14"/>
        <v/>
      </c>
      <c r="W9" s="84" t="str">
        <f t="shared" si="0"/>
        <v/>
      </c>
      <c r="X9" s="21" t="str">
        <f t="shared" si="1"/>
        <v/>
      </c>
      <c r="Y9" s="60" t="str">
        <f t="shared" si="2"/>
        <v/>
      </c>
      <c r="Z9" s="60" t="str">
        <f t="shared" si="3"/>
        <v/>
      </c>
      <c r="AA9" s="64" t="str">
        <f t="shared" si="4"/>
        <v/>
      </c>
      <c r="AB9" s="64" t="str">
        <f>IF(AND(AA9&lt;&gt;"",AA9&lt;&gt;0), IF(E9="Muni", AA9, IF(E9 = "Corp", (1-'Investor Input'!$C$4-'Investor Input'!$C$5)*AA9, (1-'Investor Input'!$C$4)*AA9)), AA9)</f>
        <v/>
      </c>
      <c r="AC9" s="94" t="str">
        <f t="shared" si="5"/>
        <v/>
      </c>
      <c r="AD9" s="60" t="str">
        <f>IF(AND(M9&lt;&gt;"", M9&lt;&gt;0), N9/$N$505*MATCH(AC9,'Misc Lists'!$K$2:$K$25,0), "")</f>
        <v/>
      </c>
      <c r="AE9" s="90" t="str">
        <f t="shared" si="6"/>
        <v/>
      </c>
      <c r="AF9" s="99" t="str">
        <f>IF(AND(M9&lt;&gt;"", M9&lt;&gt;0), N9/$N$505*MATCH(AE9,'Misc Lists'!$L$2:$L$25,0), "")</f>
        <v/>
      </c>
    </row>
    <row r="10" spans="1:32" hidden="1" x14ac:dyDescent="0.5">
      <c r="B10" s="60" t="str">
        <f ca="1"/>
        <v>194756SB9</v>
      </c>
      <c r="C10" s="61" t="str">
        <f ca="1"/>
        <v>NJ</v>
      </c>
      <c r="D10" s="60" t="str">
        <f ca="1"/>
        <v>COLLINGSWOOD N J GO IMPT WTR AND SWR    02.00000% 03/01/2029UTIL BDS SER. 2020</v>
      </c>
      <c r="E10" s="61" t="str">
        <f ca="1"/>
        <v>Muni</v>
      </c>
      <c r="F10" s="62">
        <f ca="1"/>
        <v>2</v>
      </c>
      <c r="G10" s="63">
        <f ca="1"/>
        <v>47178</v>
      </c>
      <c r="H10" s="61" t="str">
        <f ca="1"/>
        <v>--</v>
      </c>
      <c r="I10" s="61" t="str">
        <f ca="1"/>
        <v>AA</v>
      </c>
      <c r="J10" s="64">
        <f ca="1"/>
        <v>92.744</v>
      </c>
      <c r="K10" s="17">
        <f ca="1"/>
        <v>3.9630000000000001</v>
      </c>
      <c r="L10" s="18" t="str">
        <f ca="1"/>
        <v>20(20)</v>
      </c>
      <c r="M10" s="83"/>
      <c r="N10" s="84" t="str">
        <f t="shared" si="7"/>
        <v/>
      </c>
      <c r="O10" s="20" t="str">
        <f t="shared" si="8"/>
        <v/>
      </c>
      <c r="P10" s="64" t="str">
        <f t="shared" si="9"/>
        <v/>
      </c>
      <c r="Q10" s="85" t="str">
        <f t="shared" ca="1" si="10"/>
        <v/>
      </c>
      <c r="R10" s="86" t="str">
        <f t="shared" si="11"/>
        <v/>
      </c>
      <c r="S10" s="86" t="str">
        <f t="shared" si="12"/>
        <v/>
      </c>
      <c r="T10" s="104" t="str">
        <f t="shared" si="13"/>
        <v/>
      </c>
      <c r="U10" s="19" t="str">
        <f>IF(AND(M10&lt;&gt;"",M10&lt;&gt;0), IF(E10 = "Muni", T10, IF(E10="Corp", T10*(1 -'Investor Input'!$C$4-'Investor Input'!$C$5), T10*(1 -'Investor Input'!$C$4))), T10)</f>
        <v/>
      </c>
      <c r="V10" s="84" t="str">
        <f t="shared" si="14"/>
        <v/>
      </c>
      <c r="W10" s="84" t="str">
        <f t="shared" si="0"/>
        <v/>
      </c>
      <c r="X10" s="21" t="str">
        <f t="shared" si="1"/>
        <v/>
      </c>
      <c r="Y10" s="60" t="str">
        <f t="shared" si="2"/>
        <v/>
      </c>
      <c r="Z10" s="60" t="str">
        <f t="shared" si="3"/>
        <v/>
      </c>
      <c r="AA10" s="64" t="str">
        <f t="shared" si="4"/>
        <v/>
      </c>
      <c r="AB10" s="64" t="str">
        <f>IF(AND(AA10&lt;&gt;"",AA10&lt;&gt;0), IF(E10="Muni", AA10, IF(E10 = "Corp", (1-'Investor Input'!$C$4-'Investor Input'!$C$5)*AA10, (1-'Investor Input'!$C$4)*AA10)), AA10)</f>
        <v/>
      </c>
      <c r="AC10" s="94" t="str">
        <f t="shared" si="5"/>
        <v/>
      </c>
      <c r="AD10" s="60" t="str">
        <f>IF(AND(M10&lt;&gt;"", M10&lt;&gt;0), N10/$N$505*MATCH(AC10,'Misc Lists'!$K$2:$K$25,0), "")</f>
        <v/>
      </c>
      <c r="AE10" s="90" t="str">
        <f t="shared" si="6"/>
        <v/>
      </c>
      <c r="AF10" s="99" t="str">
        <f>IF(AND(M10&lt;&gt;"", M10&lt;&gt;0), N10/$N$505*MATCH(AE10,'Misc Lists'!$L$2:$L$25,0), "")</f>
        <v/>
      </c>
    </row>
    <row r="11" spans="1:32" hidden="1" x14ac:dyDescent="0.5">
      <c r="B11" s="60" t="str">
        <f ca="1"/>
        <v>674684RE7</v>
      </c>
      <c r="C11" s="61" t="str">
        <f ca="1"/>
        <v>NJ</v>
      </c>
      <c r="D11" s="60" t="str">
        <f ca="1"/>
        <v>OCEAN CITY N J GEN  IMPT BDS SER. 2016  01.00000% 11/15/2028</v>
      </c>
      <c r="E11" s="61" t="str">
        <f ca="1"/>
        <v>Muni</v>
      </c>
      <c r="F11" s="62">
        <f ca="1"/>
        <v>1</v>
      </c>
      <c r="G11" s="63">
        <f ca="1"/>
        <v>47072</v>
      </c>
      <c r="H11" s="61" t="str">
        <f ca="1"/>
        <v>--</v>
      </c>
      <c r="I11" s="61" t="str">
        <f ca="1"/>
        <v>AA</v>
      </c>
      <c r="J11" s="64">
        <f ca="1"/>
        <v>89.894000000000005</v>
      </c>
      <c r="K11" s="17">
        <f ca="1"/>
        <v>3.93</v>
      </c>
      <c r="L11" s="18" t="str">
        <f ca="1"/>
        <v>10(5)</v>
      </c>
      <c r="M11" s="83"/>
      <c r="N11" s="84" t="str">
        <f t="shared" si="7"/>
        <v/>
      </c>
      <c r="O11" s="20" t="str">
        <f t="shared" si="8"/>
        <v/>
      </c>
      <c r="P11" s="64" t="str">
        <f t="shared" si="9"/>
        <v/>
      </c>
      <c r="Q11" s="85" t="str">
        <f t="shared" ca="1" si="10"/>
        <v/>
      </c>
      <c r="R11" s="86" t="str">
        <f t="shared" si="11"/>
        <v/>
      </c>
      <c r="S11" s="86" t="str">
        <f t="shared" si="12"/>
        <v/>
      </c>
      <c r="T11" s="104" t="str">
        <f t="shared" si="13"/>
        <v/>
      </c>
      <c r="U11" s="19" t="str">
        <f>IF(AND(M11&lt;&gt;"",M11&lt;&gt;0), IF(E11 = "Muni", T11, IF(E11="Corp", T11*(1 -'Investor Input'!$C$4-'Investor Input'!$C$5), T11*(1 -'Investor Input'!$C$4))), T11)</f>
        <v/>
      </c>
      <c r="V11" s="84" t="str">
        <f t="shared" si="14"/>
        <v/>
      </c>
      <c r="W11" s="84" t="str">
        <f t="shared" si="0"/>
        <v/>
      </c>
      <c r="X11" s="21" t="str">
        <f t="shared" si="1"/>
        <v/>
      </c>
      <c r="Y11" s="60" t="str">
        <f t="shared" si="2"/>
        <v/>
      </c>
      <c r="Z11" s="60" t="str">
        <f t="shared" si="3"/>
        <v/>
      </c>
      <c r="AA11" s="64" t="str">
        <f t="shared" si="4"/>
        <v/>
      </c>
      <c r="AB11" s="64" t="str">
        <f>IF(AND(AA11&lt;&gt;"",AA11&lt;&gt;0), IF(E11="Muni", AA11, IF(E11 = "Corp", (1-'Investor Input'!$C$4-'Investor Input'!$C$5)*AA11, (1-'Investor Input'!$C$4)*AA11)), AA11)</f>
        <v/>
      </c>
      <c r="AC11" s="94" t="str">
        <f t="shared" si="5"/>
        <v/>
      </c>
      <c r="AD11" s="60" t="str">
        <f>IF(AND(M11&lt;&gt;"", M11&lt;&gt;0), N11/$N$505*MATCH(AC11,'Misc Lists'!$K$2:$K$25,0), "")</f>
        <v/>
      </c>
      <c r="AE11" s="90" t="str">
        <f t="shared" si="6"/>
        <v/>
      </c>
      <c r="AF11" s="99" t="str">
        <f>IF(AND(M11&lt;&gt;"", M11&lt;&gt;0), N11/$N$505*MATCH(AE11,'Misc Lists'!$L$2:$L$25,0), "")</f>
        <v/>
      </c>
    </row>
    <row r="12" spans="1:32" x14ac:dyDescent="0.5">
      <c r="B12" s="60" t="str">
        <f ca="1"/>
        <v>79410SBQ8</v>
      </c>
      <c r="C12" s="61" t="str">
        <f ca="1"/>
        <v>NJ</v>
      </c>
      <c r="D12" s="60" t="str">
        <f ca="1"/>
        <v>SALEM CNTY N J      POLLUTN CTL FING    02.25000% 06/01/2029AUTH POLLUTN CTL REVREF BDS ATLANTIC</v>
      </c>
      <c r="E12" s="61" t="str">
        <f ca="1"/>
        <v>Muni</v>
      </c>
      <c r="F12" s="62">
        <f ca="1"/>
        <v>2.25</v>
      </c>
      <c r="G12" s="63">
        <f ca="1"/>
        <v>47270</v>
      </c>
      <c r="H12" s="61" t="str">
        <f ca="1"/>
        <v>A2</v>
      </c>
      <c r="I12" s="61" t="str">
        <f ca="1"/>
        <v>A</v>
      </c>
      <c r="J12" s="64">
        <f ca="1"/>
        <v>93.480999999999995</v>
      </c>
      <c r="K12" s="17">
        <f ca="1"/>
        <v>3.9159999999999999</v>
      </c>
      <c r="L12" s="18" t="str">
        <f ca="1"/>
        <v>15(15)</v>
      </c>
      <c r="M12" s="83">
        <v>75</v>
      </c>
      <c r="N12" s="84">
        <f t="shared" ca="1" si="7"/>
        <v>70110.75</v>
      </c>
      <c r="O12" s="20">
        <f t="shared" ca="1" si="8"/>
        <v>7.0591129696698993E-2</v>
      </c>
      <c r="P12" s="64">
        <f t="shared" ca="1" si="9"/>
        <v>22.5</v>
      </c>
      <c r="Q12" s="85">
        <f t="shared" ca="1" si="10"/>
        <v>45791.491364930553</v>
      </c>
      <c r="R12" s="86">
        <f t="shared" ca="1" si="11"/>
        <v>4</v>
      </c>
      <c r="S12" s="86">
        <f t="shared" ca="1" si="12"/>
        <v>3.769563163297132</v>
      </c>
      <c r="T12" s="104">
        <f t="shared" ca="1" si="13"/>
        <v>4.0108056442425266E-2</v>
      </c>
      <c r="U12" s="19">
        <f ca="1">IF(AND(M12&lt;&gt;"",M12&lt;&gt;0), IF(E12 = "Muni", T12, IF(E12="Corp", T12*(1 -'Investor Input'!$C$4-'Investor Input'!$C$5), T12*(1 -'Investor Input'!$C$4))), T12)</f>
        <v>4.0108056442425266E-2</v>
      </c>
      <c r="V12" s="84">
        <f t="shared" ca="1" si="14"/>
        <v>74706.677022141404</v>
      </c>
      <c r="W12" s="84">
        <f t="shared" ca="1" si="0"/>
        <v>4595.9270221414044</v>
      </c>
      <c r="X12" s="21">
        <f t="shared" ca="1" si="1"/>
        <v>6.5552387075325888E-2</v>
      </c>
      <c r="Y12" s="60">
        <f t="shared" ca="1" si="2"/>
        <v>6</v>
      </c>
      <c r="Z12" s="60">
        <f t="shared" ca="1" si="3"/>
        <v>12</v>
      </c>
      <c r="AA12" s="64">
        <f t="shared" ca="1" si="4"/>
        <v>843.75</v>
      </c>
      <c r="AB12" s="64">
        <f ca="1">IF(AND(AA12&lt;&gt;"",AA12&lt;&gt;0), IF(E12="Muni", AA12, IF(E12 = "Corp", (1-'Investor Input'!$C$4-'Investor Input'!$C$5)*AA12, (1-'Investor Input'!$C$4)*AA12)), AA12)</f>
        <v>843.75</v>
      </c>
      <c r="AC12" s="94" t="str">
        <f t="shared" ca="1" si="5"/>
        <v>A2</v>
      </c>
      <c r="AD12" s="60">
        <f ca="1">IF(AND(M12&lt;&gt;"", M12&lt;&gt;0), N12/$N$505*MATCH(AC12,'Misc Lists'!$K$2:$K$25,0), "")</f>
        <v>0.49413790787689293</v>
      </c>
      <c r="AE12" s="90" t="str">
        <f t="shared" ca="1" si="6"/>
        <v>A</v>
      </c>
      <c r="AF12" s="99">
        <f ca="1">IF(AND(M12&lt;&gt;"", M12&lt;&gt;0), N12/$N$505*MATCH(AE12,'Misc Lists'!$L$2:$L$25,0), "")</f>
        <v>0.49413790787689293</v>
      </c>
    </row>
    <row r="13" spans="1:32" x14ac:dyDescent="0.5">
      <c r="B13" s="60" t="str">
        <f ca="1"/>
        <v>280353CZ4</v>
      </c>
      <c r="C13" s="61" t="str">
        <f ca="1"/>
        <v>NJ</v>
      </c>
      <c r="D13" s="60" t="str">
        <f ca="1"/>
        <v>EDGEWATER PARK TWP NJ BRD ED SCH BDS    02.12500% 07/15/2029SER. 2016</v>
      </c>
      <c r="E13" s="61" t="str">
        <f ca="1"/>
        <v>Muni</v>
      </c>
      <c r="F13" s="62">
        <f ca="1"/>
        <v>2.125</v>
      </c>
      <c r="G13" s="63">
        <f ca="1"/>
        <v>47314</v>
      </c>
      <c r="H13" s="61" t="str">
        <f ca="1"/>
        <v>A2</v>
      </c>
      <c r="I13" s="61" t="str">
        <f ca="1"/>
        <v>AA</v>
      </c>
      <c r="J13" s="64">
        <f ca="1"/>
        <v>92.823999999999998</v>
      </c>
      <c r="K13" s="17">
        <f ca="1"/>
        <v>3.9129999999999998</v>
      </c>
      <c r="L13" s="18" t="str">
        <f ca="1"/>
        <v>40(10)</v>
      </c>
      <c r="M13" s="83">
        <v>50</v>
      </c>
      <c r="N13" s="84">
        <f t="shared" ca="1" si="7"/>
        <v>46412</v>
      </c>
      <c r="O13" s="20">
        <f t="shared" ca="1" si="8"/>
        <v>4.6730002338916554E-2</v>
      </c>
      <c r="P13" s="64">
        <f t="shared" ca="1" si="9"/>
        <v>21.25</v>
      </c>
      <c r="Q13" s="85">
        <f t="shared" ca="1" si="10"/>
        <v>45791.491364930553</v>
      </c>
      <c r="R13" s="86">
        <f t="shared" ca="1" si="11"/>
        <v>4</v>
      </c>
      <c r="S13" s="86">
        <f t="shared" ca="1" si="12"/>
        <v>3.8995766239983118</v>
      </c>
      <c r="T13" s="104">
        <f t="shared" ca="1" si="13"/>
        <v>4.0105369241172542E-2</v>
      </c>
      <c r="U13" s="19">
        <f ca="1">IF(AND(M13&lt;&gt;"",M13&lt;&gt;0), IF(E13 = "Muni", T13, IF(E13="Corp", T13*(1 -'Investor Input'!$C$4-'Investor Input'!$C$5), T13*(1 -'Investor Input'!$C$4))), T13)</f>
        <v>4.0105369241172542E-2</v>
      </c>
      <c r="V13" s="84">
        <f t="shared" ca="1" si="14"/>
        <v>49790.84242788831</v>
      </c>
      <c r="W13" s="84">
        <f t="shared" ca="1" si="0"/>
        <v>3378.8424278883103</v>
      </c>
      <c r="X13" s="21">
        <f t="shared" ca="1" si="1"/>
        <v>7.2801052053096407E-2</v>
      </c>
      <c r="Y13" s="60">
        <f t="shared" ca="1" si="2"/>
        <v>7</v>
      </c>
      <c r="Z13" s="60">
        <f t="shared" ca="1" si="3"/>
        <v>1</v>
      </c>
      <c r="AA13" s="64">
        <f t="shared" ca="1" si="4"/>
        <v>531.25</v>
      </c>
      <c r="AB13" s="64">
        <f ca="1">IF(AND(AA13&lt;&gt;"",AA13&lt;&gt;0), IF(E13="Muni", AA13, IF(E13 = "Corp", (1-'Investor Input'!$C$4-'Investor Input'!$C$5)*AA13, (1-'Investor Input'!$C$4)*AA13)), AA13)</f>
        <v>531.25</v>
      </c>
      <c r="AC13" s="94" t="str">
        <f t="shared" ca="1" si="5"/>
        <v>A2</v>
      </c>
      <c r="AD13" s="60">
        <f ca="1">IF(AND(M13&lt;&gt;"", M13&lt;&gt;0), N13/$N$505*MATCH(AC13,'Misc Lists'!$K$2:$K$25,0), "")</f>
        <v>0.32711001637241588</v>
      </c>
      <c r="AE13" s="90" t="str">
        <f t="shared" ca="1" si="6"/>
        <v>AA</v>
      </c>
      <c r="AF13" s="99">
        <f ca="1">IF(AND(M13&lt;&gt;"", M13&lt;&gt;0), N13/$N$505*MATCH(AE13,'Misc Lists'!$L$2:$L$25,0), "")</f>
        <v>0.18692000935566622</v>
      </c>
    </row>
    <row r="14" spans="1:32" hidden="1" x14ac:dyDescent="0.5">
      <c r="B14" s="60" t="str">
        <f ca="1"/>
        <v>888808HE5</v>
      </c>
      <c r="C14" s="61" t="str">
        <f ca="1"/>
        <v>NJ</v>
      </c>
      <c r="D14" s="60" t="str">
        <f ca="1"/>
        <v>TOBACCO SETTLEMENT  FING CORP N J       05.00000% 06/01/2029SETTLEMENT BDS SER. 2018 A</v>
      </c>
      <c r="E14" s="61" t="str">
        <f ca="1"/>
        <v>Muni</v>
      </c>
      <c r="F14" s="62">
        <f ca="1"/>
        <v>5</v>
      </c>
      <c r="G14" s="63">
        <f ca="1"/>
        <v>47270</v>
      </c>
      <c r="H14" s="61" t="str">
        <f ca="1"/>
        <v>--</v>
      </c>
      <c r="I14" s="61" t="str">
        <f ca="1"/>
        <v>A</v>
      </c>
      <c r="J14" s="64">
        <f ca="1"/>
        <v>104.27</v>
      </c>
      <c r="K14" s="17">
        <f ca="1"/>
        <v>3.907</v>
      </c>
      <c r="L14" s="18" t="str">
        <f ca="1"/>
        <v>25(5)</v>
      </c>
      <c r="M14" s="83"/>
      <c r="N14" s="84" t="str">
        <f t="shared" si="7"/>
        <v/>
      </c>
      <c r="O14" s="20" t="str">
        <f t="shared" si="8"/>
        <v/>
      </c>
      <c r="P14" s="64" t="str">
        <f t="shared" si="9"/>
        <v/>
      </c>
      <c r="Q14" s="85" t="str">
        <f t="shared" ca="1" si="10"/>
        <v/>
      </c>
      <c r="R14" s="86" t="str">
        <f t="shared" si="11"/>
        <v/>
      </c>
      <c r="S14" s="86" t="str">
        <f t="shared" si="12"/>
        <v/>
      </c>
      <c r="T14" s="104" t="str">
        <f t="shared" si="13"/>
        <v/>
      </c>
      <c r="U14" s="19" t="str">
        <f>IF(AND(M14&lt;&gt;"",M14&lt;&gt;0), IF(E14 = "Muni", T14, IF(E14="Corp", T14*(1 -'Investor Input'!$C$4-'Investor Input'!$C$5), T14*(1 -'Investor Input'!$C$4))), T14)</f>
        <v/>
      </c>
      <c r="V14" s="84" t="str">
        <f t="shared" si="14"/>
        <v/>
      </c>
      <c r="W14" s="84" t="str">
        <f t="shared" si="0"/>
        <v/>
      </c>
      <c r="X14" s="21" t="str">
        <f t="shared" si="1"/>
        <v/>
      </c>
      <c r="Y14" s="60" t="str">
        <f t="shared" si="2"/>
        <v/>
      </c>
      <c r="Z14" s="60" t="str">
        <f t="shared" si="3"/>
        <v/>
      </c>
      <c r="AA14" s="64" t="str">
        <f t="shared" si="4"/>
        <v/>
      </c>
      <c r="AB14" s="64" t="str">
        <f>IF(AND(AA14&lt;&gt;"",AA14&lt;&gt;0), IF(E14="Muni", AA14, IF(E14 = "Corp", (1-'Investor Input'!$C$4-'Investor Input'!$C$5)*AA14, (1-'Investor Input'!$C$4)*AA14)), AA14)</f>
        <v/>
      </c>
      <c r="AC14" s="94" t="str">
        <f t="shared" si="5"/>
        <v/>
      </c>
      <c r="AD14" s="60" t="str">
        <f>IF(AND(M14&lt;&gt;"", M14&lt;&gt;0), N14/$N$505*MATCH(AC14,'Misc Lists'!$K$2:$K$25,0), "")</f>
        <v/>
      </c>
      <c r="AE14" s="90" t="str">
        <f t="shared" si="6"/>
        <v/>
      </c>
      <c r="AF14" s="99" t="str">
        <f>IF(AND(M14&lt;&gt;"", M14&lt;&gt;0), N14/$N$505*MATCH(AE14,'Misc Lists'!$L$2:$L$25,0), "")</f>
        <v/>
      </c>
    </row>
    <row r="15" spans="1:32" x14ac:dyDescent="0.5">
      <c r="B15" s="60" t="str">
        <f ca="1"/>
        <v>908726CL4</v>
      </c>
      <c r="C15" s="61" t="str">
        <f ca="1"/>
        <v>NJ</v>
      </c>
      <c r="D15" s="60" t="str">
        <f ca="1"/>
        <v>UNION TWP NJ UN CNTYGO IMPT AND SWR UTIL02.00000% 01/15/2030BDS SER. 2020</v>
      </c>
      <c r="E15" s="61" t="str">
        <f ca="1"/>
        <v>Muni</v>
      </c>
      <c r="F15" s="62">
        <f ca="1"/>
        <v>2</v>
      </c>
      <c r="G15" s="63">
        <f ca="1"/>
        <v>47498</v>
      </c>
      <c r="H15" s="61" t="str">
        <f ca="1"/>
        <v>--</v>
      </c>
      <c r="I15" s="61" t="str">
        <f ca="1"/>
        <v>AA</v>
      </c>
      <c r="J15" s="64">
        <f ca="1"/>
        <v>91.584999999999994</v>
      </c>
      <c r="K15" s="17">
        <f ca="1"/>
        <v>3.9</v>
      </c>
      <c r="L15" s="18" t="str">
        <f ca="1"/>
        <v>15(15)</v>
      </c>
      <c r="M15" s="83">
        <v>50</v>
      </c>
      <c r="N15" s="84">
        <f t="shared" ca="1" si="7"/>
        <v>45792.499999999993</v>
      </c>
      <c r="O15" s="20">
        <f t="shared" ca="1" si="8"/>
        <v>4.6106257694235028E-2</v>
      </c>
      <c r="P15" s="64">
        <f t="shared" ca="1" si="9"/>
        <v>20</v>
      </c>
      <c r="Q15" s="85">
        <f t="shared" ca="1" si="10"/>
        <v>45791.491364930553</v>
      </c>
      <c r="R15" s="86">
        <f t="shared" ca="1" si="11"/>
        <v>5</v>
      </c>
      <c r="S15" s="86">
        <f t="shared" ca="1" si="12"/>
        <v>4.3550820206940015</v>
      </c>
      <c r="T15" s="104">
        <f t="shared" ca="1" si="13"/>
        <v>3.9927045286735664E-2</v>
      </c>
      <c r="U15" s="19">
        <f ca="1">IF(AND(M15&lt;&gt;"",M15&lt;&gt;0), IF(E15 = "Muni", T15, IF(E15="Corp", T15*(1 -'Investor Input'!$C$4-'Investor Input'!$C$5), T15*(1 -'Investor Input'!$C$4))), T15)</f>
        <v>3.9927045286735664E-2</v>
      </c>
      <c r="V15" s="84">
        <f t="shared" ca="1" si="14"/>
        <v>49780.820180568626</v>
      </c>
      <c r="W15" s="84">
        <f t="shared" ca="1" si="0"/>
        <v>3988.3201805686331</v>
      </c>
      <c r="X15" s="21">
        <f t="shared" ca="1" si="1"/>
        <v>8.7095489011707897E-2</v>
      </c>
      <c r="Y15" s="60">
        <f t="shared" ca="1" si="2"/>
        <v>1</v>
      </c>
      <c r="Z15" s="60">
        <f t="shared" ca="1" si="3"/>
        <v>7</v>
      </c>
      <c r="AA15" s="64">
        <f t="shared" ca="1" si="4"/>
        <v>500</v>
      </c>
      <c r="AB15" s="64">
        <f ca="1">IF(AND(AA15&lt;&gt;"",AA15&lt;&gt;0), IF(E15="Muni", AA15, IF(E15 = "Corp", (1-'Investor Input'!$C$4-'Investor Input'!$C$5)*AA15, (1-'Investor Input'!$C$4)*AA15)), AA15)</f>
        <v>500</v>
      </c>
      <c r="AC15" s="94" t="str">
        <f t="shared" ca="1" si="5"/>
        <v>--</v>
      </c>
      <c r="AD15" s="60">
        <f ca="1">IF(AND(M15&lt;&gt;"", M15&lt;&gt;0), N15/$N$505*MATCH(AC15,'Misc Lists'!$K$2:$K$25,0), "")</f>
        <v>1.0604439269674057</v>
      </c>
      <c r="AE15" s="90" t="str">
        <f t="shared" ca="1" si="6"/>
        <v>AA</v>
      </c>
      <c r="AF15" s="99">
        <f ca="1">IF(AND(M15&lt;&gt;"", M15&lt;&gt;0), N15/$N$505*MATCH(AE15,'Misc Lists'!$L$2:$L$25,0), "")</f>
        <v>0.18442503077694011</v>
      </c>
    </row>
    <row r="16" spans="1:32" hidden="1" x14ac:dyDescent="0.5">
      <c r="B16" s="60" t="str">
        <f ca="1"/>
        <v>436272GC6</v>
      </c>
      <c r="C16" s="61" t="str">
        <f ca="1"/>
        <v>NJ</v>
      </c>
      <c r="D16" s="60" t="str">
        <f ca="1"/>
        <v>HOLMDEL TWP N J GEN IMPT BDS CNTY OF    02.00000% 05/01/2029MONMOUTH SER. 2019</v>
      </c>
      <c r="E16" s="61" t="str">
        <f ca="1"/>
        <v>Muni</v>
      </c>
      <c r="F16" s="62">
        <f ca="1"/>
        <v>2</v>
      </c>
      <c r="G16" s="63">
        <f ca="1"/>
        <v>47239</v>
      </c>
      <c r="H16" s="61" t="str">
        <f ca="1"/>
        <v>AAA</v>
      </c>
      <c r="I16" s="61" t="str">
        <f ca="1"/>
        <v>--</v>
      </c>
      <c r="J16" s="64">
        <f ca="1"/>
        <v>92.804000000000002</v>
      </c>
      <c r="K16" s="17">
        <f ca="1"/>
        <v>3.871</v>
      </c>
      <c r="L16" s="18" t="str">
        <f ca="1"/>
        <v>10(10)</v>
      </c>
      <c r="M16" s="83"/>
      <c r="N16" s="84" t="str">
        <f t="shared" si="7"/>
        <v/>
      </c>
      <c r="O16" s="20" t="str">
        <f t="shared" si="8"/>
        <v/>
      </c>
      <c r="P16" s="64" t="str">
        <f t="shared" si="9"/>
        <v/>
      </c>
      <c r="Q16" s="85" t="str">
        <f t="shared" ca="1" si="10"/>
        <v/>
      </c>
      <c r="R16" s="86" t="str">
        <f t="shared" si="11"/>
        <v/>
      </c>
      <c r="S16" s="86" t="str">
        <f t="shared" si="12"/>
        <v/>
      </c>
      <c r="T16" s="104" t="str">
        <f t="shared" si="13"/>
        <v/>
      </c>
      <c r="U16" s="19" t="str">
        <f>IF(AND(M16&lt;&gt;"",M16&lt;&gt;0), IF(E16 = "Muni", T16, IF(E16="Corp", T16*(1 -'Investor Input'!$C$4-'Investor Input'!$C$5), T16*(1 -'Investor Input'!$C$4))), T16)</f>
        <v/>
      </c>
      <c r="V16" s="84" t="str">
        <f t="shared" si="14"/>
        <v/>
      </c>
      <c r="W16" s="84" t="str">
        <f t="shared" si="0"/>
        <v/>
      </c>
      <c r="X16" s="21" t="str">
        <f t="shared" si="1"/>
        <v/>
      </c>
      <c r="Y16" s="60" t="str">
        <f t="shared" si="2"/>
        <v/>
      </c>
      <c r="Z16" s="60" t="str">
        <f t="shared" si="3"/>
        <v/>
      </c>
      <c r="AA16" s="64" t="str">
        <f t="shared" si="4"/>
        <v/>
      </c>
      <c r="AB16" s="64" t="str">
        <f>IF(AND(AA16&lt;&gt;"",AA16&lt;&gt;0), IF(E16="Muni", AA16, IF(E16 = "Corp", (1-'Investor Input'!$C$4-'Investor Input'!$C$5)*AA16, (1-'Investor Input'!$C$4)*AA16)), AA16)</f>
        <v/>
      </c>
      <c r="AC16" s="94" t="str">
        <f t="shared" si="5"/>
        <v/>
      </c>
      <c r="AD16" s="60" t="str">
        <f>IF(AND(M16&lt;&gt;"", M16&lt;&gt;0), N16/$N$505*MATCH(AC16,'Misc Lists'!$K$2:$K$25,0), "")</f>
        <v/>
      </c>
      <c r="AE16" s="90" t="str">
        <f t="shared" si="6"/>
        <v/>
      </c>
      <c r="AF16" s="99" t="str">
        <f>IF(AND(M16&lt;&gt;"", M16&lt;&gt;0), N16/$N$505*MATCH(AE16,'Misc Lists'!$L$2:$L$25,0), "")</f>
        <v/>
      </c>
    </row>
    <row r="17" spans="2:32" hidden="1" x14ac:dyDescent="0.5">
      <c r="B17" s="60" t="str">
        <f ca="1"/>
        <v>715382L62</v>
      </c>
      <c r="C17" s="61" t="str">
        <f ca="1"/>
        <v>NJ</v>
      </c>
      <c r="D17" s="60" t="str">
        <f ca="1"/>
        <v>PERTH AMBOY N J GO  IMPT WTR WASTEWTR   02.00000% 05/01/2028UTIL BDS</v>
      </c>
      <c r="E17" s="61" t="str">
        <f ca="1"/>
        <v>Muni</v>
      </c>
      <c r="F17" s="62">
        <f ca="1"/>
        <v>2</v>
      </c>
      <c r="G17" s="63">
        <f ca="1"/>
        <v>46874</v>
      </c>
      <c r="H17" s="61" t="str">
        <f ca="1"/>
        <v>--</v>
      </c>
      <c r="I17" s="61" t="str">
        <f ca="1"/>
        <v>AA</v>
      </c>
      <c r="J17" s="64">
        <f ca="1"/>
        <v>94.424999999999997</v>
      </c>
      <c r="K17" s="17">
        <f ca="1"/>
        <v>3.867</v>
      </c>
      <c r="L17" s="18" t="str">
        <f ca="1"/>
        <v>15(15)</v>
      </c>
      <c r="M17" s="83"/>
      <c r="N17" s="84" t="str">
        <f t="shared" si="7"/>
        <v/>
      </c>
      <c r="O17" s="20" t="str">
        <f t="shared" si="8"/>
        <v/>
      </c>
      <c r="P17" s="64" t="str">
        <f t="shared" si="9"/>
        <v/>
      </c>
      <c r="Q17" s="85" t="str">
        <f t="shared" ca="1" si="10"/>
        <v/>
      </c>
      <c r="R17" s="86" t="str">
        <f t="shared" si="11"/>
        <v/>
      </c>
      <c r="S17" s="86" t="str">
        <f t="shared" si="12"/>
        <v/>
      </c>
      <c r="T17" s="104" t="str">
        <f t="shared" si="13"/>
        <v/>
      </c>
      <c r="U17" s="19" t="str">
        <f>IF(AND(M17&lt;&gt;"",M17&lt;&gt;0), IF(E17 = "Muni", T17, IF(E17="Corp", T17*(1 -'Investor Input'!$C$4-'Investor Input'!$C$5), T17*(1 -'Investor Input'!$C$4))), T17)</f>
        <v/>
      </c>
      <c r="V17" s="84" t="str">
        <f t="shared" si="14"/>
        <v/>
      </c>
      <c r="W17" s="84" t="str">
        <f t="shared" si="0"/>
        <v/>
      </c>
      <c r="X17" s="21" t="str">
        <f t="shared" si="1"/>
        <v/>
      </c>
      <c r="Y17" s="60" t="str">
        <f t="shared" si="2"/>
        <v/>
      </c>
      <c r="Z17" s="60" t="str">
        <f t="shared" si="3"/>
        <v/>
      </c>
      <c r="AA17" s="64" t="str">
        <f t="shared" si="4"/>
        <v/>
      </c>
      <c r="AB17" s="64" t="str">
        <f>IF(AND(AA17&lt;&gt;"",AA17&lt;&gt;0), IF(E17="Muni", AA17, IF(E17 = "Corp", (1-'Investor Input'!$C$4-'Investor Input'!$C$5)*AA17, (1-'Investor Input'!$C$4)*AA17)), AA17)</f>
        <v/>
      </c>
      <c r="AC17" s="94" t="str">
        <f t="shared" si="5"/>
        <v/>
      </c>
      <c r="AD17" s="60" t="str">
        <f>IF(AND(M17&lt;&gt;"", M17&lt;&gt;0), N17/$N$505*MATCH(AC17,'Misc Lists'!$K$2:$K$25,0), "")</f>
        <v/>
      </c>
      <c r="AE17" s="90" t="str">
        <f t="shared" si="6"/>
        <v/>
      </c>
      <c r="AF17" s="99" t="str">
        <f>IF(AND(M17&lt;&gt;"", M17&lt;&gt;0), N17/$N$505*MATCH(AE17,'Misc Lists'!$L$2:$L$25,0), "")</f>
        <v/>
      </c>
    </row>
    <row r="18" spans="2:32" x14ac:dyDescent="0.5">
      <c r="B18" s="60" t="str">
        <f ca="1"/>
        <v>300471NT2</v>
      </c>
      <c r="C18" s="61" t="str">
        <f ca="1"/>
        <v>NJ</v>
      </c>
      <c r="D18" s="60" t="str">
        <f ca="1"/>
        <v>EVESHAM TWP N J GO  BDS SER.2016        02.12500% 05/01/2029</v>
      </c>
      <c r="E18" s="61" t="str">
        <f ca="1"/>
        <v>Muni</v>
      </c>
      <c r="F18" s="62">
        <f ca="1"/>
        <v>2.125</v>
      </c>
      <c r="G18" s="63">
        <f ca="1"/>
        <v>47239</v>
      </c>
      <c r="H18" s="61" t="str">
        <f ca="1"/>
        <v>AA2</v>
      </c>
      <c r="I18" s="61" t="str">
        <f ca="1"/>
        <v>--</v>
      </c>
      <c r="J18" s="64">
        <f ca="1"/>
        <v>93.352000000000004</v>
      </c>
      <c r="K18" s="17">
        <f ca="1"/>
        <v>3.8530000000000002</v>
      </c>
      <c r="L18" s="18" t="str">
        <f ca="1"/>
        <v>30(10)</v>
      </c>
      <c r="M18" s="83">
        <v>75</v>
      </c>
      <c r="N18" s="84">
        <f t="shared" ca="1" si="7"/>
        <v>70014</v>
      </c>
      <c r="O18" s="20">
        <f t="shared" ca="1" si="8"/>
        <v>7.0493716792142197E-2</v>
      </c>
      <c r="P18" s="64">
        <f t="shared" ca="1" si="9"/>
        <v>21.25</v>
      </c>
      <c r="Q18" s="85">
        <f t="shared" ca="1" si="10"/>
        <v>45791.491364930553</v>
      </c>
      <c r="R18" s="86">
        <f t="shared" ca="1" si="11"/>
        <v>4</v>
      </c>
      <c r="S18" s="86">
        <f t="shared" ca="1" si="12"/>
        <v>3.7417254031082754</v>
      </c>
      <c r="T18" s="104">
        <f t="shared" ca="1" si="13"/>
        <v>3.9532751885097424E-2</v>
      </c>
      <c r="U18" s="19">
        <f ca="1">IF(AND(M18&lt;&gt;"",M18&lt;&gt;0), IF(E18 = "Muni", T18, IF(E18="Corp", T18*(1 -'Investor Input'!$C$4-'Investor Input'!$C$5), T18*(1 -'Investor Input'!$C$4))), T18)</f>
        <v>3.9532751885097424E-2</v>
      </c>
      <c r="V18" s="84">
        <f t="shared" ca="1" si="14"/>
        <v>74695.477985239617</v>
      </c>
      <c r="W18" s="84">
        <f t="shared" ca="1" si="0"/>
        <v>4681.4779852396168</v>
      </c>
      <c r="X18" s="21">
        <f t="shared" ca="1" si="1"/>
        <v>6.6864883955203486E-2</v>
      </c>
      <c r="Y18" s="60">
        <f t="shared" ca="1" si="2"/>
        <v>5</v>
      </c>
      <c r="Z18" s="60">
        <f t="shared" ca="1" si="3"/>
        <v>11</v>
      </c>
      <c r="AA18" s="64">
        <f t="shared" ca="1" si="4"/>
        <v>796.875</v>
      </c>
      <c r="AB18" s="64">
        <f ca="1">IF(AND(AA18&lt;&gt;"",AA18&lt;&gt;0), IF(E18="Muni", AA18, IF(E18 = "Corp", (1-'Investor Input'!$C$4-'Investor Input'!$C$5)*AA18, (1-'Investor Input'!$C$4)*AA18)), AA18)</f>
        <v>796.875</v>
      </c>
      <c r="AC18" s="94" t="str">
        <f t="shared" ca="1" si="5"/>
        <v>AA2</v>
      </c>
      <c r="AD18" s="60">
        <f ca="1">IF(AND(M18&lt;&gt;"", M18&lt;&gt;0), N18/$N$505*MATCH(AC18,'Misc Lists'!$K$2:$K$25,0), "")</f>
        <v>0.28197486716856879</v>
      </c>
      <c r="AE18" s="90" t="str">
        <f t="shared" ca="1" si="6"/>
        <v>--</v>
      </c>
      <c r="AF18" s="99">
        <f ca="1">IF(AND(M18&lt;&gt;"", M18&lt;&gt;0), N18/$N$505*MATCH(AE18,'Misc Lists'!$L$2:$L$25,0), "")</f>
        <v>1.6213554862192705</v>
      </c>
    </row>
    <row r="19" spans="2:32" x14ac:dyDescent="0.5">
      <c r="B19" s="60" t="str">
        <f ca="1"/>
        <v>954898EE8</v>
      </c>
      <c r="C19" s="61" t="str">
        <f ca="1"/>
        <v>NJ</v>
      </c>
      <c r="D19" s="60" t="str">
        <f ca="1"/>
        <v>WEST ORANGE TWP N J GO BDS SER.2016     02.00000% 02/01/2028</v>
      </c>
      <c r="E19" s="61" t="str">
        <f ca="1"/>
        <v>Muni</v>
      </c>
      <c r="F19" s="62">
        <f ca="1"/>
        <v>2</v>
      </c>
      <c r="G19" s="63">
        <f ca="1"/>
        <v>46784</v>
      </c>
      <c r="H19" s="61" t="str">
        <f ca="1"/>
        <v>--</v>
      </c>
      <c r="I19" s="61" t="str">
        <f ca="1"/>
        <v>AA</v>
      </c>
      <c r="J19" s="64">
        <f ca="1"/>
        <v>94.954999999999998</v>
      </c>
      <c r="K19" s="17">
        <f ca="1"/>
        <v>3.823</v>
      </c>
      <c r="L19" s="18" t="str">
        <f ca="1"/>
        <v>10(5)</v>
      </c>
      <c r="M19" s="83">
        <v>75</v>
      </c>
      <c r="N19" s="84">
        <f t="shared" ca="1" si="7"/>
        <v>71216.25</v>
      </c>
      <c r="O19" s="20">
        <f t="shared" ca="1" si="8"/>
        <v>7.1704204280549563E-2</v>
      </c>
      <c r="P19" s="64">
        <f t="shared" ca="1" si="9"/>
        <v>20</v>
      </c>
      <c r="Q19" s="85">
        <f t="shared" ca="1" si="10"/>
        <v>45791.491364930553</v>
      </c>
      <c r="R19" s="86">
        <f t="shared" ca="1" si="11"/>
        <v>3</v>
      </c>
      <c r="S19" s="86">
        <f t="shared" ca="1" si="12"/>
        <v>2.588752231046838</v>
      </c>
      <c r="T19" s="104">
        <f t="shared" ca="1" si="13"/>
        <v>3.9785867686446486E-2</v>
      </c>
      <c r="U19" s="19">
        <f ca="1">IF(AND(M19&lt;&gt;"",M19&lt;&gt;0), IF(E19 = "Muni", T19, IF(E19="Corp", T19*(1 -'Investor Input'!$C$4-'Investor Input'!$C$5), T19*(1 -'Investor Input'!$C$4))), T19)</f>
        <v>3.9785867686446486E-2</v>
      </c>
      <c r="V19" s="84">
        <f t="shared" ca="1" si="14"/>
        <v>74684.889301727904</v>
      </c>
      <c r="W19" s="84">
        <f t="shared" ca="1" si="0"/>
        <v>3468.6393017279042</v>
      </c>
      <c r="X19" s="21">
        <f t="shared" ca="1" si="1"/>
        <v>4.870572800067266E-2</v>
      </c>
      <c r="Y19" s="60">
        <f t="shared" ca="1" si="2"/>
        <v>2</v>
      </c>
      <c r="Z19" s="60">
        <f t="shared" ca="1" si="3"/>
        <v>8</v>
      </c>
      <c r="AA19" s="64">
        <f t="shared" ca="1" si="4"/>
        <v>750</v>
      </c>
      <c r="AB19" s="64">
        <f ca="1">IF(AND(AA19&lt;&gt;"",AA19&lt;&gt;0), IF(E19="Muni", AA19, IF(E19 = "Corp", (1-'Investor Input'!$C$4-'Investor Input'!$C$5)*AA19, (1-'Investor Input'!$C$4)*AA19)), AA19)</f>
        <v>750</v>
      </c>
      <c r="AC19" s="94" t="str">
        <f t="shared" ca="1" si="5"/>
        <v>--</v>
      </c>
      <c r="AD19" s="60">
        <f ca="1">IF(AND(M19&lt;&gt;"", M19&lt;&gt;0), N19/$N$505*MATCH(AC19,'Misc Lists'!$K$2:$K$25,0), "")</f>
        <v>1.6491966984526401</v>
      </c>
      <c r="AE19" s="90" t="str">
        <f t="shared" ca="1" si="6"/>
        <v>AA</v>
      </c>
      <c r="AF19" s="99">
        <f ca="1">IF(AND(M19&lt;&gt;"", M19&lt;&gt;0), N19/$N$505*MATCH(AE19,'Misc Lists'!$L$2:$L$25,0), "")</f>
        <v>0.28681681712219825</v>
      </c>
    </row>
    <row r="20" spans="2:32" x14ac:dyDescent="0.5">
      <c r="B20" s="60" t="str">
        <f ca="1"/>
        <v>948560RA7</v>
      </c>
      <c r="C20" s="61" t="str">
        <f ca="1"/>
        <v>NJ</v>
      </c>
      <c r="D20" s="60" t="str">
        <f ca="1"/>
        <v>WEEHAWKEN TWP N J GOBDS SER. 2021 A-1   02.00000% 02/01/2029</v>
      </c>
      <c r="E20" s="61" t="str">
        <f ca="1"/>
        <v>Muni</v>
      </c>
      <c r="F20" s="62">
        <f ca="1"/>
        <v>2</v>
      </c>
      <c r="G20" s="63">
        <f ca="1"/>
        <v>47150</v>
      </c>
      <c r="H20" s="61" t="str">
        <f ca="1"/>
        <v>BAA3</v>
      </c>
      <c r="I20" s="61" t="str">
        <f ca="1"/>
        <v>AA</v>
      </c>
      <c r="J20" s="64">
        <f ca="1"/>
        <v>93.4</v>
      </c>
      <c r="K20" s="17">
        <f ca="1"/>
        <v>3.8140000000000001</v>
      </c>
      <c r="L20" s="18" t="str">
        <f ca="1"/>
        <v>5(5)</v>
      </c>
      <c r="M20" s="83">
        <v>50</v>
      </c>
      <c r="N20" s="84">
        <f t="shared" ca="1" si="7"/>
        <v>46700</v>
      </c>
      <c r="O20" s="20">
        <f t="shared" ca="1" si="8"/>
        <v>4.7019975636201909E-2</v>
      </c>
      <c r="P20" s="64">
        <f t="shared" ca="1" si="9"/>
        <v>20</v>
      </c>
      <c r="Q20" s="85">
        <f t="shared" ca="1" si="10"/>
        <v>45791.491364930553</v>
      </c>
      <c r="R20" s="86">
        <f t="shared" ca="1" si="11"/>
        <v>4</v>
      </c>
      <c r="S20" s="86">
        <f t="shared" ca="1" si="12"/>
        <v>3.505226658059533</v>
      </c>
      <c r="T20" s="104">
        <f t="shared" ca="1" si="13"/>
        <v>3.9264978816610424E-2</v>
      </c>
      <c r="U20" s="19">
        <f ca="1">IF(AND(M20&lt;&gt;"",M20&lt;&gt;0), IF(E20 = "Muni", T20, IF(E20="Corp", T20*(1 -'Investor Input'!$C$4-'Investor Input'!$C$5), T20*(1 -'Investor Input'!$C$4))), T20)</f>
        <v>3.9264978816610424E-2</v>
      </c>
      <c r="V20" s="84">
        <f t="shared" ca="1" si="14"/>
        <v>49792.298879527269</v>
      </c>
      <c r="W20" s="84">
        <f t="shared" ca="1" si="0"/>
        <v>3092.2988795272686</v>
      </c>
      <c r="X20" s="21">
        <f t="shared" ca="1" si="1"/>
        <v>6.6216250096943652E-2</v>
      </c>
      <c r="Y20" s="60">
        <f t="shared" ca="1" si="2"/>
        <v>2</v>
      </c>
      <c r="Z20" s="60">
        <f t="shared" ca="1" si="3"/>
        <v>8</v>
      </c>
      <c r="AA20" s="64">
        <f t="shared" ca="1" si="4"/>
        <v>500</v>
      </c>
      <c r="AB20" s="64">
        <f ca="1">IF(AND(AA20&lt;&gt;"",AA20&lt;&gt;0), IF(E20="Muni", AA20, IF(E20 = "Corp", (1-'Investor Input'!$C$4-'Investor Input'!$C$5)*AA20, (1-'Investor Input'!$C$4)*AA20)), AA20)</f>
        <v>500</v>
      </c>
      <c r="AC20" s="94" t="str">
        <f t="shared" ca="1" si="5"/>
        <v>BAA3</v>
      </c>
      <c r="AD20" s="60">
        <f ca="1">IF(AND(M20&lt;&gt;"", M20&lt;&gt;0), N20/$N$505*MATCH(AC20,'Misc Lists'!$K$2:$K$25,0), "")</f>
        <v>0.51721973199822102</v>
      </c>
      <c r="AE20" s="90" t="str">
        <f t="shared" ca="1" si="6"/>
        <v>AA</v>
      </c>
      <c r="AF20" s="99">
        <f ca="1">IF(AND(M20&lt;&gt;"", M20&lt;&gt;0), N20/$N$505*MATCH(AE20,'Misc Lists'!$L$2:$L$25,0), "")</f>
        <v>0.18807990254480764</v>
      </c>
    </row>
    <row r="21" spans="2:32" outlineLevel="1" x14ac:dyDescent="0.5">
      <c r="B21" s="60" t="str">
        <f ca="1"/>
        <v>614148JE5</v>
      </c>
      <c r="C21" s="61" t="str">
        <f ca="1"/>
        <v>NJ</v>
      </c>
      <c r="D21" s="60" t="str">
        <f ca="1"/>
        <v>MONTGOMERY TWP N J  GEN IMPT AND SWR    02.50000% 09/01/2029UTIL BDS SER. 2017A</v>
      </c>
      <c r="E21" s="61" t="str">
        <f ca="1"/>
        <v>Muni</v>
      </c>
      <c r="F21" s="62">
        <f ca="1"/>
        <v>2.5</v>
      </c>
      <c r="G21" s="63">
        <f ca="1"/>
        <v>47362</v>
      </c>
      <c r="H21" s="61" t="str">
        <f ca="1"/>
        <v>AAA</v>
      </c>
      <c r="I21" s="61" t="str">
        <f ca="1"/>
        <v>--</v>
      </c>
      <c r="J21" s="64">
        <f ca="1"/>
        <v>94.629000000000005</v>
      </c>
      <c r="K21" s="17">
        <f ca="1"/>
        <v>3.8</v>
      </c>
      <c r="L21" s="18" t="str">
        <f ca="1"/>
        <v>25(5)</v>
      </c>
      <c r="M21" s="83">
        <v>75</v>
      </c>
      <c r="N21" s="84">
        <f t="shared" ca="1" si="7"/>
        <v>70971.75</v>
      </c>
      <c r="O21" s="20">
        <f t="shared" ca="1" si="8"/>
        <v>7.1458029033375003E-2</v>
      </c>
      <c r="P21" s="64">
        <f t="shared" ca="1" si="9"/>
        <v>25</v>
      </c>
      <c r="Q21" s="85">
        <f t="shared" ca="1" si="10"/>
        <v>45791.491364930553</v>
      </c>
      <c r="R21" s="86">
        <f t="shared" ca="1" si="11"/>
        <v>4</v>
      </c>
      <c r="S21" s="86">
        <f t="shared" ca="1" si="12"/>
        <v>3.9978927776336697</v>
      </c>
      <c r="T21" s="104">
        <f t="shared" ca="1" si="13"/>
        <v>3.8679111136145722E-2</v>
      </c>
      <c r="U21" s="19">
        <f ca="1">IF(AND(M21&lt;&gt;"",M21&lt;&gt;0), IF(E21 = "Muni", T21, IF(E21="Corp", T21*(1 -'Investor Input'!$C$4-'Investor Input'!$C$5), T21*(1 -'Investor Input'!$C$4))), T21)</f>
        <v>3.8679111136145722E-2</v>
      </c>
      <c r="V21" s="84">
        <f t="shared" ca="1" si="14"/>
        <v>74774.809779849485</v>
      </c>
      <c r="W21" s="84">
        <f t="shared" ca="1" si="0"/>
        <v>3803.0597798494855</v>
      </c>
      <c r="X21" s="21">
        <f t="shared" ca="1" si="1"/>
        <v>5.3585543259810915E-2</v>
      </c>
      <c r="Y21" s="60">
        <f t="shared" ca="1" si="2"/>
        <v>9</v>
      </c>
      <c r="Z21" s="60">
        <f t="shared" ca="1" si="3"/>
        <v>3</v>
      </c>
      <c r="AA21" s="64">
        <f t="shared" ca="1" si="4"/>
        <v>937.5</v>
      </c>
      <c r="AB21" s="64">
        <f ca="1">IF(AND(AA21&lt;&gt;"",AA21&lt;&gt;0), IF(E21="Muni", AA21, IF(E21 = "Corp", (1-'Investor Input'!$C$4-'Investor Input'!$C$5)*AA21, (1-'Investor Input'!$C$4)*AA21)), AA21)</f>
        <v>937.5</v>
      </c>
      <c r="AC21" s="94" t="str">
        <f t="shared" ca="1" si="5"/>
        <v>AAA</v>
      </c>
      <c r="AD21" s="60">
        <f ca="1">IF(AND(M21&lt;&gt;"", M21&lt;&gt;0), N21/$N$505*MATCH(AC21,'Misc Lists'!$K$2:$K$25,0), "")</f>
        <v>0.14291605806675001</v>
      </c>
      <c r="AE21" s="90" t="str">
        <f t="shared" ca="1" si="6"/>
        <v>--</v>
      </c>
      <c r="AF21" s="99">
        <f ca="1">IF(AND(M21&lt;&gt;"", M21&lt;&gt;0), N21/$N$505*MATCH(AE21,'Misc Lists'!$L$2:$L$25,0), "")</f>
        <v>1.643534667767625</v>
      </c>
    </row>
    <row r="22" spans="2:32" outlineLevel="1" x14ac:dyDescent="0.5">
      <c r="B22" s="60" t="str">
        <f ca="1"/>
        <v>083763WJ7</v>
      </c>
      <c r="C22" s="61" t="str">
        <f ca="1"/>
        <v>NJ</v>
      </c>
      <c r="D22" s="60" t="str">
        <f ca="1"/>
        <v>BERGEN CNTY N J GO  VOCATIONAL TECHNICAL02.00000% 11/01/2029SCH COLLEGE IMPT BDS</v>
      </c>
      <c r="E22" s="61" t="str">
        <f ca="1"/>
        <v>Muni</v>
      </c>
      <c r="F22" s="62">
        <f ca="1"/>
        <v>2</v>
      </c>
      <c r="G22" s="63">
        <f ca="1"/>
        <v>47423</v>
      </c>
      <c r="H22" s="61" t="str">
        <f ca="1"/>
        <v>AAA</v>
      </c>
      <c r="I22" s="61" t="str">
        <f ca="1"/>
        <v>--</v>
      </c>
      <c r="J22" s="64">
        <f ca="1"/>
        <v>92.311999999999998</v>
      </c>
      <c r="K22" s="17">
        <f ca="1"/>
        <v>3.8</v>
      </c>
      <c r="L22" s="18" t="str">
        <f ca="1"/>
        <v>15(5)</v>
      </c>
      <c r="M22" s="83">
        <v>50</v>
      </c>
      <c r="N22" s="84">
        <f t="shared" ca="1" si="7"/>
        <v>46156</v>
      </c>
      <c r="O22" s="20">
        <f t="shared" ca="1" si="8"/>
        <v>4.6472248296885128E-2</v>
      </c>
      <c r="P22" s="64">
        <f t="shared" ca="1" si="9"/>
        <v>20</v>
      </c>
      <c r="Q22" s="85">
        <f t="shared" ca="1" si="10"/>
        <v>45791.491364930553</v>
      </c>
      <c r="R22" s="86">
        <f t="shared" ca="1" si="11"/>
        <v>4</v>
      </c>
      <c r="S22" s="86">
        <f t="shared" ca="1" si="12"/>
        <v>4.2014106585626063</v>
      </c>
      <c r="T22" s="104">
        <f t="shared" ca="1" si="13"/>
        <v>3.8927403556297063E-2</v>
      </c>
      <c r="U22" s="19">
        <f ca="1">IF(AND(M22&lt;&gt;"",M22&lt;&gt;0), IF(E22 = "Muni", T22, IF(E22="Corp", T22*(1 -'Investor Input'!$C$4-'Investor Input'!$C$5), T22*(1 -'Investor Input'!$C$4))), T22)</f>
        <v>3.8927403556297063E-2</v>
      </c>
      <c r="V22" s="84">
        <f t="shared" ca="1" si="14"/>
        <v>49791.655828374875</v>
      </c>
      <c r="W22" s="84">
        <f t="shared" ca="1" si="0"/>
        <v>3635.6558283748745</v>
      </c>
      <c r="X22" s="21">
        <f t="shared" ca="1" si="1"/>
        <v>7.8768867067659121E-2</v>
      </c>
      <c r="Y22" s="60">
        <f t="shared" ca="1" si="2"/>
        <v>11</v>
      </c>
      <c r="Z22" s="60">
        <f t="shared" ca="1" si="3"/>
        <v>5</v>
      </c>
      <c r="AA22" s="64">
        <f t="shared" ca="1" si="4"/>
        <v>500</v>
      </c>
      <c r="AB22" s="64">
        <f ca="1">IF(AND(AA22&lt;&gt;"",AA22&lt;&gt;0), IF(E22="Muni", AA22, IF(E22 = "Corp", (1-'Investor Input'!$C$4-'Investor Input'!$C$5)*AA22, (1-'Investor Input'!$C$4)*AA22)), AA22)</f>
        <v>500</v>
      </c>
      <c r="AC22" s="94" t="str">
        <f t="shared" ca="1" si="5"/>
        <v>AAA</v>
      </c>
      <c r="AD22" s="60">
        <f ca="1">IF(AND(M22&lt;&gt;"", M22&lt;&gt;0), N22/$N$505*MATCH(AC22,'Misc Lists'!$K$2:$K$25,0), "")</f>
        <v>9.2944496593770257E-2</v>
      </c>
      <c r="AE22" s="90" t="str">
        <f t="shared" ca="1" si="6"/>
        <v>--</v>
      </c>
      <c r="AF22" s="99">
        <f ca="1">IF(AND(M22&lt;&gt;"", M22&lt;&gt;0), N22/$N$505*MATCH(AE22,'Misc Lists'!$L$2:$L$25,0), "")</f>
        <v>1.068861710828358</v>
      </c>
    </row>
    <row r="23" spans="2:32" hidden="1" outlineLevel="1" x14ac:dyDescent="0.5">
      <c r="B23" s="60" t="str">
        <f ca="1"/>
        <v>90634PPZ6</v>
      </c>
      <c r="C23" s="61" t="str">
        <f ca="1"/>
        <v>NJ</v>
      </c>
      <c r="D23" s="60" t="str">
        <f ca="1"/>
        <v>UNION CNTY N J GEN  IMPT VOCATIONAL     02.00000% 03/01/2028TECHNICAL SCH COLL  BDS SER. 2020</v>
      </c>
      <c r="E23" s="61" t="str">
        <f ca="1"/>
        <v>Muni</v>
      </c>
      <c r="F23" s="62">
        <f ca="1"/>
        <v>2</v>
      </c>
      <c r="G23" s="63">
        <f ca="1"/>
        <v>46813</v>
      </c>
      <c r="H23" s="61" t="str">
        <f ca="1"/>
        <v>AAA</v>
      </c>
      <c r="I23" s="61" t="str">
        <f ca="1"/>
        <v>--</v>
      </c>
      <c r="J23" s="64">
        <f ca="1"/>
        <v>94.992999999999995</v>
      </c>
      <c r="K23" s="17">
        <f ca="1"/>
        <v>3.76</v>
      </c>
      <c r="L23" s="18" t="str">
        <f ca="1"/>
        <v>5(5)</v>
      </c>
      <c r="M23" s="83"/>
      <c r="N23" s="84" t="str">
        <f t="shared" si="7"/>
        <v/>
      </c>
      <c r="O23" s="20" t="str">
        <f t="shared" si="8"/>
        <v/>
      </c>
      <c r="P23" s="64" t="str">
        <f t="shared" si="9"/>
        <v/>
      </c>
      <c r="Q23" s="85" t="str">
        <f t="shared" ca="1" si="10"/>
        <v/>
      </c>
      <c r="R23" s="86" t="str">
        <f t="shared" si="11"/>
        <v/>
      </c>
      <c r="S23" s="86" t="str">
        <f t="shared" si="12"/>
        <v/>
      </c>
      <c r="T23" s="104" t="str">
        <f t="shared" si="13"/>
        <v/>
      </c>
      <c r="U23" s="19" t="str">
        <f>IF(AND(M23&lt;&gt;"",M23&lt;&gt;0), IF(E23 = "Muni", T23, IF(E23="Corp", T23*(1 -'Investor Input'!$C$4-'Investor Input'!$C$5), T23*(1 -'Investor Input'!$C$4))), T23)</f>
        <v/>
      </c>
      <c r="V23" s="84" t="str">
        <f t="shared" si="14"/>
        <v/>
      </c>
      <c r="W23" s="84" t="str">
        <f t="shared" si="0"/>
        <v/>
      </c>
      <c r="X23" s="21" t="str">
        <f t="shared" si="1"/>
        <v/>
      </c>
      <c r="Y23" s="60" t="str">
        <f t="shared" si="2"/>
        <v/>
      </c>
      <c r="Z23" s="60" t="str">
        <f t="shared" si="3"/>
        <v/>
      </c>
      <c r="AA23" s="64" t="str">
        <f t="shared" si="4"/>
        <v/>
      </c>
      <c r="AB23" s="64" t="str">
        <f>IF(AND(AA23&lt;&gt;"",AA23&lt;&gt;0), IF(E23="Muni", AA23, IF(E23 = "Corp", (1-'Investor Input'!$C$4-'Investor Input'!$C$5)*AA23, (1-'Investor Input'!$C$4)*AA23)), AA23)</f>
        <v/>
      </c>
      <c r="AC23" s="94" t="str">
        <f t="shared" si="5"/>
        <v/>
      </c>
      <c r="AD23" s="60" t="str">
        <f>IF(AND(M23&lt;&gt;"", M23&lt;&gt;0), N23/$N$505*MATCH(AC23,'Misc Lists'!$K$2:$K$25,0), "")</f>
        <v/>
      </c>
      <c r="AE23" s="90" t="str">
        <f t="shared" si="6"/>
        <v/>
      </c>
      <c r="AF23" s="99" t="str">
        <f>IF(AND(M23&lt;&gt;"", M23&lt;&gt;0), N23/$N$505*MATCH(AE23,'Misc Lists'!$L$2:$L$25,0), "")</f>
        <v/>
      </c>
    </row>
    <row r="24" spans="2:32" outlineLevel="1" x14ac:dyDescent="0.5">
      <c r="B24" s="60" t="str">
        <f ca="1"/>
        <v>90634PKS7</v>
      </c>
      <c r="C24" s="61" t="str">
        <f ca="1"/>
        <v>NJ</v>
      </c>
      <c r="D24" s="60" t="str">
        <f ca="1"/>
        <v>UNION CNTY N J VAR  PURP BDS SER.B      02.00000% 03/01/2029</v>
      </c>
      <c r="E24" s="61" t="str">
        <f ca="1"/>
        <v>Muni</v>
      </c>
      <c r="F24" s="62">
        <f ca="1"/>
        <v>2</v>
      </c>
      <c r="G24" s="63">
        <f ca="1"/>
        <v>47178</v>
      </c>
      <c r="H24" s="61" t="str">
        <f ca="1"/>
        <v>AAA</v>
      </c>
      <c r="I24" s="61" t="str">
        <f ca="1"/>
        <v>AA+</v>
      </c>
      <c r="J24" s="64">
        <f ca="1"/>
        <v>93.477000000000004</v>
      </c>
      <c r="K24" s="17">
        <f ca="1"/>
        <v>3.7570000000000001</v>
      </c>
      <c r="L24" s="18" t="str">
        <f ca="1"/>
        <v>70(10)</v>
      </c>
      <c r="M24" s="83">
        <v>70</v>
      </c>
      <c r="N24" s="84">
        <f t="shared" ca="1" si="7"/>
        <v>65433.9</v>
      </c>
      <c r="O24" s="20">
        <f t="shared" ca="1" si="8"/>
        <v>6.5882235198751013E-2</v>
      </c>
      <c r="P24" s="64">
        <f t="shared" ca="1" si="9"/>
        <v>20</v>
      </c>
      <c r="Q24" s="85">
        <f t="shared" ca="1" si="10"/>
        <v>45791.491364930553</v>
      </c>
      <c r="R24" s="86">
        <f t="shared" ca="1" si="11"/>
        <v>4</v>
      </c>
      <c r="S24" s="86">
        <f t="shared" ca="1" si="12"/>
        <v>3.588189696710697</v>
      </c>
      <c r="T24" s="104">
        <f t="shared" ca="1" si="13"/>
        <v>3.8627451769210515E-2</v>
      </c>
      <c r="U24" s="19">
        <f ca="1">IF(AND(M24&lt;&gt;"",M24&lt;&gt;0), IF(E24 = "Muni", T24, IF(E24="Corp", T24*(1 -'Investor Input'!$C$4-'Investor Input'!$C$5), T24*(1 -'Investor Input'!$C$4))), T24)</f>
        <v>3.8627451769210515E-2</v>
      </c>
      <c r="V24" s="84">
        <f t="shared" ca="1" si="14"/>
        <v>69712.253189543451</v>
      </c>
      <c r="W24" s="84">
        <f t="shared" ca="1" si="0"/>
        <v>4278.3531895434498</v>
      </c>
      <c r="X24" s="21">
        <f t="shared" ca="1" si="1"/>
        <v>6.5384352599240608E-2</v>
      </c>
      <c r="Y24" s="60">
        <f t="shared" ca="1" si="2"/>
        <v>3</v>
      </c>
      <c r="Z24" s="60">
        <f t="shared" ca="1" si="3"/>
        <v>9</v>
      </c>
      <c r="AA24" s="64">
        <f t="shared" ca="1" si="4"/>
        <v>700</v>
      </c>
      <c r="AB24" s="64">
        <f ca="1">IF(AND(AA24&lt;&gt;"",AA24&lt;&gt;0), IF(E24="Muni", AA24, IF(E24 = "Corp", (1-'Investor Input'!$C$4-'Investor Input'!$C$5)*AA24, (1-'Investor Input'!$C$4)*AA24)), AA24)</f>
        <v>700</v>
      </c>
      <c r="AC24" s="94" t="str">
        <f t="shared" ca="1" si="5"/>
        <v>AAA</v>
      </c>
      <c r="AD24" s="60">
        <f ca="1">IF(AND(M24&lt;&gt;"", M24&lt;&gt;0), N24/$N$505*MATCH(AC24,'Misc Lists'!$K$2:$K$25,0), "")</f>
        <v>0.13176447039750203</v>
      </c>
      <c r="AE24" s="90" t="str">
        <f t="shared" ca="1" si="6"/>
        <v>AA+</v>
      </c>
      <c r="AF24" s="99">
        <f ca="1">IF(AND(M24&lt;&gt;"", M24&lt;&gt;0), N24/$N$505*MATCH(AE24,'Misc Lists'!$L$2:$L$25,0), "")</f>
        <v>0.19764670559625303</v>
      </c>
    </row>
    <row r="25" spans="2:32" hidden="1" outlineLevel="1" x14ac:dyDescent="0.5">
      <c r="B25" s="60" t="str">
        <f ca="1"/>
        <v>050897DZ7</v>
      </c>
      <c r="C25" s="61" t="str">
        <f ca="1"/>
        <v>NJ</v>
      </c>
      <c r="D25" s="60" t="str">
        <f ca="1"/>
        <v>AUDUBON N J GO BDS  SER. 2019           02.25000% 11/01/2029</v>
      </c>
      <c r="E25" s="61" t="str">
        <f ca="1"/>
        <v>Muni</v>
      </c>
      <c r="F25" s="62">
        <f ca="1"/>
        <v>2.25</v>
      </c>
      <c r="G25" s="63">
        <f ca="1"/>
        <v>47423</v>
      </c>
      <c r="H25" s="61" t="str">
        <f ca="1"/>
        <v>AA3</v>
      </c>
      <c r="I25" s="61" t="str">
        <f ca="1"/>
        <v>--</v>
      </c>
      <c r="J25" s="64">
        <f ca="1"/>
        <v>93.555000000000007</v>
      </c>
      <c r="K25" s="17">
        <f ca="1"/>
        <v>3.7570000000000001</v>
      </c>
      <c r="L25" s="18" t="str">
        <f ca="1"/>
        <v>10(5)</v>
      </c>
      <c r="M25" s="83"/>
      <c r="N25" s="84" t="str">
        <f t="shared" si="7"/>
        <v/>
      </c>
      <c r="O25" s="20" t="str">
        <f t="shared" si="8"/>
        <v/>
      </c>
      <c r="P25" s="64" t="str">
        <f t="shared" si="9"/>
        <v/>
      </c>
      <c r="Q25" s="85" t="str">
        <f t="shared" ca="1" si="10"/>
        <v/>
      </c>
      <c r="R25" s="86" t="str">
        <f t="shared" si="11"/>
        <v/>
      </c>
      <c r="S25" s="86" t="str">
        <f t="shared" si="12"/>
        <v/>
      </c>
      <c r="T25" s="104" t="str">
        <f t="shared" si="13"/>
        <v/>
      </c>
      <c r="U25" s="19" t="str">
        <f>IF(AND(M25&lt;&gt;"",M25&lt;&gt;0), IF(E25 = "Muni", T25, IF(E25="Corp", T25*(1 -'Investor Input'!$C$4-'Investor Input'!$C$5), T25*(1 -'Investor Input'!$C$4))), T25)</f>
        <v/>
      </c>
      <c r="V25" s="84" t="str">
        <f t="shared" si="14"/>
        <v/>
      </c>
      <c r="W25" s="84" t="str">
        <f t="shared" si="0"/>
        <v/>
      </c>
      <c r="X25" s="21" t="str">
        <f t="shared" si="1"/>
        <v/>
      </c>
      <c r="Y25" s="60" t="str">
        <f t="shared" si="2"/>
        <v/>
      </c>
      <c r="Z25" s="60" t="str">
        <f t="shared" si="3"/>
        <v/>
      </c>
      <c r="AA25" s="64" t="str">
        <f t="shared" si="4"/>
        <v/>
      </c>
      <c r="AB25" s="64" t="str">
        <f>IF(AND(AA25&lt;&gt;"",AA25&lt;&gt;0), IF(E25="Muni", AA25, IF(E25 = "Corp", (1-'Investor Input'!$C$4-'Investor Input'!$C$5)*AA25, (1-'Investor Input'!$C$4)*AA25)), AA25)</f>
        <v/>
      </c>
      <c r="AC25" s="94" t="str">
        <f t="shared" si="5"/>
        <v/>
      </c>
      <c r="AD25" s="60" t="str">
        <f>IF(AND(M25&lt;&gt;"", M25&lt;&gt;0), N25/$N$505*MATCH(AC25,'Misc Lists'!$K$2:$K$25,0), "")</f>
        <v/>
      </c>
      <c r="AE25" s="90" t="str">
        <f t="shared" si="6"/>
        <v/>
      </c>
      <c r="AF25" s="99" t="str">
        <f>IF(AND(M25&lt;&gt;"", M25&lt;&gt;0), N25/$N$505*MATCH(AE25,'Misc Lists'!$L$2:$L$25,0), "")</f>
        <v/>
      </c>
    </row>
    <row r="26" spans="2:32" hidden="1" outlineLevel="1" x14ac:dyDescent="0.5">
      <c r="B26" s="60" t="str">
        <f ca="1"/>
        <v>296804WJ2</v>
      </c>
      <c r="C26" s="61" t="str">
        <f ca="1"/>
        <v>NJ</v>
      </c>
      <c r="D26" s="60" t="str">
        <f ca="1"/>
        <v>ESSEX CNTY N J GO   BDS SER. A          02.12500% 09/01/2029</v>
      </c>
      <c r="E26" s="61" t="str">
        <f ca="1"/>
        <v>Muni</v>
      </c>
      <c r="F26" s="62">
        <f ca="1"/>
        <v>2.125</v>
      </c>
      <c r="G26" s="63">
        <f ca="1"/>
        <v>47362</v>
      </c>
      <c r="H26" s="61" t="str">
        <f ca="1"/>
        <v>AA1</v>
      </c>
      <c r="I26" s="61" t="str">
        <f ca="1"/>
        <v>--</v>
      </c>
      <c r="J26" s="64">
        <f ca="1"/>
        <v>93.409000000000006</v>
      </c>
      <c r="K26" s="17">
        <f ca="1"/>
        <v>3.7170000000000001</v>
      </c>
      <c r="L26" s="18" t="str">
        <f ca="1"/>
        <v>15(5)</v>
      </c>
      <c r="M26" s="83"/>
      <c r="N26" s="84" t="str">
        <f t="shared" si="7"/>
        <v/>
      </c>
      <c r="O26" s="20" t="str">
        <f t="shared" si="8"/>
        <v/>
      </c>
      <c r="P26" s="64" t="str">
        <f t="shared" si="9"/>
        <v/>
      </c>
      <c r="Q26" s="85" t="str">
        <f t="shared" ca="1" si="10"/>
        <v/>
      </c>
      <c r="R26" s="86" t="str">
        <f t="shared" si="11"/>
        <v/>
      </c>
      <c r="S26" s="86" t="str">
        <f t="shared" si="12"/>
        <v/>
      </c>
      <c r="T26" s="104" t="str">
        <f t="shared" si="13"/>
        <v/>
      </c>
      <c r="U26" s="19" t="str">
        <f>IF(AND(M26&lt;&gt;"",M26&lt;&gt;0), IF(E26 = "Muni", T26, IF(E26="Corp", T26*(1 -'Investor Input'!$C$4-'Investor Input'!$C$5), T26*(1 -'Investor Input'!$C$4))), T26)</f>
        <v/>
      </c>
      <c r="V26" s="84" t="str">
        <f t="shared" si="14"/>
        <v/>
      </c>
      <c r="W26" s="84" t="str">
        <f t="shared" si="0"/>
        <v/>
      </c>
      <c r="X26" s="21" t="str">
        <f t="shared" si="1"/>
        <v/>
      </c>
      <c r="Y26" s="60" t="str">
        <f t="shared" si="2"/>
        <v/>
      </c>
      <c r="Z26" s="60" t="str">
        <f t="shared" si="3"/>
        <v/>
      </c>
      <c r="AA26" s="64" t="str">
        <f t="shared" si="4"/>
        <v/>
      </c>
      <c r="AB26" s="64" t="str">
        <f>IF(AND(AA26&lt;&gt;"",AA26&lt;&gt;0), IF(E26="Muni", AA26, IF(E26 = "Corp", (1-'Investor Input'!$C$4-'Investor Input'!$C$5)*AA26, (1-'Investor Input'!$C$4)*AA26)), AA26)</f>
        <v/>
      </c>
      <c r="AC26" s="94" t="str">
        <f t="shared" si="5"/>
        <v/>
      </c>
      <c r="AD26" s="60" t="str">
        <f>IF(AND(M26&lt;&gt;"", M26&lt;&gt;0), N26/$N$505*MATCH(AC26,'Misc Lists'!$K$2:$K$25,0), "")</f>
        <v/>
      </c>
      <c r="AE26" s="90" t="str">
        <f t="shared" si="6"/>
        <v/>
      </c>
      <c r="AF26" s="99" t="str">
        <f>IF(AND(M26&lt;&gt;"", M26&lt;&gt;0), N26/$N$505*MATCH(AE26,'Misc Lists'!$L$2:$L$25,0), "")</f>
        <v/>
      </c>
    </row>
    <row r="27" spans="2:32" outlineLevel="1" x14ac:dyDescent="0.5">
      <c r="B27" s="60" t="str">
        <f ca="1"/>
        <v>674736BQ5</v>
      </c>
      <c r="C27" s="61" t="str">
        <f ca="1"/>
        <v>NJ</v>
      </c>
      <c r="D27" s="60" t="str">
        <f ca="1"/>
        <v>OCEAN CNTY N J GEN  IMPT BDS SER. 2016  02.00000% 10/01/2028</v>
      </c>
      <c r="E27" s="61" t="str">
        <f ca="1"/>
        <v>Muni</v>
      </c>
      <c r="F27" s="62">
        <f ca="1"/>
        <v>2</v>
      </c>
      <c r="G27" s="63">
        <f ca="1"/>
        <v>47027</v>
      </c>
      <c r="H27" s="61" t="str">
        <f ca="1"/>
        <v>AAA</v>
      </c>
      <c r="I27" s="61" t="str">
        <f ca="1"/>
        <v>--</v>
      </c>
      <c r="J27" s="64">
        <f ca="1"/>
        <v>94.25</v>
      </c>
      <c r="K27" s="17">
        <f ca="1"/>
        <v>3.7120000000000002</v>
      </c>
      <c r="L27" s="18" t="str">
        <f ca="1"/>
        <v>20(20)</v>
      </c>
      <c r="M27" s="83">
        <v>75</v>
      </c>
      <c r="N27" s="84">
        <f t="shared" ca="1" si="7"/>
        <v>70687.5</v>
      </c>
      <c r="O27" s="20">
        <f t="shared" ca="1" si="8"/>
        <v>7.1171831430064725E-2</v>
      </c>
      <c r="P27" s="64">
        <f t="shared" ca="1" si="9"/>
        <v>20</v>
      </c>
      <c r="Q27" s="85">
        <f t="shared" ca="1" si="10"/>
        <v>45791.491364930553</v>
      </c>
      <c r="R27" s="86">
        <f t="shared" ca="1" si="11"/>
        <v>3</v>
      </c>
      <c r="S27" s="86">
        <f t="shared" ca="1" si="12"/>
        <v>3.2149730271143548</v>
      </c>
      <c r="T27" s="104">
        <f t="shared" ca="1" si="13"/>
        <v>3.8290229898895273E-2</v>
      </c>
      <c r="U27" s="19">
        <f ca="1">IF(AND(M27&lt;&gt;"",M27&lt;&gt;0), IF(E27 = "Muni", T27, IF(E27="Corp", T27*(1 -'Investor Input'!$C$4-'Investor Input'!$C$5), T27*(1 -'Investor Input'!$C$4))), T27)</f>
        <v>3.8290229898895273E-2</v>
      </c>
      <c r="V27" s="84">
        <f t="shared" ca="1" si="14"/>
        <v>74701.743124344561</v>
      </c>
      <c r="W27" s="84">
        <f t="shared" ca="1" si="0"/>
        <v>4014.2431243445608</v>
      </c>
      <c r="X27" s="21">
        <f t="shared" ca="1" si="1"/>
        <v>5.6788585313450907E-2</v>
      </c>
      <c r="Y27" s="60">
        <f t="shared" ca="1" si="2"/>
        <v>10</v>
      </c>
      <c r="Z27" s="60">
        <f t="shared" ca="1" si="3"/>
        <v>4</v>
      </c>
      <c r="AA27" s="64">
        <f t="shared" ca="1" si="4"/>
        <v>750</v>
      </c>
      <c r="AB27" s="64">
        <f ca="1">IF(AND(AA27&lt;&gt;"",AA27&lt;&gt;0), IF(E27="Muni", AA27, IF(E27 = "Corp", (1-'Investor Input'!$C$4-'Investor Input'!$C$5)*AA27, (1-'Investor Input'!$C$4)*AA27)), AA27)</f>
        <v>750</v>
      </c>
      <c r="AC27" s="94" t="str">
        <f t="shared" ca="1" si="5"/>
        <v>AAA</v>
      </c>
      <c r="AD27" s="60">
        <f ca="1">IF(AND(M27&lt;&gt;"", M27&lt;&gt;0), N27/$N$505*MATCH(AC27,'Misc Lists'!$K$2:$K$25,0), "")</f>
        <v>0.14234366286012945</v>
      </c>
      <c r="AE27" s="90" t="str">
        <f t="shared" ca="1" si="6"/>
        <v>--</v>
      </c>
      <c r="AF27" s="99">
        <f ca="1">IF(AND(M27&lt;&gt;"", M27&lt;&gt;0), N27/$N$505*MATCH(AE27,'Misc Lists'!$L$2:$L$25,0), "")</f>
        <v>1.6369521228914887</v>
      </c>
    </row>
    <row r="28" spans="2:32" outlineLevel="1" x14ac:dyDescent="0.5">
      <c r="B28" s="60" t="str">
        <f ca="1"/>
        <v>614155KH1</v>
      </c>
      <c r="C28" s="61" t="str">
        <f ca="1"/>
        <v>NJ</v>
      </c>
      <c r="D28" s="60" t="str">
        <f ca="1"/>
        <v>MONTGOMERY TWP N J  BRD ED SCH BDS      02.00000% 04/15/2028</v>
      </c>
      <c r="E28" s="61" t="str">
        <f ca="1"/>
        <v>Muni</v>
      </c>
      <c r="F28" s="62">
        <f ca="1"/>
        <v>2</v>
      </c>
      <c r="G28" s="63">
        <f ca="1"/>
        <v>46858</v>
      </c>
      <c r="H28" s="61" t="str">
        <f ca="1"/>
        <v>--</v>
      </c>
      <c r="I28" s="61" t="str">
        <f ca="1"/>
        <v>AA+</v>
      </c>
      <c r="J28" s="64">
        <f ca="1"/>
        <v>94.998999999999995</v>
      </c>
      <c r="K28" s="17">
        <f ca="1"/>
        <v>3.6909999999999998</v>
      </c>
      <c r="L28" s="18" t="str">
        <f ca="1"/>
        <v>50(10)</v>
      </c>
      <c r="M28" s="83">
        <v>100</v>
      </c>
      <c r="N28" s="84">
        <f t="shared" ca="1" si="7"/>
        <v>94999</v>
      </c>
      <c r="O28" s="20">
        <f t="shared" ca="1" si="8"/>
        <v>9.5649907183373559E-2</v>
      </c>
      <c r="P28" s="64">
        <f t="shared" ca="1" si="9"/>
        <v>20</v>
      </c>
      <c r="Q28" s="85">
        <f t="shared" ca="1" si="10"/>
        <v>45791.491364930553</v>
      </c>
      <c r="R28" s="86">
        <f t="shared" ca="1" si="11"/>
        <v>3</v>
      </c>
      <c r="S28" s="86">
        <f t="shared" ca="1" si="12"/>
        <v>2.7924309783155783</v>
      </c>
      <c r="T28" s="104">
        <f t="shared" ca="1" si="13"/>
        <v>3.8263056041256474E-2</v>
      </c>
      <c r="U28" s="19">
        <f ca="1">IF(AND(M28&lt;&gt;"",M28&lt;&gt;0), IF(E28 = "Muni", T28, IF(E28="Corp", T28*(1 -'Investor Input'!$C$4-'Investor Input'!$C$5), T28*(1 -'Investor Input'!$C$4))), T28)</f>
        <v>3.8263056041256474E-2</v>
      </c>
      <c r="V28" s="84">
        <f t="shared" ca="1" si="14"/>
        <v>99602.104786946205</v>
      </c>
      <c r="W28" s="84">
        <f t="shared" ca="1" si="0"/>
        <v>4603.1047869462054</v>
      </c>
      <c r="X28" s="21">
        <f t="shared" ca="1" si="1"/>
        <v>4.8454244644114207E-2</v>
      </c>
      <c r="Y28" s="60">
        <f t="shared" ca="1" si="2"/>
        <v>4</v>
      </c>
      <c r="Z28" s="60">
        <f t="shared" ca="1" si="3"/>
        <v>10</v>
      </c>
      <c r="AA28" s="64">
        <f t="shared" ca="1" si="4"/>
        <v>1000</v>
      </c>
      <c r="AB28" s="64">
        <f ca="1">IF(AND(AA28&lt;&gt;"",AA28&lt;&gt;0), IF(E28="Muni", AA28, IF(E28 = "Corp", (1-'Investor Input'!$C$4-'Investor Input'!$C$5)*AA28, (1-'Investor Input'!$C$4)*AA28)), AA28)</f>
        <v>1000</v>
      </c>
      <c r="AC28" s="94" t="str">
        <f t="shared" ca="1" si="5"/>
        <v>--</v>
      </c>
      <c r="AD28" s="60">
        <f ca="1">IF(AND(M28&lt;&gt;"", M28&lt;&gt;0), N28/$N$505*MATCH(AC28,'Misc Lists'!$K$2:$K$25,0), "")</f>
        <v>2.1999478652175917</v>
      </c>
      <c r="AE28" s="90" t="str">
        <f t="shared" ca="1" si="6"/>
        <v>AA+</v>
      </c>
      <c r="AF28" s="99">
        <f ca="1">IF(AND(M28&lt;&gt;"", M28&lt;&gt;0), N28/$N$505*MATCH(AE28,'Misc Lists'!$L$2:$L$25,0), "")</f>
        <v>0.28694972155012066</v>
      </c>
    </row>
    <row r="29" spans="2:32" hidden="1" outlineLevel="1" x14ac:dyDescent="0.5">
      <c r="B29" s="60" t="str">
        <f ca="1"/>
        <v>97989CFH2</v>
      </c>
      <c r="C29" s="61" t="str">
        <f ca="1"/>
        <v>NJ</v>
      </c>
      <c r="D29" s="60" t="str">
        <f ca="1"/>
        <v>WOODRIDGE BORO N J  GEN IMPT BDS        01.00000% 09/01/2028</v>
      </c>
      <c r="E29" s="61" t="str">
        <f ca="1"/>
        <v>Muni</v>
      </c>
      <c r="F29" s="62">
        <f ca="1"/>
        <v>1</v>
      </c>
      <c r="G29" s="63">
        <f ca="1"/>
        <v>46997</v>
      </c>
      <c r="H29" s="61" t="str">
        <f ca="1"/>
        <v>--</v>
      </c>
      <c r="I29" s="61" t="str">
        <f ca="1"/>
        <v>AA</v>
      </c>
      <c r="J29" s="64">
        <f ca="1"/>
        <v>91.21</v>
      </c>
      <c r="K29" s="17">
        <f ca="1"/>
        <v>3.673</v>
      </c>
      <c r="L29" s="18" t="str">
        <f ca="1"/>
        <v>40(5)</v>
      </c>
      <c r="M29" s="83"/>
      <c r="N29" s="84" t="str">
        <f t="shared" si="7"/>
        <v/>
      </c>
      <c r="O29" s="20" t="str">
        <f t="shared" si="8"/>
        <v/>
      </c>
      <c r="P29" s="64" t="str">
        <f t="shared" si="9"/>
        <v/>
      </c>
      <c r="Q29" s="85" t="str">
        <f t="shared" ca="1" si="10"/>
        <v/>
      </c>
      <c r="R29" s="86" t="str">
        <f t="shared" si="11"/>
        <v/>
      </c>
      <c r="S29" s="86" t="str">
        <f t="shared" si="12"/>
        <v/>
      </c>
      <c r="T29" s="104" t="str">
        <f t="shared" si="13"/>
        <v/>
      </c>
      <c r="U29" s="19" t="str">
        <f>IF(AND(M29&lt;&gt;"",M29&lt;&gt;0), IF(E29 = "Muni", T29, IF(E29="Corp", T29*(1 -'Investor Input'!$C$4-'Investor Input'!$C$5), T29*(1 -'Investor Input'!$C$4))), T29)</f>
        <v/>
      </c>
      <c r="V29" s="84" t="str">
        <f t="shared" si="14"/>
        <v/>
      </c>
      <c r="W29" s="84" t="str">
        <f t="shared" si="0"/>
        <v/>
      </c>
      <c r="X29" s="21" t="str">
        <f t="shared" si="1"/>
        <v/>
      </c>
      <c r="Y29" s="60" t="str">
        <f t="shared" si="2"/>
        <v/>
      </c>
      <c r="Z29" s="60" t="str">
        <f t="shared" si="3"/>
        <v/>
      </c>
      <c r="AA29" s="64" t="str">
        <f t="shared" si="4"/>
        <v/>
      </c>
      <c r="AB29" s="64" t="str">
        <f>IF(AND(AA29&lt;&gt;"",AA29&lt;&gt;0), IF(E29="Muni", AA29, IF(E29 = "Corp", (1-'Investor Input'!$C$4-'Investor Input'!$C$5)*AA29, (1-'Investor Input'!$C$4)*AA29)), AA29)</f>
        <v/>
      </c>
      <c r="AC29" s="94" t="str">
        <f t="shared" si="5"/>
        <v/>
      </c>
      <c r="AD29" s="60" t="str">
        <f>IF(AND(M29&lt;&gt;"", M29&lt;&gt;0), N29/$N$505*MATCH(AC29,'Misc Lists'!$K$2:$K$25,0), "")</f>
        <v/>
      </c>
      <c r="AE29" s="90" t="str">
        <f t="shared" si="6"/>
        <v/>
      </c>
      <c r="AF29" s="99" t="str">
        <f>IF(AND(M29&lt;&gt;"", M29&lt;&gt;0), N29/$N$505*MATCH(AE29,'Misc Lists'!$L$2:$L$25,0), "")</f>
        <v/>
      </c>
    </row>
    <row r="30" spans="2:32" outlineLevel="1" x14ac:dyDescent="0.5">
      <c r="B30" s="60" t="str">
        <f ca="1"/>
        <v>570833HW6</v>
      </c>
      <c r="C30" s="61" t="str">
        <f ca="1"/>
        <v>NJ</v>
      </c>
      <c r="D30" s="60" t="str">
        <f ca="1"/>
        <v>MARLBORO TWP N J    IMPT WTR REC UTIL GO02.00000% 05/01/2029BDS SER. 2021</v>
      </c>
      <c r="E30" s="61" t="str">
        <f ca="1"/>
        <v>Muni</v>
      </c>
      <c r="F30" s="62">
        <f ca="1"/>
        <v>2</v>
      </c>
      <c r="G30" s="63">
        <f ca="1"/>
        <v>47239</v>
      </c>
      <c r="H30" s="61" t="str">
        <f ca="1"/>
        <v>AAA</v>
      </c>
      <c r="I30" s="61" t="str">
        <f ca="1"/>
        <v>--</v>
      </c>
      <c r="J30" s="64">
        <f ca="1"/>
        <v>93.599000000000004</v>
      </c>
      <c r="K30" s="17">
        <f ca="1"/>
        <v>3.6560000000000001</v>
      </c>
      <c r="L30" s="18" t="str">
        <f ca="1"/>
        <v>5(5)</v>
      </c>
      <c r="M30" s="83">
        <v>20</v>
      </c>
      <c r="N30" s="84">
        <f t="shared" ca="1" si="7"/>
        <v>18719.8</v>
      </c>
      <c r="O30" s="20">
        <f t="shared" ca="1" si="8"/>
        <v>1.8848062953202838E-2</v>
      </c>
      <c r="P30" s="64">
        <f t="shared" ca="1" si="9"/>
        <v>20</v>
      </c>
      <c r="Q30" s="85">
        <f t="shared" ca="1" si="10"/>
        <v>45791.491364930553</v>
      </c>
      <c r="R30" s="86">
        <f t="shared" ca="1" si="11"/>
        <v>4</v>
      </c>
      <c r="S30" s="86">
        <f t="shared" ca="1" si="12"/>
        <v>3.7539725625351625</v>
      </c>
      <c r="T30" s="104">
        <f t="shared" ca="1" si="13"/>
        <v>3.7528198447952736E-2</v>
      </c>
      <c r="U30" s="19">
        <f ca="1">IF(AND(M30&lt;&gt;"",M30&lt;&gt;0), IF(E30 = "Muni", T30, IF(E30="Corp", T30*(1 -'Investor Input'!$C$4-'Investor Input'!$C$5), T30*(1 -'Investor Input'!$C$4))), T30)</f>
        <v>3.7528198447952736E-2</v>
      </c>
      <c r="V30" s="84">
        <f t="shared" ca="1" si="14"/>
        <v>19921.746621322294</v>
      </c>
      <c r="W30" s="84">
        <f t="shared" ca="1" si="0"/>
        <v>1201.946621322295</v>
      </c>
      <c r="X30" s="21">
        <f t="shared" ca="1" si="1"/>
        <v>6.4207236259056985E-2</v>
      </c>
      <c r="Y30" s="60">
        <f t="shared" ca="1" si="2"/>
        <v>5</v>
      </c>
      <c r="Z30" s="60">
        <f t="shared" ca="1" si="3"/>
        <v>11</v>
      </c>
      <c r="AA30" s="64">
        <f t="shared" ca="1" si="4"/>
        <v>200</v>
      </c>
      <c r="AB30" s="64">
        <f ca="1">IF(AND(AA30&lt;&gt;"",AA30&lt;&gt;0), IF(E30="Muni", AA30, IF(E30 = "Corp", (1-'Investor Input'!$C$4-'Investor Input'!$C$5)*AA30, (1-'Investor Input'!$C$4)*AA30)), AA30)</f>
        <v>200</v>
      </c>
      <c r="AC30" s="94" t="str">
        <f t="shared" ca="1" si="5"/>
        <v>AAA</v>
      </c>
      <c r="AD30" s="60">
        <f ca="1">IF(AND(M30&lt;&gt;"", M30&lt;&gt;0), N30/$N$505*MATCH(AC30,'Misc Lists'!$K$2:$K$25,0), "")</f>
        <v>3.7696125906405677E-2</v>
      </c>
      <c r="AE30" s="90" t="str">
        <f t="shared" ca="1" si="6"/>
        <v>--</v>
      </c>
      <c r="AF30" s="99">
        <f ca="1">IF(AND(M30&lt;&gt;"", M30&lt;&gt;0), N30/$N$505*MATCH(AE30,'Misc Lists'!$L$2:$L$25,0), "")</f>
        <v>0.4335054479236653</v>
      </c>
    </row>
    <row r="31" spans="2:32" outlineLevel="1" x14ac:dyDescent="0.5">
      <c r="B31" s="60" t="str">
        <f ca="1"/>
        <v>954898ED0</v>
      </c>
      <c r="C31" s="61" t="str">
        <f ca="1"/>
        <v>NJ</v>
      </c>
      <c r="D31" s="60" t="str">
        <f ca="1"/>
        <v>WEST ORANGE TWP N J GO BDS SER.2016     02.00000% 02/01/2027</v>
      </c>
      <c r="E31" s="61" t="str">
        <f ca="1"/>
        <v>Muni</v>
      </c>
      <c r="F31" s="62">
        <f ca="1"/>
        <v>2</v>
      </c>
      <c r="G31" s="63">
        <f ca="1"/>
        <v>46419</v>
      </c>
      <c r="H31" s="61" t="str">
        <f ca="1"/>
        <v>--</v>
      </c>
      <c r="I31" s="61" t="str">
        <f ca="1"/>
        <v>AA</v>
      </c>
      <c r="J31" s="64">
        <f ca="1"/>
        <v>96.915999999999997</v>
      </c>
      <c r="K31" s="17">
        <f ca="1"/>
        <v>3.65</v>
      </c>
      <c r="L31" s="18" t="str">
        <f ca="1"/>
        <v>15(5)</v>
      </c>
      <c r="M31" s="83">
        <v>50</v>
      </c>
      <c r="N31" s="84">
        <f t="shared" ca="1" si="7"/>
        <v>48458</v>
      </c>
      <c r="O31" s="20">
        <f t="shared" ca="1" si="8"/>
        <v>4.8790020971714608E-2</v>
      </c>
      <c r="P31" s="64">
        <f t="shared" ca="1" si="9"/>
        <v>20</v>
      </c>
      <c r="Q31" s="85">
        <f t="shared" ca="1" si="10"/>
        <v>45791.491364930553</v>
      </c>
      <c r="R31" s="86">
        <f t="shared" ca="1" si="11"/>
        <v>2</v>
      </c>
      <c r="S31" s="86">
        <f t="shared" ca="1" si="12"/>
        <v>1.6536495996492786</v>
      </c>
      <c r="T31" s="104">
        <f t="shared" ca="1" si="13"/>
        <v>3.8757854688125357E-2</v>
      </c>
      <c r="U31" s="19">
        <f ca="1">IF(AND(M31&lt;&gt;"",M31&lt;&gt;0), IF(E31 = "Muni", T31, IF(E31="Corp", T31*(1 -'Investor Input'!$C$4-'Investor Input'!$C$5), T31*(1 -'Investor Input'!$C$4))), T31)</f>
        <v>3.8757854688125357E-2</v>
      </c>
      <c r="V31" s="84">
        <f t="shared" ca="1" si="14"/>
        <v>49809.243142795043</v>
      </c>
      <c r="W31" s="84">
        <f t="shared" ca="1" si="0"/>
        <v>1351.2431427950432</v>
      </c>
      <c r="X31" s="21">
        <f t="shared" ca="1" si="1"/>
        <v>2.7884831045339124E-2</v>
      </c>
      <c r="Y31" s="60">
        <f t="shared" ca="1" si="2"/>
        <v>2</v>
      </c>
      <c r="Z31" s="60">
        <f t="shared" ca="1" si="3"/>
        <v>8</v>
      </c>
      <c r="AA31" s="64">
        <f t="shared" ca="1" si="4"/>
        <v>500</v>
      </c>
      <c r="AB31" s="64">
        <f ca="1">IF(AND(AA31&lt;&gt;"",AA31&lt;&gt;0), IF(E31="Muni", AA31, IF(E31 = "Corp", (1-'Investor Input'!$C$4-'Investor Input'!$C$5)*AA31, (1-'Investor Input'!$C$4)*AA31)), AA31)</f>
        <v>500</v>
      </c>
      <c r="AC31" s="94" t="str">
        <f t="shared" ca="1" si="5"/>
        <v>--</v>
      </c>
      <c r="AD31" s="60">
        <f ca="1">IF(AND(M31&lt;&gt;"", M31&lt;&gt;0), N31/$N$505*MATCH(AC31,'Misc Lists'!$K$2:$K$25,0), "")</f>
        <v>1.1221704823494361</v>
      </c>
      <c r="AE31" s="90" t="str">
        <f t="shared" ca="1" si="6"/>
        <v>AA</v>
      </c>
      <c r="AF31" s="99">
        <f ca="1">IF(AND(M31&lt;&gt;"", M31&lt;&gt;0), N31/$N$505*MATCH(AE31,'Misc Lists'!$L$2:$L$25,0), "")</f>
        <v>0.19516008388685843</v>
      </c>
    </row>
    <row r="32" spans="2:32" outlineLevel="1" x14ac:dyDescent="0.5">
      <c r="B32" s="60" t="str">
        <f ca="1"/>
        <v>786259BM2</v>
      </c>
      <c r="C32" s="61" t="str">
        <f ca="1"/>
        <v>NJ</v>
      </c>
      <c r="D32" s="60" t="str">
        <f ca="1"/>
        <v>SADDLE RIVER N J SCHDIST BDS SER. 2020  01.75000% 03/01/2030</v>
      </c>
      <c r="E32" s="61" t="str">
        <f ca="1"/>
        <v>Muni</v>
      </c>
      <c r="F32" s="62">
        <f ca="1"/>
        <v>1.75</v>
      </c>
      <c r="G32" s="63">
        <f ca="1"/>
        <v>47543</v>
      </c>
      <c r="H32" s="61" t="str">
        <f ca="1"/>
        <v>--</v>
      </c>
      <c r="I32" s="61" t="str">
        <f ca="1"/>
        <v>AAA</v>
      </c>
      <c r="J32" s="64">
        <f ca="1"/>
        <v>91.349000000000004</v>
      </c>
      <c r="K32" s="17">
        <f ca="1"/>
        <v>3.6459999999999999</v>
      </c>
      <c r="L32" s="18" t="str">
        <f ca="1"/>
        <v>5(5)</v>
      </c>
      <c r="M32" s="83">
        <v>10</v>
      </c>
      <c r="N32" s="84">
        <f t="shared" ca="1" si="7"/>
        <v>9134.9</v>
      </c>
      <c r="O32" s="20">
        <f t="shared" ca="1" si="8"/>
        <v>9.1974898380972336E-3</v>
      </c>
      <c r="P32" s="64">
        <f t="shared" ca="1" si="9"/>
        <v>17.5</v>
      </c>
      <c r="Q32" s="85">
        <f t="shared" ca="1" si="10"/>
        <v>45791.491364930553</v>
      </c>
      <c r="R32" s="86">
        <f t="shared" ca="1" si="11"/>
        <v>5</v>
      </c>
      <c r="S32" s="86">
        <f t="shared" ca="1" si="12"/>
        <v>4.5132048049808624</v>
      </c>
      <c r="T32" s="104">
        <f t="shared" ca="1" si="13"/>
        <v>3.7360623708324624E-2</v>
      </c>
      <c r="U32" s="19">
        <f ca="1">IF(AND(M32&lt;&gt;"",M32&lt;&gt;0), IF(E32 = "Muni", T32, IF(E32="Corp", T32*(1 -'Investor Input'!$C$4-'Investor Input'!$C$5), T32*(1 -'Investor Input'!$C$4))), T32)</f>
        <v>3.7360623708324624E-2</v>
      </c>
      <c r="V32" s="84">
        <f t="shared" ca="1" si="14"/>
        <v>9955.6329130363774</v>
      </c>
      <c r="W32" s="84">
        <f t="shared" ca="1" si="0"/>
        <v>820.73291303637779</v>
      </c>
      <c r="X32" s="21">
        <f t="shared" ca="1" si="1"/>
        <v>8.9845856335195554E-2</v>
      </c>
      <c r="Y32" s="60">
        <f t="shared" ca="1" si="2"/>
        <v>3</v>
      </c>
      <c r="Z32" s="60">
        <f t="shared" ca="1" si="3"/>
        <v>9</v>
      </c>
      <c r="AA32" s="64">
        <f t="shared" ca="1" si="4"/>
        <v>87.5</v>
      </c>
      <c r="AB32" s="64">
        <f ca="1">IF(AND(AA32&lt;&gt;"",AA32&lt;&gt;0), IF(E32="Muni", AA32, IF(E32 = "Corp", (1-'Investor Input'!$C$4-'Investor Input'!$C$5)*AA32, (1-'Investor Input'!$C$4)*AA32)), AA32)</f>
        <v>87.5</v>
      </c>
      <c r="AC32" s="94" t="str">
        <f t="shared" ca="1" si="5"/>
        <v>--</v>
      </c>
      <c r="AD32" s="60">
        <f ca="1">IF(AND(M32&lt;&gt;"", M32&lt;&gt;0), N32/$N$505*MATCH(AC32,'Misc Lists'!$K$2:$K$25,0), "")</f>
        <v>0.21154226627623637</v>
      </c>
      <c r="AE32" s="90" t="str">
        <f t="shared" ca="1" si="6"/>
        <v>AAA</v>
      </c>
      <c r="AF32" s="99">
        <f ca="1">IF(AND(M32&lt;&gt;"", M32&lt;&gt;0), N32/$N$505*MATCH(AE32,'Misc Lists'!$L$2:$L$25,0), "")</f>
        <v>1.8394979676194467E-2</v>
      </c>
    </row>
    <row r="33" spans="2:32" hidden="1" outlineLevel="1" x14ac:dyDescent="0.5">
      <c r="B33" s="60" t="str">
        <f ca="1"/>
        <v>895139LN1</v>
      </c>
      <c r="C33" s="61" t="str">
        <f ca="1"/>
        <v>NJ</v>
      </c>
      <c r="D33" s="60" t="str">
        <f ca="1"/>
        <v>TRENTON N J GO WTR  SWR UTIL IMPT BDS   02.00000% 07/15/2027SER. 2020</v>
      </c>
      <c r="E33" s="61" t="str">
        <f ca="1"/>
        <v>Muni</v>
      </c>
      <c r="F33" s="62">
        <f ca="1"/>
        <v>2</v>
      </c>
      <c r="G33" s="63">
        <f ca="1"/>
        <v>46583</v>
      </c>
      <c r="H33" s="61" t="str">
        <f ca="1"/>
        <v>A2</v>
      </c>
      <c r="I33" s="61" t="str">
        <f ca="1"/>
        <v>AA</v>
      </c>
      <c r="J33" s="64">
        <f ca="1"/>
        <v>96.24</v>
      </c>
      <c r="K33" s="17">
        <f ca="1"/>
        <v>3.6440000000000001</v>
      </c>
      <c r="L33" s="18" t="str">
        <f ca="1"/>
        <v>15(5)</v>
      </c>
      <c r="M33" s="83"/>
      <c r="N33" s="84" t="str">
        <f t="shared" si="7"/>
        <v/>
      </c>
      <c r="O33" s="20" t="str">
        <f t="shared" si="8"/>
        <v/>
      </c>
      <c r="P33" s="64" t="str">
        <f t="shared" si="9"/>
        <v/>
      </c>
      <c r="Q33" s="85" t="str">
        <f t="shared" ca="1" si="10"/>
        <v/>
      </c>
      <c r="R33" s="86" t="str">
        <f t="shared" si="11"/>
        <v/>
      </c>
      <c r="S33" s="86" t="str">
        <f t="shared" si="12"/>
        <v/>
      </c>
      <c r="T33" s="104" t="str">
        <f t="shared" si="13"/>
        <v/>
      </c>
      <c r="U33" s="19" t="str">
        <f>IF(AND(M33&lt;&gt;"",M33&lt;&gt;0), IF(E33 = "Muni", T33, IF(E33="Corp", T33*(1 -'Investor Input'!$C$4-'Investor Input'!$C$5), T33*(1 -'Investor Input'!$C$4))), T33)</f>
        <v/>
      </c>
      <c r="V33" s="84" t="str">
        <f t="shared" si="14"/>
        <v/>
      </c>
      <c r="W33" s="84" t="str">
        <f t="shared" si="0"/>
        <v/>
      </c>
      <c r="X33" s="21" t="str">
        <f t="shared" si="1"/>
        <v/>
      </c>
      <c r="Y33" s="60" t="str">
        <f t="shared" si="2"/>
        <v/>
      </c>
      <c r="Z33" s="60" t="str">
        <f t="shared" si="3"/>
        <v/>
      </c>
      <c r="AA33" s="64" t="str">
        <f t="shared" si="4"/>
        <v/>
      </c>
      <c r="AB33" s="64" t="str">
        <f>IF(AND(AA33&lt;&gt;"",AA33&lt;&gt;0), IF(E33="Muni", AA33, IF(E33 = "Corp", (1-'Investor Input'!$C$4-'Investor Input'!$C$5)*AA33, (1-'Investor Input'!$C$4)*AA33)), AA33)</f>
        <v/>
      </c>
      <c r="AC33" s="94" t="str">
        <f t="shared" si="5"/>
        <v/>
      </c>
      <c r="AD33" s="60" t="str">
        <f>IF(AND(M33&lt;&gt;"", M33&lt;&gt;0), N33/$N$505*MATCH(AC33,'Misc Lists'!$K$2:$K$25,0), "")</f>
        <v/>
      </c>
      <c r="AE33" s="90" t="str">
        <f t="shared" si="6"/>
        <v/>
      </c>
      <c r="AF33" s="99" t="str">
        <f>IF(AND(M33&lt;&gt;"", M33&lt;&gt;0), N33/$N$505*MATCH(AE33,'Misc Lists'!$L$2:$L$25,0), "")</f>
        <v/>
      </c>
    </row>
    <row r="34" spans="2:32" hidden="1" outlineLevel="1" x14ac:dyDescent="0.5">
      <c r="B34" s="60" t="str">
        <f ca="1"/>
        <v>356502PU2</v>
      </c>
      <c r="C34" s="61" t="str">
        <f ca="1"/>
        <v>NJ</v>
      </c>
      <c r="D34" s="60" t="str">
        <f ca="1"/>
        <v>FREEHOLD TWP N J GO BDS SER. 2017       02.37500% 09/15/2028</v>
      </c>
      <c r="E34" s="61" t="str">
        <f ca="1"/>
        <v>Muni</v>
      </c>
      <c r="F34" s="62">
        <f ca="1"/>
        <v>2.375</v>
      </c>
      <c r="G34" s="63">
        <f ca="1"/>
        <v>47011</v>
      </c>
      <c r="H34" s="61" t="str">
        <f ca="1"/>
        <v>--</v>
      </c>
      <c r="I34" s="61" t="str">
        <f ca="1"/>
        <v>AA+</v>
      </c>
      <c r="J34" s="64">
        <f ca="1"/>
        <v>95.78</v>
      </c>
      <c r="K34" s="17">
        <f ca="1"/>
        <v>3.6440000000000001</v>
      </c>
      <c r="L34" s="18" t="str">
        <f ca="1"/>
        <v>50(10)</v>
      </c>
      <c r="M34" s="83"/>
      <c r="N34" s="84" t="str">
        <f t="shared" si="7"/>
        <v/>
      </c>
      <c r="O34" s="20" t="str">
        <f t="shared" si="8"/>
        <v/>
      </c>
      <c r="P34" s="64" t="str">
        <f t="shared" si="9"/>
        <v/>
      </c>
      <c r="Q34" s="85" t="str">
        <f t="shared" ca="1" si="10"/>
        <v/>
      </c>
      <c r="R34" s="86" t="str">
        <f t="shared" si="11"/>
        <v/>
      </c>
      <c r="S34" s="86" t="str">
        <f t="shared" si="12"/>
        <v/>
      </c>
      <c r="T34" s="104" t="str">
        <f t="shared" si="13"/>
        <v/>
      </c>
      <c r="U34" s="19" t="str">
        <f>IF(AND(M34&lt;&gt;"",M34&lt;&gt;0), IF(E34 = "Muni", T34, IF(E34="Corp", T34*(1 -'Investor Input'!$C$4-'Investor Input'!$C$5), T34*(1 -'Investor Input'!$C$4))), T34)</f>
        <v/>
      </c>
      <c r="V34" s="84" t="str">
        <f t="shared" si="14"/>
        <v/>
      </c>
      <c r="W34" s="84" t="str">
        <f t="shared" si="0"/>
        <v/>
      </c>
      <c r="X34" s="21" t="str">
        <f t="shared" si="1"/>
        <v/>
      </c>
      <c r="Y34" s="60" t="str">
        <f t="shared" si="2"/>
        <v/>
      </c>
      <c r="Z34" s="60" t="str">
        <f t="shared" si="3"/>
        <v/>
      </c>
      <c r="AA34" s="64" t="str">
        <f t="shared" si="4"/>
        <v/>
      </c>
      <c r="AB34" s="64" t="str">
        <f>IF(AND(AA34&lt;&gt;"",AA34&lt;&gt;0), IF(E34="Muni", AA34, IF(E34 = "Corp", (1-'Investor Input'!$C$4-'Investor Input'!$C$5)*AA34, (1-'Investor Input'!$C$4)*AA34)), AA34)</f>
        <v/>
      </c>
      <c r="AC34" s="94" t="str">
        <f t="shared" si="5"/>
        <v/>
      </c>
      <c r="AD34" s="60" t="str">
        <f>IF(AND(M34&lt;&gt;"", M34&lt;&gt;0), N34/$N$505*MATCH(AC34,'Misc Lists'!$K$2:$K$25,0), "")</f>
        <v/>
      </c>
      <c r="AE34" s="90" t="str">
        <f t="shared" si="6"/>
        <v/>
      </c>
      <c r="AF34" s="99" t="str">
        <f>IF(AND(M34&lt;&gt;"", M34&lt;&gt;0), N34/$N$505*MATCH(AE34,'Misc Lists'!$L$2:$L$25,0), "")</f>
        <v/>
      </c>
    </row>
    <row r="35" spans="2:32" hidden="1" outlineLevel="1" x14ac:dyDescent="0.5">
      <c r="B35" s="60" t="str">
        <f ca="1"/>
        <v>622205QK1</v>
      </c>
      <c r="C35" s="61" t="str">
        <f ca="1"/>
        <v>NJ</v>
      </c>
      <c r="D35" s="60" t="str">
        <f ca="1"/>
        <v>MOUNT OLIVE TWP N J GO IMPT WTR SWR UTIL02.00000% 09/15/2028SPL ASSMT BDS SER.  2020</v>
      </c>
      <c r="E35" s="61" t="str">
        <f ca="1"/>
        <v>Muni</v>
      </c>
      <c r="F35" s="62">
        <f ca="1"/>
        <v>2</v>
      </c>
      <c r="G35" s="63">
        <f ca="1"/>
        <v>47011</v>
      </c>
      <c r="H35" s="61" t="str">
        <f ca="1"/>
        <v>--</v>
      </c>
      <c r="I35" s="61" t="str">
        <f ca="1"/>
        <v>AA+</v>
      </c>
      <c r="J35" s="64">
        <f ca="1"/>
        <v>94.546999999999997</v>
      </c>
      <c r="K35" s="17">
        <f ca="1"/>
        <v>3.64</v>
      </c>
      <c r="L35" s="18" t="str">
        <f ca="1"/>
        <v>25(5)</v>
      </c>
      <c r="M35" s="83"/>
      <c r="N35" s="84" t="str">
        <f t="shared" si="7"/>
        <v/>
      </c>
      <c r="O35" s="20" t="str">
        <f t="shared" si="8"/>
        <v/>
      </c>
      <c r="P35" s="64" t="str">
        <f t="shared" si="9"/>
        <v/>
      </c>
      <c r="Q35" s="85" t="str">
        <f t="shared" ca="1" si="10"/>
        <v/>
      </c>
      <c r="R35" s="86" t="str">
        <f t="shared" si="11"/>
        <v/>
      </c>
      <c r="S35" s="86" t="str">
        <f t="shared" si="12"/>
        <v/>
      </c>
      <c r="T35" s="104" t="str">
        <f t="shared" si="13"/>
        <v/>
      </c>
      <c r="U35" s="19" t="str">
        <f>IF(AND(M35&lt;&gt;"",M35&lt;&gt;0), IF(E35 = "Muni", T35, IF(E35="Corp", T35*(1 -'Investor Input'!$C$4-'Investor Input'!$C$5), T35*(1 -'Investor Input'!$C$4))), T35)</f>
        <v/>
      </c>
      <c r="V35" s="84" t="str">
        <f t="shared" si="14"/>
        <v/>
      </c>
      <c r="W35" s="84" t="str">
        <f t="shared" si="0"/>
        <v/>
      </c>
      <c r="X35" s="21" t="str">
        <f t="shared" si="1"/>
        <v/>
      </c>
      <c r="Y35" s="60" t="str">
        <f t="shared" si="2"/>
        <v/>
      </c>
      <c r="Z35" s="60" t="str">
        <f t="shared" si="3"/>
        <v/>
      </c>
      <c r="AA35" s="64" t="str">
        <f t="shared" si="4"/>
        <v/>
      </c>
      <c r="AB35" s="64" t="str">
        <f>IF(AND(AA35&lt;&gt;"",AA35&lt;&gt;0), IF(E35="Muni", AA35, IF(E35 = "Corp", (1-'Investor Input'!$C$4-'Investor Input'!$C$5)*AA35, (1-'Investor Input'!$C$4)*AA35)), AA35)</f>
        <v/>
      </c>
      <c r="AC35" s="94" t="str">
        <f t="shared" si="5"/>
        <v/>
      </c>
      <c r="AD35" s="60" t="str">
        <f>IF(AND(M35&lt;&gt;"", M35&lt;&gt;0), N35/$N$505*MATCH(AC35,'Misc Lists'!$K$2:$K$25,0), "")</f>
        <v/>
      </c>
      <c r="AE35" s="90" t="str">
        <f t="shared" si="6"/>
        <v/>
      </c>
      <c r="AF35" s="99" t="str">
        <f>IF(AND(M35&lt;&gt;"", M35&lt;&gt;0), N35/$N$505*MATCH(AE35,'Misc Lists'!$L$2:$L$25,0), "")</f>
        <v/>
      </c>
    </row>
    <row r="36" spans="2:32" hidden="1" outlineLevel="1" x14ac:dyDescent="0.5">
      <c r="B36" s="60" t="str">
        <f ca="1"/>
        <v>752176GM3</v>
      </c>
      <c r="C36" s="61" t="str">
        <f ca="1"/>
        <v>NJ</v>
      </c>
      <c r="D36" s="60" t="str">
        <f ca="1"/>
        <v>RANCOCAS VALLEY N J REGL HIGH SCH DIST  02.25000% 03/15/2029BDS SER. 2019</v>
      </c>
      <c r="E36" s="61" t="str">
        <f ca="1"/>
        <v>Muni</v>
      </c>
      <c r="F36" s="62">
        <f ca="1"/>
        <v>2.25</v>
      </c>
      <c r="G36" s="63">
        <f ca="1"/>
        <v>47192</v>
      </c>
      <c r="H36" s="61" t="str">
        <f ca="1"/>
        <v>AA2</v>
      </c>
      <c r="I36" s="61" t="str">
        <f ca="1"/>
        <v>--</v>
      </c>
      <c r="J36" s="64">
        <f ca="1"/>
        <v>94.79</v>
      </c>
      <c r="K36" s="17">
        <f ca="1"/>
        <v>3.637</v>
      </c>
      <c r="L36" s="18" t="str">
        <f ca="1"/>
        <v>10(5)</v>
      </c>
      <c r="M36" s="83"/>
      <c r="N36" s="84" t="str">
        <f t="shared" si="7"/>
        <v/>
      </c>
      <c r="O36" s="20" t="str">
        <f t="shared" si="8"/>
        <v/>
      </c>
      <c r="P36" s="64" t="str">
        <f t="shared" si="9"/>
        <v/>
      </c>
      <c r="Q36" s="85" t="str">
        <f t="shared" ca="1" si="10"/>
        <v/>
      </c>
      <c r="R36" s="86" t="str">
        <f t="shared" si="11"/>
        <v/>
      </c>
      <c r="S36" s="86" t="str">
        <f t="shared" si="12"/>
        <v/>
      </c>
      <c r="T36" s="104" t="str">
        <f t="shared" si="13"/>
        <v/>
      </c>
      <c r="U36" s="19" t="str">
        <f>IF(AND(M36&lt;&gt;"",M36&lt;&gt;0), IF(E36 = "Muni", T36, IF(E36="Corp", T36*(1 -'Investor Input'!$C$4-'Investor Input'!$C$5), T36*(1 -'Investor Input'!$C$4))), T36)</f>
        <v/>
      </c>
      <c r="V36" s="84" t="str">
        <f t="shared" si="14"/>
        <v/>
      </c>
      <c r="W36" s="84" t="str">
        <f t="shared" si="0"/>
        <v/>
      </c>
      <c r="X36" s="21" t="str">
        <f t="shared" si="1"/>
        <v/>
      </c>
      <c r="Y36" s="60" t="str">
        <f t="shared" si="2"/>
        <v/>
      </c>
      <c r="Z36" s="60" t="str">
        <f t="shared" si="3"/>
        <v/>
      </c>
      <c r="AA36" s="64" t="str">
        <f t="shared" si="4"/>
        <v/>
      </c>
      <c r="AB36" s="64" t="str">
        <f>IF(AND(AA36&lt;&gt;"",AA36&lt;&gt;0), IF(E36="Muni", AA36, IF(E36 = "Corp", (1-'Investor Input'!$C$4-'Investor Input'!$C$5)*AA36, (1-'Investor Input'!$C$4)*AA36)), AA36)</f>
        <v/>
      </c>
      <c r="AC36" s="94" t="str">
        <f t="shared" si="5"/>
        <v/>
      </c>
      <c r="AD36" s="60" t="str">
        <f>IF(AND(M36&lt;&gt;"", M36&lt;&gt;0), N36/$N$505*MATCH(AC36,'Misc Lists'!$K$2:$K$25,0), "")</f>
        <v/>
      </c>
      <c r="AE36" s="90" t="str">
        <f t="shared" si="6"/>
        <v/>
      </c>
      <c r="AF36" s="99" t="str">
        <f>IF(AND(M36&lt;&gt;"", M36&lt;&gt;0), N36/$N$505*MATCH(AE36,'Misc Lists'!$L$2:$L$25,0), "")</f>
        <v/>
      </c>
    </row>
    <row r="37" spans="2:32" outlineLevel="1" x14ac:dyDescent="0.5">
      <c r="B37" s="60" t="str">
        <f ca="1"/>
        <v>9273962R1</v>
      </c>
      <c r="C37" s="61" t="str">
        <f ca="1"/>
        <v>NJ</v>
      </c>
      <c r="D37" s="60" t="str">
        <f ca="1"/>
        <v>VINELAND N J GO REF BDS                 02.50000% 06/01/2029</v>
      </c>
      <c r="E37" s="61" t="str">
        <f ca="1"/>
        <v>Muni</v>
      </c>
      <c r="F37" s="62">
        <f ca="1"/>
        <v>2.5</v>
      </c>
      <c r="G37" s="63">
        <f ca="1"/>
        <v>47270</v>
      </c>
      <c r="H37" s="61" t="str">
        <f ca="1"/>
        <v>--</v>
      </c>
      <c r="I37" s="61" t="str">
        <f ca="1"/>
        <v>AA</v>
      </c>
      <c r="J37" s="64">
        <f ca="1"/>
        <v>95.653000000000006</v>
      </c>
      <c r="K37" s="17">
        <f ca="1"/>
        <v>3.6030000000000002</v>
      </c>
      <c r="L37" s="18" t="str">
        <f ca="1"/>
        <v>10(10)</v>
      </c>
      <c r="M37" s="83">
        <v>75</v>
      </c>
      <c r="N37" s="84">
        <f t="shared" ca="1" si="7"/>
        <v>71739.75</v>
      </c>
      <c r="O37" s="20">
        <f t="shared" ca="1" si="8"/>
        <v>7.2231291159469288E-2</v>
      </c>
      <c r="P37" s="64">
        <f t="shared" ca="1" si="9"/>
        <v>25</v>
      </c>
      <c r="Q37" s="85">
        <f t="shared" ca="1" si="10"/>
        <v>45791.491364930553</v>
      </c>
      <c r="R37" s="86">
        <f t="shared" ca="1" si="11"/>
        <v>4</v>
      </c>
      <c r="S37" s="86">
        <f t="shared" ca="1" si="12"/>
        <v>3.7573050731643236</v>
      </c>
      <c r="T37" s="104">
        <f t="shared" ca="1" si="13"/>
        <v>3.6652360496144037E-2</v>
      </c>
      <c r="U37" s="19">
        <f ca="1">IF(AND(M37&lt;&gt;"",M37&lt;&gt;0), IF(E37 = "Muni", T37, IF(E37="Corp", T37*(1 -'Investor Input'!$C$4-'Investor Input'!$C$5), T37*(1 -'Investor Input'!$C$4))), T37)</f>
        <v>3.6652360496144037E-2</v>
      </c>
      <c r="V37" s="84">
        <f t="shared" ca="1" si="14"/>
        <v>74805.680571381105</v>
      </c>
      <c r="W37" s="84">
        <f t="shared" ca="1" si="0"/>
        <v>3065.9305713811045</v>
      </c>
      <c r="X37" s="21">
        <f t="shared" ca="1" si="1"/>
        <v>4.2736844934378841E-2</v>
      </c>
      <c r="Y37" s="60">
        <f t="shared" ca="1" si="2"/>
        <v>6</v>
      </c>
      <c r="Z37" s="60">
        <f t="shared" ca="1" si="3"/>
        <v>12</v>
      </c>
      <c r="AA37" s="64">
        <f t="shared" ca="1" si="4"/>
        <v>937.5</v>
      </c>
      <c r="AB37" s="64">
        <f ca="1">IF(AND(AA37&lt;&gt;"",AA37&lt;&gt;0), IF(E37="Muni", AA37, IF(E37 = "Corp", (1-'Investor Input'!$C$4-'Investor Input'!$C$5)*AA37, (1-'Investor Input'!$C$4)*AA37)), AA37)</f>
        <v>937.5</v>
      </c>
      <c r="AC37" s="94" t="str">
        <f t="shared" ca="1" si="5"/>
        <v>--</v>
      </c>
      <c r="AD37" s="60">
        <f ca="1">IF(AND(M37&lt;&gt;"", M37&lt;&gt;0), N37/$N$505*MATCH(AC37,'Misc Lists'!$K$2:$K$25,0), "")</f>
        <v>1.6613196966677937</v>
      </c>
      <c r="AE37" s="90" t="str">
        <f t="shared" ca="1" si="6"/>
        <v>AA</v>
      </c>
      <c r="AF37" s="99">
        <f ca="1">IF(AND(M37&lt;&gt;"", M37&lt;&gt;0), N37/$N$505*MATCH(AE37,'Misc Lists'!$L$2:$L$25,0), "")</f>
        <v>0.28892516463787715</v>
      </c>
    </row>
    <row r="38" spans="2:32" hidden="1" outlineLevel="1" x14ac:dyDescent="0.5">
      <c r="B38" s="60" t="str">
        <f ca="1"/>
        <v>105205LQ9</v>
      </c>
      <c r="C38" s="61" t="str">
        <f ca="1"/>
        <v>NJ</v>
      </c>
      <c r="D38" s="60" t="str">
        <f ca="1"/>
        <v>BRANCHBURG TWP N J  BRD ED REF SCH BDS  02.50000% 07/15/2029SER.2016</v>
      </c>
      <c r="E38" s="61" t="str">
        <f ca="1"/>
        <v>Muni</v>
      </c>
      <c r="F38" s="62">
        <f ca="1"/>
        <v>2.5</v>
      </c>
      <c r="G38" s="63">
        <f ca="1"/>
        <v>47314</v>
      </c>
      <c r="H38" s="61" t="str">
        <f ca="1"/>
        <v>--</v>
      </c>
      <c r="I38" s="61" t="str">
        <f ca="1"/>
        <v>AA+</v>
      </c>
      <c r="J38" s="64">
        <f ca="1"/>
        <v>95.725999999999999</v>
      </c>
      <c r="K38" s="17">
        <f ca="1"/>
        <v>3.556</v>
      </c>
      <c r="L38" s="18" t="str">
        <f ca="1"/>
        <v>20(20)</v>
      </c>
      <c r="M38" s="83"/>
      <c r="N38" s="84" t="str">
        <f t="shared" si="7"/>
        <v/>
      </c>
      <c r="O38" s="20" t="str">
        <f t="shared" si="8"/>
        <v/>
      </c>
      <c r="P38" s="64" t="str">
        <f t="shared" si="9"/>
        <v/>
      </c>
      <c r="Q38" s="85" t="str">
        <f t="shared" ca="1" si="10"/>
        <v/>
      </c>
      <c r="R38" s="86" t="str">
        <f t="shared" si="11"/>
        <v/>
      </c>
      <c r="S38" s="86" t="str">
        <f t="shared" si="12"/>
        <v/>
      </c>
      <c r="T38" s="104" t="str">
        <f t="shared" si="13"/>
        <v/>
      </c>
      <c r="U38" s="19" t="str">
        <f>IF(AND(M38&lt;&gt;"",M38&lt;&gt;0), IF(E38 = "Muni", T38, IF(E38="Corp", T38*(1 -'Investor Input'!$C$4-'Investor Input'!$C$5), T38*(1 -'Investor Input'!$C$4))), T38)</f>
        <v/>
      </c>
      <c r="V38" s="84" t="str">
        <f t="shared" si="14"/>
        <v/>
      </c>
      <c r="W38" s="84" t="str">
        <f t="shared" si="0"/>
        <v/>
      </c>
      <c r="X38" s="21" t="str">
        <f t="shared" si="1"/>
        <v/>
      </c>
      <c r="Y38" s="60" t="str">
        <f t="shared" si="2"/>
        <v/>
      </c>
      <c r="Z38" s="60" t="str">
        <f t="shared" si="3"/>
        <v/>
      </c>
      <c r="AA38" s="64" t="str">
        <f t="shared" si="4"/>
        <v/>
      </c>
      <c r="AB38" s="64" t="str">
        <f>IF(AND(AA38&lt;&gt;"",AA38&lt;&gt;0), IF(E38="Muni", AA38, IF(E38 = "Corp", (1-'Investor Input'!$C$4-'Investor Input'!$C$5)*AA38, (1-'Investor Input'!$C$4)*AA38)), AA38)</f>
        <v/>
      </c>
      <c r="AC38" s="94" t="str">
        <f t="shared" si="5"/>
        <v/>
      </c>
      <c r="AD38" s="60" t="str">
        <f>IF(AND(M38&lt;&gt;"", M38&lt;&gt;0), N38/$N$505*MATCH(AC38,'Misc Lists'!$K$2:$K$25,0), "")</f>
        <v/>
      </c>
      <c r="AE38" s="90" t="str">
        <f t="shared" si="6"/>
        <v/>
      </c>
      <c r="AF38" s="99" t="str">
        <f>IF(AND(M38&lt;&gt;"", M38&lt;&gt;0), N38/$N$505*MATCH(AE38,'Misc Lists'!$L$2:$L$25,0), "")</f>
        <v/>
      </c>
    </row>
    <row r="39" spans="2:32" hidden="1" outlineLevel="1" x14ac:dyDescent="0.5">
      <c r="B39" s="60" t="str">
        <f ca="1"/>
        <v>839091SR7</v>
      </c>
      <c r="C39" s="61" t="str">
        <f ca="1"/>
        <v>NJ</v>
      </c>
      <c r="D39" s="60" t="str">
        <f ca="1"/>
        <v>SOUTH ORANGE &amp; MAPLEWOOD N J SCH   02.00000% 08/15/2029DIST BDS SER. 2021</v>
      </c>
      <c r="E39" s="61" t="str">
        <f ca="1"/>
        <v>Muni</v>
      </c>
      <c r="F39" s="62">
        <f ca="1"/>
        <v>2</v>
      </c>
      <c r="G39" s="63">
        <f ca="1"/>
        <v>47345</v>
      </c>
      <c r="H39" s="61" t="str">
        <f ca="1"/>
        <v>A2</v>
      </c>
      <c r="I39" s="61" t="str">
        <f ca="1"/>
        <v>--</v>
      </c>
      <c r="J39" s="64">
        <f ca="1"/>
        <v>93.644000000000005</v>
      </c>
      <c r="K39" s="17">
        <f ca="1"/>
        <v>3.5430000000000001</v>
      </c>
      <c r="L39" s="18" t="str">
        <f ca="1"/>
        <v>15(15)</v>
      </c>
      <c r="M39" s="83"/>
      <c r="N39" s="84" t="str">
        <f t="shared" si="7"/>
        <v/>
      </c>
      <c r="O39" s="20" t="str">
        <f t="shared" si="8"/>
        <v/>
      </c>
      <c r="P39" s="64" t="str">
        <f t="shared" si="9"/>
        <v/>
      </c>
      <c r="Q39" s="85" t="str">
        <f t="shared" ca="1" si="10"/>
        <v/>
      </c>
      <c r="R39" s="86" t="str">
        <f t="shared" si="11"/>
        <v/>
      </c>
      <c r="S39" s="86" t="str">
        <f t="shared" si="12"/>
        <v/>
      </c>
      <c r="T39" s="104" t="str">
        <f t="shared" si="13"/>
        <v/>
      </c>
      <c r="U39" s="19" t="str">
        <f>IF(AND(M39&lt;&gt;"",M39&lt;&gt;0), IF(E39 = "Muni", T39, IF(E39="Corp", T39*(1 -'Investor Input'!$C$4-'Investor Input'!$C$5), T39*(1 -'Investor Input'!$C$4))), T39)</f>
        <v/>
      </c>
      <c r="V39" s="84" t="str">
        <f t="shared" si="14"/>
        <v/>
      </c>
      <c r="W39" s="84" t="str">
        <f t="shared" si="0"/>
        <v/>
      </c>
      <c r="X39" s="21" t="str">
        <f t="shared" si="1"/>
        <v/>
      </c>
      <c r="Y39" s="60" t="str">
        <f t="shared" si="2"/>
        <v/>
      </c>
      <c r="Z39" s="60" t="str">
        <f t="shared" si="3"/>
        <v/>
      </c>
      <c r="AA39" s="64" t="str">
        <f t="shared" si="4"/>
        <v/>
      </c>
      <c r="AB39" s="64" t="str">
        <f>IF(AND(AA39&lt;&gt;"",AA39&lt;&gt;0), IF(E39="Muni", AA39, IF(E39 = "Corp", (1-'Investor Input'!$C$4-'Investor Input'!$C$5)*AA39, (1-'Investor Input'!$C$4)*AA39)), AA39)</f>
        <v/>
      </c>
      <c r="AC39" s="94" t="str">
        <f t="shared" si="5"/>
        <v/>
      </c>
      <c r="AD39" s="60" t="str">
        <f>IF(AND(M39&lt;&gt;"", M39&lt;&gt;0), N39/$N$505*MATCH(AC39,'Misc Lists'!$K$2:$K$25,0), "")</f>
        <v/>
      </c>
      <c r="AE39" s="90" t="str">
        <f t="shared" si="6"/>
        <v/>
      </c>
      <c r="AF39" s="99" t="str">
        <f>IF(AND(M39&lt;&gt;"", M39&lt;&gt;0), N39/$N$505*MATCH(AE39,'Misc Lists'!$L$2:$L$25,0), "")</f>
        <v/>
      </c>
    </row>
    <row r="40" spans="2:32" hidden="1" outlineLevel="1" x14ac:dyDescent="0.5">
      <c r="B40" s="60" t="str">
        <f ca="1"/>
        <v>954898FX5</v>
      </c>
      <c r="C40" s="61" t="str">
        <f ca="1"/>
        <v>NJ</v>
      </c>
      <c r="D40" s="60" t="str">
        <f ca="1"/>
        <v>WEST ORANGE TWP N J GEN IMPT BDS SER.   02.00000% 08/01/20272019</v>
      </c>
      <c r="E40" s="61" t="str">
        <f ca="1"/>
        <v>Muni</v>
      </c>
      <c r="F40" s="62">
        <f ca="1"/>
        <v>2</v>
      </c>
      <c r="G40" s="63">
        <f ca="1"/>
        <v>46600</v>
      </c>
      <c r="H40" s="61" t="str">
        <f ca="1"/>
        <v>--</v>
      </c>
      <c r="I40" s="61" t="str">
        <f ca="1"/>
        <v>AA</v>
      </c>
      <c r="J40" s="64">
        <f ca="1"/>
        <v>96.411000000000001</v>
      </c>
      <c r="K40" s="17">
        <f ca="1"/>
        <v>3.54</v>
      </c>
      <c r="L40" s="18" t="str">
        <f ca="1"/>
        <v>40(5)</v>
      </c>
      <c r="M40" s="83"/>
      <c r="N40" s="84" t="str">
        <f t="shared" si="7"/>
        <v/>
      </c>
      <c r="O40" s="20" t="str">
        <f t="shared" si="8"/>
        <v/>
      </c>
      <c r="P40" s="64" t="str">
        <f t="shared" si="9"/>
        <v/>
      </c>
      <c r="Q40" s="85" t="str">
        <f t="shared" ca="1" si="10"/>
        <v/>
      </c>
      <c r="R40" s="86" t="str">
        <f t="shared" si="11"/>
        <v/>
      </c>
      <c r="S40" s="86" t="str">
        <f t="shared" si="12"/>
        <v/>
      </c>
      <c r="T40" s="104" t="str">
        <f t="shared" si="13"/>
        <v/>
      </c>
      <c r="U40" s="19" t="str">
        <f>IF(AND(M40&lt;&gt;"",M40&lt;&gt;0), IF(E40 = "Muni", T40, IF(E40="Corp", T40*(1 -'Investor Input'!$C$4-'Investor Input'!$C$5), T40*(1 -'Investor Input'!$C$4))), T40)</f>
        <v/>
      </c>
      <c r="V40" s="84" t="str">
        <f t="shared" si="14"/>
        <v/>
      </c>
      <c r="W40" s="84" t="str">
        <f t="shared" si="0"/>
        <v/>
      </c>
      <c r="X40" s="21" t="str">
        <f t="shared" si="1"/>
        <v/>
      </c>
      <c r="Y40" s="60" t="str">
        <f t="shared" si="2"/>
        <v/>
      </c>
      <c r="Z40" s="60" t="str">
        <f t="shared" si="3"/>
        <v/>
      </c>
      <c r="AA40" s="64" t="str">
        <f t="shared" si="4"/>
        <v/>
      </c>
      <c r="AB40" s="64" t="str">
        <f>IF(AND(AA40&lt;&gt;"",AA40&lt;&gt;0), IF(E40="Muni", AA40, IF(E40 = "Corp", (1-'Investor Input'!$C$4-'Investor Input'!$C$5)*AA40, (1-'Investor Input'!$C$4)*AA40)), AA40)</f>
        <v/>
      </c>
      <c r="AC40" s="94" t="str">
        <f t="shared" si="5"/>
        <v/>
      </c>
      <c r="AD40" s="60" t="str">
        <f>IF(AND(M40&lt;&gt;"", M40&lt;&gt;0), N40/$N$505*MATCH(AC40,'Misc Lists'!$K$2:$K$25,0), "")</f>
        <v/>
      </c>
      <c r="AE40" s="90" t="str">
        <f t="shared" si="6"/>
        <v/>
      </c>
      <c r="AF40" s="99" t="str">
        <f>IF(AND(M40&lt;&gt;"", M40&lt;&gt;0), N40/$N$505*MATCH(AE40,'Misc Lists'!$L$2:$L$25,0), "")</f>
        <v/>
      </c>
    </row>
    <row r="41" spans="2:32" hidden="1" outlineLevel="1" x14ac:dyDescent="0.5">
      <c r="B41" s="60" t="str">
        <f ca="1"/>
        <v>6460668A1</v>
      </c>
      <c r="C41" s="61" t="str">
        <f ca="1"/>
        <v>NJ</v>
      </c>
      <c r="D41" s="60" t="str">
        <f ca="1"/>
        <v>NEW JERSEY ST EDL   FACS AUTH REV REF   03.37500% 07/01/2029BDS COLLEGE OF NEW  JERSEY SER. 2015G</v>
      </c>
      <c r="E41" s="61" t="str">
        <f ca="1"/>
        <v>Muni</v>
      </c>
      <c r="F41" s="62">
        <f ca="1"/>
        <v>3.375</v>
      </c>
      <c r="G41" s="63">
        <f ca="1"/>
        <v>47300</v>
      </c>
      <c r="H41" s="61" t="str">
        <f ca="1"/>
        <v>--</v>
      </c>
      <c r="I41" s="61" t="str">
        <f ca="1"/>
        <v>A</v>
      </c>
      <c r="J41" s="64">
        <f ca="1"/>
        <v>99.335999999999999</v>
      </c>
      <c r="K41" s="17">
        <f ca="1"/>
        <v>3.54</v>
      </c>
      <c r="L41" s="18" t="str">
        <f ca="1"/>
        <v>20(20)</v>
      </c>
      <c r="M41" s="83"/>
      <c r="N41" s="84" t="str">
        <f t="shared" si="7"/>
        <v/>
      </c>
      <c r="O41" s="20" t="str">
        <f t="shared" si="8"/>
        <v/>
      </c>
      <c r="P41" s="64" t="str">
        <f t="shared" si="9"/>
        <v/>
      </c>
      <c r="Q41" s="85" t="str">
        <f t="shared" ca="1" si="10"/>
        <v/>
      </c>
      <c r="R41" s="86" t="str">
        <f t="shared" si="11"/>
        <v/>
      </c>
      <c r="S41" s="86" t="str">
        <f t="shared" si="12"/>
        <v/>
      </c>
      <c r="T41" s="104" t="str">
        <f t="shared" si="13"/>
        <v/>
      </c>
      <c r="U41" s="19" t="str">
        <f>IF(AND(M41&lt;&gt;"",M41&lt;&gt;0), IF(E41 = "Muni", T41, IF(E41="Corp", T41*(1 -'Investor Input'!$C$4-'Investor Input'!$C$5), T41*(1 -'Investor Input'!$C$4))), T41)</f>
        <v/>
      </c>
      <c r="V41" s="84" t="str">
        <f t="shared" si="14"/>
        <v/>
      </c>
      <c r="W41" s="84" t="str">
        <f t="shared" si="0"/>
        <v/>
      </c>
      <c r="X41" s="21" t="str">
        <f t="shared" si="1"/>
        <v/>
      </c>
      <c r="Y41" s="60" t="str">
        <f t="shared" si="2"/>
        <v/>
      </c>
      <c r="Z41" s="60" t="str">
        <f t="shared" si="3"/>
        <v/>
      </c>
      <c r="AA41" s="64" t="str">
        <f t="shared" si="4"/>
        <v/>
      </c>
      <c r="AB41" s="64" t="str">
        <f>IF(AND(AA41&lt;&gt;"",AA41&lt;&gt;0), IF(E41="Muni", AA41, IF(E41 = "Corp", (1-'Investor Input'!$C$4-'Investor Input'!$C$5)*AA41, (1-'Investor Input'!$C$4)*AA41)), AA41)</f>
        <v/>
      </c>
      <c r="AC41" s="94" t="str">
        <f t="shared" si="5"/>
        <v/>
      </c>
      <c r="AD41" s="60" t="str">
        <f>IF(AND(M41&lt;&gt;"", M41&lt;&gt;0), N41/$N$505*MATCH(AC41,'Misc Lists'!$K$2:$K$25,0), "")</f>
        <v/>
      </c>
      <c r="AE41" s="90" t="str">
        <f t="shared" si="6"/>
        <v/>
      </c>
      <c r="AF41" s="99" t="str">
        <f>IF(AND(M41&lt;&gt;"", M41&lt;&gt;0), N41/$N$505*MATCH(AE41,'Misc Lists'!$L$2:$L$25,0), "")</f>
        <v/>
      </c>
    </row>
    <row r="42" spans="2:32" hidden="1" outlineLevel="1" x14ac:dyDescent="0.5">
      <c r="B42" s="60" t="str">
        <f ca="1"/>
        <v>084275GC4</v>
      </c>
      <c r="C42" s="61" t="str">
        <f ca="1"/>
        <v>NJ</v>
      </c>
      <c r="D42" s="60" t="str">
        <f ca="1"/>
        <v>BERKELEY HEIGHTS TWPN J SCH DIST GO REF 05.00000% 03/01/2025SCH BDS SER. 2014</v>
      </c>
      <c r="E42" s="61" t="str">
        <f ca="1"/>
        <v>Muni</v>
      </c>
      <c r="F42" s="62">
        <f ca="1"/>
        <v>5</v>
      </c>
      <c r="G42" s="63">
        <f ca="1"/>
        <v>45717</v>
      </c>
      <c r="H42" s="61" t="str">
        <f ca="1"/>
        <v>--</v>
      </c>
      <c r="I42" s="61" t="str">
        <f ca="1"/>
        <v>AA+</v>
      </c>
      <c r="J42" s="64">
        <f ca="1"/>
        <v>100.05</v>
      </c>
      <c r="K42" s="17">
        <f ca="1"/>
        <v>3.532</v>
      </c>
      <c r="L42" s="18" t="str">
        <f ca="1"/>
        <v>5(5)</v>
      </c>
      <c r="M42" s="83"/>
      <c r="N42" s="84" t="str">
        <f t="shared" si="7"/>
        <v/>
      </c>
      <c r="O42" s="20" t="str">
        <f t="shared" si="8"/>
        <v/>
      </c>
      <c r="P42" s="64" t="str">
        <f t="shared" si="9"/>
        <v/>
      </c>
      <c r="Q42" s="85" t="str">
        <f t="shared" ca="1" si="10"/>
        <v/>
      </c>
      <c r="R42" s="86" t="str">
        <f t="shared" si="11"/>
        <v/>
      </c>
      <c r="S42" s="86" t="str">
        <f t="shared" si="12"/>
        <v/>
      </c>
      <c r="T42" s="104" t="str">
        <f t="shared" si="13"/>
        <v/>
      </c>
      <c r="U42" s="19" t="str">
        <f>IF(AND(M42&lt;&gt;"",M42&lt;&gt;0), IF(E42 = "Muni", T42, IF(E42="Corp", T42*(1 -'Investor Input'!$C$4-'Investor Input'!$C$5), T42*(1 -'Investor Input'!$C$4))), T42)</f>
        <v/>
      </c>
      <c r="V42" s="84" t="str">
        <f t="shared" si="14"/>
        <v/>
      </c>
      <c r="W42" s="84" t="str">
        <f t="shared" si="0"/>
        <v/>
      </c>
      <c r="X42" s="21" t="str">
        <f t="shared" si="1"/>
        <v/>
      </c>
      <c r="Y42" s="60" t="str">
        <f t="shared" si="2"/>
        <v/>
      </c>
      <c r="Z42" s="60" t="str">
        <f t="shared" si="3"/>
        <v/>
      </c>
      <c r="AA42" s="64" t="str">
        <f t="shared" si="4"/>
        <v/>
      </c>
      <c r="AB42" s="64" t="str">
        <f>IF(AND(AA42&lt;&gt;"",AA42&lt;&gt;0), IF(E42="Muni", AA42, IF(E42 = "Corp", (1-'Investor Input'!$C$4-'Investor Input'!$C$5)*AA42, (1-'Investor Input'!$C$4)*AA42)), AA42)</f>
        <v/>
      </c>
      <c r="AC42" s="94" t="str">
        <f t="shared" si="5"/>
        <v/>
      </c>
      <c r="AD42" s="60" t="str">
        <f>IF(AND(M42&lt;&gt;"", M42&lt;&gt;0), N42/$N$505*MATCH(AC42,'Misc Lists'!$K$2:$K$25,0), "")</f>
        <v/>
      </c>
      <c r="AE42" s="90" t="str">
        <f t="shared" si="6"/>
        <v/>
      </c>
      <c r="AF42" s="99" t="str">
        <f>IF(AND(M42&lt;&gt;"", M42&lt;&gt;0), N42/$N$505*MATCH(AE42,'Misc Lists'!$L$2:$L$25,0), "")</f>
        <v/>
      </c>
    </row>
    <row r="43" spans="2:32" outlineLevel="1" x14ac:dyDescent="0.5">
      <c r="B43" s="60" t="str">
        <f ca="1"/>
        <v>230561B35</v>
      </c>
      <c r="C43" s="61" t="str">
        <f ca="1"/>
        <v>NJ</v>
      </c>
      <c r="D43" s="60" t="str">
        <f ca="1"/>
        <v>CUMBERLAND CNTY N J GO COLLEGE IMPT BDS 02.00000% 05/15/2027SER. 2021</v>
      </c>
      <c r="E43" s="61" t="str">
        <f ca="1"/>
        <v>Muni</v>
      </c>
      <c r="F43" s="62">
        <f ca="1"/>
        <v>2</v>
      </c>
      <c r="G43" s="63">
        <f ca="1"/>
        <v>46522</v>
      </c>
      <c r="H43" s="61" t="str">
        <f ca="1"/>
        <v>--</v>
      </c>
      <c r="I43" s="61" t="str">
        <f ca="1"/>
        <v>AA-</v>
      </c>
      <c r="J43" s="64">
        <f ca="1"/>
        <v>96.722999999999999</v>
      </c>
      <c r="K43" s="17">
        <f ca="1"/>
        <v>3.532</v>
      </c>
      <c r="L43" s="18" t="str">
        <f ca="1"/>
        <v>60(10)</v>
      </c>
      <c r="M43" s="83">
        <v>60</v>
      </c>
      <c r="N43" s="84">
        <f t="shared" ca="1" si="7"/>
        <v>58033.8</v>
      </c>
      <c r="O43" s="20">
        <f t="shared" ca="1" si="8"/>
        <v>5.8431431736107382E-2</v>
      </c>
      <c r="P43" s="64">
        <f t="shared" ca="1" si="9"/>
        <v>20</v>
      </c>
      <c r="Q43" s="85">
        <f t="shared" ca="1" si="10"/>
        <v>45791.491364930553</v>
      </c>
      <c r="R43" s="86">
        <f t="shared" ca="1" si="11"/>
        <v>2</v>
      </c>
      <c r="S43" s="86">
        <f t="shared" ca="1" si="12"/>
        <v>1.9187834571624411</v>
      </c>
      <c r="T43" s="104">
        <f t="shared" ca="1" si="13"/>
        <v>3.7129255148528037E-2</v>
      </c>
      <c r="U43" s="19">
        <f ca="1">IF(AND(M43&lt;&gt;"",M43&lt;&gt;0), IF(E43 = "Muni", T43, IF(E43="Corp", T43*(1 -'Investor Input'!$C$4-'Investor Input'!$C$5), T43*(1 -'Investor Input'!$C$4))), T43)</f>
        <v>3.7129255148528037E-2</v>
      </c>
      <c r="V43" s="84">
        <f t="shared" ca="1" si="14"/>
        <v>59780.118950742806</v>
      </c>
      <c r="W43" s="84">
        <f t="shared" ca="1" si="0"/>
        <v>1746.3189507428033</v>
      </c>
      <c r="X43" s="21">
        <f t="shared" ca="1" si="1"/>
        <v>3.0091411397199619E-2</v>
      </c>
      <c r="Y43" s="60">
        <f t="shared" ca="1" si="2"/>
        <v>5</v>
      </c>
      <c r="Z43" s="60">
        <f t="shared" ca="1" si="3"/>
        <v>11</v>
      </c>
      <c r="AA43" s="64">
        <f t="shared" ca="1" si="4"/>
        <v>600</v>
      </c>
      <c r="AB43" s="64">
        <f ca="1">IF(AND(AA43&lt;&gt;"",AA43&lt;&gt;0), IF(E43="Muni", AA43, IF(E43 = "Corp", (1-'Investor Input'!$C$4-'Investor Input'!$C$5)*AA43, (1-'Investor Input'!$C$4)*AA43)), AA43)</f>
        <v>600</v>
      </c>
      <c r="AC43" s="94" t="str">
        <f t="shared" ca="1" si="5"/>
        <v>--</v>
      </c>
      <c r="AD43" s="60">
        <f ca="1">IF(AND(M43&lt;&gt;"", M43&lt;&gt;0), N43/$N$505*MATCH(AC43,'Misc Lists'!$K$2:$K$25,0), "")</f>
        <v>1.3439229299304698</v>
      </c>
      <c r="AE43" s="90" t="str">
        <f t="shared" ca="1" si="6"/>
        <v>AA-</v>
      </c>
      <c r="AF43" s="99">
        <f ca="1">IF(AND(M43&lt;&gt;"", M43&lt;&gt;0), N43/$N$505*MATCH(AE43,'Misc Lists'!$L$2:$L$25,0), "")</f>
        <v>0.29215715868053693</v>
      </c>
    </row>
    <row r="44" spans="2:32" outlineLevel="1" x14ac:dyDescent="0.5">
      <c r="B44" s="60" t="str">
        <f ca="1"/>
        <v>611312NC9</v>
      </c>
      <c r="C44" s="61" t="str">
        <f ca="1"/>
        <v>NJ</v>
      </c>
      <c r="D44" s="60" t="str">
        <f ca="1"/>
        <v>MONROE TWP N J      MIDDLESEX CNTY IMPT 02.00000% 06/01/2026WTR SWR UTIL GO BDS SER. 2021</v>
      </c>
      <c r="E44" s="61" t="str">
        <f ca="1"/>
        <v>Muni</v>
      </c>
      <c r="F44" s="62">
        <f ca="1"/>
        <v>2</v>
      </c>
      <c r="G44" s="63">
        <f ca="1"/>
        <v>46174</v>
      </c>
      <c r="H44" s="61" t="str">
        <f ca="1"/>
        <v>--</v>
      </c>
      <c r="I44" s="61" t="str">
        <f ca="1"/>
        <v>AA+</v>
      </c>
      <c r="J44" s="64">
        <f ca="1"/>
        <v>98.12</v>
      </c>
      <c r="K44" s="17">
        <f ca="1"/>
        <v>3.5059999999999998</v>
      </c>
      <c r="L44" s="18" t="str">
        <f ca="1"/>
        <v>10(5)</v>
      </c>
      <c r="M44" s="83">
        <v>20</v>
      </c>
      <c r="N44" s="84">
        <f t="shared" ca="1" si="7"/>
        <v>19624</v>
      </c>
      <c r="O44" s="20">
        <f t="shared" ca="1" si="8"/>
        <v>1.9758458284471654E-2</v>
      </c>
      <c r="P44" s="64">
        <f t="shared" ca="1" si="9"/>
        <v>20</v>
      </c>
      <c r="Q44" s="85">
        <f t="shared" ca="1" si="10"/>
        <v>45791.491364930553</v>
      </c>
      <c r="R44" s="86">
        <f t="shared" ca="1" si="11"/>
        <v>1</v>
      </c>
      <c r="S44" s="86">
        <f t="shared" ca="1" si="12"/>
        <v>1.0144549464854467</v>
      </c>
      <c r="T44" s="104">
        <f t="shared" ca="1" si="13"/>
        <v>3.8480496863385963E-2</v>
      </c>
      <c r="U44" s="19">
        <f ca="1">IF(AND(M44&lt;&gt;"",M44&lt;&gt;0), IF(E44 = "Muni", T44, IF(E44="Corp", T44*(1 -'Investor Input'!$C$4-'Investor Input'!$C$5), T44*(1 -'Investor Input'!$C$4))), T44)</f>
        <v>3.8480496863385963E-2</v>
      </c>
      <c r="V44" s="84">
        <f t="shared" ca="1" si="14"/>
        <v>19928.734306988561</v>
      </c>
      <c r="W44" s="84">
        <f t="shared" ca="1" si="0"/>
        <v>304.734306988561</v>
      </c>
      <c r="X44" s="21">
        <f t="shared" ca="1" si="1"/>
        <v>1.5528654045483132E-2</v>
      </c>
      <c r="Y44" s="60">
        <f t="shared" ca="1" si="2"/>
        <v>6</v>
      </c>
      <c r="Z44" s="60">
        <f t="shared" ca="1" si="3"/>
        <v>12</v>
      </c>
      <c r="AA44" s="64">
        <f t="shared" ca="1" si="4"/>
        <v>200</v>
      </c>
      <c r="AB44" s="64">
        <f ca="1">IF(AND(AA44&lt;&gt;"",AA44&lt;&gt;0), IF(E44="Muni", AA44, IF(E44 = "Corp", (1-'Investor Input'!$C$4-'Investor Input'!$C$5)*AA44, (1-'Investor Input'!$C$4)*AA44)), AA44)</f>
        <v>200</v>
      </c>
      <c r="AC44" s="94" t="str">
        <f t="shared" ca="1" si="5"/>
        <v>--</v>
      </c>
      <c r="AD44" s="60">
        <f ca="1">IF(AND(M44&lt;&gt;"", M44&lt;&gt;0), N44/$N$505*MATCH(AC44,'Misc Lists'!$K$2:$K$25,0), "")</f>
        <v>0.45444454054284805</v>
      </c>
      <c r="AE44" s="90" t="str">
        <f t="shared" ca="1" si="6"/>
        <v>AA+</v>
      </c>
      <c r="AF44" s="99">
        <f ca="1">IF(AND(M44&lt;&gt;"", M44&lt;&gt;0), N44/$N$505*MATCH(AE44,'Misc Lists'!$L$2:$L$25,0), "")</f>
        <v>5.9275374853414962E-2</v>
      </c>
    </row>
    <row r="45" spans="2:32" hidden="1" outlineLevel="1" x14ac:dyDescent="0.5">
      <c r="B45" s="60" t="str">
        <f ca="1"/>
        <v>303171DS8</v>
      </c>
      <c r="C45" s="61" t="str">
        <f ca="1"/>
        <v>NJ</v>
      </c>
      <c r="D45" s="60" t="str">
        <f ca="1"/>
        <v>FAIR HAVEN BORO N J SCH DIST BDS SER.   02.50000% 08/15/20282019</v>
      </c>
      <c r="E45" s="61" t="str">
        <f ca="1"/>
        <v>Muni</v>
      </c>
      <c r="F45" s="62">
        <f ca="1"/>
        <v>2.5</v>
      </c>
      <c r="G45" s="63">
        <f ca="1"/>
        <v>46980</v>
      </c>
      <c r="H45" s="61" t="str">
        <f ca="1"/>
        <v>--</v>
      </c>
      <c r="I45" s="61" t="str">
        <f ca="1"/>
        <v>AA+</v>
      </c>
      <c r="J45" s="64">
        <f ca="1"/>
        <v>96.728999999999999</v>
      </c>
      <c r="K45" s="17">
        <f ca="1"/>
        <v>3.5030000000000001</v>
      </c>
      <c r="L45" s="18" t="str">
        <f ca="1"/>
        <v>25(10)</v>
      </c>
      <c r="M45" s="83"/>
      <c r="N45" s="84" t="str">
        <f t="shared" si="7"/>
        <v/>
      </c>
      <c r="O45" s="20" t="str">
        <f t="shared" si="8"/>
        <v/>
      </c>
      <c r="P45" s="64" t="str">
        <f t="shared" si="9"/>
        <v/>
      </c>
      <c r="Q45" s="85" t="str">
        <f t="shared" ca="1" si="10"/>
        <v/>
      </c>
      <c r="R45" s="86" t="str">
        <f t="shared" si="11"/>
        <v/>
      </c>
      <c r="S45" s="86" t="str">
        <f t="shared" si="12"/>
        <v/>
      </c>
      <c r="T45" s="104" t="str">
        <f t="shared" si="13"/>
        <v/>
      </c>
      <c r="U45" s="19" t="str">
        <f>IF(AND(M45&lt;&gt;"",M45&lt;&gt;0), IF(E45 = "Muni", T45, IF(E45="Corp", T45*(1 -'Investor Input'!$C$4-'Investor Input'!$C$5), T45*(1 -'Investor Input'!$C$4))), T45)</f>
        <v/>
      </c>
      <c r="V45" s="84" t="str">
        <f t="shared" si="14"/>
        <v/>
      </c>
      <c r="W45" s="84" t="str">
        <f t="shared" si="0"/>
        <v/>
      </c>
      <c r="X45" s="21" t="str">
        <f t="shared" si="1"/>
        <v/>
      </c>
      <c r="Y45" s="60" t="str">
        <f t="shared" si="2"/>
        <v/>
      </c>
      <c r="Z45" s="60" t="str">
        <f t="shared" si="3"/>
        <v/>
      </c>
      <c r="AA45" s="64" t="str">
        <f t="shared" si="4"/>
        <v/>
      </c>
      <c r="AB45" s="64" t="str">
        <f>IF(AND(AA45&lt;&gt;"",AA45&lt;&gt;0), IF(E45="Muni", AA45, IF(E45 = "Corp", (1-'Investor Input'!$C$4-'Investor Input'!$C$5)*AA45, (1-'Investor Input'!$C$4)*AA45)), AA45)</f>
        <v/>
      </c>
      <c r="AC45" s="94" t="str">
        <f t="shared" si="5"/>
        <v/>
      </c>
      <c r="AD45" s="60" t="str">
        <f>IF(AND(M45&lt;&gt;"", M45&lt;&gt;0), N45/$N$505*MATCH(AC45,'Misc Lists'!$K$2:$K$25,0), "")</f>
        <v/>
      </c>
      <c r="AE45" s="90" t="str">
        <f t="shared" si="6"/>
        <v/>
      </c>
      <c r="AF45" s="99" t="str">
        <f>IF(AND(M45&lt;&gt;"", M45&lt;&gt;0), N45/$N$505*MATCH(AE45,'Misc Lists'!$L$2:$L$25,0), "")</f>
        <v/>
      </c>
    </row>
    <row r="46" spans="2:32" hidden="1" outlineLevel="1" x14ac:dyDescent="0.5">
      <c r="B46" s="60" t="str">
        <f ca="1"/>
        <v>912828Z37</v>
      </c>
      <c r="C46" s="61" t="str">
        <f ca="1"/>
        <v>N/A</v>
      </c>
      <c r="D46" s="60" t="str">
        <f ca="1"/>
        <v>UNITED STATES TREAS NTS SER A-2030      0.12500% 01/15/2030</v>
      </c>
      <c r="E46" s="61" t="str">
        <f ca="1"/>
        <v>TIPS</v>
      </c>
      <c r="F46" s="62">
        <f ca="1"/>
        <v>0.125</v>
      </c>
      <c r="G46" s="63">
        <f ca="1"/>
        <v>47498</v>
      </c>
      <c r="H46" s="61" t="str">
        <f ca="1"/>
        <v>AAA</v>
      </c>
      <c r="I46" s="61" t="str">
        <f ca="1"/>
        <v>--</v>
      </c>
      <c r="J46" s="64">
        <f ca="1"/>
        <v>92.421000000000006</v>
      </c>
      <c r="K46" s="17">
        <f ca="1"/>
        <v>1.7430000000000001</v>
      </c>
      <c r="L46" s="18" t="str">
        <f ca="1"/>
        <v>N/A</v>
      </c>
      <c r="M46" s="83"/>
      <c r="N46" s="84" t="str">
        <f t="shared" si="7"/>
        <v/>
      </c>
      <c r="O46" s="20" t="str">
        <f t="shared" si="8"/>
        <v/>
      </c>
      <c r="P46" s="64" t="str">
        <f t="shared" si="9"/>
        <v/>
      </c>
      <c r="Q46" s="85" t="str">
        <f t="shared" ca="1" si="10"/>
        <v/>
      </c>
      <c r="R46" s="86" t="str">
        <f t="shared" si="11"/>
        <v/>
      </c>
      <c r="S46" s="86" t="str">
        <f t="shared" si="12"/>
        <v/>
      </c>
      <c r="T46" s="104" t="str">
        <f t="shared" si="13"/>
        <v/>
      </c>
      <c r="U46" s="19" t="str">
        <f>IF(AND(M46&lt;&gt;"",M46&lt;&gt;0), IF(E46 = "Muni", T46, IF(E46="Corp", T46*(1 -'Investor Input'!$C$4-'Investor Input'!$C$5), T46*(1 -'Investor Input'!$C$4))), T46)</f>
        <v/>
      </c>
      <c r="V46" s="84" t="str">
        <f t="shared" si="14"/>
        <v/>
      </c>
      <c r="W46" s="84" t="str">
        <f t="shared" si="0"/>
        <v/>
      </c>
      <c r="X46" s="21" t="str">
        <f t="shared" si="1"/>
        <v/>
      </c>
      <c r="Y46" s="60" t="str">
        <f t="shared" si="2"/>
        <v/>
      </c>
      <c r="Z46" s="60" t="str">
        <f t="shared" si="3"/>
        <v/>
      </c>
      <c r="AA46" s="64" t="str">
        <f t="shared" si="4"/>
        <v/>
      </c>
      <c r="AB46" s="64" t="str">
        <f>IF(AND(AA46&lt;&gt;"",AA46&lt;&gt;0), IF(E46="Muni", AA46, IF(E46 = "Corp", (1-'Investor Input'!$C$4-'Investor Input'!$C$5)*AA46, (1-'Investor Input'!$C$4)*AA46)), AA46)</f>
        <v/>
      </c>
      <c r="AC46" s="94" t="str">
        <f t="shared" si="5"/>
        <v/>
      </c>
      <c r="AD46" s="60" t="str">
        <f>IF(AND(M46&lt;&gt;"", M46&lt;&gt;0), N46/$N$505*MATCH(AC46,'Misc Lists'!$K$2:$K$25,0), "")</f>
        <v/>
      </c>
      <c r="AE46" s="90" t="str">
        <f t="shared" si="6"/>
        <v/>
      </c>
      <c r="AF46" s="99" t="str">
        <f>IF(AND(M46&lt;&gt;"", M46&lt;&gt;0), N46/$N$505*MATCH(AE46,'Misc Lists'!$L$2:$L$25,0), "")</f>
        <v/>
      </c>
    </row>
    <row r="47" spans="2:32" hidden="1" outlineLevel="1" x14ac:dyDescent="0.5">
      <c r="B47" s="60" t="str">
        <f ca="1"/>
        <v>91282CKL4</v>
      </c>
      <c r="C47" s="61" t="str">
        <f ca="1"/>
        <v>N/A</v>
      </c>
      <c r="D47" s="60" t="str">
        <f ca="1"/>
        <v>UNITED STATES TREAS NTS SER X-2029      2.12500% 04/15/2029</v>
      </c>
      <c r="E47" s="61" t="str">
        <f ca="1"/>
        <v>TIPS</v>
      </c>
      <c r="F47" s="62">
        <f ca="1"/>
        <v>2.125</v>
      </c>
      <c r="G47" s="63">
        <f ca="1"/>
        <v>47223</v>
      </c>
      <c r="H47" s="61" t="str">
        <f ca="1"/>
        <v>AAA</v>
      </c>
      <c r="I47" s="61" t="str">
        <f ca="1"/>
        <v>--</v>
      </c>
      <c r="J47" s="64">
        <f ca="1"/>
        <v>101.539</v>
      </c>
      <c r="K47" s="17">
        <f ca="1"/>
        <v>1.7390000000000001</v>
      </c>
      <c r="L47" s="18" t="str">
        <f ca="1"/>
        <v>N/A</v>
      </c>
      <c r="M47" s="83"/>
      <c r="N47" s="84" t="str">
        <f t="shared" si="7"/>
        <v/>
      </c>
      <c r="O47" s="20" t="str">
        <f t="shared" si="8"/>
        <v/>
      </c>
      <c r="P47" s="64" t="str">
        <f t="shared" si="9"/>
        <v/>
      </c>
      <c r="Q47" s="85" t="str">
        <f t="shared" ca="1" si="10"/>
        <v/>
      </c>
      <c r="R47" s="86" t="str">
        <f t="shared" si="11"/>
        <v/>
      </c>
      <c r="S47" s="86" t="str">
        <f t="shared" si="12"/>
        <v/>
      </c>
      <c r="T47" s="104" t="str">
        <f t="shared" si="13"/>
        <v/>
      </c>
      <c r="U47" s="19" t="str">
        <f>IF(AND(M47&lt;&gt;"",M47&lt;&gt;0), IF(E47 = "Muni", T47, IF(E47="Corp", T47*(1 -'Investor Input'!$C$4-'Investor Input'!$C$5), T47*(1 -'Investor Input'!$C$4))), T47)</f>
        <v/>
      </c>
      <c r="V47" s="84" t="str">
        <f t="shared" si="14"/>
        <v/>
      </c>
      <c r="W47" s="84" t="str">
        <f t="shared" si="0"/>
        <v/>
      </c>
      <c r="X47" s="21" t="str">
        <f t="shared" si="1"/>
        <v/>
      </c>
      <c r="Y47" s="60" t="str">
        <f t="shared" si="2"/>
        <v/>
      </c>
      <c r="Z47" s="60" t="str">
        <f t="shared" si="3"/>
        <v/>
      </c>
      <c r="AA47" s="64" t="str">
        <f t="shared" si="4"/>
        <v/>
      </c>
      <c r="AB47" s="64" t="str">
        <f>IF(AND(AA47&lt;&gt;"",AA47&lt;&gt;0), IF(E47="Muni", AA47, IF(E47 = "Corp", (1-'Investor Input'!$C$4-'Investor Input'!$C$5)*AA47, (1-'Investor Input'!$C$4)*AA47)), AA47)</f>
        <v/>
      </c>
      <c r="AC47" s="94" t="str">
        <f t="shared" si="5"/>
        <v/>
      </c>
      <c r="AD47" s="60" t="str">
        <f>IF(AND(M47&lt;&gt;"", M47&lt;&gt;0), N47/$N$505*MATCH(AC47,'Misc Lists'!$K$2:$K$25,0), "")</f>
        <v/>
      </c>
      <c r="AE47" s="90" t="str">
        <f t="shared" si="6"/>
        <v/>
      </c>
      <c r="AF47" s="99" t="str">
        <f>IF(AND(M47&lt;&gt;"", M47&lt;&gt;0), N47/$N$505*MATCH(AE47,'Misc Lists'!$L$2:$L$25,0), "")</f>
        <v/>
      </c>
    </row>
    <row r="48" spans="2:32" hidden="1" outlineLevel="1" x14ac:dyDescent="0.5">
      <c r="B48" s="60" t="str">
        <f ca="1"/>
        <v>912810FH6</v>
      </c>
      <c r="C48" s="61" t="str">
        <f ca="1"/>
        <v>N/A</v>
      </c>
      <c r="D48" s="60" t="str">
        <f ca="1"/>
        <v>UNITED STATES TREAS BDS                 3.87500% 04/15/2029</v>
      </c>
      <c r="E48" s="61" t="str">
        <f ca="1"/>
        <v>TIPS</v>
      </c>
      <c r="F48" s="62">
        <f ca="1"/>
        <v>3.875</v>
      </c>
      <c r="G48" s="63">
        <f ca="1"/>
        <v>47223</v>
      </c>
      <c r="H48" s="61" t="str">
        <f ca="1"/>
        <v>AAA</v>
      </c>
      <c r="I48" s="61" t="str">
        <f ca="1"/>
        <v>--</v>
      </c>
      <c r="J48" s="64">
        <f ca="1"/>
        <v>108.65600000000001</v>
      </c>
      <c r="K48" s="17">
        <f ca="1"/>
        <v>1.7070000000000001</v>
      </c>
      <c r="L48" s="18" t="str">
        <f ca="1"/>
        <v>N/A</v>
      </c>
      <c r="M48" s="83"/>
      <c r="N48" s="84" t="str">
        <f t="shared" si="7"/>
        <v/>
      </c>
      <c r="O48" s="20" t="str">
        <f t="shared" si="8"/>
        <v/>
      </c>
      <c r="P48" s="64" t="str">
        <f t="shared" si="9"/>
        <v/>
      </c>
      <c r="Q48" s="85" t="str">
        <f t="shared" ca="1" si="10"/>
        <v/>
      </c>
      <c r="R48" s="86" t="str">
        <f t="shared" si="11"/>
        <v/>
      </c>
      <c r="S48" s="86" t="str">
        <f t="shared" si="12"/>
        <v/>
      </c>
      <c r="T48" s="104" t="str">
        <f t="shared" si="13"/>
        <v/>
      </c>
      <c r="U48" s="19" t="str">
        <f>IF(AND(M48&lt;&gt;"",M48&lt;&gt;0), IF(E48 = "Muni", T48, IF(E48="Corp", T48*(1 -'Investor Input'!$C$4-'Investor Input'!$C$5), T48*(1 -'Investor Input'!$C$4))), T48)</f>
        <v/>
      </c>
      <c r="V48" s="84" t="str">
        <f t="shared" si="14"/>
        <v/>
      </c>
      <c r="W48" s="84" t="str">
        <f t="shared" si="0"/>
        <v/>
      </c>
      <c r="X48" s="21" t="str">
        <f t="shared" si="1"/>
        <v/>
      </c>
      <c r="Y48" s="60" t="str">
        <f t="shared" si="2"/>
        <v/>
      </c>
      <c r="Z48" s="60" t="str">
        <f t="shared" si="3"/>
        <v/>
      </c>
      <c r="AA48" s="64" t="str">
        <f t="shared" si="4"/>
        <v/>
      </c>
      <c r="AB48" s="64" t="str">
        <f>IF(AND(AA48&lt;&gt;"",AA48&lt;&gt;0), IF(E48="Muni", AA48, IF(E48 = "Corp", (1-'Investor Input'!$C$4-'Investor Input'!$C$5)*AA48, (1-'Investor Input'!$C$4)*AA48)), AA48)</f>
        <v/>
      </c>
      <c r="AC48" s="94" t="str">
        <f t="shared" si="5"/>
        <v/>
      </c>
      <c r="AD48" s="60" t="str">
        <f>IF(AND(M48&lt;&gt;"", M48&lt;&gt;0), N48/$N$505*MATCH(AC48,'Misc Lists'!$K$2:$K$25,0), "")</f>
        <v/>
      </c>
      <c r="AE48" s="90" t="str">
        <f t="shared" si="6"/>
        <v/>
      </c>
      <c r="AF48" s="99" t="str">
        <f>IF(AND(M48&lt;&gt;"", M48&lt;&gt;0), N48/$N$505*MATCH(AE48,'Misc Lists'!$L$2:$L$25,0), "")</f>
        <v/>
      </c>
    </row>
    <row r="49" spans="2:32" hidden="1" outlineLevel="1" x14ac:dyDescent="0.5">
      <c r="B49" s="60" t="str">
        <f ca="1"/>
        <v>9128285W6</v>
      </c>
      <c r="C49" s="61" t="str">
        <f ca="1"/>
        <v>N/A</v>
      </c>
      <c r="D49" s="60" t="str">
        <f ca="1"/>
        <v>UNITED STATES TREAS NTS SER A-2029      0.87500% 01/15/2029</v>
      </c>
      <c r="E49" s="61" t="str">
        <f ca="1"/>
        <v>TIPS</v>
      </c>
      <c r="F49" s="62">
        <f ca="1"/>
        <v>0.875</v>
      </c>
      <c r="G49" s="63">
        <f ca="1"/>
        <v>47133</v>
      </c>
      <c r="H49" s="61" t="str">
        <f ca="1"/>
        <v>AAA</v>
      </c>
      <c r="I49" s="61" t="str">
        <f ca="1"/>
        <v>--</v>
      </c>
      <c r="J49" s="64">
        <f ca="1"/>
        <v>96.968000000000004</v>
      </c>
      <c r="K49" s="17">
        <f ca="1"/>
        <v>1.68</v>
      </c>
      <c r="L49" s="18" t="str">
        <f ca="1"/>
        <v>N/A</v>
      </c>
      <c r="M49" s="83"/>
      <c r="N49" s="84" t="str">
        <f t="shared" si="7"/>
        <v/>
      </c>
      <c r="O49" s="20" t="str">
        <f t="shared" si="8"/>
        <v/>
      </c>
      <c r="P49" s="64" t="str">
        <f t="shared" si="9"/>
        <v/>
      </c>
      <c r="Q49" s="85" t="str">
        <f t="shared" ca="1" si="10"/>
        <v/>
      </c>
      <c r="R49" s="86" t="str">
        <f t="shared" si="11"/>
        <v/>
      </c>
      <c r="S49" s="86" t="str">
        <f t="shared" si="12"/>
        <v/>
      </c>
      <c r="T49" s="104" t="str">
        <f t="shared" si="13"/>
        <v/>
      </c>
      <c r="U49" s="19" t="str">
        <f>IF(AND(M49&lt;&gt;"",M49&lt;&gt;0), IF(E49 = "Muni", T49, IF(E49="Corp", T49*(1 -'Investor Input'!$C$4-'Investor Input'!$C$5), T49*(1 -'Investor Input'!$C$4))), T49)</f>
        <v/>
      </c>
      <c r="V49" s="84" t="str">
        <f t="shared" si="14"/>
        <v/>
      </c>
      <c r="W49" s="84" t="str">
        <f t="shared" si="0"/>
        <v/>
      </c>
      <c r="X49" s="21" t="str">
        <f t="shared" si="1"/>
        <v/>
      </c>
      <c r="Y49" s="60" t="str">
        <f t="shared" si="2"/>
        <v/>
      </c>
      <c r="Z49" s="60" t="str">
        <f t="shared" si="3"/>
        <v/>
      </c>
      <c r="AA49" s="64" t="str">
        <f t="shared" si="4"/>
        <v/>
      </c>
      <c r="AB49" s="64" t="str">
        <f>IF(AND(AA49&lt;&gt;"",AA49&lt;&gt;0), IF(E49="Muni", AA49, IF(E49 = "Corp", (1-'Investor Input'!$C$4-'Investor Input'!$C$5)*AA49, (1-'Investor Input'!$C$4)*AA49)), AA49)</f>
        <v/>
      </c>
      <c r="AC49" s="94" t="str">
        <f t="shared" si="5"/>
        <v/>
      </c>
      <c r="AD49" s="60" t="str">
        <f>IF(AND(M49&lt;&gt;"", M49&lt;&gt;0), N49/$N$505*MATCH(AC49,'Misc Lists'!$K$2:$K$25,0), "")</f>
        <v/>
      </c>
      <c r="AE49" s="90" t="str">
        <f t="shared" si="6"/>
        <v/>
      </c>
      <c r="AF49" s="99" t="str">
        <f>IF(AND(M49&lt;&gt;"", M49&lt;&gt;0), N49/$N$505*MATCH(AE49,'Misc Lists'!$L$2:$L$25,0), "")</f>
        <v/>
      </c>
    </row>
    <row r="50" spans="2:32" hidden="1" outlineLevel="1" x14ac:dyDescent="0.5">
      <c r="B50" s="60" t="str">
        <f ca="1"/>
        <v>91282CLV1</v>
      </c>
      <c r="C50" s="61" t="str">
        <f ca="1"/>
        <v>N/A</v>
      </c>
      <c r="D50" s="60" t="str">
        <f ca="1"/>
        <v>UNITED STATES TREAS NTS SER AE-2029     1.62500% 10/15/2029</v>
      </c>
      <c r="E50" s="61" t="str">
        <f ca="1"/>
        <v>TIPS</v>
      </c>
      <c r="F50" s="62">
        <f ca="1"/>
        <v>1.625</v>
      </c>
      <c r="G50" s="63">
        <f ca="1"/>
        <v>47406</v>
      </c>
      <c r="H50" s="61" t="str">
        <f ca="1"/>
        <v>AAA</v>
      </c>
      <c r="I50" s="61" t="str">
        <f ca="1"/>
        <v>--</v>
      </c>
      <c r="J50" s="64">
        <f ca="1"/>
        <v>99.828000000000003</v>
      </c>
      <c r="K50" s="17">
        <f ca="1"/>
        <v>1.663</v>
      </c>
      <c r="L50" s="18" t="str">
        <f ca="1"/>
        <v>N/A</v>
      </c>
      <c r="M50" s="83"/>
      <c r="N50" s="84" t="str">
        <f t="shared" si="7"/>
        <v/>
      </c>
      <c r="O50" s="20" t="str">
        <f t="shared" si="8"/>
        <v/>
      </c>
      <c r="P50" s="64" t="str">
        <f t="shared" si="9"/>
        <v/>
      </c>
      <c r="Q50" s="85" t="str">
        <f t="shared" ca="1" si="10"/>
        <v/>
      </c>
      <c r="R50" s="86" t="str">
        <f t="shared" si="11"/>
        <v/>
      </c>
      <c r="S50" s="86" t="str">
        <f t="shared" si="12"/>
        <v/>
      </c>
      <c r="T50" s="104" t="str">
        <f t="shared" si="13"/>
        <v/>
      </c>
      <c r="U50" s="19" t="str">
        <f>IF(AND(M50&lt;&gt;"",M50&lt;&gt;0), IF(E50 = "Muni", T50, IF(E50="Corp", T50*(1 -'Investor Input'!$C$4-'Investor Input'!$C$5), T50*(1 -'Investor Input'!$C$4))), T50)</f>
        <v/>
      </c>
      <c r="V50" s="84" t="str">
        <f t="shared" si="14"/>
        <v/>
      </c>
      <c r="W50" s="84" t="str">
        <f t="shared" si="0"/>
        <v/>
      </c>
      <c r="X50" s="21" t="str">
        <f t="shared" si="1"/>
        <v/>
      </c>
      <c r="Y50" s="60" t="str">
        <f t="shared" si="2"/>
        <v/>
      </c>
      <c r="Z50" s="60" t="str">
        <f t="shared" si="3"/>
        <v/>
      </c>
      <c r="AA50" s="64" t="str">
        <f t="shared" si="4"/>
        <v/>
      </c>
      <c r="AB50" s="64" t="str">
        <f>IF(AND(AA50&lt;&gt;"",AA50&lt;&gt;0), IF(E50="Muni", AA50, IF(E50 = "Corp", (1-'Investor Input'!$C$4-'Investor Input'!$C$5)*AA50, (1-'Investor Input'!$C$4)*AA50)), AA50)</f>
        <v/>
      </c>
      <c r="AC50" s="94" t="str">
        <f t="shared" si="5"/>
        <v/>
      </c>
      <c r="AD50" s="60" t="str">
        <f>IF(AND(M50&lt;&gt;"", M50&lt;&gt;0), N50/$N$505*MATCH(AC50,'Misc Lists'!$K$2:$K$25,0), "")</f>
        <v/>
      </c>
      <c r="AE50" s="90" t="str">
        <f t="shared" si="6"/>
        <v/>
      </c>
      <c r="AF50" s="99" t="str">
        <f>IF(AND(M50&lt;&gt;"", M50&lt;&gt;0), N50/$N$505*MATCH(AE50,'Misc Lists'!$L$2:$L$25,0), "")</f>
        <v/>
      </c>
    </row>
    <row r="51" spans="2:32" hidden="1" outlineLevel="1" x14ac:dyDescent="0.5">
      <c r="B51" s="60" t="str">
        <f ca="1"/>
        <v>91282CGW5</v>
      </c>
      <c r="C51" s="61" t="str">
        <f ca="1"/>
        <v>N/A</v>
      </c>
      <c r="D51" s="60" t="str">
        <f ca="1"/>
        <v>UNITED STATES TREAS NTS SER X-2028      1.25000% 04/15/2028</v>
      </c>
      <c r="E51" s="61" t="str">
        <f ca="1"/>
        <v>TIPS</v>
      </c>
      <c r="F51" s="62">
        <f ca="1"/>
        <v>1.25</v>
      </c>
      <c r="G51" s="63">
        <f ca="1"/>
        <v>46858</v>
      </c>
      <c r="H51" s="61" t="str">
        <f ca="1"/>
        <v>AAA</v>
      </c>
      <c r="I51" s="61" t="str">
        <f ca="1"/>
        <v>--</v>
      </c>
      <c r="J51" s="64">
        <f ca="1"/>
        <v>98.804000000000002</v>
      </c>
      <c r="K51" s="17">
        <f ca="1"/>
        <v>1.64</v>
      </c>
      <c r="L51" s="18" t="str">
        <f ca="1"/>
        <v>N/A</v>
      </c>
      <c r="M51" s="83"/>
      <c r="N51" s="84" t="str">
        <f t="shared" si="7"/>
        <v/>
      </c>
      <c r="O51" s="20" t="str">
        <f t="shared" si="8"/>
        <v/>
      </c>
      <c r="P51" s="64" t="str">
        <f t="shared" si="9"/>
        <v/>
      </c>
      <c r="Q51" s="85" t="str">
        <f t="shared" ca="1" si="10"/>
        <v/>
      </c>
      <c r="R51" s="86" t="str">
        <f t="shared" si="11"/>
        <v/>
      </c>
      <c r="S51" s="86" t="str">
        <f t="shared" si="12"/>
        <v/>
      </c>
      <c r="T51" s="104" t="str">
        <f t="shared" si="13"/>
        <v/>
      </c>
      <c r="U51" s="19" t="str">
        <f>IF(AND(M51&lt;&gt;"",M51&lt;&gt;0), IF(E51 = "Muni", T51, IF(E51="Corp", T51*(1 -'Investor Input'!$C$4-'Investor Input'!$C$5), T51*(1 -'Investor Input'!$C$4))), T51)</f>
        <v/>
      </c>
      <c r="V51" s="84" t="str">
        <f t="shared" si="14"/>
        <v/>
      </c>
      <c r="W51" s="84" t="str">
        <f t="shared" si="0"/>
        <v/>
      </c>
      <c r="X51" s="21" t="str">
        <f t="shared" si="1"/>
        <v/>
      </c>
      <c r="Y51" s="60" t="str">
        <f t="shared" si="2"/>
        <v/>
      </c>
      <c r="Z51" s="60" t="str">
        <f t="shared" si="3"/>
        <v/>
      </c>
      <c r="AA51" s="64" t="str">
        <f t="shared" si="4"/>
        <v/>
      </c>
      <c r="AB51" s="64" t="str">
        <f>IF(AND(AA51&lt;&gt;"",AA51&lt;&gt;0), IF(E51="Muni", AA51, IF(E51 = "Corp", (1-'Investor Input'!$C$4-'Investor Input'!$C$5)*AA51, (1-'Investor Input'!$C$4)*AA51)), AA51)</f>
        <v/>
      </c>
      <c r="AC51" s="94" t="str">
        <f t="shared" si="5"/>
        <v/>
      </c>
      <c r="AD51" s="60" t="str">
        <f>IF(AND(M51&lt;&gt;"", M51&lt;&gt;0), N51/$N$505*MATCH(AC51,'Misc Lists'!$K$2:$K$25,0), "")</f>
        <v/>
      </c>
      <c r="AE51" s="90" t="str">
        <f t="shared" si="6"/>
        <v/>
      </c>
      <c r="AF51" s="99" t="str">
        <f>IF(AND(M51&lt;&gt;"", M51&lt;&gt;0), N51/$N$505*MATCH(AE51,'Misc Lists'!$L$2:$L$25,0), "")</f>
        <v/>
      </c>
    </row>
    <row r="52" spans="2:32" hidden="1" outlineLevel="1" x14ac:dyDescent="0.5">
      <c r="B52" s="60" t="str">
        <f ca="1"/>
        <v>9128287D6</v>
      </c>
      <c r="C52" s="61" t="str">
        <f ca="1"/>
        <v>N/A</v>
      </c>
      <c r="D52" s="60" t="str">
        <f ca="1"/>
        <v>UNITED STATES TREAS NTS SER D-2029      0.25000% 07/15/2029</v>
      </c>
      <c r="E52" s="61" t="str">
        <f ca="1"/>
        <v>TIPS</v>
      </c>
      <c r="F52" s="62">
        <f ca="1"/>
        <v>0.25</v>
      </c>
      <c r="G52" s="63">
        <f ca="1"/>
        <v>47314</v>
      </c>
      <c r="H52" s="61" t="str">
        <f ca="1"/>
        <v>AAA</v>
      </c>
      <c r="I52" s="61" t="str">
        <f ca="1"/>
        <v>--</v>
      </c>
      <c r="J52" s="64">
        <f ca="1"/>
        <v>94.242000000000004</v>
      </c>
      <c r="K52" s="17">
        <f ca="1"/>
        <v>1.6080000000000001</v>
      </c>
      <c r="L52" s="18" t="str">
        <f ca="1"/>
        <v>N/A</v>
      </c>
      <c r="M52" s="83"/>
      <c r="N52" s="84" t="str">
        <f t="shared" si="7"/>
        <v/>
      </c>
      <c r="O52" s="20" t="str">
        <f t="shared" si="8"/>
        <v/>
      </c>
      <c r="P52" s="64" t="str">
        <f t="shared" si="9"/>
        <v/>
      </c>
      <c r="Q52" s="85" t="str">
        <f t="shared" ca="1" si="10"/>
        <v/>
      </c>
      <c r="R52" s="86" t="str">
        <f t="shared" si="11"/>
        <v/>
      </c>
      <c r="S52" s="86" t="str">
        <f t="shared" si="12"/>
        <v/>
      </c>
      <c r="T52" s="104" t="str">
        <f t="shared" si="13"/>
        <v/>
      </c>
      <c r="U52" s="19" t="str">
        <f>IF(AND(M52&lt;&gt;"",M52&lt;&gt;0), IF(E52 = "Muni", T52, IF(E52="Corp", T52*(1 -'Investor Input'!$C$4-'Investor Input'!$C$5), T52*(1 -'Investor Input'!$C$4))), T52)</f>
        <v/>
      </c>
      <c r="V52" s="84" t="str">
        <f t="shared" si="14"/>
        <v/>
      </c>
      <c r="W52" s="84" t="str">
        <f t="shared" si="0"/>
        <v/>
      </c>
      <c r="X52" s="21" t="str">
        <f t="shared" si="1"/>
        <v/>
      </c>
      <c r="Y52" s="60" t="str">
        <f t="shared" si="2"/>
        <v/>
      </c>
      <c r="Z52" s="60" t="str">
        <f t="shared" si="3"/>
        <v/>
      </c>
      <c r="AA52" s="64" t="str">
        <f t="shared" si="4"/>
        <v/>
      </c>
      <c r="AB52" s="64" t="str">
        <f>IF(AND(AA52&lt;&gt;"",AA52&lt;&gt;0), IF(E52="Muni", AA52, IF(E52 = "Corp", (1-'Investor Input'!$C$4-'Investor Input'!$C$5)*AA52, (1-'Investor Input'!$C$4)*AA52)), AA52)</f>
        <v/>
      </c>
      <c r="AC52" s="94" t="str">
        <f t="shared" si="5"/>
        <v/>
      </c>
      <c r="AD52" s="60" t="str">
        <f>IF(AND(M52&lt;&gt;"", M52&lt;&gt;0), N52/$N$505*MATCH(AC52,'Misc Lists'!$K$2:$K$25,0), "")</f>
        <v/>
      </c>
      <c r="AE52" s="90" t="str">
        <f t="shared" si="6"/>
        <v/>
      </c>
      <c r="AF52" s="99" t="str">
        <f>IF(AND(M52&lt;&gt;"", M52&lt;&gt;0), N52/$N$505*MATCH(AE52,'Misc Lists'!$L$2:$L$25,0), "")</f>
        <v/>
      </c>
    </row>
    <row r="53" spans="2:32" hidden="1" outlineLevel="1" x14ac:dyDescent="0.5">
      <c r="B53" s="60" t="str">
        <f ca="1"/>
        <v>91282CJH5</v>
      </c>
      <c r="C53" s="61" t="str">
        <f ca="1"/>
        <v>N/A</v>
      </c>
      <c r="D53" s="60" t="str">
        <f ca="1"/>
        <v>UNITED STATES TREAS NTS SER AE-2028     2.37500% 10/15/2028</v>
      </c>
      <c r="E53" s="61" t="str">
        <f ca="1"/>
        <v>TIPS</v>
      </c>
      <c r="F53" s="62">
        <f ca="1"/>
        <v>2.375</v>
      </c>
      <c r="G53" s="63">
        <f ca="1"/>
        <v>47041</v>
      </c>
      <c r="H53" s="61" t="str">
        <f ca="1"/>
        <v>AAA</v>
      </c>
      <c r="I53" s="61" t="str">
        <f ca="1"/>
        <v>--</v>
      </c>
      <c r="J53" s="64">
        <f ca="1"/>
        <v>102.88200000000001</v>
      </c>
      <c r="K53" s="17">
        <f ca="1"/>
        <v>1.56</v>
      </c>
      <c r="L53" s="18" t="str">
        <f ca="1"/>
        <v>N/A</v>
      </c>
      <c r="M53" s="83"/>
      <c r="N53" s="84" t="str">
        <f t="shared" si="7"/>
        <v/>
      </c>
      <c r="O53" s="20" t="str">
        <f t="shared" si="8"/>
        <v/>
      </c>
      <c r="P53" s="64" t="str">
        <f t="shared" si="9"/>
        <v/>
      </c>
      <c r="Q53" s="85" t="str">
        <f t="shared" ca="1" si="10"/>
        <v/>
      </c>
      <c r="R53" s="86" t="str">
        <f t="shared" si="11"/>
        <v/>
      </c>
      <c r="S53" s="86" t="str">
        <f t="shared" si="12"/>
        <v/>
      </c>
      <c r="T53" s="104" t="str">
        <f t="shared" si="13"/>
        <v/>
      </c>
      <c r="U53" s="19" t="str">
        <f>IF(AND(M53&lt;&gt;"",M53&lt;&gt;0), IF(E53 = "Muni", T53, IF(E53="Corp", T53*(1 -'Investor Input'!$C$4-'Investor Input'!$C$5), T53*(1 -'Investor Input'!$C$4))), T53)</f>
        <v/>
      </c>
      <c r="V53" s="84" t="str">
        <f t="shared" si="14"/>
        <v/>
      </c>
      <c r="W53" s="84" t="str">
        <f t="shared" si="0"/>
        <v/>
      </c>
      <c r="X53" s="21" t="str">
        <f t="shared" si="1"/>
        <v/>
      </c>
      <c r="Y53" s="60" t="str">
        <f t="shared" si="2"/>
        <v/>
      </c>
      <c r="Z53" s="60" t="str">
        <f t="shared" si="3"/>
        <v/>
      </c>
      <c r="AA53" s="64" t="str">
        <f t="shared" si="4"/>
        <v/>
      </c>
      <c r="AB53" s="64" t="str">
        <f>IF(AND(AA53&lt;&gt;"",AA53&lt;&gt;0), IF(E53="Muni", AA53, IF(E53 = "Corp", (1-'Investor Input'!$C$4-'Investor Input'!$C$5)*AA53, (1-'Investor Input'!$C$4)*AA53)), AA53)</f>
        <v/>
      </c>
      <c r="AC53" s="94" t="str">
        <f t="shared" si="5"/>
        <v/>
      </c>
      <c r="AD53" s="60" t="str">
        <f>IF(AND(M53&lt;&gt;"", M53&lt;&gt;0), N53/$N$505*MATCH(AC53,'Misc Lists'!$K$2:$K$25,0), "")</f>
        <v/>
      </c>
      <c r="AE53" s="90" t="str">
        <f t="shared" si="6"/>
        <v/>
      </c>
      <c r="AF53" s="99" t="str">
        <f>IF(AND(M53&lt;&gt;"", M53&lt;&gt;0), N53/$N$505*MATCH(AE53,'Misc Lists'!$L$2:$L$25,0), "")</f>
        <v/>
      </c>
    </row>
    <row r="54" spans="2:32" hidden="1" outlineLevel="1" x14ac:dyDescent="0.5">
      <c r="B54" s="60" t="str">
        <f ca="1"/>
        <v>9128283R9</v>
      </c>
      <c r="C54" s="61" t="str">
        <f ca="1"/>
        <v>N/A</v>
      </c>
      <c r="D54" s="60" t="str">
        <f ca="1"/>
        <v>UNITED STATES TREAS NTS SER A-2028      0.50000% 01/15/2028</v>
      </c>
      <c r="E54" s="61" t="str">
        <f ca="1"/>
        <v>TIPS</v>
      </c>
      <c r="F54" s="62">
        <f ca="1"/>
        <v>0.5</v>
      </c>
      <c r="G54" s="63">
        <f ca="1"/>
        <v>46767</v>
      </c>
      <c r="H54" s="61" t="str">
        <f ca="1"/>
        <v>AAA</v>
      </c>
      <c r="I54" s="61" t="str">
        <f ca="1"/>
        <v>--</v>
      </c>
      <c r="J54" s="64">
        <f ca="1"/>
        <v>97.007000000000005</v>
      </c>
      <c r="K54" s="17">
        <f ca="1"/>
        <v>1.5569999999999999</v>
      </c>
      <c r="L54" s="18" t="str">
        <f ca="1"/>
        <v>N/A</v>
      </c>
      <c r="M54" s="83"/>
      <c r="N54" s="84" t="str">
        <f t="shared" si="7"/>
        <v/>
      </c>
      <c r="O54" s="20" t="str">
        <f t="shared" si="8"/>
        <v/>
      </c>
      <c r="P54" s="64" t="str">
        <f t="shared" si="9"/>
        <v/>
      </c>
      <c r="Q54" s="85" t="str">
        <f t="shared" ca="1" si="10"/>
        <v/>
      </c>
      <c r="R54" s="86" t="str">
        <f t="shared" si="11"/>
        <v/>
      </c>
      <c r="S54" s="86" t="str">
        <f t="shared" si="12"/>
        <v/>
      </c>
      <c r="T54" s="104" t="str">
        <f t="shared" si="13"/>
        <v/>
      </c>
      <c r="U54" s="19" t="str">
        <f>IF(AND(M54&lt;&gt;"",M54&lt;&gt;0), IF(E54 = "Muni", T54, IF(E54="Corp", T54*(1 -'Investor Input'!$C$4-'Investor Input'!$C$5), T54*(1 -'Investor Input'!$C$4))), T54)</f>
        <v/>
      </c>
      <c r="V54" s="84" t="str">
        <f t="shared" si="14"/>
        <v/>
      </c>
      <c r="W54" s="84" t="str">
        <f t="shared" si="0"/>
        <v/>
      </c>
      <c r="X54" s="21" t="str">
        <f t="shared" si="1"/>
        <v/>
      </c>
      <c r="Y54" s="60" t="str">
        <f t="shared" si="2"/>
        <v/>
      </c>
      <c r="Z54" s="60" t="str">
        <f t="shared" si="3"/>
        <v/>
      </c>
      <c r="AA54" s="64" t="str">
        <f t="shared" si="4"/>
        <v/>
      </c>
      <c r="AB54" s="64" t="str">
        <f>IF(AND(AA54&lt;&gt;"",AA54&lt;&gt;0), IF(E54="Muni", AA54, IF(E54 = "Corp", (1-'Investor Input'!$C$4-'Investor Input'!$C$5)*AA54, (1-'Investor Input'!$C$4)*AA54)), AA54)</f>
        <v/>
      </c>
      <c r="AC54" s="94" t="str">
        <f t="shared" si="5"/>
        <v/>
      </c>
      <c r="AD54" s="60" t="str">
        <f>IF(AND(M54&lt;&gt;"", M54&lt;&gt;0), N54/$N$505*MATCH(AC54,'Misc Lists'!$K$2:$K$25,0), "")</f>
        <v/>
      </c>
      <c r="AE54" s="90" t="str">
        <f t="shared" si="6"/>
        <v/>
      </c>
      <c r="AF54" s="99" t="str">
        <f>IF(AND(M54&lt;&gt;"", M54&lt;&gt;0), N54/$N$505*MATCH(AE54,'Misc Lists'!$L$2:$L$25,0), "")</f>
        <v/>
      </c>
    </row>
    <row r="55" spans="2:32" hidden="1" outlineLevel="1" x14ac:dyDescent="0.5">
      <c r="B55" s="60" t="str">
        <f ca="1"/>
        <v>912810PV4</v>
      </c>
      <c r="C55" s="61" t="str">
        <f ca="1"/>
        <v>N/A</v>
      </c>
      <c r="D55" s="60" t="str">
        <f ca="1"/>
        <v>UNITED STATES       TREASURY            1.75000% 01/15/2028</v>
      </c>
      <c r="E55" s="61" t="str">
        <f ca="1"/>
        <v>TIPS</v>
      </c>
      <c r="F55" s="62">
        <f ca="1"/>
        <v>1.75</v>
      </c>
      <c r="G55" s="63">
        <f ca="1"/>
        <v>46767</v>
      </c>
      <c r="H55" s="61" t="str">
        <f ca="1"/>
        <v>AAA</v>
      </c>
      <c r="I55" s="61" t="str">
        <f ca="1"/>
        <v>--</v>
      </c>
      <c r="J55" s="64">
        <f ca="1"/>
        <v>100.578</v>
      </c>
      <c r="K55" s="17">
        <f ca="1"/>
        <v>1.5449999999999999</v>
      </c>
      <c r="L55" s="18" t="str">
        <f ca="1"/>
        <v>N/A</v>
      </c>
      <c r="M55" s="83"/>
      <c r="N55" s="84" t="str">
        <f t="shared" si="7"/>
        <v/>
      </c>
      <c r="O55" s="20" t="str">
        <f t="shared" si="8"/>
        <v/>
      </c>
      <c r="P55" s="64" t="str">
        <f t="shared" si="9"/>
        <v/>
      </c>
      <c r="Q55" s="85" t="str">
        <f t="shared" ca="1" si="10"/>
        <v/>
      </c>
      <c r="R55" s="86" t="str">
        <f t="shared" si="11"/>
        <v/>
      </c>
      <c r="S55" s="86" t="str">
        <f t="shared" si="12"/>
        <v/>
      </c>
      <c r="T55" s="104" t="str">
        <f t="shared" si="13"/>
        <v/>
      </c>
      <c r="U55" s="19" t="str">
        <f>IF(AND(M55&lt;&gt;"",M55&lt;&gt;0), IF(E55 = "Muni", T55, IF(E55="Corp", T55*(1 -'Investor Input'!$C$4-'Investor Input'!$C$5), T55*(1 -'Investor Input'!$C$4))), T55)</f>
        <v/>
      </c>
      <c r="V55" s="84" t="str">
        <f t="shared" si="14"/>
        <v/>
      </c>
      <c r="W55" s="84" t="str">
        <f t="shared" si="0"/>
        <v/>
      </c>
      <c r="X55" s="21" t="str">
        <f t="shared" si="1"/>
        <v/>
      </c>
      <c r="Y55" s="60" t="str">
        <f t="shared" si="2"/>
        <v/>
      </c>
      <c r="Z55" s="60" t="str">
        <f t="shared" si="3"/>
        <v/>
      </c>
      <c r="AA55" s="64" t="str">
        <f t="shared" si="4"/>
        <v/>
      </c>
      <c r="AB55" s="64" t="str">
        <f>IF(AND(AA55&lt;&gt;"",AA55&lt;&gt;0), IF(E55="Muni", AA55, IF(E55 = "Corp", (1-'Investor Input'!$C$4-'Investor Input'!$C$5)*AA55, (1-'Investor Input'!$C$4)*AA55)), AA55)</f>
        <v/>
      </c>
      <c r="AC55" s="94" t="str">
        <f t="shared" si="5"/>
        <v/>
      </c>
      <c r="AD55" s="60" t="str">
        <f>IF(AND(M55&lt;&gt;"", M55&lt;&gt;0), N55/$N$505*MATCH(AC55,'Misc Lists'!$K$2:$K$25,0), "")</f>
        <v/>
      </c>
      <c r="AE55" s="90" t="str">
        <f t="shared" si="6"/>
        <v/>
      </c>
      <c r="AF55" s="99" t="str">
        <f>IF(AND(M55&lt;&gt;"", M55&lt;&gt;0), N55/$N$505*MATCH(AE55,'Misc Lists'!$L$2:$L$25,0), "")</f>
        <v/>
      </c>
    </row>
    <row r="56" spans="2:32" hidden="1" outlineLevel="1" x14ac:dyDescent="0.5">
      <c r="B56" s="60" t="str">
        <f ca="1"/>
        <v>912828Y38</v>
      </c>
      <c r="C56" s="61" t="str">
        <f ca="1"/>
        <v>N/A</v>
      </c>
      <c r="D56" s="60" t="str">
        <f ca="1"/>
        <v>UNITED STATES TREAS NTS SER D-2028      0.75000% 07/15/2028</v>
      </c>
      <c r="E56" s="61" t="str">
        <f ca="1"/>
        <v>TIPS</v>
      </c>
      <c r="F56" s="62">
        <f ca="1"/>
        <v>0.75</v>
      </c>
      <c r="G56" s="63">
        <f ca="1"/>
        <v>46949</v>
      </c>
      <c r="H56" s="61" t="str">
        <f ca="1"/>
        <v>AAA</v>
      </c>
      <c r="I56" s="61" t="str">
        <f ca="1"/>
        <v>--</v>
      </c>
      <c r="J56" s="64">
        <f ca="1"/>
        <v>97.515000000000001</v>
      </c>
      <c r="K56" s="17">
        <f ca="1"/>
        <v>1.5009999999999999</v>
      </c>
      <c r="L56" s="18" t="str">
        <f ca="1"/>
        <v>N/A</v>
      </c>
      <c r="M56" s="83"/>
      <c r="N56" s="84" t="str">
        <f t="shared" si="7"/>
        <v/>
      </c>
      <c r="O56" s="20" t="str">
        <f t="shared" si="8"/>
        <v/>
      </c>
      <c r="P56" s="64" t="str">
        <f t="shared" si="9"/>
        <v/>
      </c>
      <c r="Q56" s="85" t="str">
        <f t="shared" ca="1" si="10"/>
        <v/>
      </c>
      <c r="R56" s="86" t="str">
        <f t="shared" si="11"/>
        <v/>
      </c>
      <c r="S56" s="86" t="str">
        <f t="shared" si="12"/>
        <v/>
      </c>
      <c r="T56" s="104" t="str">
        <f t="shared" si="13"/>
        <v/>
      </c>
      <c r="U56" s="19" t="str">
        <f>IF(AND(M56&lt;&gt;"",M56&lt;&gt;0), IF(E56 = "Muni", T56, IF(E56="Corp", T56*(1 -'Investor Input'!$C$4-'Investor Input'!$C$5), T56*(1 -'Investor Input'!$C$4))), T56)</f>
        <v/>
      </c>
      <c r="V56" s="84" t="str">
        <f t="shared" si="14"/>
        <v/>
      </c>
      <c r="W56" s="84" t="str">
        <f t="shared" si="0"/>
        <v/>
      </c>
      <c r="X56" s="21" t="str">
        <f t="shared" si="1"/>
        <v/>
      </c>
      <c r="Y56" s="60" t="str">
        <f t="shared" si="2"/>
        <v/>
      </c>
      <c r="Z56" s="60" t="str">
        <f t="shared" si="3"/>
        <v/>
      </c>
      <c r="AA56" s="64" t="str">
        <f t="shared" si="4"/>
        <v/>
      </c>
      <c r="AB56" s="64" t="str">
        <f>IF(AND(AA56&lt;&gt;"",AA56&lt;&gt;0), IF(E56="Muni", AA56, IF(E56 = "Corp", (1-'Investor Input'!$C$4-'Investor Input'!$C$5)*AA56, (1-'Investor Input'!$C$4)*AA56)), AA56)</f>
        <v/>
      </c>
      <c r="AC56" s="94" t="str">
        <f t="shared" si="5"/>
        <v/>
      </c>
      <c r="AD56" s="60" t="str">
        <f>IF(AND(M56&lt;&gt;"", M56&lt;&gt;0), N56/$N$505*MATCH(AC56,'Misc Lists'!$K$2:$K$25,0), "")</f>
        <v/>
      </c>
      <c r="AE56" s="90" t="str">
        <f t="shared" si="6"/>
        <v/>
      </c>
      <c r="AF56" s="99" t="str">
        <f>IF(AND(M56&lt;&gt;"", M56&lt;&gt;0), N56/$N$505*MATCH(AE56,'Misc Lists'!$L$2:$L$25,0), "")</f>
        <v/>
      </c>
    </row>
    <row r="57" spans="2:32" hidden="1" outlineLevel="1" x14ac:dyDescent="0.5">
      <c r="B57" s="60" t="str">
        <f ca="1"/>
        <v>91282CEJ6</v>
      </c>
      <c r="C57" s="61" t="str">
        <f ca="1"/>
        <v>N/A</v>
      </c>
      <c r="D57" s="60" t="str">
        <f ca="1"/>
        <v>UNITED STATES TREAS NTS SER X-2027      0.12500% 04/15/2027</v>
      </c>
      <c r="E57" s="61" t="str">
        <f ca="1"/>
        <v>TIPS</v>
      </c>
      <c r="F57" s="62">
        <f ca="1"/>
        <v>0.125</v>
      </c>
      <c r="G57" s="63">
        <f ca="1"/>
        <v>46492</v>
      </c>
      <c r="H57" s="61" t="str">
        <f ca="1"/>
        <v>AAA</v>
      </c>
      <c r="I57" s="61" t="str">
        <f ca="1"/>
        <v>--</v>
      </c>
      <c r="J57" s="64">
        <f ca="1"/>
        <v>97.14</v>
      </c>
      <c r="K57" s="17">
        <f ca="1"/>
        <v>1.478</v>
      </c>
      <c r="L57" s="18" t="str">
        <f ca="1"/>
        <v>N/A</v>
      </c>
      <c r="M57" s="83"/>
      <c r="N57" s="84" t="str">
        <f t="shared" si="7"/>
        <v/>
      </c>
      <c r="O57" s="20" t="str">
        <f t="shared" si="8"/>
        <v/>
      </c>
      <c r="P57" s="64" t="str">
        <f t="shared" si="9"/>
        <v/>
      </c>
      <c r="Q57" s="85" t="str">
        <f t="shared" ca="1" si="10"/>
        <v/>
      </c>
      <c r="R57" s="86" t="str">
        <f t="shared" si="11"/>
        <v/>
      </c>
      <c r="S57" s="86" t="str">
        <f t="shared" si="12"/>
        <v/>
      </c>
      <c r="T57" s="104" t="str">
        <f t="shared" si="13"/>
        <v/>
      </c>
      <c r="U57" s="19" t="str">
        <f>IF(AND(M57&lt;&gt;"",M57&lt;&gt;0), IF(E57 = "Muni", T57, IF(E57="Corp", T57*(1 -'Investor Input'!$C$4-'Investor Input'!$C$5), T57*(1 -'Investor Input'!$C$4))), T57)</f>
        <v/>
      </c>
      <c r="V57" s="84" t="str">
        <f t="shared" si="14"/>
        <v/>
      </c>
      <c r="W57" s="84" t="str">
        <f t="shared" si="0"/>
        <v/>
      </c>
      <c r="X57" s="21" t="str">
        <f t="shared" si="1"/>
        <v/>
      </c>
      <c r="Y57" s="60" t="str">
        <f t="shared" si="2"/>
        <v/>
      </c>
      <c r="Z57" s="60" t="str">
        <f t="shared" si="3"/>
        <v/>
      </c>
      <c r="AA57" s="64" t="str">
        <f t="shared" si="4"/>
        <v/>
      </c>
      <c r="AB57" s="64" t="str">
        <f>IF(AND(AA57&lt;&gt;"",AA57&lt;&gt;0), IF(E57="Muni", AA57, IF(E57 = "Corp", (1-'Investor Input'!$C$4-'Investor Input'!$C$5)*AA57, (1-'Investor Input'!$C$4)*AA57)), AA57)</f>
        <v/>
      </c>
      <c r="AC57" s="94" t="str">
        <f t="shared" si="5"/>
        <v/>
      </c>
      <c r="AD57" s="60" t="str">
        <f>IF(AND(M57&lt;&gt;"", M57&lt;&gt;0), N57/$N$505*MATCH(AC57,'Misc Lists'!$K$2:$K$25,0), "")</f>
        <v/>
      </c>
      <c r="AE57" s="90" t="str">
        <f t="shared" si="6"/>
        <v/>
      </c>
      <c r="AF57" s="99" t="str">
        <f>IF(AND(M57&lt;&gt;"", M57&lt;&gt;0), N57/$N$505*MATCH(AE57,'Misc Lists'!$L$2:$L$25,0), "")</f>
        <v/>
      </c>
    </row>
    <row r="58" spans="2:32" hidden="1" outlineLevel="1" x14ac:dyDescent="0.5">
      <c r="B58" s="60" t="str">
        <f ca="1"/>
        <v>91282CFR7</v>
      </c>
      <c r="C58" s="61" t="str">
        <f ca="1"/>
        <v>N/A</v>
      </c>
      <c r="D58" s="60" t="str">
        <f ca="1"/>
        <v>UNITED STATES TREAS NTS SER AE-2027     1.62500% 10/15/2027</v>
      </c>
      <c r="E58" s="61" t="str">
        <f ca="1"/>
        <v>TIPS</v>
      </c>
      <c r="F58" s="62">
        <f ca="1"/>
        <v>1.625</v>
      </c>
      <c r="G58" s="63">
        <f ca="1"/>
        <v>46675</v>
      </c>
      <c r="H58" s="61" t="str">
        <f ca="1"/>
        <v>AAA</v>
      </c>
      <c r="I58" s="61" t="str">
        <f ca="1"/>
        <v>--</v>
      </c>
      <c r="J58" s="64">
        <f ca="1"/>
        <v>100.664</v>
      </c>
      <c r="K58" s="17">
        <f ca="1"/>
        <v>1.369</v>
      </c>
      <c r="L58" s="18" t="str">
        <f ca="1"/>
        <v>N/A</v>
      </c>
      <c r="M58" s="83"/>
      <c r="N58" s="84" t="str">
        <f t="shared" si="7"/>
        <v/>
      </c>
      <c r="O58" s="20" t="str">
        <f t="shared" si="8"/>
        <v/>
      </c>
      <c r="P58" s="64" t="str">
        <f t="shared" si="9"/>
        <v/>
      </c>
      <c r="Q58" s="85" t="str">
        <f t="shared" ca="1" si="10"/>
        <v/>
      </c>
      <c r="R58" s="86" t="str">
        <f t="shared" si="11"/>
        <v/>
      </c>
      <c r="S58" s="86" t="str">
        <f t="shared" si="12"/>
        <v/>
      </c>
      <c r="T58" s="104" t="str">
        <f t="shared" si="13"/>
        <v/>
      </c>
      <c r="U58" s="19" t="str">
        <f>IF(AND(M58&lt;&gt;"",M58&lt;&gt;0), IF(E58 = "Muni", T58, IF(E58="Corp", T58*(1 -'Investor Input'!$C$4-'Investor Input'!$C$5), T58*(1 -'Investor Input'!$C$4))), T58)</f>
        <v/>
      </c>
      <c r="V58" s="84" t="str">
        <f t="shared" si="14"/>
        <v/>
      </c>
      <c r="W58" s="84" t="str">
        <f t="shared" si="0"/>
        <v/>
      </c>
      <c r="X58" s="21" t="str">
        <f t="shared" si="1"/>
        <v/>
      </c>
      <c r="Y58" s="60" t="str">
        <f t="shared" si="2"/>
        <v/>
      </c>
      <c r="Z58" s="60" t="str">
        <f t="shared" si="3"/>
        <v/>
      </c>
      <c r="AA58" s="64" t="str">
        <f t="shared" si="4"/>
        <v/>
      </c>
      <c r="AB58" s="64" t="str">
        <f>IF(AND(AA58&lt;&gt;"",AA58&lt;&gt;0), IF(E58="Muni", AA58, IF(E58 = "Corp", (1-'Investor Input'!$C$4-'Investor Input'!$C$5)*AA58, (1-'Investor Input'!$C$4)*AA58)), AA58)</f>
        <v/>
      </c>
      <c r="AC58" s="94" t="str">
        <f t="shared" si="5"/>
        <v/>
      </c>
      <c r="AD58" s="60" t="str">
        <f>IF(AND(M58&lt;&gt;"", M58&lt;&gt;0), N58/$N$505*MATCH(AC58,'Misc Lists'!$K$2:$K$25,0), "")</f>
        <v/>
      </c>
      <c r="AE58" s="90" t="str">
        <f t="shared" si="6"/>
        <v/>
      </c>
      <c r="AF58" s="99" t="str">
        <f>IF(AND(M58&lt;&gt;"", M58&lt;&gt;0), N58/$N$505*MATCH(AE58,'Misc Lists'!$L$2:$L$25,0), "")</f>
        <v/>
      </c>
    </row>
    <row r="59" spans="2:32" hidden="1" outlineLevel="1" x14ac:dyDescent="0.5">
      <c r="B59" s="60" t="str">
        <f ca="1"/>
        <v>912828V49</v>
      </c>
      <c r="C59" s="61" t="str">
        <f ca="1"/>
        <v>N/A</v>
      </c>
      <c r="D59" s="60" t="str">
        <f ca="1"/>
        <v>UNITED STATES TREAS NTS TIPS            0.37500% 01/15/2027</v>
      </c>
      <c r="E59" s="61" t="str">
        <f ca="1"/>
        <v>TIPS</v>
      </c>
      <c r="F59" s="62">
        <f ca="1"/>
        <v>0.375</v>
      </c>
      <c r="G59" s="63">
        <f ca="1"/>
        <v>46402</v>
      </c>
      <c r="H59" s="61" t="str">
        <f ca="1"/>
        <v>AAA</v>
      </c>
      <c r="I59" s="61" t="str">
        <f ca="1"/>
        <v>--</v>
      </c>
      <c r="J59" s="64">
        <f ca="1"/>
        <v>98.147999999999996</v>
      </c>
      <c r="K59" s="17">
        <f ca="1"/>
        <v>1.3620000000000001</v>
      </c>
      <c r="L59" s="18" t="str">
        <f ca="1"/>
        <v>N/A</v>
      </c>
      <c r="M59" s="83"/>
      <c r="N59" s="84" t="str">
        <f t="shared" si="7"/>
        <v/>
      </c>
      <c r="O59" s="20" t="str">
        <f t="shared" si="8"/>
        <v/>
      </c>
      <c r="P59" s="64" t="str">
        <f t="shared" si="9"/>
        <v/>
      </c>
      <c r="Q59" s="85" t="str">
        <f t="shared" ca="1" si="10"/>
        <v/>
      </c>
      <c r="R59" s="86" t="str">
        <f t="shared" si="11"/>
        <v/>
      </c>
      <c r="S59" s="86" t="str">
        <f t="shared" si="12"/>
        <v/>
      </c>
      <c r="T59" s="104" t="str">
        <f t="shared" si="13"/>
        <v/>
      </c>
      <c r="U59" s="19" t="str">
        <f>IF(AND(M59&lt;&gt;"",M59&lt;&gt;0), IF(E59 = "Muni", T59, IF(E59="Corp", T59*(1 -'Investor Input'!$C$4-'Investor Input'!$C$5), T59*(1 -'Investor Input'!$C$4))), T59)</f>
        <v/>
      </c>
      <c r="V59" s="84" t="str">
        <f t="shared" si="14"/>
        <v/>
      </c>
      <c r="W59" s="84" t="str">
        <f t="shared" si="0"/>
        <v/>
      </c>
      <c r="X59" s="21" t="str">
        <f t="shared" si="1"/>
        <v/>
      </c>
      <c r="Y59" s="60" t="str">
        <f t="shared" si="2"/>
        <v/>
      </c>
      <c r="Z59" s="60" t="str">
        <f t="shared" si="3"/>
        <v/>
      </c>
      <c r="AA59" s="64" t="str">
        <f t="shared" si="4"/>
        <v/>
      </c>
      <c r="AB59" s="64" t="str">
        <f>IF(AND(AA59&lt;&gt;"",AA59&lt;&gt;0), IF(E59="Muni", AA59, IF(E59 = "Corp", (1-'Investor Input'!$C$4-'Investor Input'!$C$5)*AA59, (1-'Investor Input'!$C$4)*AA59)), AA59)</f>
        <v/>
      </c>
      <c r="AC59" s="94" t="str">
        <f t="shared" si="5"/>
        <v/>
      </c>
      <c r="AD59" s="60" t="str">
        <f>IF(AND(M59&lt;&gt;"", M59&lt;&gt;0), N59/$N$505*MATCH(AC59,'Misc Lists'!$K$2:$K$25,0), "")</f>
        <v/>
      </c>
      <c r="AE59" s="90" t="str">
        <f t="shared" si="6"/>
        <v/>
      </c>
      <c r="AF59" s="99" t="str">
        <f>IF(AND(M59&lt;&gt;"", M59&lt;&gt;0), N59/$N$505*MATCH(AE59,'Misc Lists'!$L$2:$L$25,0), "")</f>
        <v/>
      </c>
    </row>
    <row r="60" spans="2:32" hidden="1" outlineLevel="1" x14ac:dyDescent="0.5">
      <c r="B60" s="60" t="str">
        <f ca="1"/>
        <v>912810PS1</v>
      </c>
      <c r="C60" s="61" t="str">
        <f ca="1"/>
        <v>N/A</v>
      </c>
      <c r="D60" s="60" t="str">
        <f ca="1"/>
        <v>UNITED STATES TREAS BDS TIPS            2.37500% 01/15/2027</v>
      </c>
      <c r="E60" s="61" t="str">
        <f ca="1"/>
        <v>TIPS</v>
      </c>
      <c r="F60" s="62">
        <f ca="1"/>
        <v>2.375</v>
      </c>
      <c r="G60" s="63">
        <f ca="1"/>
        <v>46402</v>
      </c>
      <c r="H60" s="61" t="str">
        <f ca="1"/>
        <v>AAA</v>
      </c>
      <c r="I60" s="61" t="str">
        <f ca="1"/>
        <v>--</v>
      </c>
      <c r="J60" s="64">
        <f ca="1"/>
        <v>101.929</v>
      </c>
      <c r="K60" s="17">
        <f ca="1"/>
        <v>1.3460000000000001</v>
      </c>
      <c r="L60" s="18" t="str">
        <f ca="1"/>
        <v>N/A</v>
      </c>
      <c r="M60" s="83"/>
      <c r="N60" s="84" t="str">
        <f t="shared" si="7"/>
        <v/>
      </c>
      <c r="O60" s="20" t="str">
        <f t="shared" si="8"/>
        <v/>
      </c>
      <c r="P60" s="64" t="str">
        <f t="shared" si="9"/>
        <v/>
      </c>
      <c r="Q60" s="85" t="str">
        <f t="shared" ca="1" si="10"/>
        <v/>
      </c>
      <c r="R60" s="86" t="str">
        <f t="shared" si="11"/>
        <v/>
      </c>
      <c r="S60" s="86" t="str">
        <f t="shared" si="12"/>
        <v/>
      </c>
      <c r="T60" s="104" t="str">
        <f t="shared" si="13"/>
        <v/>
      </c>
      <c r="U60" s="19" t="str">
        <f>IF(AND(M60&lt;&gt;"",M60&lt;&gt;0), IF(E60 = "Muni", T60, IF(E60="Corp", T60*(1 -'Investor Input'!$C$4-'Investor Input'!$C$5), T60*(1 -'Investor Input'!$C$4))), T60)</f>
        <v/>
      </c>
      <c r="V60" s="84" t="str">
        <f t="shared" si="14"/>
        <v/>
      </c>
      <c r="W60" s="84" t="str">
        <f t="shared" si="0"/>
        <v/>
      </c>
      <c r="X60" s="21" t="str">
        <f t="shared" si="1"/>
        <v/>
      </c>
      <c r="Y60" s="60" t="str">
        <f t="shared" si="2"/>
        <v/>
      </c>
      <c r="Z60" s="60" t="str">
        <f t="shared" si="3"/>
        <v/>
      </c>
      <c r="AA60" s="64" t="str">
        <f t="shared" si="4"/>
        <v/>
      </c>
      <c r="AB60" s="64" t="str">
        <f>IF(AND(AA60&lt;&gt;"",AA60&lt;&gt;0), IF(E60="Muni", AA60, IF(E60 = "Corp", (1-'Investor Input'!$C$4-'Investor Input'!$C$5)*AA60, (1-'Investor Input'!$C$4)*AA60)), AA60)</f>
        <v/>
      </c>
      <c r="AC60" s="94" t="str">
        <f t="shared" si="5"/>
        <v/>
      </c>
      <c r="AD60" s="60" t="str">
        <f>IF(AND(M60&lt;&gt;"", M60&lt;&gt;0), N60/$N$505*MATCH(AC60,'Misc Lists'!$K$2:$K$25,0), "")</f>
        <v/>
      </c>
      <c r="AE60" s="90" t="str">
        <f t="shared" si="6"/>
        <v/>
      </c>
      <c r="AF60" s="99" t="str">
        <f>IF(AND(M60&lt;&gt;"", M60&lt;&gt;0), N60/$N$505*MATCH(AE60,'Misc Lists'!$L$2:$L$25,0), "")</f>
        <v/>
      </c>
    </row>
    <row r="61" spans="2:32" hidden="1" outlineLevel="1" x14ac:dyDescent="0.5">
      <c r="B61" s="60" t="str">
        <f ca="1"/>
        <v>9128282L3</v>
      </c>
      <c r="C61" s="61" t="str">
        <f ca="1"/>
        <v>N/A</v>
      </c>
      <c r="D61" s="60" t="str">
        <f ca="1"/>
        <v>UNITED STATES TREAS NTS SER D-2027      0.37500% 07/15/2027</v>
      </c>
      <c r="E61" s="61" t="str">
        <f ca="1"/>
        <v>TIPS</v>
      </c>
      <c r="F61" s="62">
        <f ca="1"/>
        <v>0.375</v>
      </c>
      <c r="G61" s="63">
        <f ca="1"/>
        <v>46583</v>
      </c>
      <c r="H61" s="61" t="str">
        <f ca="1"/>
        <v>AAA</v>
      </c>
      <c r="I61" s="61" t="str">
        <f ca="1"/>
        <v>--</v>
      </c>
      <c r="J61" s="64">
        <f ca="1"/>
        <v>97.850999999999999</v>
      </c>
      <c r="K61" s="17">
        <f ca="1"/>
        <v>1.284</v>
      </c>
      <c r="L61" s="18" t="str">
        <f ca="1"/>
        <v>N/A</v>
      </c>
      <c r="M61" s="83"/>
      <c r="N61" s="84" t="str">
        <f t="shared" si="7"/>
        <v/>
      </c>
      <c r="O61" s="20" t="str">
        <f t="shared" si="8"/>
        <v/>
      </c>
      <c r="P61" s="64" t="str">
        <f t="shared" si="9"/>
        <v/>
      </c>
      <c r="Q61" s="85" t="str">
        <f t="shared" ca="1" si="10"/>
        <v/>
      </c>
      <c r="R61" s="86" t="str">
        <f t="shared" si="11"/>
        <v/>
      </c>
      <c r="S61" s="86" t="str">
        <f t="shared" si="12"/>
        <v/>
      </c>
      <c r="T61" s="104" t="str">
        <f t="shared" si="13"/>
        <v/>
      </c>
      <c r="U61" s="19" t="str">
        <f>IF(AND(M61&lt;&gt;"",M61&lt;&gt;0), IF(E61 = "Muni", T61, IF(E61="Corp", T61*(1 -'Investor Input'!$C$4-'Investor Input'!$C$5), T61*(1 -'Investor Input'!$C$4))), T61)</f>
        <v/>
      </c>
      <c r="V61" s="84" t="str">
        <f t="shared" si="14"/>
        <v/>
      </c>
      <c r="W61" s="84" t="str">
        <f t="shared" si="0"/>
        <v/>
      </c>
      <c r="X61" s="21" t="str">
        <f t="shared" si="1"/>
        <v/>
      </c>
      <c r="Y61" s="60" t="str">
        <f t="shared" si="2"/>
        <v/>
      </c>
      <c r="Z61" s="60" t="str">
        <f t="shared" si="3"/>
        <v/>
      </c>
      <c r="AA61" s="64" t="str">
        <f t="shared" si="4"/>
        <v/>
      </c>
      <c r="AB61" s="64" t="str">
        <f>IF(AND(AA61&lt;&gt;"",AA61&lt;&gt;0), IF(E61="Muni", AA61, IF(E61 = "Corp", (1-'Investor Input'!$C$4-'Investor Input'!$C$5)*AA61, (1-'Investor Input'!$C$4)*AA61)), AA61)</f>
        <v/>
      </c>
      <c r="AC61" s="94" t="str">
        <f t="shared" si="5"/>
        <v/>
      </c>
      <c r="AD61" s="60" t="str">
        <f>IF(AND(M61&lt;&gt;"", M61&lt;&gt;0), N61/$N$505*MATCH(AC61,'Misc Lists'!$K$2:$K$25,0), "")</f>
        <v/>
      </c>
      <c r="AE61" s="90" t="str">
        <f t="shared" si="6"/>
        <v/>
      </c>
      <c r="AF61" s="99" t="str">
        <f>IF(AND(M61&lt;&gt;"", M61&lt;&gt;0), N61/$N$505*MATCH(AE61,'Misc Lists'!$L$2:$L$25,0), "")</f>
        <v/>
      </c>
    </row>
    <row r="62" spans="2:32" hidden="1" outlineLevel="1" x14ac:dyDescent="0.5">
      <c r="B62" s="60" t="str">
        <f ca="1"/>
        <v>91282CCA7</v>
      </c>
      <c r="C62" s="61" t="str">
        <f ca="1"/>
        <v>N/A</v>
      </c>
      <c r="D62" s="60" t="str">
        <f ca="1"/>
        <v>UNITED STATES TREAS NTS SER X-2026      0.12500% 04/15/2026</v>
      </c>
      <c r="E62" s="61" t="str">
        <f ca="1"/>
        <v>TIPS</v>
      </c>
      <c r="F62" s="62">
        <f ca="1"/>
        <v>0.125</v>
      </c>
      <c r="G62" s="63">
        <f ca="1"/>
        <v>46127</v>
      </c>
      <c r="H62" s="61" t="str">
        <f ca="1"/>
        <v>AAA</v>
      </c>
      <c r="I62" s="61" t="str">
        <f ca="1"/>
        <v>--</v>
      </c>
      <c r="J62" s="64">
        <f ca="1"/>
        <v>98.765000000000001</v>
      </c>
      <c r="K62" s="17">
        <f ca="1"/>
        <v>1.2050000000000001</v>
      </c>
      <c r="L62" s="18" t="str">
        <f ca="1"/>
        <v>N/A</v>
      </c>
      <c r="M62" s="83"/>
      <c r="N62" s="84" t="str">
        <f t="shared" si="7"/>
        <v/>
      </c>
      <c r="O62" s="20" t="str">
        <f t="shared" si="8"/>
        <v/>
      </c>
      <c r="P62" s="64" t="str">
        <f t="shared" si="9"/>
        <v/>
      </c>
      <c r="Q62" s="85" t="str">
        <f t="shared" ca="1" si="10"/>
        <v/>
      </c>
      <c r="R62" s="86" t="str">
        <f t="shared" si="11"/>
        <v/>
      </c>
      <c r="S62" s="86" t="str">
        <f t="shared" si="12"/>
        <v/>
      </c>
      <c r="T62" s="104" t="str">
        <f t="shared" si="13"/>
        <v/>
      </c>
      <c r="U62" s="19" t="str">
        <f>IF(AND(M62&lt;&gt;"",M62&lt;&gt;0), IF(E62 = "Muni", T62, IF(E62="Corp", T62*(1 -'Investor Input'!$C$4-'Investor Input'!$C$5), T62*(1 -'Investor Input'!$C$4))), T62)</f>
        <v/>
      </c>
      <c r="V62" s="84" t="str">
        <f t="shared" si="14"/>
        <v/>
      </c>
      <c r="W62" s="84" t="str">
        <f t="shared" si="0"/>
        <v/>
      </c>
      <c r="X62" s="21" t="str">
        <f t="shared" si="1"/>
        <v/>
      </c>
      <c r="Y62" s="60" t="str">
        <f t="shared" si="2"/>
        <v/>
      </c>
      <c r="Z62" s="60" t="str">
        <f t="shared" si="3"/>
        <v/>
      </c>
      <c r="AA62" s="64" t="str">
        <f t="shared" si="4"/>
        <v/>
      </c>
      <c r="AB62" s="64" t="str">
        <f>IF(AND(AA62&lt;&gt;"",AA62&lt;&gt;0), IF(E62="Muni", AA62, IF(E62 = "Corp", (1-'Investor Input'!$C$4-'Investor Input'!$C$5)*AA62, (1-'Investor Input'!$C$4)*AA62)), AA62)</f>
        <v/>
      </c>
      <c r="AC62" s="94" t="str">
        <f t="shared" si="5"/>
        <v/>
      </c>
      <c r="AD62" s="60" t="str">
        <f>IF(AND(M62&lt;&gt;"", M62&lt;&gt;0), N62/$N$505*MATCH(AC62,'Misc Lists'!$K$2:$K$25,0), "")</f>
        <v/>
      </c>
      <c r="AE62" s="90" t="str">
        <f t="shared" si="6"/>
        <v/>
      </c>
      <c r="AF62" s="99" t="str">
        <f>IF(AND(M62&lt;&gt;"", M62&lt;&gt;0), N62/$N$505*MATCH(AE62,'Misc Lists'!$L$2:$L$25,0), "")</f>
        <v/>
      </c>
    </row>
    <row r="63" spans="2:32" hidden="1" outlineLevel="1" x14ac:dyDescent="0.5">
      <c r="B63" s="60" t="str">
        <f ca="1"/>
        <v>91282CDC2</v>
      </c>
      <c r="C63" s="61" t="str">
        <f ca="1"/>
        <v>N/A</v>
      </c>
      <c r="D63" s="60" t="str">
        <f ca="1"/>
        <v>UNITED STATES TREAS NTS SER AE-2026     0.12500% 10/15/2026</v>
      </c>
      <c r="E63" s="61" t="str">
        <f ca="1"/>
        <v>TIPS</v>
      </c>
      <c r="F63" s="62">
        <f ca="1"/>
        <v>0.125</v>
      </c>
      <c r="G63" s="63">
        <f ca="1"/>
        <v>46310</v>
      </c>
      <c r="H63" s="61" t="str">
        <f ca="1"/>
        <v>AAA</v>
      </c>
      <c r="I63" s="61" t="str">
        <f ca="1"/>
        <v>--</v>
      </c>
      <c r="J63" s="64">
        <f ca="1"/>
        <v>98.468000000000004</v>
      </c>
      <c r="K63" s="17">
        <f ca="1"/>
        <v>1.0609999999999999</v>
      </c>
      <c r="L63" s="18" t="str">
        <f ca="1"/>
        <v>N/A</v>
      </c>
      <c r="M63" s="83"/>
      <c r="N63" s="84" t="str">
        <f t="shared" si="7"/>
        <v/>
      </c>
      <c r="O63" s="20" t="str">
        <f t="shared" si="8"/>
        <v/>
      </c>
      <c r="P63" s="64" t="str">
        <f t="shared" si="9"/>
        <v/>
      </c>
      <c r="Q63" s="85" t="str">
        <f t="shared" ca="1" si="10"/>
        <v/>
      </c>
      <c r="R63" s="86" t="str">
        <f t="shared" si="11"/>
        <v/>
      </c>
      <c r="S63" s="86" t="str">
        <f t="shared" si="12"/>
        <v/>
      </c>
      <c r="T63" s="104" t="str">
        <f t="shared" si="13"/>
        <v/>
      </c>
      <c r="U63" s="19" t="str">
        <f>IF(AND(M63&lt;&gt;"",M63&lt;&gt;0), IF(E63 = "Muni", T63, IF(E63="Corp", T63*(1 -'Investor Input'!$C$4-'Investor Input'!$C$5), T63*(1 -'Investor Input'!$C$4))), T63)</f>
        <v/>
      </c>
      <c r="V63" s="84" t="str">
        <f t="shared" si="14"/>
        <v/>
      </c>
      <c r="W63" s="84" t="str">
        <f t="shared" si="0"/>
        <v/>
      </c>
      <c r="X63" s="21" t="str">
        <f t="shared" si="1"/>
        <v/>
      </c>
      <c r="Y63" s="60" t="str">
        <f t="shared" si="2"/>
        <v/>
      </c>
      <c r="Z63" s="60" t="str">
        <f t="shared" si="3"/>
        <v/>
      </c>
      <c r="AA63" s="64" t="str">
        <f t="shared" si="4"/>
        <v/>
      </c>
      <c r="AB63" s="64" t="str">
        <f>IF(AND(AA63&lt;&gt;"",AA63&lt;&gt;0), IF(E63="Muni", AA63, IF(E63 = "Corp", (1-'Investor Input'!$C$4-'Investor Input'!$C$5)*AA63, (1-'Investor Input'!$C$4)*AA63)), AA63)</f>
        <v/>
      </c>
      <c r="AC63" s="94" t="str">
        <f t="shared" si="5"/>
        <v/>
      </c>
      <c r="AD63" s="60" t="str">
        <f>IF(AND(M63&lt;&gt;"", M63&lt;&gt;0), N63/$N$505*MATCH(AC63,'Misc Lists'!$K$2:$K$25,0), "")</f>
        <v/>
      </c>
      <c r="AE63" s="90" t="str">
        <f t="shared" si="6"/>
        <v/>
      </c>
      <c r="AF63" s="99" t="str">
        <f>IF(AND(M63&lt;&gt;"", M63&lt;&gt;0), N63/$N$505*MATCH(AE63,'Misc Lists'!$L$2:$L$25,0), "")</f>
        <v/>
      </c>
    </row>
    <row r="64" spans="2:32" hidden="1" outlineLevel="1" x14ac:dyDescent="0.5">
      <c r="B64" s="60" t="str">
        <f ca="1"/>
        <v>912810FS2</v>
      </c>
      <c r="C64" s="61" t="str">
        <f ca="1"/>
        <v>N/A</v>
      </c>
      <c r="D64" s="60" t="str">
        <f ca="1"/>
        <v>UNITED STATES       TREASURY            2.00000% 01/15/2026</v>
      </c>
      <c r="E64" s="61" t="str">
        <f ca="1"/>
        <v>TIPS</v>
      </c>
      <c r="F64" s="62">
        <f ca="1"/>
        <v>2</v>
      </c>
      <c r="G64" s="63">
        <f ca="1"/>
        <v>46037</v>
      </c>
      <c r="H64" s="61" t="str">
        <f ca="1"/>
        <v>AAA</v>
      </c>
      <c r="I64" s="61" t="str">
        <f ca="1"/>
        <v>--</v>
      </c>
      <c r="J64" s="64">
        <f ca="1"/>
        <v>100.898</v>
      </c>
      <c r="K64" s="17">
        <f ca="1"/>
        <v>1</v>
      </c>
      <c r="L64" s="18" t="str">
        <f ca="1"/>
        <v>N/A</v>
      </c>
      <c r="M64" s="83"/>
      <c r="N64" s="84" t="str">
        <f t="shared" si="7"/>
        <v/>
      </c>
      <c r="O64" s="20" t="str">
        <f t="shared" si="8"/>
        <v/>
      </c>
      <c r="P64" s="64" t="str">
        <f t="shared" si="9"/>
        <v/>
      </c>
      <c r="Q64" s="85" t="str">
        <f t="shared" ca="1" si="10"/>
        <v/>
      </c>
      <c r="R64" s="86" t="str">
        <f t="shared" si="11"/>
        <v/>
      </c>
      <c r="S64" s="86" t="str">
        <f t="shared" si="12"/>
        <v/>
      </c>
      <c r="T64" s="104" t="str">
        <f t="shared" si="13"/>
        <v/>
      </c>
      <c r="U64" s="19" t="str">
        <f>IF(AND(M64&lt;&gt;"",M64&lt;&gt;0), IF(E64 = "Muni", T64, IF(E64="Corp", T64*(1 -'Investor Input'!$C$4-'Investor Input'!$C$5), T64*(1 -'Investor Input'!$C$4))), T64)</f>
        <v/>
      </c>
      <c r="V64" s="84" t="str">
        <f t="shared" si="14"/>
        <v/>
      </c>
      <c r="W64" s="84" t="str">
        <f t="shared" si="0"/>
        <v/>
      </c>
      <c r="X64" s="21" t="str">
        <f t="shared" si="1"/>
        <v/>
      </c>
      <c r="Y64" s="60" t="str">
        <f t="shared" si="2"/>
        <v/>
      </c>
      <c r="Z64" s="60" t="str">
        <f t="shared" si="3"/>
        <v/>
      </c>
      <c r="AA64" s="64" t="str">
        <f t="shared" si="4"/>
        <v/>
      </c>
      <c r="AB64" s="64" t="str">
        <f>IF(AND(AA64&lt;&gt;"",AA64&lt;&gt;0), IF(E64="Muni", AA64, IF(E64 = "Corp", (1-'Investor Input'!$C$4-'Investor Input'!$C$5)*AA64, (1-'Investor Input'!$C$4)*AA64)), AA64)</f>
        <v/>
      </c>
      <c r="AC64" s="94" t="str">
        <f t="shared" si="5"/>
        <v/>
      </c>
      <c r="AD64" s="60" t="str">
        <f>IF(AND(M64&lt;&gt;"", M64&lt;&gt;0), N64/$N$505*MATCH(AC64,'Misc Lists'!$K$2:$K$25,0), "")</f>
        <v/>
      </c>
      <c r="AE64" s="90" t="str">
        <f t="shared" si="6"/>
        <v/>
      </c>
      <c r="AF64" s="99" t="str">
        <f>IF(AND(M64&lt;&gt;"", M64&lt;&gt;0), N64/$N$505*MATCH(AE64,'Misc Lists'!$L$2:$L$25,0), "")</f>
        <v/>
      </c>
    </row>
    <row r="65" spans="2:32" hidden="1" outlineLevel="1" x14ac:dyDescent="0.5">
      <c r="B65" s="60" t="str">
        <f ca="1"/>
        <v>912828S50</v>
      </c>
      <c r="C65" s="61" t="str">
        <f ca="1"/>
        <v>N/A</v>
      </c>
      <c r="D65" s="60" t="str">
        <f ca="1"/>
        <v>UNITED STATES TREAS NTS                 0.12500% 07/15/2026 TIPS</v>
      </c>
      <c r="E65" s="61" t="str">
        <f ca="1"/>
        <v>TIPS</v>
      </c>
      <c r="F65" s="62">
        <f ca="1"/>
        <v>0.125</v>
      </c>
      <c r="G65" s="63">
        <f ca="1"/>
        <v>46218</v>
      </c>
      <c r="H65" s="61" t="str">
        <f ca="1"/>
        <v>AAA</v>
      </c>
      <c r="I65" s="61" t="str">
        <f ca="1"/>
        <v>--</v>
      </c>
      <c r="J65" s="64">
        <f ca="1"/>
        <v>98.875</v>
      </c>
      <c r="K65" s="17">
        <f ca="1"/>
        <v>0.93200000000000005</v>
      </c>
      <c r="L65" s="18" t="str">
        <f ca="1"/>
        <v>N/A</v>
      </c>
      <c r="M65" s="83"/>
      <c r="N65" s="84" t="str">
        <f t="shared" si="7"/>
        <v/>
      </c>
      <c r="O65" s="20" t="str">
        <f t="shared" si="8"/>
        <v/>
      </c>
      <c r="P65" s="64" t="str">
        <f t="shared" si="9"/>
        <v/>
      </c>
      <c r="Q65" s="85" t="str">
        <f t="shared" ca="1" si="10"/>
        <v/>
      </c>
      <c r="R65" s="86" t="str">
        <f t="shared" si="11"/>
        <v/>
      </c>
      <c r="S65" s="86" t="str">
        <f t="shared" si="12"/>
        <v/>
      </c>
      <c r="T65" s="104" t="str">
        <f t="shared" si="13"/>
        <v/>
      </c>
      <c r="U65" s="19" t="str">
        <f>IF(AND(M65&lt;&gt;"",M65&lt;&gt;0), IF(E65 = "Muni", T65, IF(E65="Corp", T65*(1 -'Investor Input'!$C$4-'Investor Input'!$C$5), T65*(1 -'Investor Input'!$C$4))), T65)</f>
        <v/>
      </c>
      <c r="V65" s="84" t="str">
        <f t="shared" si="14"/>
        <v/>
      </c>
      <c r="W65" s="84" t="str">
        <f t="shared" si="0"/>
        <v/>
      </c>
      <c r="X65" s="21" t="str">
        <f t="shared" si="1"/>
        <v/>
      </c>
      <c r="Y65" s="60" t="str">
        <f t="shared" si="2"/>
        <v/>
      </c>
      <c r="Z65" s="60" t="str">
        <f t="shared" si="3"/>
        <v/>
      </c>
      <c r="AA65" s="64" t="str">
        <f t="shared" si="4"/>
        <v/>
      </c>
      <c r="AB65" s="64" t="str">
        <f>IF(AND(AA65&lt;&gt;"",AA65&lt;&gt;0), IF(E65="Muni", AA65, IF(E65 = "Corp", (1-'Investor Input'!$C$4-'Investor Input'!$C$5)*AA65, (1-'Investor Input'!$C$4)*AA65)), AA65)</f>
        <v/>
      </c>
      <c r="AC65" s="94" t="str">
        <f t="shared" si="5"/>
        <v/>
      </c>
      <c r="AD65" s="60" t="str">
        <f>IF(AND(M65&lt;&gt;"", M65&lt;&gt;0), N65/$N$505*MATCH(AC65,'Misc Lists'!$K$2:$K$25,0), "")</f>
        <v/>
      </c>
      <c r="AE65" s="90" t="str">
        <f t="shared" si="6"/>
        <v/>
      </c>
      <c r="AF65" s="99" t="str">
        <f>IF(AND(M65&lt;&gt;"", M65&lt;&gt;0), N65/$N$505*MATCH(AE65,'Misc Lists'!$L$2:$L$25,0), "")</f>
        <v/>
      </c>
    </row>
    <row r="66" spans="2:32" hidden="1" outlineLevel="1" x14ac:dyDescent="0.5">
      <c r="B66" s="60" t="str">
        <f ca="1"/>
        <v>91282CAQ4</v>
      </c>
      <c r="C66" s="61" t="str">
        <f ca="1"/>
        <v>N/A</v>
      </c>
      <c r="D66" s="60" t="str">
        <f ca="1"/>
        <v>UNITED STATES TREAS NTS SER AE-2025     0.12500% 10/15/2025</v>
      </c>
      <c r="E66" s="61" t="str">
        <f ca="1"/>
        <v>TIPS</v>
      </c>
      <c r="F66" s="62">
        <f ca="1"/>
        <v>0.125</v>
      </c>
      <c r="G66" s="63">
        <f ca="1"/>
        <v>45945</v>
      </c>
      <c r="H66" s="61" t="str">
        <f ca="1"/>
        <v>AAA</v>
      </c>
      <c r="I66" s="61" t="str">
        <f ca="1"/>
        <v>--</v>
      </c>
      <c r="J66" s="64">
        <f ca="1"/>
        <v>99.944999999999993</v>
      </c>
      <c r="K66" s="17">
        <f ca="1"/>
        <v>0.20899999999999999</v>
      </c>
      <c r="L66" s="18" t="str">
        <f ca="1"/>
        <v>N/A</v>
      </c>
      <c r="M66" s="83"/>
      <c r="N66" s="84" t="str">
        <f t="shared" si="7"/>
        <v/>
      </c>
      <c r="O66" s="20" t="str">
        <f t="shared" si="8"/>
        <v/>
      </c>
      <c r="P66" s="64" t="str">
        <f t="shared" si="9"/>
        <v/>
      </c>
      <c r="Q66" s="85" t="str">
        <f t="shared" ca="1" si="10"/>
        <v/>
      </c>
      <c r="R66" s="86" t="str">
        <f t="shared" si="11"/>
        <v/>
      </c>
      <c r="S66" s="86" t="str">
        <f t="shared" si="12"/>
        <v/>
      </c>
      <c r="T66" s="104" t="str">
        <f t="shared" si="13"/>
        <v/>
      </c>
      <c r="U66" s="19" t="str">
        <f>IF(AND(M66&lt;&gt;"",M66&lt;&gt;0), IF(E66 = "Muni", T66, IF(E66="Corp", T66*(1 -'Investor Input'!$C$4-'Investor Input'!$C$5), T66*(1 -'Investor Input'!$C$4))), T66)</f>
        <v/>
      </c>
      <c r="V66" s="84" t="str">
        <f t="shared" si="14"/>
        <v/>
      </c>
      <c r="W66" s="84" t="str">
        <f t="shared" si="0"/>
        <v/>
      </c>
      <c r="X66" s="21" t="str">
        <f t="shared" si="1"/>
        <v/>
      </c>
      <c r="Y66" s="60" t="str">
        <f t="shared" si="2"/>
        <v/>
      </c>
      <c r="Z66" s="60" t="str">
        <f t="shared" si="3"/>
        <v/>
      </c>
      <c r="AA66" s="64" t="str">
        <f t="shared" si="4"/>
        <v/>
      </c>
      <c r="AB66" s="64" t="str">
        <f>IF(AND(AA66&lt;&gt;"",AA66&lt;&gt;0), IF(E66="Muni", AA66, IF(E66 = "Corp", (1-'Investor Input'!$C$4-'Investor Input'!$C$5)*AA66, (1-'Investor Input'!$C$4)*AA66)), AA66)</f>
        <v/>
      </c>
      <c r="AC66" s="94" t="str">
        <f t="shared" si="5"/>
        <v/>
      </c>
      <c r="AD66" s="60" t="str">
        <f>IF(AND(M66&lt;&gt;"", M66&lt;&gt;0), N66/$N$505*MATCH(AC66,'Misc Lists'!$K$2:$K$25,0), "")</f>
        <v/>
      </c>
      <c r="AE66" s="90" t="str">
        <f t="shared" si="6"/>
        <v/>
      </c>
      <c r="AF66" s="99" t="str">
        <f>IF(AND(M66&lt;&gt;"", M66&lt;&gt;0), N66/$N$505*MATCH(AE66,'Misc Lists'!$L$2:$L$25,0), "")</f>
        <v/>
      </c>
    </row>
    <row r="67" spans="2:32" hidden="1" outlineLevel="1" x14ac:dyDescent="0.5">
      <c r="B67" s="60" t="str">
        <f ca="1"/>
        <v>91282CGZ8</v>
      </c>
      <c r="C67" s="61" t="str">
        <f ca="1"/>
        <v>N/A</v>
      </c>
      <c r="D67" s="60" t="str">
        <f ca="1"/>
        <v>UNITED STATES TREAS SER K-2030          3.50000% 04/30/2030 NTS NOTE</v>
      </c>
      <c r="E67" s="61" t="str">
        <f ca="1"/>
        <v>Tres</v>
      </c>
      <c r="F67" s="62">
        <f ca="1"/>
        <v>3.5</v>
      </c>
      <c r="G67" s="63">
        <f ca="1"/>
        <v>47603</v>
      </c>
      <c r="H67" s="61" t="str">
        <f ca="1"/>
        <v>AAA</v>
      </c>
      <c r="I67" s="61" t="str">
        <f ca="1"/>
        <v>--</v>
      </c>
      <c r="J67" s="64">
        <f ca="1"/>
        <v>96.087000000000003</v>
      </c>
      <c r="K67" s="17">
        <f ca="1"/>
        <v>4.3479999999999999</v>
      </c>
      <c r="L67" s="18" t="str">
        <f ca="1"/>
        <v>4,937(1)</v>
      </c>
      <c r="M67" s="83"/>
      <c r="N67" s="84" t="str">
        <f t="shared" si="7"/>
        <v/>
      </c>
      <c r="O67" s="20" t="str">
        <f t="shared" si="8"/>
        <v/>
      </c>
      <c r="P67" s="64" t="str">
        <f t="shared" si="9"/>
        <v/>
      </c>
      <c r="Q67" s="85" t="str">
        <f t="shared" ca="1" si="10"/>
        <v/>
      </c>
      <c r="R67" s="86" t="str">
        <f t="shared" si="11"/>
        <v/>
      </c>
      <c r="S67" s="86" t="str">
        <f t="shared" si="12"/>
        <v/>
      </c>
      <c r="T67" s="104" t="str">
        <f t="shared" si="13"/>
        <v/>
      </c>
      <c r="U67" s="19" t="str">
        <f>IF(AND(M67&lt;&gt;"",M67&lt;&gt;0), IF(E67 = "Muni", T67, IF(E67="Corp", T67*(1 -'Investor Input'!$C$4-'Investor Input'!$C$5), T67*(1 -'Investor Input'!$C$4))), T67)</f>
        <v/>
      </c>
      <c r="V67" s="84" t="str">
        <f t="shared" si="14"/>
        <v/>
      </c>
      <c r="W67" s="84" t="str">
        <f t="shared" si="0"/>
        <v/>
      </c>
      <c r="X67" s="21" t="str">
        <f t="shared" si="1"/>
        <v/>
      </c>
      <c r="Y67" s="60" t="str">
        <f t="shared" si="2"/>
        <v/>
      </c>
      <c r="Z67" s="60" t="str">
        <f t="shared" si="3"/>
        <v/>
      </c>
      <c r="AA67" s="64" t="str">
        <f t="shared" si="4"/>
        <v/>
      </c>
      <c r="AB67" s="64" t="str">
        <f>IF(AND(AA67&lt;&gt;"",AA67&lt;&gt;0), IF(E67="Muni", AA67, IF(E67 = "Corp", (1-'Investor Input'!$C$4-'Investor Input'!$C$5)*AA67, (1-'Investor Input'!$C$4)*AA67)), AA67)</f>
        <v/>
      </c>
      <c r="AC67" s="94" t="str">
        <f t="shared" si="5"/>
        <v/>
      </c>
      <c r="AD67" s="60" t="str">
        <f>IF(AND(M67&lt;&gt;"", M67&lt;&gt;0), N67/$N$505*MATCH(AC67,'Misc Lists'!$K$2:$K$25,0), "")</f>
        <v/>
      </c>
      <c r="AE67" s="90" t="str">
        <f t="shared" si="6"/>
        <v/>
      </c>
      <c r="AF67" s="99" t="str">
        <f>IF(AND(M67&lt;&gt;"", M67&lt;&gt;0), N67/$N$505*MATCH(AE67,'Misc Lists'!$L$2:$L$25,0), "")</f>
        <v/>
      </c>
    </row>
    <row r="68" spans="2:32" hidden="1" outlineLevel="1" x14ac:dyDescent="0.5">
      <c r="B68" s="60" t="str">
        <f ca="1"/>
        <v>91282CGS4</v>
      </c>
      <c r="C68" s="61" t="str">
        <f ca="1"/>
        <v>N/A</v>
      </c>
      <c r="D68" s="60" t="str">
        <f ca="1"/>
        <v>UNITED STATES TREAS SER J-2030          3.62500% 03/31/2030 NTS NOTE</v>
      </c>
      <c r="E68" s="61" t="str">
        <f ca="1"/>
        <v>Tres</v>
      </c>
      <c r="F68" s="62">
        <f ca="1"/>
        <v>3.625</v>
      </c>
      <c r="G68" s="63">
        <f ca="1"/>
        <v>47573</v>
      </c>
      <c r="H68" s="61" t="str">
        <f ca="1"/>
        <v>AAA</v>
      </c>
      <c r="I68" s="61" t="str">
        <f ca="1"/>
        <v>--</v>
      </c>
      <c r="J68" s="64">
        <f ca="1"/>
        <v>96.727000000000004</v>
      </c>
      <c r="K68" s="17">
        <f ca="1"/>
        <v>4.3449999999999998</v>
      </c>
      <c r="L68" s="18" t="str">
        <f ca="1"/>
        <v>65,000(400)</v>
      </c>
      <c r="M68" s="83"/>
      <c r="N68" s="84" t="str">
        <f t="shared" si="7"/>
        <v/>
      </c>
      <c r="O68" s="20" t="str">
        <f t="shared" si="8"/>
        <v/>
      </c>
      <c r="P68" s="64" t="str">
        <f t="shared" si="9"/>
        <v/>
      </c>
      <c r="Q68" s="85" t="str">
        <f t="shared" ca="1" si="10"/>
        <v/>
      </c>
      <c r="R68" s="86" t="str">
        <f t="shared" si="11"/>
        <v/>
      </c>
      <c r="S68" s="86" t="str">
        <f t="shared" si="12"/>
        <v/>
      </c>
      <c r="T68" s="104" t="str">
        <f t="shared" si="13"/>
        <v/>
      </c>
      <c r="U68" s="19" t="str">
        <f>IF(AND(M68&lt;&gt;"",M68&lt;&gt;0), IF(E68 = "Muni", T68, IF(E68="Corp", T68*(1 -'Investor Input'!$C$4-'Investor Input'!$C$5), T68*(1 -'Investor Input'!$C$4))), T68)</f>
        <v/>
      </c>
      <c r="V68" s="84" t="str">
        <f t="shared" si="14"/>
        <v/>
      </c>
      <c r="W68" s="84" t="str">
        <f t="shared" ref="W68:W131" si="15">IF(AND(M68&lt;&gt;"",M68&lt;&gt;0),V68-N68,"")</f>
        <v/>
      </c>
      <c r="X68" s="21" t="str">
        <f t="shared" ref="X68:X131" si="16">IF(AND(M68&lt;&gt;"",M68&lt;&gt;0),W68/N68,"")</f>
        <v/>
      </c>
      <c r="Y68" s="60" t="str">
        <f t="shared" ref="Y68:Y131" si="17">IF(AND(M68&lt;&gt;"", M68&lt;&gt;0), MONTH(G68), "")</f>
        <v/>
      </c>
      <c r="Z68" s="60" t="str">
        <f t="shared" ref="Z68:Z131" si="18">IF(AND(M68&lt;&gt;"", M68&lt;&gt;0), MONTH(EDATE(G68, 6)), "")</f>
        <v/>
      </c>
      <c r="AA68" s="64" t="str">
        <f t="shared" ref="AA68:AA131" si="19">IF(AND(M68&lt;&gt;"", M68&lt;&gt;0), F68*1000*M68/(100*2), "")</f>
        <v/>
      </c>
      <c r="AB68" s="64" t="str">
        <f>IF(AND(AA68&lt;&gt;"",AA68&lt;&gt;0), IF(E68="Muni", AA68, IF(E68 = "Corp", (1-'Investor Input'!$C$4-'Investor Input'!$C$5)*AA68, (1-'Investor Input'!$C$4)*AA68)), AA68)</f>
        <v/>
      </c>
      <c r="AC68" s="94" t="str">
        <f t="shared" ref="AC68:AC131" si="20">IF(AND(M68&lt;&gt;"", M68&lt;&gt;0), H68, "")</f>
        <v/>
      </c>
      <c r="AD68" s="60" t="str">
        <f>IF(AND(M68&lt;&gt;"", M68&lt;&gt;0), N68/$N$505*MATCH(AC68,'Misc Lists'!$K$2:$K$25,0), "")</f>
        <v/>
      </c>
      <c r="AE68" s="90" t="str">
        <f t="shared" ref="AE68:AE131" si="21">IF(AND(M68&lt;&gt;"", M68&lt;&gt;0), I68, "")</f>
        <v/>
      </c>
      <c r="AF68" s="99" t="str">
        <f>IF(AND(M68&lt;&gt;"", M68&lt;&gt;0), N68/$N$505*MATCH(AE68,'Misc Lists'!$L$2:$L$25,0), "")</f>
        <v/>
      </c>
    </row>
    <row r="69" spans="2:32" hidden="1" outlineLevel="1" x14ac:dyDescent="0.5">
      <c r="B69" s="60" t="str">
        <f ca="1"/>
        <v>91282CGJ4</v>
      </c>
      <c r="C69" s="61" t="str">
        <f ca="1"/>
        <v>N/A</v>
      </c>
      <c r="D69" s="60" t="str">
        <f ca="1"/>
        <v>UNITED STATES TREAS SER G-2030          3.50000% 01/31/2030 NTS NOTE</v>
      </c>
      <c r="E69" s="61" t="str">
        <f ca="1"/>
        <v>Tres</v>
      </c>
      <c r="F69" s="62">
        <f ca="1"/>
        <v>3.5</v>
      </c>
      <c r="G69" s="63">
        <f ca="1"/>
        <v>47514</v>
      </c>
      <c r="H69" s="61" t="str">
        <f ca="1"/>
        <v>AAA</v>
      </c>
      <c r="I69" s="61" t="str">
        <f ca="1"/>
        <v>--</v>
      </c>
      <c r="J69" s="64">
        <f ca="1"/>
        <v>96.281999999999996</v>
      </c>
      <c r="K69" s="17">
        <f ca="1"/>
        <v>4.3419999999999996</v>
      </c>
      <c r="L69" s="18" t="str">
        <f ca="1"/>
        <v>65,000(400)</v>
      </c>
      <c r="M69" s="83"/>
      <c r="N69" s="84" t="str">
        <f t="shared" ref="N69:N132" si="22">IF(AND(M69&lt;&gt;"", M69&lt;&gt;0), IF(L69 &lt;&gt; "N/A", IF(M69&gt;=VALUE(LEFT(L69, FIND("(", L69)-1)), J69*10*M69, 1000*M69), 1000*M69), "")</f>
        <v/>
      </c>
      <c r="O69" s="20" t="str">
        <f t="shared" ref="O69:O132" si="23">IF(AND(M69&lt;&gt;"",M69&lt;&gt;0),N69/$N$505, "")</f>
        <v/>
      </c>
      <c r="P69" s="64" t="str">
        <f t="shared" ref="P69:P132" si="24">IF(AND(M69&lt;&gt;"", M69&lt;&gt;0), F69*1000/100, "")</f>
        <v/>
      </c>
      <c r="Q69" s="85" t="str">
        <f t="shared" ref="Q69:Q132" ca="1" si="25">IF(AND(M69&lt;&gt;"", M69&lt;&gt;0), NOW(), "")</f>
        <v/>
      </c>
      <c r="R69" s="86" t="str">
        <f t="shared" ref="R69:R132" si="26">IF(AND(M69&lt;&gt;"", M69&lt;&gt;0), ROUND((G69 - Q69)/365, 0), "")</f>
        <v/>
      </c>
      <c r="S69" s="86" t="str">
        <f t="shared" ref="S69:S132" si="27">IF(AND(M69&lt;&gt;"",M69&lt;&gt;0),MDURATION(Q69,G69,F69/100,K69/100,2), "")</f>
        <v/>
      </c>
      <c r="T69" s="104" t="str">
        <f t="shared" ref="T69:T132" si="28">IF(AND(M69&lt;&gt;"",M69&lt;&gt;0),YIELD(Q69,G69,F69/100,N69/(M69*10),100,2),"")</f>
        <v/>
      </c>
      <c r="U69" s="19" t="str">
        <f>IF(AND(M69&lt;&gt;"",M69&lt;&gt;0), IF(E69 = "Muni", T69, IF(E69="Corp", T69*(1 -'Investor Input'!$C$4-'Investor Input'!$C$5), T69*(1 -'Investor Input'!$C$4))), T69)</f>
        <v/>
      </c>
      <c r="V69" s="84" t="str">
        <f t="shared" ref="V69:V132" si="29">IF(AND(M69&lt;&gt;"",M69&lt;&gt;0),(FV(K69/(2*100),(G69-Q69)*2/365, F69*1000/(2*100), -N69/M69))*M69, "")</f>
        <v/>
      </c>
      <c r="W69" s="84" t="str">
        <f t="shared" si="15"/>
        <v/>
      </c>
      <c r="X69" s="21" t="str">
        <f t="shared" si="16"/>
        <v/>
      </c>
      <c r="Y69" s="60" t="str">
        <f t="shared" si="17"/>
        <v/>
      </c>
      <c r="Z69" s="60" t="str">
        <f t="shared" si="18"/>
        <v/>
      </c>
      <c r="AA69" s="64" t="str">
        <f t="shared" si="19"/>
        <v/>
      </c>
      <c r="AB69" s="64" t="str">
        <f>IF(AND(AA69&lt;&gt;"",AA69&lt;&gt;0), IF(E69="Muni", AA69, IF(E69 = "Corp", (1-'Investor Input'!$C$4-'Investor Input'!$C$5)*AA69, (1-'Investor Input'!$C$4)*AA69)), AA69)</f>
        <v/>
      </c>
      <c r="AC69" s="94" t="str">
        <f t="shared" si="20"/>
        <v/>
      </c>
      <c r="AD69" s="60" t="str">
        <f>IF(AND(M69&lt;&gt;"", M69&lt;&gt;0), N69/$N$505*MATCH(AC69,'Misc Lists'!$K$2:$K$25,0), "")</f>
        <v/>
      </c>
      <c r="AE69" s="90" t="str">
        <f t="shared" si="21"/>
        <v/>
      </c>
      <c r="AF69" s="99" t="str">
        <f>IF(AND(M69&lt;&gt;"", M69&lt;&gt;0), N69/$N$505*MATCH(AE69,'Misc Lists'!$L$2:$L$25,0), "")</f>
        <v/>
      </c>
    </row>
    <row r="70" spans="2:32" hidden="1" outlineLevel="1" x14ac:dyDescent="0.5">
      <c r="B70" s="60" t="str">
        <f ca="1"/>
        <v>91282CAJ0</v>
      </c>
      <c r="C70" s="61" t="str">
        <f ca="1"/>
        <v>N/A</v>
      </c>
      <c r="D70" s="60" t="str">
        <f ca="1"/>
        <v>UNITED STATES TREAS SER AC-2025         0.25000% 08/31/2025 NTS NOTE</v>
      </c>
      <c r="E70" s="61" t="str">
        <f ca="1"/>
        <v>Tres</v>
      </c>
      <c r="F70" s="62">
        <f ca="1"/>
        <v>0.25</v>
      </c>
      <c r="G70" s="63">
        <f ca="1"/>
        <v>45900</v>
      </c>
      <c r="H70" s="61" t="str">
        <f ca="1"/>
        <v>AAA</v>
      </c>
      <c r="I70" s="61" t="str">
        <f ca="1"/>
        <v>--</v>
      </c>
      <c r="J70" s="64">
        <f ca="1"/>
        <v>97.888999999999996</v>
      </c>
      <c r="K70" s="17">
        <f ca="1"/>
        <v>4.34</v>
      </c>
      <c r="L70" s="18" t="str">
        <f ca="1"/>
        <v>8,000(200)</v>
      </c>
      <c r="M70" s="83"/>
      <c r="N70" s="84" t="str">
        <f t="shared" si="22"/>
        <v/>
      </c>
      <c r="O70" s="20" t="str">
        <f t="shared" si="23"/>
        <v/>
      </c>
      <c r="P70" s="64" t="str">
        <f t="shared" si="24"/>
        <v/>
      </c>
      <c r="Q70" s="85" t="str">
        <f t="shared" ca="1" si="25"/>
        <v/>
      </c>
      <c r="R70" s="86" t="str">
        <f t="shared" si="26"/>
        <v/>
      </c>
      <c r="S70" s="86" t="str">
        <f t="shared" si="27"/>
        <v/>
      </c>
      <c r="T70" s="104" t="str">
        <f t="shared" si="28"/>
        <v/>
      </c>
      <c r="U70" s="19" t="str">
        <f>IF(AND(M70&lt;&gt;"",M70&lt;&gt;0), IF(E70 = "Muni", T70, IF(E70="Corp", T70*(1 -'Investor Input'!$C$4-'Investor Input'!$C$5), T70*(1 -'Investor Input'!$C$4))), T70)</f>
        <v/>
      </c>
      <c r="V70" s="84" t="str">
        <f t="shared" si="29"/>
        <v/>
      </c>
      <c r="W70" s="84" t="str">
        <f t="shared" si="15"/>
        <v/>
      </c>
      <c r="X70" s="21" t="str">
        <f t="shared" si="16"/>
        <v/>
      </c>
      <c r="Y70" s="60" t="str">
        <f t="shared" si="17"/>
        <v/>
      </c>
      <c r="Z70" s="60" t="str">
        <f t="shared" si="18"/>
        <v/>
      </c>
      <c r="AA70" s="64" t="str">
        <f t="shared" si="19"/>
        <v/>
      </c>
      <c r="AB70" s="64" t="str">
        <f>IF(AND(AA70&lt;&gt;"",AA70&lt;&gt;0), IF(E70="Muni", AA70, IF(E70 = "Corp", (1-'Investor Input'!$C$4-'Investor Input'!$C$5)*AA70, (1-'Investor Input'!$C$4)*AA70)), AA70)</f>
        <v/>
      </c>
      <c r="AC70" s="94" t="str">
        <f t="shared" si="20"/>
        <v/>
      </c>
      <c r="AD70" s="60" t="str">
        <f>IF(AND(M70&lt;&gt;"", M70&lt;&gt;0), N70/$N$505*MATCH(AC70,'Misc Lists'!$K$2:$K$25,0), "")</f>
        <v/>
      </c>
      <c r="AE70" s="90" t="str">
        <f t="shared" si="21"/>
        <v/>
      </c>
      <c r="AF70" s="99" t="str">
        <f>IF(AND(M70&lt;&gt;"", M70&lt;&gt;0), N70/$N$505*MATCH(AE70,'Misc Lists'!$L$2:$L$25,0), "")</f>
        <v/>
      </c>
    </row>
    <row r="71" spans="2:32" hidden="1" outlineLevel="1" x14ac:dyDescent="0.5">
      <c r="B71" s="60" t="str">
        <f ca="1"/>
        <v>91282CGB1</v>
      </c>
      <c r="C71" s="61" t="str">
        <f ca="1"/>
        <v>N/A</v>
      </c>
      <c r="D71" s="60" t="str">
        <f ca="1"/>
        <v>UNITED STATES TREAS SER T-2029          3.87500% 12/31/2029 NTS NOTE</v>
      </c>
      <c r="E71" s="61" t="str">
        <f ca="1"/>
        <v>Tres</v>
      </c>
      <c r="F71" s="62">
        <f ca="1"/>
        <v>3.875</v>
      </c>
      <c r="G71" s="63">
        <f ca="1"/>
        <v>47483</v>
      </c>
      <c r="H71" s="61" t="str">
        <f ca="1"/>
        <v>AAA</v>
      </c>
      <c r="I71" s="61" t="str">
        <f ca="1"/>
        <v>--</v>
      </c>
      <c r="J71" s="64">
        <f ca="1"/>
        <v>97.972999999999999</v>
      </c>
      <c r="K71" s="17">
        <f ca="1"/>
        <v>4.34</v>
      </c>
      <c r="L71" s="18" t="str">
        <f ca="1"/>
        <v>10,000(275)</v>
      </c>
      <c r="M71" s="83"/>
      <c r="N71" s="84" t="str">
        <f t="shared" si="22"/>
        <v/>
      </c>
      <c r="O71" s="20" t="str">
        <f t="shared" si="23"/>
        <v/>
      </c>
      <c r="P71" s="64" t="str">
        <f t="shared" si="24"/>
        <v/>
      </c>
      <c r="Q71" s="85" t="str">
        <f t="shared" ca="1" si="25"/>
        <v/>
      </c>
      <c r="R71" s="86" t="str">
        <f t="shared" si="26"/>
        <v/>
      </c>
      <c r="S71" s="86" t="str">
        <f t="shared" si="27"/>
        <v/>
      </c>
      <c r="T71" s="104" t="str">
        <f t="shared" si="28"/>
        <v/>
      </c>
      <c r="U71" s="19" t="str">
        <f>IF(AND(M71&lt;&gt;"",M71&lt;&gt;0), IF(E71 = "Muni", T71, IF(E71="Corp", T71*(1 -'Investor Input'!$C$4-'Investor Input'!$C$5), T71*(1 -'Investor Input'!$C$4))), T71)</f>
        <v/>
      </c>
      <c r="V71" s="84" t="str">
        <f t="shared" si="29"/>
        <v/>
      </c>
      <c r="W71" s="84" t="str">
        <f t="shared" si="15"/>
        <v/>
      </c>
      <c r="X71" s="21" t="str">
        <f t="shared" si="16"/>
        <v/>
      </c>
      <c r="Y71" s="60" t="str">
        <f t="shared" si="17"/>
        <v/>
      </c>
      <c r="Z71" s="60" t="str">
        <f t="shared" si="18"/>
        <v/>
      </c>
      <c r="AA71" s="64" t="str">
        <f t="shared" si="19"/>
        <v/>
      </c>
      <c r="AB71" s="64" t="str">
        <f>IF(AND(AA71&lt;&gt;"",AA71&lt;&gt;0), IF(E71="Muni", AA71, IF(E71 = "Corp", (1-'Investor Input'!$C$4-'Investor Input'!$C$5)*AA71, (1-'Investor Input'!$C$4)*AA71)), AA71)</f>
        <v/>
      </c>
      <c r="AC71" s="94" t="str">
        <f t="shared" si="20"/>
        <v/>
      </c>
      <c r="AD71" s="60" t="str">
        <f>IF(AND(M71&lt;&gt;"", M71&lt;&gt;0), N71/$N$505*MATCH(AC71,'Misc Lists'!$K$2:$K$25,0), "")</f>
        <v/>
      </c>
      <c r="AE71" s="90" t="str">
        <f t="shared" si="21"/>
        <v/>
      </c>
      <c r="AF71" s="99" t="str">
        <f>IF(AND(M71&lt;&gt;"", M71&lt;&gt;0), N71/$N$505*MATCH(AE71,'Misc Lists'!$L$2:$L$25,0), "")</f>
        <v/>
      </c>
    </row>
    <row r="72" spans="2:32" hidden="1" outlineLevel="1" x14ac:dyDescent="0.5">
      <c r="B72" s="60" t="str">
        <f ca="1"/>
        <v>91282CGQ8</v>
      </c>
      <c r="C72" s="61" t="str">
        <f ca="1"/>
        <v>N/A</v>
      </c>
      <c r="D72" s="60" t="str">
        <f ca="1"/>
        <v>UNITED STATES TREAS SER H-2030          4.00000% 02/28/2030 NTS NOTE</v>
      </c>
      <c r="E72" s="61" t="str">
        <f ca="1"/>
        <v>Tres</v>
      </c>
      <c r="F72" s="62">
        <f ca="1"/>
        <v>4</v>
      </c>
      <c r="G72" s="63">
        <f ca="1"/>
        <v>47542</v>
      </c>
      <c r="H72" s="61" t="str">
        <f ca="1"/>
        <v>AAA</v>
      </c>
      <c r="I72" s="61" t="str">
        <f ca="1"/>
        <v>--</v>
      </c>
      <c r="J72" s="64">
        <f ca="1"/>
        <v>98.474999999999994</v>
      </c>
      <c r="K72" s="17">
        <f ca="1"/>
        <v>4.34</v>
      </c>
      <c r="L72" s="18" t="str">
        <f ca="1"/>
        <v>3,000(200)</v>
      </c>
      <c r="M72" s="83"/>
      <c r="N72" s="84" t="str">
        <f t="shared" si="22"/>
        <v/>
      </c>
      <c r="O72" s="20" t="str">
        <f t="shared" si="23"/>
        <v/>
      </c>
      <c r="P72" s="64" t="str">
        <f t="shared" si="24"/>
        <v/>
      </c>
      <c r="Q72" s="85" t="str">
        <f t="shared" ca="1" si="25"/>
        <v/>
      </c>
      <c r="R72" s="86" t="str">
        <f t="shared" si="26"/>
        <v/>
      </c>
      <c r="S72" s="86" t="str">
        <f t="shared" si="27"/>
        <v/>
      </c>
      <c r="T72" s="104" t="str">
        <f t="shared" si="28"/>
        <v/>
      </c>
      <c r="U72" s="19" t="str">
        <f>IF(AND(M72&lt;&gt;"",M72&lt;&gt;0), IF(E72 = "Muni", T72, IF(E72="Corp", T72*(1 -'Investor Input'!$C$4-'Investor Input'!$C$5), T72*(1 -'Investor Input'!$C$4))), T72)</f>
        <v/>
      </c>
      <c r="V72" s="84" t="str">
        <f t="shared" si="29"/>
        <v/>
      </c>
      <c r="W72" s="84" t="str">
        <f t="shared" si="15"/>
        <v/>
      </c>
      <c r="X72" s="21" t="str">
        <f t="shared" si="16"/>
        <v/>
      </c>
      <c r="Y72" s="60" t="str">
        <f t="shared" si="17"/>
        <v/>
      </c>
      <c r="Z72" s="60" t="str">
        <f t="shared" si="18"/>
        <v/>
      </c>
      <c r="AA72" s="64" t="str">
        <f t="shared" si="19"/>
        <v/>
      </c>
      <c r="AB72" s="64" t="str">
        <f>IF(AND(AA72&lt;&gt;"",AA72&lt;&gt;0), IF(E72="Muni", AA72, IF(E72 = "Corp", (1-'Investor Input'!$C$4-'Investor Input'!$C$5)*AA72, (1-'Investor Input'!$C$4)*AA72)), AA72)</f>
        <v/>
      </c>
      <c r="AC72" s="94" t="str">
        <f t="shared" si="20"/>
        <v/>
      </c>
      <c r="AD72" s="60" t="str">
        <f>IF(AND(M72&lt;&gt;"", M72&lt;&gt;0), N72/$N$505*MATCH(AC72,'Misc Lists'!$K$2:$K$25,0), "")</f>
        <v/>
      </c>
      <c r="AE72" s="90" t="str">
        <f t="shared" si="21"/>
        <v/>
      </c>
      <c r="AF72" s="99" t="str">
        <f>IF(AND(M72&lt;&gt;"", M72&lt;&gt;0), N72/$N$505*MATCH(AE72,'Misc Lists'!$L$2:$L$25,0), "")</f>
        <v/>
      </c>
    </row>
    <row r="73" spans="2:32" hidden="1" outlineLevel="1" x14ac:dyDescent="0.5">
      <c r="B73" s="60" t="str">
        <f ca="1"/>
        <v>9128284Z0</v>
      </c>
      <c r="C73" s="61" t="str">
        <f ca="1"/>
        <v>N/A</v>
      </c>
      <c r="D73" s="60" t="str">
        <f ca="1"/>
        <v>UNITED STATES TREAS SER P-2025          2.75000% 08/31/2025 NTS NOTE</v>
      </c>
      <c r="E73" s="61" t="str">
        <f ca="1"/>
        <v>Tres</v>
      </c>
      <c r="F73" s="62">
        <f ca="1"/>
        <v>2.75</v>
      </c>
      <c r="G73" s="63">
        <f ca="1"/>
        <v>45900</v>
      </c>
      <c r="H73" s="61" t="str">
        <f ca="1"/>
        <v>AAA</v>
      </c>
      <c r="I73" s="61" t="str">
        <f ca="1"/>
        <v>--</v>
      </c>
      <c r="J73" s="64">
        <f ca="1"/>
        <v>99.18</v>
      </c>
      <c r="K73" s="17">
        <f ca="1"/>
        <v>4.3369999999999997</v>
      </c>
      <c r="L73" s="18" t="str">
        <f ca="1"/>
        <v>30,000(600)</v>
      </c>
      <c r="M73" s="83"/>
      <c r="N73" s="84" t="str">
        <f t="shared" si="22"/>
        <v/>
      </c>
      <c r="O73" s="20" t="str">
        <f t="shared" si="23"/>
        <v/>
      </c>
      <c r="P73" s="64" t="str">
        <f t="shared" si="24"/>
        <v/>
      </c>
      <c r="Q73" s="85" t="str">
        <f t="shared" ca="1" si="25"/>
        <v/>
      </c>
      <c r="R73" s="86" t="str">
        <f t="shared" si="26"/>
        <v/>
      </c>
      <c r="S73" s="86" t="str">
        <f t="shared" si="27"/>
        <v/>
      </c>
      <c r="T73" s="104" t="str">
        <f t="shared" si="28"/>
        <v/>
      </c>
      <c r="U73" s="19" t="str">
        <f>IF(AND(M73&lt;&gt;"",M73&lt;&gt;0), IF(E73 = "Muni", T73, IF(E73="Corp", T73*(1 -'Investor Input'!$C$4-'Investor Input'!$C$5), T73*(1 -'Investor Input'!$C$4))), T73)</f>
        <v/>
      </c>
      <c r="V73" s="84" t="str">
        <f t="shared" si="29"/>
        <v/>
      </c>
      <c r="W73" s="84" t="str">
        <f t="shared" si="15"/>
        <v/>
      </c>
      <c r="X73" s="21" t="str">
        <f t="shared" si="16"/>
        <v/>
      </c>
      <c r="Y73" s="60" t="str">
        <f t="shared" si="17"/>
        <v/>
      </c>
      <c r="Z73" s="60" t="str">
        <f t="shared" si="18"/>
        <v/>
      </c>
      <c r="AA73" s="64" t="str">
        <f t="shared" si="19"/>
        <v/>
      </c>
      <c r="AB73" s="64" t="str">
        <f>IF(AND(AA73&lt;&gt;"",AA73&lt;&gt;0), IF(E73="Muni", AA73, IF(E73 = "Corp", (1-'Investor Input'!$C$4-'Investor Input'!$C$5)*AA73, (1-'Investor Input'!$C$4)*AA73)), AA73)</f>
        <v/>
      </c>
      <c r="AC73" s="94" t="str">
        <f t="shared" si="20"/>
        <v/>
      </c>
      <c r="AD73" s="60" t="str">
        <f>IF(AND(M73&lt;&gt;"", M73&lt;&gt;0), N73/$N$505*MATCH(AC73,'Misc Lists'!$K$2:$K$25,0), "")</f>
        <v/>
      </c>
      <c r="AE73" s="90" t="str">
        <f t="shared" si="21"/>
        <v/>
      </c>
      <c r="AF73" s="99" t="str">
        <f>IF(AND(M73&lt;&gt;"", M73&lt;&gt;0), N73/$N$505*MATCH(AE73,'Misc Lists'!$L$2:$L$25,0), "")</f>
        <v/>
      </c>
    </row>
    <row r="74" spans="2:32" hidden="1" outlineLevel="1" x14ac:dyDescent="0.5">
      <c r="B74" s="60" t="str">
        <f ca="1"/>
        <v>91282CFY2</v>
      </c>
      <c r="C74" s="61" t="str">
        <f ca="1"/>
        <v>N/A</v>
      </c>
      <c r="D74" s="60" t="str">
        <f ca="1"/>
        <v>UNITED STATES TREAS SER S-2029          3.87500% 11/30/2029 NTS NOTE</v>
      </c>
      <c r="E74" s="61" t="str">
        <f ca="1"/>
        <v>Tres</v>
      </c>
      <c r="F74" s="62">
        <f ca="1"/>
        <v>3.875</v>
      </c>
      <c r="G74" s="63">
        <f ca="1"/>
        <v>47452</v>
      </c>
      <c r="H74" s="61" t="str">
        <f ca="1"/>
        <v>AAA</v>
      </c>
      <c r="I74" s="61" t="str">
        <f ca="1"/>
        <v>--</v>
      </c>
      <c r="J74" s="64">
        <f ca="1"/>
        <v>98.028000000000006</v>
      </c>
      <c r="K74" s="17">
        <f ca="1"/>
        <v>4.335</v>
      </c>
      <c r="L74" s="18" t="str">
        <f ca="1"/>
        <v>65,000(400)</v>
      </c>
      <c r="M74" s="83"/>
      <c r="N74" s="84" t="str">
        <f t="shared" si="22"/>
        <v/>
      </c>
      <c r="O74" s="20" t="str">
        <f t="shared" si="23"/>
        <v/>
      </c>
      <c r="P74" s="64" t="str">
        <f t="shared" si="24"/>
        <v/>
      </c>
      <c r="Q74" s="85" t="str">
        <f t="shared" ca="1" si="25"/>
        <v/>
      </c>
      <c r="R74" s="86" t="str">
        <f t="shared" si="26"/>
        <v/>
      </c>
      <c r="S74" s="86" t="str">
        <f t="shared" si="27"/>
        <v/>
      </c>
      <c r="T74" s="104" t="str">
        <f t="shared" si="28"/>
        <v/>
      </c>
      <c r="U74" s="19" t="str">
        <f>IF(AND(M74&lt;&gt;"",M74&lt;&gt;0), IF(E74 = "Muni", T74, IF(E74="Corp", T74*(1 -'Investor Input'!$C$4-'Investor Input'!$C$5), T74*(1 -'Investor Input'!$C$4))), T74)</f>
        <v/>
      </c>
      <c r="V74" s="84" t="str">
        <f t="shared" si="29"/>
        <v/>
      </c>
      <c r="W74" s="84" t="str">
        <f t="shared" si="15"/>
        <v/>
      </c>
      <c r="X74" s="21" t="str">
        <f t="shared" si="16"/>
        <v/>
      </c>
      <c r="Y74" s="60" t="str">
        <f t="shared" si="17"/>
        <v/>
      </c>
      <c r="Z74" s="60" t="str">
        <f t="shared" si="18"/>
        <v/>
      </c>
      <c r="AA74" s="64" t="str">
        <f t="shared" si="19"/>
        <v/>
      </c>
      <c r="AB74" s="64" t="str">
        <f>IF(AND(AA74&lt;&gt;"",AA74&lt;&gt;0), IF(E74="Muni", AA74, IF(E74 = "Corp", (1-'Investor Input'!$C$4-'Investor Input'!$C$5)*AA74, (1-'Investor Input'!$C$4)*AA74)), AA74)</f>
        <v/>
      </c>
      <c r="AC74" s="94" t="str">
        <f t="shared" si="20"/>
        <v/>
      </c>
      <c r="AD74" s="60" t="str">
        <f>IF(AND(M74&lt;&gt;"", M74&lt;&gt;0), N74/$N$505*MATCH(AC74,'Misc Lists'!$K$2:$K$25,0), "")</f>
        <v/>
      </c>
      <c r="AE74" s="90" t="str">
        <f t="shared" si="21"/>
        <v/>
      </c>
      <c r="AF74" s="99" t="str">
        <f>IF(AND(M74&lt;&gt;"", M74&lt;&gt;0), N74/$N$505*MATCH(AE74,'Misc Lists'!$L$2:$L$25,0), "")</f>
        <v/>
      </c>
    </row>
    <row r="75" spans="2:32" hidden="1" outlineLevel="1" x14ac:dyDescent="0.5">
      <c r="B75" s="60" t="str">
        <f ca="1"/>
        <v>912828Z94</v>
      </c>
      <c r="C75" s="61" t="str">
        <f ca="1"/>
        <v>N/A</v>
      </c>
      <c r="D75" s="60" t="str">
        <f ca="1"/>
        <v>UNITED STATES TREAS NTS NOTE            1.50000% 02/15/2030</v>
      </c>
      <c r="E75" s="61" t="str">
        <f ca="1"/>
        <v>Tres</v>
      </c>
      <c r="F75" s="62">
        <f ca="1"/>
        <v>1.5</v>
      </c>
      <c r="G75" s="63">
        <f ca="1"/>
        <v>47529</v>
      </c>
      <c r="H75" s="61" t="str">
        <f ca="1"/>
        <v>AAA</v>
      </c>
      <c r="I75" s="61" t="str">
        <f ca="1"/>
        <v>NR</v>
      </c>
      <c r="J75" s="64">
        <f ca="1"/>
        <v>87.403999999999996</v>
      </c>
      <c r="K75" s="17">
        <f ca="1"/>
        <v>4.3330000000000002</v>
      </c>
      <c r="L75" s="18" t="str">
        <f ca="1"/>
        <v>3,000(200)</v>
      </c>
      <c r="M75" s="83"/>
      <c r="N75" s="84" t="str">
        <f t="shared" si="22"/>
        <v/>
      </c>
      <c r="O75" s="20" t="str">
        <f t="shared" si="23"/>
        <v/>
      </c>
      <c r="P75" s="64" t="str">
        <f t="shared" si="24"/>
        <v/>
      </c>
      <c r="Q75" s="85" t="str">
        <f t="shared" ca="1" si="25"/>
        <v/>
      </c>
      <c r="R75" s="86" t="str">
        <f t="shared" si="26"/>
        <v/>
      </c>
      <c r="S75" s="86" t="str">
        <f t="shared" si="27"/>
        <v/>
      </c>
      <c r="T75" s="104" t="str">
        <f t="shared" si="28"/>
        <v/>
      </c>
      <c r="U75" s="19" t="str">
        <f>IF(AND(M75&lt;&gt;"",M75&lt;&gt;0), IF(E75 = "Muni", T75, IF(E75="Corp", T75*(1 -'Investor Input'!$C$4-'Investor Input'!$C$5), T75*(1 -'Investor Input'!$C$4))), T75)</f>
        <v/>
      </c>
      <c r="V75" s="84" t="str">
        <f t="shared" si="29"/>
        <v/>
      </c>
      <c r="W75" s="84" t="str">
        <f t="shared" si="15"/>
        <v/>
      </c>
      <c r="X75" s="21" t="str">
        <f t="shared" si="16"/>
        <v/>
      </c>
      <c r="Y75" s="60" t="str">
        <f t="shared" si="17"/>
        <v/>
      </c>
      <c r="Z75" s="60" t="str">
        <f t="shared" si="18"/>
        <v/>
      </c>
      <c r="AA75" s="64" t="str">
        <f t="shared" si="19"/>
        <v/>
      </c>
      <c r="AB75" s="64" t="str">
        <f>IF(AND(AA75&lt;&gt;"",AA75&lt;&gt;0), IF(E75="Muni", AA75, IF(E75 = "Corp", (1-'Investor Input'!$C$4-'Investor Input'!$C$5)*AA75, (1-'Investor Input'!$C$4)*AA75)), AA75)</f>
        <v/>
      </c>
      <c r="AC75" s="94" t="str">
        <f t="shared" si="20"/>
        <v/>
      </c>
      <c r="AD75" s="60" t="str">
        <f>IF(AND(M75&lt;&gt;"", M75&lt;&gt;0), N75/$N$505*MATCH(AC75,'Misc Lists'!$K$2:$K$25,0), "")</f>
        <v/>
      </c>
      <c r="AE75" s="90" t="str">
        <f t="shared" si="21"/>
        <v/>
      </c>
      <c r="AF75" s="99" t="str">
        <f>IF(AND(M75&lt;&gt;"", M75&lt;&gt;0), N75/$N$505*MATCH(AE75,'Misc Lists'!$L$2:$L$25,0), "")</f>
        <v/>
      </c>
    </row>
    <row r="76" spans="2:32" hidden="1" outlineLevel="1" x14ac:dyDescent="0.5">
      <c r="B76" s="60" t="str">
        <f ca="1"/>
        <v>91282CFT3</v>
      </c>
      <c r="C76" s="61" t="str">
        <f ca="1"/>
        <v>N/A</v>
      </c>
      <c r="D76" s="60" t="str">
        <f ca="1"/>
        <v>UNITED STATES TREAS SER R-2029          4.00000% 10/31/2029 NTS NOTE</v>
      </c>
      <c r="E76" s="61" t="str">
        <f ca="1"/>
        <v>Tres</v>
      </c>
      <c r="F76" s="62">
        <f ca="1"/>
        <v>4</v>
      </c>
      <c r="G76" s="63">
        <f ca="1"/>
        <v>47422</v>
      </c>
      <c r="H76" s="61" t="str">
        <f ca="1"/>
        <v>AAA</v>
      </c>
      <c r="I76" s="61" t="str">
        <f ca="1"/>
        <v>--</v>
      </c>
      <c r="J76" s="64">
        <f ca="1"/>
        <v>98.597999999999999</v>
      </c>
      <c r="K76" s="17">
        <f ca="1"/>
        <v>4.3319999999999999</v>
      </c>
      <c r="L76" s="18" t="str">
        <f ca="1"/>
        <v>65,000(400)</v>
      </c>
      <c r="M76" s="83"/>
      <c r="N76" s="84" t="str">
        <f t="shared" si="22"/>
        <v/>
      </c>
      <c r="O76" s="20" t="str">
        <f t="shared" si="23"/>
        <v/>
      </c>
      <c r="P76" s="64" t="str">
        <f t="shared" si="24"/>
        <v/>
      </c>
      <c r="Q76" s="85" t="str">
        <f t="shared" ca="1" si="25"/>
        <v/>
      </c>
      <c r="R76" s="86" t="str">
        <f t="shared" si="26"/>
        <v/>
      </c>
      <c r="S76" s="86" t="str">
        <f t="shared" si="27"/>
        <v/>
      </c>
      <c r="T76" s="104" t="str">
        <f t="shared" si="28"/>
        <v/>
      </c>
      <c r="U76" s="19" t="str">
        <f>IF(AND(M76&lt;&gt;"",M76&lt;&gt;0), IF(E76 = "Muni", T76, IF(E76="Corp", T76*(1 -'Investor Input'!$C$4-'Investor Input'!$C$5), T76*(1 -'Investor Input'!$C$4))), T76)</f>
        <v/>
      </c>
      <c r="V76" s="84" t="str">
        <f t="shared" si="29"/>
        <v/>
      </c>
      <c r="W76" s="84" t="str">
        <f t="shared" si="15"/>
        <v/>
      </c>
      <c r="X76" s="21" t="str">
        <f t="shared" si="16"/>
        <v/>
      </c>
      <c r="Y76" s="60" t="str">
        <f t="shared" si="17"/>
        <v/>
      </c>
      <c r="Z76" s="60" t="str">
        <f t="shared" si="18"/>
        <v/>
      </c>
      <c r="AA76" s="64" t="str">
        <f t="shared" si="19"/>
        <v/>
      </c>
      <c r="AB76" s="64" t="str">
        <f>IF(AND(AA76&lt;&gt;"",AA76&lt;&gt;0), IF(E76="Muni", AA76, IF(E76 = "Corp", (1-'Investor Input'!$C$4-'Investor Input'!$C$5)*AA76, (1-'Investor Input'!$C$4)*AA76)), AA76)</f>
        <v/>
      </c>
      <c r="AC76" s="94" t="str">
        <f t="shared" si="20"/>
        <v/>
      </c>
      <c r="AD76" s="60" t="str">
        <f>IF(AND(M76&lt;&gt;"", M76&lt;&gt;0), N76/$N$505*MATCH(AC76,'Misc Lists'!$K$2:$K$25,0), "")</f>
        <v/>
      </c>
      <c r="AE76" s="90" t="str">
        <f t="shared" si="21"/>
        <v/>
      </c>
      <c r="AF76" s="99" t="str">
        <f>IF(AND(M76&lt;&gt;"", M76&lt;&gt;0), N76/$N$505*MATCH(AE76,'Misc Lists'!$L$2:$L$25,0), "")</f>
        <v/>
      </c>
    </row>
    <row r="77" spans="2:32" hidden="1" outlineLevel="1" x14ac:dyDescent="0.5">
      <c r="B77" s="60" t="str">
        <f ca="1"/>
        <v>91282CFL0</v>
      </c>
      <c r="C77" s="61" t="str">
        <f ca="1"/>
        <v>N/A</v>
      </c>
      <c r="D77" s="60" t="str">
        <f ca="1"/>
        <v>UNITED STATES TREAS SER Q-2029          3.87500% 09/30/2029 NTS NOTE</v>
      </c>
      <c r="E77" s="61" t="str">
        <f ca="1"/>
        <v>Tres</v>
      </c>
      <c r="F77" s="62">
        <f ca="1"/>
        <v>3.875</v>
      </c>
      <c r="G77" s="63">
        <f ca="1"/>
        <v>47391</v>
      </c>
      <c r="H77" s="61" t="str">
        <f ca="1"/>
        <v>AAA</v>
      </c>
      <c r="I77" s="61" t="str">
        <f ca="1"/>
        <v>--</v>
      </c>
      <c r="J77" s="64">
        <f ca="1"/>
        <v>98.105999999999995</v>
      </c>
      <c r="K77" s="17">
        <f ca="1"/>
        <v>4.3310000000000004</v>
      </c>
      <c r="L77" s="18" t="str">
        <f ca="1"/>
        <v>65,000(400)</v>
      </c>
      <c r="M77" s="83"/>
      <c r="N77" s="84" t="str">
        <f t="shared" si="22"/>
        <v/>
      </c>
      <c r="O77" s="20" t="str">
        <f t="shared" si="23"/>
        <v/>
      </c>
      <c r="P77" s="64" t="str">
        <f t="shared" si="24"/>
        <v/>
      </c>
      <c r="Q77" s="85" t="str">
        <f t="shared" ca="1" si="25"/>
        <v/>
      </c>
      <c r="R77" s="86" t="str">
        <f t="shared" si="26"/>
        <v/>
      </c>
      <c r="S77" s="86" t="str">
        <f t="shared" si="27"/>
        <v/>
      </c>
      <c r="T77" s="104" t="str">
        <f t="shared" si="28"/>
        <v/>
      </c>
      <c r="U77" s="19" t="str">
        <f>IF(AND(M77&lt;&gt;"",M77&lt;&gt;0), IF(E77 = "Muni", T77, IF(E77="Corp", T77*(1 -'Investor Input'!$C$4-'Investor Input'!$C$5), T77*(1 -'Investor Input'!$C$4))), T77)</f>
        <v/>
      </c>
      <c r="V77" s="84" t="str">
        <f t="shared" si="29"/>
        <v/>
      </c>
      <c r="W77" s="84" t="str">
        <f t="shared" si="15"/>
        <v/>
      </c>
      <c r="X77" s="21" t="str">
        <f t="shared" si="16"/>
        <v/>
      </c>
      <c r="Y77" s="60" t="str">
        <f t="shared" si="17"/>
        <v/>
      </c>
      <c r="Z77" s="60" t="str">
        <f t="shared" si="18"/>
        <v/>
      </c>
      <c r="AA77" s="64" t="str">
        <f t="shared" si="19"/>
        <v/>
      </c>
      <c r="AB77" s="64" t="str">
        <f>IF(AND(AA77&lt;&gt;"",AA77&lt;&gt;0), IF(E77="Muni", AA77, IF(E77 = "Corp", (1-'Investor Input'!$C$4-'Investor Input'!$C$5)*AA77, (1-'Investor Input'!$C$4)*AA77)), AA77)</f>
        <v/>
      </c>
      <c r="AC77" s="94" t="str">
        <f t="shared" si="20"/>
        <v/>
      </c>
      <c r="AD77" s="60" t="str">
        <f>IF(AND(M77&lt;&gt;"", M77&lt;&gt;0), N77/$N$505*MATCH(AC77,'Misc Lists'!$K$2:$K$25,0), "")</f>
        <v/>
      </c>
      <c r="AE77" s="90" t="str">
        <f t="shared" si="21"/>
        <v/>
      </c>
      <c r="AF77" s="99" t="str">
        <f>IF(AND(M77&lt;&gt;"", M77&lt;&gt;0), N77/$N$505*MATCH(AE77,'Misc Lists'!$L$2:$L$25,0), "")</f>
        <v/>
      </c>
    </row>
    <row r="78" spans="2:32" hidden="1" outlineLevel="1" x14ac:dyDescent="0.5">
      <c r="B78" s="60" t="str">
        <f ca="1"/>
        <v>91282CMD0</v>
      </c>
      <c r="C78" s="61" t="str">
        <f ca="1"/>
        <v>N/A</v>
      </c>
      <c r="D78" s="60" t="str">
        <f ca="1"/>
        <v>UNITED STATES TREAS SER AH-2029         4.37500% 12/31/2029 NTS NOTE</v>
      </c>
      <c r="E78" s="61" t="str">
        <f ca="1"/>
        <v>Tres</v>
      </c>
      <c r="F78" s="62">
        <f ca="1"/>
        <v>4.375</v>
      </c>
      <c r="G78" s="63">
        <f ca="1"/>
        <v>47483</v>
      </c>
      <c r="H78" s="61" t="str">
        <f ca="1"/>
        <v>AAA</v>
      </c>
      <c r="I78" s="61" t="str">
        <f ca="1"/>
        <v>--</v>
      </c>
      <c r="J78" s="64">
        <f ca="1"/>
        <v>100.188</v>
      </c>
      <c r="K78" s="17">
        <f ca="1"/>
        <v>4.33</v>
      </c>
      <c r="L78" s="18" t="str">
        <f ca="1"/>
        <v>65,000(400)</v>
      </c>
      <c r="M78" s="83"/>
      <c r="N78" s="84" t="str">
        <f t="shared" si="22"/>
        <v/>
      </c>
      <c r="O78" s="20" t="str">
        <f t="shared" si="23"/>
        <v/>
      </c>
      <c r="P78" s="64" t="str">
        <f t="shared" si="24"/>
        <v/>
      </c>
      <c r="Q78" s="85" t="str">
        <f t="shared" ca="1" si="25"/>
        <v/>
      </c>
      <c r="R78" s="86" t="str">
        <f t="shared" si="26"/>
        <v/>
      </c>
      <c r="S78" s="86" t="str">
        <f t="shared" si="27"/>
        <v/>
      </c>
      <c r="T78" s="104" t="str">
        <f t="shared" si="28"/>
        <v/>
      </c>
      <c r="U78" s="19" t="str">
        <f>IF(AND(M78&lt;&gt;"",M78&lt;&gt;0), IF(E78 = "Muni", T78, IF(E78="Corp", T78*(1 -'Investor Input'!$C$4-'Investor Input'!$C$5), T78*(1 -'Investor Input'!$C$4))), T78)</f>
        <v/>
      </c>
      <c r="V78" s="84" t="str">
        <f t="shared" si="29"/>
        <v/>
      </c>
      <c r="W78" s="84" t="str">
        <f t="shared" si="15"/>
        <v/>
      </c>
      <c r="X78" s="21" t="str">
        <f t="shared" si="16"/>
        <v/>
      </c>
      <c r="Y78" s="60" t="str">
        <f t="shared" si="17"/>
        <v/>
      </c>
      <c r="Z78" s="60" t="str">
        <f t="shared" si="18"/>
        <v/>
      </c>
      <c r="AA78" s="64" t="str">
        <f t="shared" si="19"/>
        <v/>
      </c>
      <c r="AB78" s="64" t="str">
        <f>IF(AND(AA78&lt;&gt;"",AA78&lt;&gt;0), IF(E78="Muni", AA78, IF(E78 = "Corp", (1-'Investor Input'!$C$4-'Investor Input'!$C$5)*AA78, (1-'Investor Input'!$C$4)*AA78)), AA78)</f>
        <v/>
      </c>
      <c r="AC78" s="94" t="str">
        <f t="shared" si="20"/>
        <v/>
      </c>
      <c r="AD78" s="60" t="str">
        <f>IF(AND(M78&lt;&gt;"", M78&lt;&gt;0), N78/$N$505*MATCH(AC78,'Misc Lists'!$K$2:$K$25,0), "")</f>
        <v/>
      </c>
      <c r="AE78" s="90" t="str">
        <f t="shared" si="21"/>
        <v/>
      </c>
      <c r="AF78" s="99" t="str">
        <f>IF(AND(M78&lt;&gt;"", M78&lt;&gt;0), N78/$N$505*MATCH(AE78,'Misc Lists'!$L$2:$L$25,0), "")</f>
        <v/>
      </c>
    </row>
    <row r="79" spans="2:32" hidden="1" outlineLevel="1" x14ac:dyDescent="0.5">
      <c r="B79" s="60" t="str">
        <f ca="1"/>
        <v>91282CLN9</v>
      </c>
      <c r="C79" s="61" t="str">
        <f ca="1"/>
        <v>N/A</v>
      </c>
      <c r="D79" s="60" t="str">
        <f ca="1"/>
        <v>UNITED STATES TREAS SER AD-2029         3.50000% 09/30/2029 NTS NOTE</v>
      </c>
      <c r="E79" s="61" t="str">
        <f ca="1"/>
        <v>Tres</v>
      </c>
      <c r="F79" s="62">
        <f ca="1"/>
        <v>3.5</v>
      </c>
      <c r="G79" s="63">
        <f ca="1"/>
        <v>47391</v>
      </c>
      <c r="H79" s="61" t="str">
        <f ca="1"/>
        <v>AAA</v>
      </c>
      <c r="I79" s="61" t="str">
        <f ca="1"/>
        <v>--</v>
      </c>
      <c r="J79" s="64">
        <f ca="1"/>
        <v>96.563000000000002</v>
      </c>
      <c r="K79" s="17">
        <f ca="1"/>
        <v>4.3289999999999997</v>
      </c>
      <c r="L79" s="18" t="str">
        <f ca="1"/>
        <v>65,000(400)</v>
      </c>
      <c r="M79" s="83"/>
      <c r="N79" s="84" t="str">
        <f t="shared" si="22"/>
        <v/>
      </c>
      <c r="O79" s="20" t="str">
        <f t="shared" si="23"/>
        <v/>
      </c>
      <c r="P79" s="64" t="str">
        <f t="shared" si="24"/>
        <v/>
      </c>
      <c r="Q79" s="85" t="str">
        <f t="shared" ca="1" si="25"/>
        <v/>
      </c>
      <c r="R79" s="86" t="str">
        <f t="shared" si="26"/>
        <v/>
      </c>
      <c r="S79" s="86" t="str">
        <f t="shared" si="27"/>
        <v/>
      </c>
      <c r="T79" s="104" t="str">
        <f t="shared" si="28"/>
        <v/>
      </c>
      <c r="U79" s="19" t="str">
        <f>IF(AND(M79&lt;&gt;"",M79&lt;&gt;0), IF(E79 = "Muni", T79, IF(E79="Corp", T79*(1 -'Investor Input'!$C$4-'Investor Input'!$C$5), T79*(1 -'Investor Input'!$C$4))), T79)</f>
        <v/>
      </c>
      <c r="V79" s="84" t="str">
        <f t="shared" si="29"/>
        <v/>
      </c>
      <c r="W79" s="84" t="str">
        <f t="shared" si="15"/>
        <v/>
      </c>
      <c r="X79" s="21" t="str">
        <f t="shared" si="16"/>
        <v/>
      </c>
      <c r="Y79" s="60" t="str">
        <f t="shared" si="17"/>
        <v/>
      </c>
      <c r="Z79" s="60" t="str">
        <f t="shared" si="18"/>
        <v/>
      </c>
      <c r="AA79" s="64" t="str">
        <f t="shared" si="19"/>
        <v/>
      </c>
      <c r="AB79" s="64" t="str">
        <f>IF(AND(AA79&lt;&gt;"",AA79&lt;&gt;0), IF(E79="Muni", AA79, IF(E79 = "Corp", (1-'Investor Input'!$C$4-'Investor Input'!$C$5)*AA79, (1-'Investor Input'!$C$4)*AA79)), AA79)</f>
        <v/>
      </c>
      <c r="AC79" s="94" t="str">
        <f t="shared" si="20"/>
        <v/>
      </c>
      <c r="AD79" s="60" t="str">
        <f>IF(AND(M79&lt;&gt;"", M79&lt;&gt;0), N79/$N$505*MATCH(AC79,'Misc Lists'!$K$2:$K$25,0), "")</f>
        <v/>
      </c>
      <c r="AE79" s="90" t="str">
        <f t="shared" si="21"/>
        <v/>
      </c>
      <c r="AF79" s="99" t="str">
        <f>IF(AND(M79&lt;&gt;"", M79&lt;&gt;0), N79/$N$505*MATCH(AE79,'Misc Lists'!$L$2:$L$25,0), "")</f>
        <v/>
      </c>
    </row>
    <row r="80" spans="2:32" hidden="1" outlineLevel="1" x14ac:dyDescent="0.5">
      <c r="B80" s="60" t="str">
        <f ca="1"/>
        <v>91282CFJ5</v>
      </c>
      <c r="C80" s="61" t="str">
        <f ca="1"/>
        <v>N/A</v>
      </c>
      <c r="D80" s="60" t="str">
        <f ca="1"/>
        <v>UNITED STATES TREAS SER P-2029          3.12500% 08/31/2029 NTS NOTE</v>
      </c>
      <c r="E80" s="61" t="str">
        <f ca="1"/>
        <v>Tres</v>
      </c>
      <c r="F80" s="62">
        <f ca="1"/>
        <v>3.125</v>
      </c>
      <c r="G80" s="63">
        <f ca="1"/>
        <v>47361</v>
      </c>
      <c r="H80" s="61" t="str">
        <f ca="1"/>
        <v>AAA</v>
      </c>
      <c r="I80" s="61" t="str">
        <f ca="1"/>
        <v>--</v>
      </c>
      <c r="J80" s="64">
        <f ca="1"/>
        <v>95.097999999999999</v>
      </c>
      <c r="K80" s="17">
        <f ca="1"/>
        <v>4.3280000000000003</v>
      </c>
      <c r="L80" s="18" t="str">
        <f ca="1"/>
        <v>65,000(400)</v>
      </c>
      <c r="M80" s="83"/>
      <c r="N80" s="84" t="str">
        <f t="shared" si="22"/>
        <v/>
      </c>
      <c r="O80" s="20" t="str">
        <f t="shared" si="23"/>
        <v/>
      </c>
      <c r="P80" s="64" t="str">
        <f t="shared" si="24"/>
        <v/>
      </c>
      <c r="Q80" s="85" t="str">
        <f t="shared" ca="1" si="25"/>
        <v/>
      </c>
      <c r="R80" s="86" t="str">
        <f t="shared" si="26"/>
        <v/>
      </c>
      <c r="S80" s="86" t="str">
        <f t="shared" si="27"/>
        <v/>
      </c>
      <c r="T80" s="104" t="str">
        <f t="shared" si="28"/>
        <v/>
      </c>
      <c r="U80" s="19" t="str">
        <f>IF(AND(M80&lt;&gt;"",M80&lt;&gt;0), IF(E80 = "Muni", T80, IF(E80="Corp", T80*(1 -'Investor Input'!$C$4-'Investor Input'!$C$5), T80*(1 -'Investor Input'!$C$4))), T80)</f>
        <v/>
      </c>
      <c r="V80" s="84" t="str">
        <f t="shared" si="29"/>
        <v/>
      </c>
      <c r="W80" s="84" t="str">
        <f t="shared" si="15"/>
        <v/>
      </c>
      <c r="X80" s="21" t="str">
        <f t="shared" si="16"/>
        <v/>
      </c>
      <c r="Y80" s="60" t="str">
        <f t="shared" si="17"/>
        <v/>
      </c>
      <c r="Z80" s="60" t="str">
        <f t="shared" si="18"/>
        <v/>
      </c>
      <c r="AA80" s="64" t="str">
        <f t="shared" si="19"/>
        <v/>
      </c>
      <c r="AB80" s="64" t="str">
        <f>IF(AND(AA80&lt;&gt;"",AA80&lt;&gt;0), IF(E80="Muni", AA80, IF(E80 = "Corp", (1-'Investor Input'!$C$4-'Investor Input'!$C$5)*AA80, (1-'Investor Input'!$C$4)*AA80)), AA80)</f>
        <v/>
      </c>
      <c r="AC80" s="94" t="str">
        <f t="shared" si="20"/>
        <v/>
      </c>
      <c r="AD80" s="60" t="str">
        <f>IF(AND(M80&lt;&gt;"", M80&lt;&gt;0), N80/$N$505*MATCH(AC80,'Misc Lists'!$K$2:$K$25,0), "")</f>
        <v/>
      </c>
      <c r="AE80" s="90" t="str">
        <f t="shared" si="21"/>
        <v/>
      </c>
      <c r="AF80" s="99" t="str">
        <f>IF(AND(M80&lt;&gt;"", M80&lt;&gt;0), N80/$N$505*MATCH(AE80,'Misc Lists'!$L$2:$L$25,0), "")</f>
        <v/>
      </c>
    </row>
    <row r="81" spans="2:32" hidden="1" outlineLevel="1" x14ac:dyDescent="0.5">
      <c r="B81" s="60" t="str">
        <f ca="1"/>
        <v>91282CMG3</v>
      </c>
      <c r="C81" s="61" t="str">
        <f ca="1"/>
        <v>N/A</v>
      </c>
      <c r="D81" s="60" t="str">
        <f ca="1"/>
        <v>UNITED STATES TREAS SER U-2030          4.25000% 01/31/2030 NTS NOTE</v>
      </c>
      <c r="E81" s="61" t="str">
        <f ca="1"/>
        <v>Tres</v>
      </c>
      <c r="F81" s="62">
        <f ca="1"/>
        <v>4.25</v>
      </c>
      <c r="G81" s="63">
        <f ca="1"/>
        <v>47514</v>
      </c>
      <c r="H81" s="61" t="str">
        <f ca="1"/>
        <v>AAA</v>
      </c>
      <c r="I81" s="61" t="str">
        <f ca="1"/>
        <v>--</v>
      </c>
      <c r="J81" s="64">
        <f ca="1"/>
        <v>99.653000000000006</v>
      </c>
      <c r="K81" s="17">
        <f ca="1"/>
        <v>4.3280000000000003</v>
      </c>
      <c r="L81" s="18" t="str">
        <f ca="1"/>
        <v>100,000(400)</v>
      </c>
      <c r="M81" s="83"/>
      <c r="N81" s="84" t="str">
        <f t="shared" si="22"/>
        <v/>
      </c>
      <c r="O81" s="20" t="str">
        <f t="shared" si="23"/>
        <v/>
      </c>
      <c r="P81" s="64" t="str">
        <f t="shared" si="24"/>
        <v/>
      </c>
      <c r="Q81" s="85" t="str">
        <f t="shared" ca="1" si="25"/>
        <v/>
      </c>
      <c r="R81" s="86" t="str">
        <f t="shared" si="26"/>
        <v/>
      </c>
      <c r="S81" s="86" t="str">
        <f t="shared" si="27"/>
        <v/>
      </c>
      <c r="T81" s="104" t="str">
        <f t="shared" si="28"/>
        <v/>
      </c>
      <c r="U81" s="19" t="str">
        <f>IF(AND(M81&lt;&gt;"",M81&lt;&gt;0), IF(E81 = "Muni", T81, IF(E81="Corp", T81*(1 -'Investor Input'!$C$4-'Investor Input'!$C$5), T81*(1 -'Investor Input'!$C$4))), T81)</f>
        <v/>
      </c>
      <c r="V81" s="84" t="str">
        <f t="shared" si="29"/>
        <v/>
      </c>
      <c r="W81" s="84" t="str">
        <f t="shared" si="15"/>
        <v/>
      </c>
      <c r="X81" s="21" t="str">
        <f t="shared" si="16"/>
        <v/>
      </c>
      <c r="Y81" s="60" t="str">
        <f t="shared" si="17"/>
        <v/>
      </c>
      <c r="Z81" s="60" t="str">
        <f t="shared" si="18"/>
        <v/>
      </c>
      <c r="AA81" s="64" t="str">
        <f t="shared" si="19"/>
        <v/>
      </c>
      <c r="AB81" s="64" t="str">
        <f>IF(AND(AA81&lt;&gt;"",AA81&lt;&gt;0), IF(E81="Muni", AA81, IF(E81 = "Corp", (1-'Investor Input'!$C$4-'Investor Input'!$C$5)*AA81, (1-'Investor Input'!$C$4)*AA81)), AA81)</f>
        <v/>
      </c>
      <c r="AC81" s="94" t="str">
        <f t="shared" si="20"/>
        <v/>
      </c>
      <c r="AD81" s="60" t="str">
        <f>IF(AND(M81&lt;&gt;"", M81&lt;&gt;0), N81/$N$505*MATCH(AC81,'Misc Lists'!$K$2:$K$25,0), "")</f>
        <v/>
      </c>
      <c r="AE81" s="90" t="str">
        <f t="shared" si="21"/>
        <v/>
      </c>
      <c r="AF81" s="99" t="str">
        <f>IF(AND(M81&lt;&gt;"", M81&lt;&gt;0), N81/$N$505*MATCH(AE81,'Misc Lists'!$L$2:$L$25,0), "")</f>
        <v/>
      </c>
    </row>
    <row r="82" spans="2:32" hidden="1" outlineLevel="1" x14ac:dyDescent="0.5">
      <c r="B82" s="60" t="str">
        <f ca="1"/>
        <v>91282CLR0</v>
      </c>
      <c r="C82" s="61" t="str">
        <f ca="1"/>
        <v>N/A</v>
      </c>
      <c r="D82" s="60" t="str">
        <f ca="1"/>
        <v>UNITED STATES TREAS SER AF-2029         4.12500% 10/31/2029 NTS NOTE</v>
      </c>
      <c r="E82" s="61" t="str">
        <f ca="1"/>
        <v>Tres</v>
      </c>
      <c r="F82" s="62">
        <f ca="1"/>
        <v>4.125</v>
      </c>
      <c r="G82" s="63">
        <f ca="1"/>
        <v>47422</v>
      </c>
      <c r="H82" s="61" t="str">
        <f ca="1"/>
        <v>AAA</v>
      </c>
      <c r="I82" s="61" t="str">
        <f ca="1"/>
        <v>--</v>
      </c>
      <c r="J82" s="64">
        <f ca="1"/>
        <v>99.149000000000001</v>
      </c>
      <c r="K82" s="17">
        <f ca="1"/>
        <v>4.3259999999999996</v>
      </c>
      <c r="L82" s="18" t="str">
        <f ca="1"/>
        <v>65,000(400)</v>
      </c>
      <c r="M82" s="83"/>
      <c r="N82" s="84" t="str">
        <f t="shared" si="22"/>
        <v/>
      </c>
      <c r="O82" s="20" t="str">
        <f t="shared" si="23"/>
        <v/>
      </c>
      <c r="P82" s="64" t="str">
        <f t="shared" si="24"/>
        <v/>
      </c>
      <c r="Q82" s="85" t="str">
        <f t="shared" ca="1" si="25"/>
        <v/>
      </c>
      <c r="R82" s="86" t="str">
        <f t="shared" si="26"/>
        <v/>
      </c>
      <c r="S82" s="86" t="str">
        <f t="shared" si="27"/>
        <v/>
      </c>
      <c r="T82" s="104" t="str">
        <f t="shared" si="28"/>
        <v/>
      </c>
      <c r="U82" s="19" t="str">
        <f>IF(AND(M82&lt;&gt;"",M82&lt;&gt;0), IF(E82 = "Muni", T82, IF(E82="Corp", T82*(1 -'Investor Input'!$C$4-'Investor Input'!$C$5), T82*(1 -'Investor Input'!$C$4))), T82)</f>
        <v/>
      </c>
      <c r="V82" s="84" t="str">
        <f t="shared" si="29"/>
        <v/>
      </c>
      <c r="W82" s="84" t="str">
        <f t="shared" si="15"/>
        <v/>
      </c>
      <c r="X82" s="21" t="str">
        <f t="shared" si="16"/>
        <v/>
      </c>
      <c r="Y82" s="60" t="str">
        <f t="shared" si="17"/>
        <v/>
      </c>
      <c r="Z82" s="60" t="str">
        <f t="shared" si="18"/>
        <v/>
      </c>
      <c r="AA82" s="64" t="str">
        <f t="shared" si="19"/>
        <v/>
      </c>
      <c r="AB82" s="64" t="str">
        <f>IF(AND(AA82&lt;&gt;"",AA82&lt;&gt;0), IF(E82="Muni", AA82, IF(E82 = "Corp", (1-'Investor Input'!$C$4-'Investor Input'!$C$5)*AA82, (1-'Investor Input'!$C$4)*AA82)), AA82)</f>
        <v/>
      </c>
      <c r="AC82" s="94" t="str">
        <f t="shared" si="20"/>
        <v/>
      </c>
      <c r="AD82" s="60" t="str">
        <f>IF(AND(M82&lt;&gt;"", M82&lt;&gt;0), N82/$N$505*MATCH(AC82,'Misc Lists'!$K$2:$K$25,0), "")</f>
        <v/>
      </c>
      <c r="AE82" s="90" t="str">
        <f t="shared" si="21"/>
        <v/>
      </c>
      <c r="AF82" s="99" t="str">
        <f>IF(AND(M82&lt;&gt;"", M82&lt;&gt;0), N82/$N$505*MATCH(AE82,'Misc Lists'!$L$2:$L$25,0), "")</f>
        <v/>
      </c>
    </row>
    <row r="83" spans="2:32" hidden="1" outlineLevel="1" x14ac:dyDescent="0.5">
      <c r="B83" s="60" t="str">
        <f ca="1"/>
        <v>91282CEV9</v>
      </c>
      <c r="C83" s="61" t="str">
        <f ca="1"/>
        <v>N/A</v>
      </c>
      <c r="D83" s="60" t="str">
        <f ca="1"/>
        <v>UNITED STATES TREAS SER M-2029          3.25000% 06/30/2029 NTS NOTE</v>
      </c>
      <c r="E83" s="61" t="str">
        <f ca="1"/>
        <v>Tres</v>
      </c>
      <c r="F83" s="62">
        <f ca="1"/>
        <v>3.25</v>
      </c>
      <c r="G83" s="63">
        <f ca="1"/>
        <v>47299</v>
      </c>
      <c r="H83" s="61" t="str">
        <f ca="1"/>
        <v>AAA</v>
      </c>
      <c r="I83" s="61" t="str">
        <f ca="1"/>
        <v>--</v>
      </c>
      <c r="J83" s="64">
        <f ca="1"/>
        <v>95.762</v>
      </c>
      <c r="K83" s="17">
        <f ca="1"/>
        <v>4.3250000000000002</v>
      </c>
      <c r="L83" s="18" t="str">
        <f ca="1"/>
        <v>65,000(400)</v>
      </c>
      <c r="M83" s="83"/>
      <c r="N83" s="84" t="str">
        <f t="shared" si="22"/>
        <v/>
      </c>
      <c r="O83" s="20" t="str">
        <f t="shared" si="23"/>
        <v/>
      </c>
      <c r="P83" s="64" t="str">
        <f t="shared" si="24"/>
        <v/>
      </c>
      <c r="Q83" s="85" t="str">
        <f t="shared" ca="1" si="25"/>
        <v/>
      </c>
      <c r="R83" s="86" t="str">
        <f t="shared" si="26"/>
        <v/>
      </c>
      <c r="S83" s="86" t="str">
        <f t="shared" si="27"/>
        <v/>
      </c>
      <c r="T83" s="104" t="str">
        <f t="shared" si="28"/>
        <v/>
      </c>
      <c r="U83" s="19" t="str">
        <f>IF(AND(M83&lt;&gt;"",M83&lt;&gt;0), IF(E83 = "Muni", T83, IF(E83="Corp", T83*(1 -'Investor Input'!$C$4-'Investor Input'!$C$5), T83*(1 -'Investor Input'!$C$4))), T83)</f>
        <v/>
      </c>
      <c r="V83" s="84" t="str">
        <f t="shared" si="29"/>
        <v/>
      </c>
      <c r="W83" s="84" t="str">
        <f t="shared" si="15"/>
        <v/>
      </c>
      <c r="X83" s="21" t="str">
        <f t="shared" si="16"/>
        <v/>
      </c>
      <c r="Y83" s="60" t="str">
        <f t="shared" si="17"/>
        <v/>
      </c>
      <c r="Z83" s="60" t="str">
        <f t="shared" si="18"/>
        <v/>
      </c>
      <c r="AA83" s="64" t="str">
        <f t="shared" si="19"/>
        <v/>
      </c>
      <c r="AB83" s="64" t="str">
        <f>IF(AND(AA83&lt;&gt;"",AA83&lt;&gt;0), IF(E83="Muni", AA83, IF(E83 = "Corp", (1-'Investor Input'!$C$4-'Investor Input'!$C$5)*AA83, (1-'Investor Input'!$C$4)*AA83)), AA83)</f>
        <v/>
      </c>
      <c r="AC83" s="94" t="str">
        <f t="shared" si="20"/>
        <v/>
      </c>
      <c r="AD83" s="60" t="str">
        <f>IF(AND(M83&lt;&gt;"", M83&lt;&gt;0), N83/$N$505*MATCH(AC83,'Misc Lists'!$K$2:$K$25,0), "")</f>
        <v/>
      </c>
      <c r="AE83" s="90" t="str">
        <f t="shared" si="21"/>
        <v/>
      </c>
      <c r="AF83" s="99" t="str">
        <f>IF(AND(M83&lt;&gt;"", M83&lt;&gt;0), N83/$N$505*MATCH(AE83,'Misc Lists'!$L$2:$L$25,0), "")</f>
        <v/>
      </c>
    </row>
    <row r="84" spans="2:32" hidden="1" outlineLevel="1" x14ac:dyDescent="0.5">
      <c r="B84" s="60" t="str">
        <f ca="1"/>
        <v>91282CKX8</v>
      </c>
      <c r="C84" s="61" t="str">
        <f ca="1"/>
        <v>N/A</v>
      </c>
      <c r="D84" s="60" t="str">
        <f ca="1"/>
        <v>UNITED STATES TREAS SER AA-2029         4.25000% 06/30/2029 NTS NOTE</v>
      </c>
      <c r="E84" s="61" t="str">
        <f ca="1"/>
        <v>Tres</v>
      </c>
      <c r="F84" s="62">
        <f ca="1"/>
        <v>4.25</v>
      </c>
      <c r="G84" s="63">
        <f ca="1"/>
        <v>47299</v>
      </c>
      <c r="H84" s="61" t="str">
        <f ca="1"/>
        <v>AAA</v>
      </c>
      <c r="I84" s="61" t="str">
        <f ca="1"/>
        <v>--</v>
      </c>
      <c r="J84" s="64">
        <f ca="1"/>
        <v>99.7</v>
      </c>
      <c r="K84" s="17">
        <f ca="1"/>
        <v>4.3250000000000002</v>
      </c>
      <c r="L84" s="18" t="str">
        <f ca="1"/>
        <v>80,000(400)</v>
      </c>
      <c r="M84" s="83"/>
      <c r="N84" s="84" t="str">
        <f t="shared" si="22"/>
        <v/>
      </c>
      <c r="O84" s="20" t="str">
        <f t="shared" si="23"/>
        <v/>
      </c>
      <c r="P84" s="64" t="str">
        <f t="shared" si="24"/>
        <v/>
      </c>
      <c r="Q84" s="85" t="str">
        <f t="shared" ca="1" si="25"/>
        <v/>
      </c>
      <c r="R84" s="86" t="str">
        <f t="shared" si="26"/>
        <v/>
      </c>
      <c r="S84" s="86" t="str">
        <f t="shared" si="27"/>
        <v/>
      </c>
      <c r="T84" s="104" t="str">
        <f t="shared" si="28"/>
        <v/>
      </c>
      <c r="U84" s="19" t="str">
        <f>IF(AND(M84&lt;&gt;"",M84&lt;&gt;0), IF(E84 = "Muni", T84, IF(E84="Corp", T84*(1 -'Investor Input'!$C$4-'Investor Input'!$C$5), T84*(1 -'Investor Input'!$C$4))), T84)</f>
        <v/>
      </c>
      <c r="V84" s="84" t="str">
        <f t="shared" si="29"/>
        <v/>
      </c>
      <c r="W84" s="84" t="str">
        <f t="shared" si="15"/>
        <v/>
      </c>
      <c r="X84" s="21" t="str">
        <f t="shared" si="16"/>
        <v/>
      </c>
      <c r="Y84" s="60" t="str">
        <f t="shared" si="17"/>
        <v/>
      </c>
      <c r="Z84" s="60" t="str">
        <f t="shared" si="18"/>
        <v/>
      </c>
      <c r="AA84" s="64" t="str">
        <f t="shared" si="19"/>
        <v/>
      </c>
      <c r="AB84" s="64" t="str">
        <f>IF(AND(AA84&lt;&gt;"",AA84&lt;&gt;0), IF(E84="Muni", AA84, IF(E84 = "Corp", (1-'Investor Input'!$C$4-'Investor Input'!$C$5)*AA84, (1-'Investor Input'!$C$4)*AA84)), AA84)</f>
        <v/>
      </c>
      <c r="AC84" s="94" t="str">
        <f t="shared" si="20"/>
        <v/>
      </c>
      <c r="AD84" s="60" t="str">
        <f>IF(AND(M84&lt;&gt;"", M84&lt;&gt;0), N84/$N$505*MATCH(AC84,'Misc Lists'!$K$2:$K$25,0), "")</f>
        <v/>
      </c>
      <c r="AE84" s="90" t="str">
        <f t="shared" si="21"/>
        <v/>
      </c>
      <c r="AF84" s="99" t="str">
        <f>IF(AND(M84&lt;&gt;"", M84&lt;&gt;0), N84/$N$505*MATCH(AE84,'Misc Lists'!$L$2:$L$25,0), "")</f>
        <v/>
      </c>
    </row>
    <row r="85" spans="2:32" hidden="1" outlineLevel="1" x14ac:dyDescent="0.5">
      <c r="B85" s="60" t="str">
        <f ca="1"/>
        <v>91282CMA6</v>
      </c>
      <c r="C85" s="61" t="str">
        <f ca="1"/>
        <v>N/A</v>
      </c>
      <c r="D85" s="60" t="str">
        <f ca="1"/>
        <v>UNITED STATES TREAS SER AG-2029         4.12500% 11/30/2029 NTS NOTE</v>
      </c>
      <c r="E85" s="61" t="str">
        <f ca="1"/>
        <v>Tres</v>
      </c>
      <c r="F85" s="62">
        <f ca="1"/>
        <v>4.125</v>
      </c>
      <c r="G85" s="63">
        <f ca="1"/>
        <v>47452</v>
      </c>
      <c r="H85" s="61" t="str">
        <f ca="1"/>
        <v>AAA</v>
      </c>
      <c r="I85" s="61" t="str">
        <f ca="1"/>
        <v>--</v>
      </c>
      <c r="J85" s="64">
        <f ca="1"/>
        <v>99.137</v>
      </c>
      <c r="K85" s="17">
        <f ca="1"/>
        <v>4.3250000000000002</v>
      </c>
      <c r="L85" s="18" t="str">
        <f ca="1"/>
        <v>65,000(400)</v>
      </c>
      <c r="M85" s="83"/>
      <c r="N85" s="84" t="str">
        <f t="shared" si="22"/>
        <v/>
      </c>
      <c r="O85" s="20" t="str">
        <f t="shared" si="23"/>
        <v/>
      </c>
      <c r="P85" s="64" t="str">
        <f t="shared" si="24"/>
        <v/>
      </c>
      <c r="Q85" s="85" t="str">
        <f t="shared" ca="1" si="25"/>
        <v/>
      </c>
      <c r="R85" s="86" t="str">
        <f t="shared" si="26"/>
        <v/>
      </c>
      <c r="S85" s="86" t="str">
        <f t="shared" si="27"/>
        <v/>
      </c>
      <c r="T85" s="104" t="str">
        <f t="shared" si="28"/>
        <v/>
      </c>
      <c r="U85" s="19" t="str">
        <f>IF(AND(M85&lt;&gt;"",M85&lt;&gt;0), IF(E85 = "Muni", T85, IF(E85="Corp", T85*(1 -'Investor Input'!$C$4-'Investor Input'!$C$5), T85*(1 -'Investor Input'!$C$4))), T85)</f>
        <v/>
      </c>
      <c r="V85" s="84" t="str">
        <f t="shared" si="29"/>
        <v/>
      </c>
      <c r="W85" s="84" t="str">
        <f t="shared" si="15"/>
        <v/>
      </c>
      <c r="X85" s="21" t="str">
        <f t="shared" si="16"/>
        <v/>
      </c>
      <c r="Y85" s="60" t="str">
        <f t="shared" si="17"/>
        <v/>
      </c>
      <c r="Z85" s="60" t="str">
        <f t="shared" si="18"/>
        <v/>
      </c>
      <c r="AA85" s="64" t="str">
        <f t="shared" si="19"/>
        <v/>
      </c>
      <c r="AB85" s="64" t="str">
        <f>IF(AND(AA85&lt;&gt;"",AA85&lt;&gt;0), IF(E85="Muni", AA85, IF(E85 = "Corp", (1-'Investor Input'!$C$4-'Investor Input'!$C$5)*AA85, (1-'Investor Input'!$C$4)*AA85)), AA85)</f>
        <v/>
      </c>
      <c r="AC85" s="94" t="str">
        <f t="shared" si="20"/>
        <v/>
      </c>
      <c r="AD85" s="60" t="str">
        <f>IF(AND(M85&lt;&gt;"", M85&lt;&gt;0), N85/$N$505*MATCH(AC85,'Misc Lists'!$K$2:$K$25,0), "")</f>
        <v/>
      </c>
      <c r="AE85" s="90" t="str">
        <f t="shared" si="21"/>
        <v/>
      </c>
      <c r="AF85" s="99" t="str">
        <f>IF(AND(M85&lt;&gt;"", M85&lt;&gt;0), N85/$N$505*MATCH(AE85,'Misc Lists'!$L$2:$L$25,0), "")</f>
        <v/>
      </c>
    </row>
    <row r="86" spans="2:32" hidden="1" outlineLevel="1" x14ac:dyDescent="0.5">
      <c r="B86" s="60" t="str">
        <f ca="1"/>
        <v>91282CFC0</v>
      </c>
      <c r="C86" s="61" t="str">
        <f ca="1"/>
        <v>N/A</v>
      </c>
      <c r="D86" s="60" t="str">
        <f ca="1"/>
        <v>UNITED STATES TREAS SER N-2029          2.62500% 07/31/2029 NTS NOTE</v>
      </c>
      <c r="E86" s="61" t="str">
        <f ca="1"/>
        <v>Tres</v>
      </c>
      <c r="F86" s="62">
        <f ca="1"/>
        <v>2.625</v>
      </c>
      <c r="G86" s="63">
        <f ca="1"/>
        <v>47330</v>
      </c>
      <c r="H86" s="61" t="str">
        <f ca="1"/>
        <v>AAA</v>
      </c>
      <c r="I86" s="61" t="str">
        <f ca="1"/>
        <v>--</v>
      </c>
      <c r="J86" s="64">
        <f ca="1"/>
        <v>93.188000000000002</v>
      </c>
      <c r="K86" s="17">
        <f ca="1"/>
        <v>4.3230000000000004</v>
      </c>
      <c r="L86" s="18" t="str">
        <f ca="1"/>
        <v>65,000(400)</v>
      </c>
      <c r="M86" s="83"/>
      <c r="N86" s="84" t="str">
        <f t="shared" si="22"/>
        <v/>
      </c>
      <c r="O86" s="20" t="str">
        <f t="shared" si="23"/>
        <v/>
      </c>
      <c r="P86" s="64" t="str">
        <f t="shared" si="24"/>
        <v/>
      </c>
      <c r="Q86" s="85" t="str">
        <f t="shared" ca="1" si="25"/>
        <v/>
      </c>
      <c r="R86" s="86" t="str">
        <f t="shared" si="26"/>
        <v/>
      </c>
      <c r="S86" s="86" t="str">
        <f t="shared" si="27"/>
        <v/>
      </c>
      <c r="T86" s="104" t="str">
        <f t="shared" si="28"/>
        <v/>
      </c>
      <c r="U86" s="19" t="str">
        <f>IF(AND(M86&lt;&gt;"",M86&lt;&gt;0), IF(E86 = "Muni", T86, IF(E86="Corp", T86*(1 -'Investor Input'!$C$4-'Investor Input'!$C$5), T86*(1 -'Investor Input'!$C$4))), T86)</f>
        <v/>
      </c>
      <c r="V86" s="84" t="str">
        <f t="shared" si="29"/>
        <v/>
      </c>
      <c r="W86" s="84" t="str">
        <f t="shared" si="15"/>
        <v/>
      </c>
      <c r="X86" s="21" t="str">
        <f t="shared" si="16"/>
        <v/>
      </c>
      <c r="Y86" s="60" t="str">
        <f t="shared" si="17"/>
        <v/>
      </c>
      <c r="Z86" s="60" t="str">
        <f t="shared" si="18"/>
        <v/>
      </c>
      <c r="AA86" s="64" t="str">
        <f t="shared" si="19"/>
        <v/>
      </c>
      <c r="AB86" s="64" t="str">
        <f>IF(AND(AA86&lt;&gt;"",AA86&lt;&gt;0), IF(E86="Muni", AA86, IF(E86 = "Corp", (1-'Investor Input'!$C$4-'Investor Input'!$C$5)*AA86, (1-'Investor Input'!$C$4)*AA86)), AA86)</f>
        <v/>
      </c>
      <c r="AC86" s="94" t="str">
        <f t="shared" si="20"/>
        <v/>
      </c>
      <c r="AD86" s="60" t="str">
        <f>IF(AND(M86&lt;&gt;"", M86&lt;&gt;0), N86/$N$505*MATCH(AC86,'Misc Lists'!$K$2:$K$25,0), "")</f>
        <v/>
      </c>
      <c r="AE86" s="90" t="str">
        <f t="shared" si="21"/>
        <v/>
      </c>
      <c r="AF86" s="99" t="str">
        <f>IF(AND(M86&lt;&gt;"", M86&lt;&gt;0), N86/$N$505*MATCH(AE86,'Misc Lists'!$L$2:$L$25,0), "")</f>
        <v/>
      </c>
    </row>
    <row r="87" spans="2:32" hidden="1" outlineLevel="1" x14ac:dyDescent="0.5">
      <c r="B87" s="60" t="str">
        <f ca="1"/>
        <v>91282CLK5</v>
      </c>
      <c r="C87" s="61" t="str">
        <f ca="1"/>
        <v>N/A</v>
      </c>
      <c r="D87" s="60" t="str">
        <f ca="1"/>
        <v>UNITED STATES TREAS SER AC-2029         3.62500% 08/31/2029 NTS NOTE</v>
      </c>
      <c r="E87" s="61" t="str">
        <f ca="1"/>
        <v>Tres</v>
      </c>
      <c r="F87" s="62">
        <f ca="1"/>
        <v>3.625</v>
      </c>
      <c r="G87" s="63">
        <f ca="1"/>
        <v>47361</v>
      </c>
      <c r="H87" s="61" t="str">
        <f ca="1"/>
        <v>AAA</v>
      </c>
      <c r="I87" s="61" t="str">
        <f ca="1"/>
        <v>--</v>
      </c>
      <c r="J87" s="64">
        <f ca="1"/>
        <v>97.156999999999996</v>
      </c>
      <c r="K87" s="17">
        <f ca="1"/>
        <v>4.3230000000000004</v>
      </c>
      <c r="L87" s="18" t="str">
        <f ca="1"/>
        <v>65,000(400)</v>
      </c>
      <c r="M87" s="83"/>
      <c r="N87" s="84" t="str">
        <f t="shared" si="22"/>
        <v/>
      </c>
      <c r="O87" s="20" t="str">
        <f t="shared" si="23"/>
        <v/>
      </c>
      <c r="P87" s="64" t="str">
        <f t="shared" si="24"/>
        <v/>
      </c>
      <c r="Q87" s="85" t="str">
        <f t="shared" ca="1" si="25"/>
        <v/>
      </c>
      <c r="R87" s="86" t="str">
        <f t="shared" si="26"/>
        <v/>
      </c>
      <c r="S87" s="86" t="str">
        <f t="shared" si="27"/>
        <v/>
      </c>
      <c r="T87" s="104" t="str">
        <f t="shared" si="28"/>
        <v/>
      </c>
      <c r="U87" s="19" t="str">
        <f>IF(AND(M87&lt;&gt;"",M87&lt;&gt;0), IF(E87 = "Muni", T87, IF(E87="Corp", T87*(1 -'Investor Input'!$C$4-'Investor Input'!$C$5), T87*(1 -'Investor Input'!$C$4))), T87)</f>
        <v/>
      </c>
      <c r="V87" s="84" t="str">
        <f t="shared" si="29"/>
        <v/>
      </c>
      <c r="W87" s="84" t="str">
        <f t="shared" si="15"/>
        <v/>
      </c>
      <c r="X87" s="21" t="str">
        <f t="shared" si="16"/>
        <v/>
      </c>
      <c r="Y87" s="60" t="str">
        <f t="shared" si="17"/>
        <v/>
      </c>
      <c r="Z87" s="60" t="str">
        <f t="shared" si="18"/>
        <v/>
      </c>
      <c r="AA87" s="64" t="str">
        <f t="shared" si="19"/>
        <v/>
      </c>
      <c r="AB87" s="64" t="str">
        <f>IF(AND(AA87&lt;&gt;"",AA87&lt;&gt;0), IF(E87="Muni", AA87, IF(E87 = "Corp", (1-'Investor Input'!$C$4-'Investor Input'!$C$5)*AA87, (1-'Investor Input'!$C$4)*AA87)), AA87)</f>
        <v/>
      </c>
      <c r="AC87" s="94" t="str">
        <f t="shared" si="20"/>
        <v/>
      </c>
      <c r="AD87" s="60" t="str">
        <f>IF(AND(M87&lt;&gt;"", M87&lt;&gt;0), N87/$N$505*MATCH(AC87,'Misc Lists'!$K$2:$K$25,0), "")</f>
        <v/>
      </c>
      <c r="AE87" s="90" t="str">
        <f t="shared" si="21"/>
        <v/>
      </c>
      <c r="AF87" s="99" t="str">
        <f>IF(AND(M87&lt;&gt;"", M87&lt;&gt;0), N87/$N$505*MATCH(AE87,'Misc Lists'!$L$2:$L$25,0), "")</f>
        <v/>
      </c>
    </row>
    <row r="88" spans="2:32" hidden="1" outlineLevel="1" x14ac:dyDescent="0.5">
      <c r="B88" s="60" t="str">
        <f ca="1"/>
        <v>91282CHV6</v>
      </c>
      <c r="C88" s="61" t="str">
        <f ca="1"/>
        <v>N/A</v>
      </c>
      <c r="D88" s="60" t="str">
        <f ca="1"/>
        <v>UNITED STATES TREAS SER BG-2025         5.00000% 08/31/2025 NTS NOTE</v>
      </c>
      <c r="E88" s="61" t="str">
        <f ca="1"/>
        <v>Tres</v>
      </c>
      <c r="F88" s="62">
        <f ca="1"/>
        <v>5</v>
      </c>
      <c r="G88" s="63">
        <f ca="1"/>
        <v>45900</v>
      </c>
      <c r="H88" s="61" t="str">
        <f ca="1"/>
        <v>AAA</v>
      </c>
      <c r="I88" s="61" t="str">
        <f ca="1"/>
        <v>--</v>
      </c>
      <c r="J88" s="64">
        <f ca="1"/>
        <v>100.349</v>
      </c>
      <c r="K88" s="17">
        <f ca="1"/>
        <v>4.3220000000000001</v>
      </c>
      <c r="L88" s="18" t="str">
        <f ca="1"/>
        <v>5,600(200)</v>
      </c>
      <c r="M88" s="83"/>
      <c r="N88" s="84" t="str">
        <f t="shared" si="22"/>
        <v/>
      </c>
      <c r="O88" s="20" t="str">
        <f t="shared" si="23"/>
        <v/>
      </c>
      <c r="P88" s="64" t="str">
        <f t="shared" si="24"/>
        <v/>
      </c>
      <c r="Q88" s="85" t="str">
        <f t="shared" ca="1" si="25"/>
        <v/>
      </c>
      <c r="R88" s="86" t="str">
        <f t="shared" si="26"/>
        <v/>
      </c>
      <c r="S88" s="86" t="str">
        <f t="shared" si="27"/>
        <v/>
      </c>
      <c r="T88" s="104" t="str">
        <f t="shared" si="28"/>
        <v/>
      </c>
      <c r="U88" s="19" t="str">
        <f>IF(AND(M88&lt;&gt;"",M88&lt;&gt;0), IF(E88 = "Muni", T88, IF(E88="Corp", T88*(1 -'Investor Input'!$C$4-'Investor Input'!$C$5), T88*(1 -'Investor Input'!$C$4))), T88)</f>
        <v/>
      </c>
      <c r="V88" s="84" t="str">
        <f t="shared" si="29"/>
        <v/>
      </c>
      <c r="W88" s="84" t="str">
        <f t="shared" si="15"/>
        <v/>
      </c>
      <c r="X88" s="21" t="str">
        <f t="shared" si="16"/>
        <v/>
      </c>
      <c r="Y88" s="60" t="str">
        <f t="shared" si="17"/>
        <v/>
      </c>
      <c r="Z88" s="60" t="str">
        <f t="shared" si="18"/>
        <v/>
      </c>
      <c r="AA88" s="64" t="str">
        <f t="shared" si="19"/>
        <v/>
      </c>
      <c r="AB88" s="64" t="str">
        <f>IF(AND(AA88&lt;&gt;"",AA88&lt;&gt;0), IF(E88="Muni", AA88, IF(E88 = "Corp", (1-'Investor Input'!$C$4-'Investor Input'!$C$5)*AA88, (1-'Investor Input'!$C$4)*AA88)), AA88)</f>
        <v/>
      </c>
      <c r="AC88" s="94" t="str">
        <f t="shared" si="20"/>
        <v/>
      </c>
      <c r="AD88" s="60" t="str">
        <f>IF(AND(M88&lt;&gt;"", M88&lt;&gt;0), N88/$N$505*MATCH(AC88,'Misc Lists'!$K$2:$K$25,0), "")</f>
        <v/>
      </c>
      <c r="AE88" s="90" t="str">
        <f t="shared" si="21"/>
        <v/>
      </c>
      <c r="AF88" s="99" t="str">
        <f>IF(AND(M88&lt;&gt;"", M88&lt;&gt;0), N88/$N$505*MATCH(AE88,'Misc Lists'!$L$2:$L$25,0), "")</f>
        <v/>
      </c>
    </row>
    <row r="89" spans="2:32" hidden="1" outlineLevel="1" x14ac:dyDescent="0.5">
      <c r="B89" s="60" t="str">
        <f ca="1"/>
        <v>91282CKG5</v>
      </c>
      <c r="C89" s="61" t="str">
        <f ca="1"/>
        <v>N/A</v>
      </c>
      <c r="D89" s="60" t="str">
        <f ca="1"/>
        <v>UNITED STATES TREAS SER W-2029          4.12500% 03/31/2029 NTS NOTE</v>
      </c>
      <c r="E89" s="61" t="str">
        <f ca="1"/>
        <v>Tres</v>
      </c>
      <c r="F89" s="62">
        <f ca="1"/>
        <v>4.125</v>
      </c>
      <c r="G89" s="63">
        <f ca="1"/>
        <v>47208</v>
      </c>
      <c r="H89" s="61" t="str">
        <f ca="1"/>
        <v>AAA</v>
      </c>
      <c r="I89" s="61" t="str">
        <f ca="1"/>
        <v>--</v>
      </c>
      <c r="J89" s="64">
        <f ca="1"/>
        <v>99.262</v>
      </c>
      <c r="K89" s="17">
        <f ca="1"/>
        <v>4.3209999999999997</v>
      </c>
      <c r="L89" s="18" t="str">
        <f ca="1"/>
        <v>65,000(400)</v>
      </c>
      <c r="M89" s="83"/>
      <c r="N89" s="84" t="str">
        <f t="shared" si="22"/>
        <v/>
      </c>
      <c r="O89" s="20" t="str">
        <f t="shared" si="23"/>
        <v/>
      </c>
      <c r="P89" s="64" t="str">
        <f t="shared" si="24"/>
        <v/>
      </c>
      <c r="Q89" s="85" t="str">
        <f t="shared" ca="1" si="25"/>
        <v/>
      </c>
      <c r="R89" s="86" t="str">
        <f t="shared" si="26"/>
        <v/>
      </c>
      <c r="S89" s="86" t="str">
        <f t="shared" si="27"/>
        <v/>
      </c>
      <c r="T89" s="104" t="str">
        <f t="shared" si="28"/>
        <v/>
      </c>
      <c r="U89" s="19" t="str">
        <f>IF(AND(M89&lt;&gt;"",M89&lt;&gt;0), IF(E89 = "Muni", T89, IF(E89="Corp", T89*(1 -'Investor Input'!$C$4-'Investor Input'!$C$5), T89*(1 -'Investor Input'!$C$4))), T89)</f>
        <v/>
      </c>
      <c r="V89" s="84" t="str">
        <f t="shared" si="29"/>
        <v/>
      </c>
      <c r="W89" s="84" t="str">
        <f t="shared" si="15"/>
        <v/>
      </c>
      <c r="X89" s="21" t="str">
        <f t="shared" si="16"/>
        <v/>
      </c>
      <c r="Y89" s="60" t="str">
        <f t="shared" si="17"/>
        <v/>
      </c>
      <c r="Z89" s="60" t="str">
        <f t="shared" si="18"/>
        <v/>
      </c>
      <c r="AA89" s="64" t="str">
        <f t="shared" si="19"/>
        <v/>
      </c>
      <c r="AB89" s="64" t="str">
        <f>IF(AND(AA89&lt;&gt;"",AA89&lt;&gt;0), IF(E89="Muni", AA89, IF(E89 = "Corp", (1-'Investor Input'!$C$4-'Investor Input'!$C$5)*AA89, (1-'Investor Input'!$C$4)*AA89)), AA89)</f>
        <v/>
      </c>
      <c r="AC89" s="94" t="str">
        <f t="shared" si="20"/>
        <v/>
      </c>
      <c r="AD89" s="60" t="str">
        <f>IF(AND(M89&lt;&gt;"", M89&lt;&gt;0), N89/$N$505*MATCH(AC89,'Misc Lists'!$K$2:$K$25,0), "")</f>
        <v/>
      </c>
      <c r="AE89" s="90" t="str">
        <f t="shared" si="21"/>
        <v/>
      </c>
      <c r="AF89" s="99" t="str">
        <f>IF(AND(M89&lt;&gt;"", M89&lt;&gt;0), N89/$N$505*MATCH(AE89,'Misc Lists'!$L$2:$L$25,0), "")</f>
        <v/>
      </c>
    </row>
    <row r="90" spans="2:32" hidden="1" outlineLevel="1" x14ac:dyDescent="0.5">
      <c r="B90" s="60" t="str">
        <f ca="1"/>
        <v>91282CES6</v>
      </c>
      <c r="C90" s="61" t="str">
        <f ca="1"/>
        <v>N/A</v>
      </c>
      <c r="D90" s="60" t="str">
        <f ca="1"/>
        <v>UNITED STATES TREAS SER L-2029          2.75000% 05/31/2029 NTS NOTE</v>
      </c>
      <c r="E90" s="61" t="str">
        <f ca="1"/>
        <v>Tres</v>
      </c>
      <c r="F90" s="62">
        <f ca="1"/>
        <v>2.75</v>
      </c>
      <c r="G90" s="63">
        <f ca="1"/>
        <v>47269</v>
      </c>
      <c r="H90" s="61" t="str">
        <f ca="1"/>
        <v>AAA</v>
      </c>
      <c r="I90" s="61" t="str">
        <f ca="1"/>
        <v>--</v>
      </c>
      <c r="J90" s="64">
        <f ca="1"/>
        <v>93.915000000000006</v>
      </c>
      <c r="K90" s="17">
        <f ca="1"/>
        <v>4.3209999999999997</v>
      </c>
      <c r="L90" s="18" t="str">
        <f ca="1"/>
        <v>65,000(400)</v>
      </c>
      <c r="M90" s="83"/>
      <c r="N90" s="84" t="str">
        <f t="shared" si="22"/>
        <v/>
      </c>
      <c r="O90" s="20" t="str">
        <f t="shared" si="23"/>
        <v/>
      </c>
      <c r="P90" s="64" t="str">
        <f t="shared" si="24"/>
        <v/>
      </c>
      <c r="Q90" s="85" t="str">
        <f t="shared" ca="1" si="25"/>
        <v/>
      </c>
      <c r="R90" s="86" t="str">
        <f t="shared" si="26"/>
        <v/>
      </c>
      <c r="S90" s="86" t="str">
        <f t="shared" si="27"/>
        <v/>
      </c>
      <c r="T90" s="104" t="str">
        <f t="shared" si="28"/>
        <v/>
      </c>
      <c r="U90" s="19" t="str">
        <f>IF(AND(M90&lt;&gt;"",M90&lt;&gt;0), IF(E90 = "Muni", T90, IF(E90="Corp", T90*(1 -'Investor Input'!$C$4-'Investor Input'!$C$5), T90*(1 -'Investor Input'!$C$4))), T90)</f>
        <v/>
      </c>
      <c r="V90" s="84" t="str">
        <f t="shared" si="29"/>
        <v/>
      </c>
      <c r="W90" s="84" t="str">
        <f t="shared" si="15"/>
        <v/>
      </c>
      <c r="X90" s="21" t="str">
        <f t="shared" si="16"/>
        <v/>
      </c>
      <c r="Y90" s="60" t="str">
        <f t="shared" si="17"/>
        <v/>
      </c>
      <c r="Z90" s="60" t="str">
        <f t="shared" si="18"/>
        <v/>
      </c>
      <c r="AA90" s="64" t="str">
        <f t="shared" si="19"/>
        <v/>
      </c>
      <c r="AB90" s="64" t="str">
        <f>IF(AND(AA90&lt;&gt;"",AA90&lt;&gt;0), IF(E90="Muni", AA90, IF(E90 = "Corp", (1-'Investor Input'!$C$4-'Investor Input'!$C$5)*AA90, (1-'Investor Input'!$C$4)*AA90)), AA90)</f>
        <v/>
      </c>
      <c r="AC90" s="94" t="str">
        <f t="shared" si="20"/>
        <v/>
      </c>
      <c r="AD90" s="60" t="str">
        <f>IF(AND(M90&lt;&gt;"", M90&lt;&gt;0), N90/$N$505*MATCH(AC90,'Misc Lists'!$K$2:$K$25,0), "")</f>
        <v/>
      </c>
      <c r="AE90" s="90" t="str">
        <f t="shared" si="21"/>
        <v/>
      </c>
      <c r="AF90" s="99" t="str">
        <f>IF(AND(M90&lt;&gt;"", M90&lt;&gt;0), N90/$N$505*MATCH(AE90,'Misc Lists'!$L$2:$L$25,0), "")</f>
        <v/>
      </c>
    </row>
    <row r="91" spans="2:32" hidden="1" outlineLevel="1" x14ac:dyDescent="0.5">
      <c r="B91" s="60" t="str">
        <f ca="1"/>
        <v>91282CKT7</v>
      </c>
      <c r="C91" s="61" t="str">
        <f ca="1"/>
        <v>N/A</v>
      </c>
      <c r="D91" s="60" t="str">
        <f ca="1"/>
        <v>UNITED STATES TREAS SER Z-2029          4.50000% 05/31/2029 NTS NOTE</v>
      </c>
      <c r="E91" s="61" t="str">
        <f ca="1"/>
        <v>Tres</v>
      </c>
      <c r="F91" s="62">
        <f ca="1"/>
        <v>4.5</v>
      </c>
      <c r="G91" s="63">
        <f ca="1"/>
        <v>47269</v>
      </c>
      <c r="H91" s="61" t="str">
        <f ca="1"/>
        <v>AAA</v>
      </c>
      <c r="I91" s="61" t="str">
        <f ca="1"/>
        <v>--</v>
      </c>
      <c r="J91" s="64">
        <f ca="1"/>
        <v>100.684</v>
      </c>
      <c r="K91" s="17">
        <f ca="1"/>
        <v>4.3209999999999997</v>
      </c>
      <c r="L91" s="18" t="str">
        <f ca="1"/>
        <v>65,000(400)</v>
      </c>
      <c r="M91" s="83"/>
      <c r="N91" s="84" t="str">
        <f t="shared" si="22"/>
        <v/>
      </c>
      <c r="O91" s="20" t="str">
        <f t="shared" si="23"/>
        <v/>
      </c>
      <c r="P91" s="64" t="str">
        <f t="shared" si="24"/>
        <v/>
      </c>
      <c r="Q91" s="85" t="str">
        <f t="shared" ca="1" si="25"/>
        <v/>
      </c>
      <c r="R91" s="86" t="str">
        <f t="shared" si="26"/>
        <v/>
      </c>
      <c r="S91" s="86" t="str">
        <f t="shared" si="27"/>
        <v/>
      </c>
      <c r="T91" s="104" t="str">
        <f t="shared" si="28"/>
        <v/>
      </c>
      <c r="U91" s="19" t="str">
        <f>IF(AND(M91&lt;&gt;"",M91&lt;&gt;0), IF(E91 = "Muni", T91, IF(E91="Corp", T91*(1 -'Investor Input'!$C$4-'Investor Input'!$C$5), T91*(1 -'Investor Input'!$C$4))), T91)</f>
        <v/>
      </c>
      <c r="V91" s="84" t="str">
        <f t="shared" si="29"/>
        <v/>
      </c>
      <c r="W91" s="84" t="str">
        <f t="shared" si="15"/>
        <v/>
      </c>
      <c r="X91" s="21" t="str">
        <f t="shared" si="16"/>
        <v/>
      </c>
      <c r="Y91" s="60" t="str">
        <f t="shared" si="17"/>
        <v/>
      </c>
      <c r="Z91" s="60" t="str">
        <f t="shared" si="18"/>
        <v/>
      </c>
      <c r="AA91" s="64" t="str">
        <f t="shared" si="19"/>
        <v/>
      </c>
      <c r="AB91" s="64" t="str">
        <f>IF(AND(AA91&lt;&gt;"",AA91&lt;&gt;0), IF(E91="Muni", AA91, IF(E91 = "Corp", (1-'Investor Input'!$C$4-'Investor Input'!$C$5)*AA91, (1-'Investor Input'!$C$4)*AA91)), AA91)</f>
        <v/>
      </c>
      <c r="AC91" s="94" t="str">
        <f t="shared" si="20"/>
        <v/>
      </c>
      <c r="AD91" s="60" t="str">
        <f>IF(AND(M91&lt;&gt;"", M91&lt;&gt;0), N91/$N$505*MATCH(AC91,'Misc Lists'!$K$2:$K$25,0), "")</f>
        <v/>
      </c>
      <c r="AE91" s="90" t="str">
        <f t="shared" si="21"/>
        <v/>
      </c>
      <c r="AF91" s="99" t="str">
        <f>IF(AND(M91&lt;&gt;"", M91&lt;&gt;0), N91/$N$505*MATCH(AE91,'Misc Lists'!$L$2:$L$25,0), "")</f>
        <v/>
      </c>
    </row>
    <row r="92" spans="2:32" hidden="1" outlineLevel="1" x14ac:dyDescent="0.5">
      <c r="B92" s="60" t="str">
        <f ca="1"/>
        <v>91282CLC3</v>
      </c>
      <c r="C92" s="61" t="str">
        <f ca="1"/>
        <v>N/A</v>
      </c>
      <c r="D92" s="60" t="str">
        <f ca="1"/>
        <v>UNITED STATES TREAS SER AB-2029         4.00000% 07/31/2029 NTS NOTE</v>
      </c>
      <c r="E92" s="61" t="str">
        <f ca="1"/>
        <v>Tres</v>
      </c>
      <c r="F92" s="62">
        <f ca="1"/>
        <v>4</v>
      </c>
      <c r="G92" s="63">
        <f ca="1"/>
        <v>47330</v>
      </c>
      <c r="H92" s="61" t="str">
        <f ca="1"/>
        <v>AAA</v>
      </c>
      <c r="I92" s="61" t="str">
        <f ca="1"/>
        <v>--</v>
      </c>
      <c r="J92" s="64">
        <f ca="1"/>
        <v>98.712000000000003</v>
      </c>
      <c r="K92" s="17">
        <f ca="1"/>
        <v>4.3209999999999997</v>
      </c>
      <c r="L92" s="18" t="str">
        <f ca="1"/>
        <v>65,000(400)</v>
      </c>
      <c r="M92" s="83"/>
      <c r="N92" s="84" t="str">
        <f t="shared" si="22"/>
        <v/>
      </c>
      <c r="O92" s="20" t="str">
        <f t="shared" si="23"/>
        <v/>
      </c>
      <c r="P92" s="64" t="str">
        <f t="shared" si="24"/>
        <v/>
      </c>
      <c r="Q92" s="85" t="str">
        <f t="shared" ca="1" si="25"/>
        <v/>
      </c>
      <c r="R92" s="86" t="str">
        <f t="shared" si="26"/>
        <v/>
      </c>
      <c r="S92" s="86" t="str">
        <f t="shared" si="27"/>
        <v/>
      </c>
      <c r="T92" s="104" t="str">
        <f t="shared" si="28"/>
        <v/>
      </c>
      <c r="U92" s="19" t="str">
        <f>IF(AND(M92&lt;&gt;"",M92&lt;&gt;0), IF(E92 = "Muni", T92, IF(E92="Corp", T92*(1 -'Investor Input'!$C$4-'Investor Input'!$C$5), T92*(1 -'Investor Input'!$C$4))), T92)</f>
        <v/>
      </c>
      <c r="V92" s="84" t="str">
        <f t="shared" si="29"/>
        <v/>
      </c>
      <c r="W92" s="84" t="str">
        <f t="shared" si="15"/>
        <v/>
      </c>
      <c r="X92" s="21" t="str">
        <f t="shared" si="16"/>
        <v/>
      </c>
      <c r="Y92" s="60" t="str">
        <f t="shared" si="17"/>
        <v/>
      </c>
      <c r="Z92" s="60" t="str">
        <f t="shared" si="18"/>
        <v/>
      </c>
      <c r="AA92" s="64" t="str">
        <f t="shared" si="19"/>
        <v/>
      </c>
      <c r="AB92" s="64" t="str">
        <f>IF(AND(AA92&lt;&gt;"",AA92&lt;&gt;0), IF(E92="Muni", AA92, IF(E92 = "Corp", (1-'Investor Input'!$C$4-'Investor Input'!$C$5)*AA92, (1-'Investor Input'!$C$4)*AA92)), AA92)</f>
        <v/>
      </c>
      <c r="AC92" s="94" t="str">
        <f t="shared" si="20"/>
        <v/>
      </c>
      <c r="AD92" s="60" t="str">
        <f>IF(AND(M92&lt;&gt;"", M92&lt;&gt;0), N92/$N$505*MATCH(AC92,'Misc Lists'!$K$2:$K$25,0), "")</f>
        <v/>
      </c>
      <c r="AE92" s="90" t="str">
        <f t="shared" si="21"/>
        <v/>
      </c>
      <c r="AF92" s="99" t="str">
        <f>IF(AND(M92&lt;&gt;"", M92&lt;&gt;0), N92/$N$505*MATCH(AE92,'Misc Lists'!$L$2:$L$25,0), "")</f>
        <v/>
      </c>
    </row>
    <row r="93" spans="2:32" hidden="1" outlineLevel="1" x14ac:dyDescent="0.5">
      <c r="B93" s="60" t="str">
        <f ca="1"/>
        <v>91282CEM9</v>
      </c>
      <c r="C93" s="61" t="str">
        <f ca="1"/>
        <v>N/A</v>
      </c>
      <c r="D93" s="60" t="str">
        <f ca="1"/>
        <v>UNITED STATES TREAS SER K-2029          2.87500% 04/30/2029 NTS NOTE</v>
      </c>
      <c r="E93" s="61" t="str">
        <f ca="1"/>
        <v>Tres</v>
      </c>
      <c r="F93" s="62">
        <f ca="1"/>
        <v>2.875</v>
      </c>
      <c r="G93" s="63">
        <f ca="1"/>
        <v>47238</v>
      </c>
      <c r="H93" s="61" t="str">
        <f ca="1"/>
        <v>AAA</v>
      </c>
      <c r="I93" s="61" t="str">
        <f ca="1"/>
        <v>--</v>
      </c>
      <c r="J93" s="64">
        <f ca="1"/>
        <v>94.504999999999995</v>
      </c>
      <c r="K93" s="17">
        <f ca="1"/>
        <v>4.32</v>
      </c>
      <c r="L93" s="18" t="str">
        <f ca="1"/>
        <v>65,000(400)</v>
      </c>
      <c r="M93" s="83"/>
      <c r="N93" s="84" t="str">
        <f t="shared" si="22"/>
        <v/>
      </c>
      <c r="O93" s="20" t="str">
        <f t="shared" si="23"/>
        <v/>
      </c>
      <c r="P93" s="64" t="str">
        <f t="shared" si="24"/>
        <v/>
      </c>
      <c r="Q93" s="85" t="str">
        <f t="shared" ca="1" si="25"/>
        <v/>
      </c>
      <c r="R93" s="86" t="str">
        <f t="shared" si="26"/>
        <v/>
      </c>
      <c r="S93" s="86" t="str">
        <f t="shared" si="27"/>
        <v/>
      </c>
      <c r="T93" s="104" t="str">
        <f t="shared" si="28"/>
        <v/>
      </c>
      <c r="U93" s="19" t="str">
        <f>IF(AND(M93&lt;&gt;"",M93&lt;&gt;0), IF(E93 = "Muni", T93, IF(E93="Corp", T93*(1 -'Investor Input'!$C$4-'Investor Input'!$C$5), T93*(1 -'Investor Input'!$C$4))), T93)</f>
        <v/>
      </c>
      <c r="V93" s="84" t="str">
        <f t="shared" si="29"/>
        <v/>
      </c>
      <c r="W93" s="84" t="str">
        <f t="shared" si="15"/>
        <v/>
      </c>
      <c r="X93" s="21" t="str">
        <f t="shared" si="16"/>
        <v/>
      </c>
      <c r="Y93" s="60" t="str">
        <f t="shared" si="17"/>
        <v/>
      </c>
      <c r="Z93" s="60" t="str">
        <f t="shared" si="18"/>
        <v/>
      </c>
      <c r="AA93" s="64" t="str">
        <f t="shared" si="19"/>
        <v/>
      </c>
      <c r="AB93" s="64" t="str">
        <f>IF(AND(AA93&lt;&gt;"",AA93&lt;&gt;0), IF(E93="Muni", AA93, IF(E93 = "Corp", (1-'Investor Input'!$C$4-'Investor Input'!$C$5)*AA93, (1-'Investor Input'!$C$4)*AA93)), AA93)</f>
        <v/>
      </c>
      <c r="AC93" s="94" t="str">
        <f t="shared" si="20"/>
        <v/>
      </c>
      <c r="AD93" s="60" t="str">
        <f>IF(AND(M93&lt;&gt;"", M93&lt;&gt;0), N93/$N$505*MATCH(AC93,'Misc Lists'!$K$2:$K$25,0), "")</f>
        <v/>
      </c>
      <c r="AE93" s="90" t="str">
        <f t="shared" si="21"/>
        <v/>
      </c>
      <c r="AF93" s="99" t="str">
        <f>IF(AND(M93&lt;&gt;"", M93&lt;&gt;0), N93/$N$505*MATCH(AE93,'Misc Lists'!$L$2:$L$25,0), "")</f>
        <v/>
      </c>
    </row>
    <row r="94" spans="2:32" hidden="1" outlineLevel="1" x14ac:dyDescent="0.5">
      <c r="B94" s="60" t="str">
        <f ca="1"/>
        <v>91282CKP5</v>
      </c>
      <c r="C94" s="61" t="str">
        <f ca="1"/>
        <v>N/A</v>
      </c>
      <c r="D94" s="60" t="str">
        <f ca="1"/>
        <v>UNITED STATES TREAS SER Y-2029          4.62500% 04/30/2029 NTS NOTE</v>
      </c>
      <c r="E94" s="61" t="str">
        <f ca="1"/>
        <v>Tres</v>
      </c>
      <c r="F94" s="62">
        <f ca="1"/>
        <v>4.625</v>
      </c>
      <c r="G94" s="63">
        <f ca="1"/>
        <v>47238</v>
      </c>
      <c r="H94" s="61" t="str">
        <f ca="1"/>
        <v>AAA</v>
      </c>
      <c r="I94" s="61" t="str">
        <f ca="1"/>
        <v>--</v>
      </c>
      <c r="J94" s="64">
        <f ca="1"/>
        <v>101.15300000000001</v>
      </c>
      <c r="K94" s="17">
        <f ca="1"/>
        <v>4.32</v>
      </c>
      <c r="L94" s="18" t="str">
        <f ca="1"/>
        <v>65,000(400)</v>
      </c>
      <c r="M94" s="83"/>
      <c r="N94" s="84" t="str">
        <f t="shared" si="22"/>
        <v/>
      </c>
      <c r="O94" s="20" t="str">
        <f t="shared" si="23"/>
        <v/>
      </c>
      <c r="P94" s="64" t="str">
        <f t="shared" si="24"/>
        <v/>
      </c>
      <c r="Q94" s="85" t="str">
        <f t="shared" ca="1" si="25"/>
        <v/>
      </c>
      <c r="R94" s="86" t="str">
        <f t="shared" si="26"/>
        <v/>
      </c>
      <c r="S94" s="86" t="str">
        <f t="shared" si="27"/>
        <v/>
      </c>
      <c r="T94" s="104" t="str">
        <f t="shared" si="28"/>
        <v/>
      </c>
      <c r="U94" s="19" t="str">
        <f>IF(AND(M94&lt;&gt;"",M94&lt;&gt;0), IF(E94 = "Muni", T94, IF(E94="Corp", T94*(1 -'Investor Input'!$C$4-'Investor Input'!$C$5), T94*(1 -'Investor Input'!$C$4))), T94)</f>
        <v/>
      </c>
      <c r="V94" s="84" t="str">
        <f t="shared" si="29"/>
        <v/>
      </c>
      <c r="W94" s="84" t="str">
        <f t="shared" si="15"/>
        <v/>
      </c>
      <c r="X94" s="21" t="str">
        <f t="shared" si="16"/>
        <v/>
      </c>
      <c r="Y94" s="60" t="str">
        <f t="shared" si="17"/>
        <v/>
      </c>
      <c r="Z94" s="60" t="str">
        <f t="shared" si="18"/>
        <v/>
      </c>
      <c r="AA94" s="64" t="str">
        <f t="shared" si="19"/>
        <v/>
      </c>
      <c r="AB94" s="64" t="str">
        <f>IF(AND(AA94&lt;&gt;"",AA94&lt;&gt;0), IF(E94="Muni", AA94, IF(E94 = "Corp", (1-'Investor Input'!$C$4-'Investor Input'!$C$5)*AA94, (1-'Investor Input'!$C$4)*AA94)), AA94)</f>
        <v/>
      </c>
      <c r="AC94" s="94" t="str">
        <f t="shared" si="20"/>
        <v/>
      </c>
      <c r="AD94" s="60" t="str">
        <f>IF(AND(M94&lt;&gt;"", M94&lt;&gt;0), N94/$N$505*MATCH(AC94,'Misc Lists'!$K$2:$K$25,0), "")</f>
        <v/>
      </c>
      <c r="AE94" s="90" t="str">
        <f t="shared" si="21"/>
        <v/>
      </c>
      <c r="AF94" s="99" t="str">
        <f>IF(AND(M94&lt;&gt;"", M94&lt;&gt;0), N94/$N$505*MATCH(AE94,'Misc Lists'!$L$2:$L$25,0), "")</f>
        <v/>
      </c>
    </row>
    <row r="95" spans="2:32" hidden="1" outlineLevel="1" x14ac:dyDescent="0.5">
      <c r="B95" s="60" t="str">
        <f ca="1"/>
        <v>91282CEE7</v>
      </c>
      <c r="C95" s="61" t="str">
        <f ca="1"/>
        <v>N/A</v>
      </c>
      <c r="D95" s="60" t="str">
        <f ca="1"/>
        <v>UNITED STATES TREAS SER J-2029          2.37500% 03/31/2029 NTS NOTE</v>
      </c>
      <c r="E95" s="61" t="str">
        <f ca="1"/>
        <v>Tres</v>
      </c>
      <c r="F95" s="62">
        <f ca="1"/>
        <v>2.375</v>
      </c>
      <c r="G95" s="63">
        <f ca="1"/>
        <v>47208</v>
      </c>
      <c r="H95" s="61" t="str">
        <f ca="1"/>
        <v>AAA</v>
      </c>
      <c r="I95" s="61" t="str">
        <f ca="1"/>
        <v>--</v>
      </c>
      <c r="J95" s="64">
        <f ca="1"/>
        <v>92.754999999999995</v>
      </c>
      <c r="K95" s="17">
        <f ca="1"/>
        <v>4.3159999999999998</v>
      </c>
      <c r="L95" s="18" t="str">
        <f ca="1"/>
        <v>65,000(400)</v>
      </c>
      <c r="M95" s="83"/>
      <c r="N95" s="84" t="str">
        <f t="shared" si="22"/>
        <v/>
      </c>
      <c r="O95" s="20" t="str">
        <f t="shared" si="23"/>
        <v/>
      </c>
      <c r="P95" s="64" t="str">
        <f t="shared" si="24"/>
        <v/>
      </c>
      <c r="Q95" s="85" t="str">
        <f t="shared" ca="1" si="25"/>
        <v/>
      </c>
      <c r="R95" s="86" t="str">
        <f t="shared" si="26"/>
        <v/>
      </c>
      <c r="S95" s="86" t="str">
        <f t="shared" si="27"/>
        <v/>
      </c>
      <c r="T95" s="104" t="str">
        <f t="shared" si="28"/>
        <v/>
      </c>
      <c r="U95" s="19" t="str">
        <f>IF(AND(M95&lt;&gt;"",M95&lt;&gt;0), IF(E95 = "Muni", T95, IF(E95="Corp", T95*(1 -'Investor Input'!$C$4-'Investor Input'!$C$5), T95*(1 -'Investor Input'!$C$4))), T95)</f>
        <v/>
      </c>
      <c r="V95" s="84" t="str">
        <f t="shared" si="29"/>
        <v/>
      </c>
      <c r="W95" s="84" t="str">
        <f t="shared" si="15"/>
        <v/>
      </c>
      <c r="X95" s="21" t="str">
        <f t="shared" si="16"/>
        <v/>
      </c>
      <c r="Y95" s="60" t="str">
        <f t="shared" si="17"/>
        <v/>
      </c>
      <c r="Z95" s="60" t="str">
        <f t="shared" si="18"/>
        <v/>
      </c>
      <c r="AA95" s="64" t="str">
        <f t="shared" si="19"/>
        <v/>
      </c>
      <c r="AB95" s="64" t="str">
        <f>IF(AND(AA95&lt;&gt;"",AA95&lt;&gt;0), IF(E95="Muni", AA95, IF(E95 = "Corp", (1-'Investor Input'!$C$4-'Investor Input'!$C$5)*AA95, (1-'Investor Input'!$C$4)*AA95)), AA95)</f>
        <v/>
      </c>
      <c r="AC95" s="94" t="str">
        <f t="shared" si="20"/>
        <v/>
      </c>
      <c r="AD95" s="60" t="str">
        <f>IF(AND(M95&lt;&gt;"", M95&lt;&gt;0), N95/$N$505*MATCH(AC95,'Misc Lists'!$K$2:$K$25,0), "")</f>
        <v/>
      </c>
      <c r="AE95" s="90" t="str">
        <f t="shared" si="21"/>
        <v/>
      </c>
      <c r="AF95" s="99" t="str">
        <f>IF(AND(M95&lt;&gt;"", M95&lt;&gt;0), N95/$N$505*MATCH(AE95,'Misc Lists'!$L$2:$L$25,0), "")</f>
        <v/>
      </c>
    </row>
    <row r="96" spans="2:32" hidden="1" outlineLevel="1" x14ac:dyDescent="0.5">
      <c r="B96" s="60" t="str">
        <f ca="1"/>
        <v>91282CKD2</v>
      </c>
      <c r="C96" s="61" t="str">
        <f ca="1"/>
        <v>N/A</v>
      </c>
      <c r="D96" s="60" t="str">
        <f ca="1"/>
        <v>UNITED STATES TREAS SER V-2029          4.25000% 02/28/2029 NTS NOTE</v>
      </c>
      <c r="E96" s="61" t="str">
        <f ca="1"/>
        <v>Tres</v>
      </c>
      <c r="F96" s="62">
        <f ca="1"/>
        <v>4.25</v>
      </c>
      <c r="G96" s="63">
        <f ca="1"/>
        <v>47177</v>
      </c>
      <c r="H96" s="61" t="str">
        <f ca="1"/>
        <v>AAA</v>
      </c>
      <c r="I96" s="61" t="str">
        <f ca="1"/>
        <v>--</v>
      </c>
      <c r="J96" s="64">
        <f ca="1"/>
        <v>99.757999999999996</v>
      </c>
      <c r="K96" s="17">
        <f ca="1"/>
        <v>4.3150000000000004</v>
      </c>
      <c r="L96" s="18" t="str">
        <f ca="1"/>
        <v>65,000(400)</v>
      </c>
      <c r="M96" s="83"/>
      <c r="N96" s="84" t="str">
        <f t="shared" si="22"/>
        <v/>
      </c>
      <c r="O96" s="20" t="str">
        <f t="shared" si="23"/>
        <v/>
      </c>
      <c r="P96" s="64" t="str">
        <f t="shared" si="24"/>
        <v/>
      </c>
      <c r="Q96" s="85" t="str">
        <f t="shared" ca="1" si="25"/>
        <v/>
      </c>
      <c r="R96" s="86" t="str">
        <f t="shared" si="26"/>
        <v/>
      </c>
      <c r="S96" s="86" t="str">
        <f t="shared" si="27"/>
        <v/>
      </c>
      <c r="T96" s="104" t="str">
        <f t="shared" si="28"/>
        <v/>
      </c>
      <c r="U96" s="19" t="str">
        <f>IF(AND(M96&lt;&gt;"",M96&lt;&gt;0), IF(E96 = "Muni", T96, IF(E96="Corp", T96*(1 -'Investor Input'!$C$4-'Investor Input'!$C$5), T96*(1 -'Investor Input'!$C$4))), T96)</f>
        <v/>
      </c>
      <c r="V96" s="84" t="str">
        <f t="shared" si="29"/>
        <v/>
      </c>
      <c r="W96" s="84" t="str">
        <f t="shared" si="15"/>
        <v/>
      </c>
      <c r="X96" s="21" t="str">
        <f t="shared" si="16"/>
        <v/>
      </c>
      <c r="Y96" s="60" t="str">
        <f t="shared" si="17"/>
        <v/>
      </c>
      <c r="Z96" s="60" t="str">
        <f t="shared" si="18"/>
        <v/>
      </c>
      <c r="AA96" s="64" t="str">
        <f t="shared" si="19"/>
        <v/>
      </c>
      <c r="AB96" s="64" t="str">
        <f>IF(AND(AA96&lt;&gt;"",AA96&lt;&gt;0), IF(E96="Muni", AA96, IF(E96 = "Corp", (1-'Investor Input'!$C$4-'Investor Input'!$C$5)*AA96, (1-'Investor Input'!$C$4)*AA96)), AA96)</f>
        <v/>
      </c>
      <c r="AC96" s="94" t="str">
        <f t="shared" si="20"/>
        <v/>
      </c>
      <c r="AD96" s="60" t="str">
        <f>IF(AND(M96&lt;&gt;"", M96&lt;&gt;0), N96/$N$505*MATCH(AC96,'Misc Lists'!$K$2:$K$25,0), "")</f>
        <v/>
      </c>
      <c r="AE96" s="90" t="str">
        <f t="shared" si="21"/>
        <v/>
      </c>
      <c r="AF96" s="99" t="str">
        <f>IF(AND(M96&lt;&gt;"", M96&lt;&gt;0), N96/$N$505*MATCH(AE96,'Misc Lists'!$L$2:$L$25,0), "")</f>
        <v/>
      </c>
    </row>
    <row r="97" spans="2:32" hidden="1" outlineLevel="1" x14ac:dyDescent="0.5">
      <c r="B97" s="60" t="str">
        <f ca="1"/>
        <v>91282CJB8</v>
      </c>
      <c r="C97" s="61" t="str">
        <f ca="1"/>
        <v>N/A</v>
      </c>
      <c r="D97" s="60" t="str">
        <f ca="1"/>
        <v>UNITED STATES TREAS SER BH-2025         5.00000% 09/30/2025 NTS NOTE</v>
      </c>
      <c r="E97" s="61" t="str">
        <f ca="1"/>
        <v>Tres</v>
      </c>
      <c r="F97" s="62">
        <f ca="1"/>
        <v>5</v>
      </c>
      <c r="G97" s="63">
        <f ca="1"/>
        <v>45930</v>
      </c>
      <c r="H97" s="61" t="str">
        <f ca="1"/>
        <v>AAA</v>
      </c>
      <c r="I97" s="61" t="str">
        <f ca="1"/>
        <v>--</v>
      </c>
      <c r="J97" s="64">
        <f ca="1"/>
        <v>100.407</v>
      </c>
      <c r="K97" s="17">
        <f ca="1"/>
        <v>4.3129999999999997</v>
      </c>
      <c r="L97" s="18" t="str">
        <f ca="1"/>
        <v>30,000(600)</v>
      </c>
      <c r="M97" s="83"/>
      <c r="N97" s="84" t="str">
        <f t="shared" si="22"/>
        <v/>
      </c>
      <c r="O97" s="20" t="str">
        <f t="shared" si="23"/>
        <v/>
      </c>
      <c r="P97" s="64" t="str">
        <f t="shared" si="24"/>
        <v/>
      </c>
      <c r="Q97" s="85" t="str">
        <f t="shared" ca="1" si="25"/>
        <v/>
      </c>
      <c r="R97" s="86" t="str">
        <f t="shared" si="26"/>
        <v/>
      </c>
      <c r="S97" s="86" t="str">
        <f t="shared" si="27"/>
        <v/>
      </c>
      <c r="T97" s="104" t="str">
        <f t="shared" si="28"/>
        <v/>
      </c>
      <c r="U97" s="19" t="str">
        <f>IF(AND(M97&lt;&gt;"",M97&lt;&gt;0), IF(E97 = "Muni", T97, IF(E97="Corp", T97*(1 -'Investor Input'!$C$4-'Investor Input'!$C$5), T97*(1 -'Investor Input'!$C$4))), T97)</f>
        <v/>
      </c>
      <c r="V97" s="84" t="str">
        <f t="shared" si="29"/>
        <v/>
      </c>
      <c r="W97" s="84" t="str">
        <f t="shared" si="15"/>
        <v/>
      </c>
      <c r="X97" s="21" t="str">
        <f t="shared" si="16"/>
        <v/>
      </c>
      <c r="Y97" s="60" t="str">
        <f t="shared" si="17"/>
        <v/>
      </c>
      <c r="Z97" s="60" t="str">
        <f t="shared" si="18"/>
        <v/>
      </c>
      <c r="AA97" s="64" t="str">
        <f t="shared" si="19"/>
        <v/>
      </c>
      <c r="AB97" s="64" t="str">
        <f>IF(AND(AA97&lt;&gt;"",AA97&lt;&gt;0), IF(E97="Muni", AA97, IF(E97 = "Corp", (1-'Investor Input'!$C$4-'Investor Input'!$C$5)*AA97, (1-'Investor Input'!$C$4)*AA97)), AA97)</f>
        <v/>
      </c>
      <c r="AC97" s="94" t="str">
        <f t="shared" si="20"/>
        <v/>
      </c>
      <c r="AD97" s="60" t="str">
        <f>IF(AND(M97&lt;&gt;"", M97&lt;&gt;0), N97/$N$505*MATCH(AC97,'Misc Lists'!$K$2:$K$25,0), "")</f>
        <v/>
      </c>
      <c r="AE97" s="90" t="str">
        <f t="shared" si="21"/>
        <v/>
      </c>
      <c r="AF97" s="99" t="str">
        <f>IF(AND(M97&lt;&gt;"", M97&lt;&gt;0), N97/$N$505*MATCH(AE97,'Misc Lists'!$L$2:$L$25,0), "")</f>
        <v/>
      </c>
    </row>
    <row r="98" spans="2:32" hidden="1" outlineLevel="1" x14ac:dyDescent="0.5">
      <c r="B98" s="60" t="str">
        <f ca="1"/>
        <v>9128286B1</v>
      </c>
      <c r="C98" s="61" t="str">
        <f ca="1"/>
        <v>N/A</v>
      </c>
      <c r="D98" s="60" t="str">
        <f ca="1"/>
        <v>UNITED STATES TREAS SER B-2029          2.62500% 02/15/2029 NTS NOTE</v>
      </c>
      <c r="E98" s="61" t="str">
        <f ca="1"/>
        <v>Tres</v>
      </c>
      <c r="F98" s="62">
        <f ca="1"/>
        <v>2.625</v>
      </c>
      <c r="G98" s="63">
        <f ca="1"/>
        <v>47164</v>
      </c>
      <c r="H98" s="61" t="str">
        <f ca="1"/>
        <v>AAA</v>
      </c>
      <c r="I98" s="61" t="str">
        <f ca="1"/>
        <v>--</v>
      </c>
      <c r="J98" s="64">
        <f ca="1"/>
        <v>93.872</v>
      </c>
      <c r="K98" s="17">
        <f ca="1"/>
        <v>4.3120000000000003</v>
      </c>
      <c r="L98" s="18" t="str">
        <f ca="1"/>
        <v>65,000(400)</v>
      </c>
      <c r="M98" s="83"/>
      <c r="N98" s="84" t="str">
        <f t="shared" si="22"/>
        <v/>
      </c>
      <c r="O98" s="20" t="str">
        <f t="shared" si="23"/>
        <v/>
      </c>
      <c r="P98" s="64" t="str">
        <f t="shared" si="24"/>
        <v/>
      </c>
      <c r="Q98" s="85" t="str">
        <f t="shared" ca="1" si="25"/>
        <v/>
      </c>
      <c r="R98" s="86" t="str">
        <f t="shared" si="26"/>
        <v/>
      </c>
      <c r="S98" s="86" t="str">
        <f t="shared" si="27"/>
        <v/>
      </c>
      <c r="T98" s="104" t="str">
        <f t="shared" si="28"/>
        <v/>
      </c>
      <c r="U98" s="19" t="str">
        <f>IF(AND(M98&lt;&gt;"",M98&lt;&gt;0), IF(E98 = "Muni", T98, IF(E98="Corp", T98*(1 -'Investor Input'!$C$4-'Investor Input'!$C$5), T98*(1 -'Investor Input'!$C$4))), T98)</f>
        <v/>
      </c>
      <c r="V98" s="84" t="str">
        <f t="shared" si="29"/>
        <v/>
      </c>
      <c r="W98" s="84" t="str">
        <f t="shared" si="15"/>
        <v/>
      </c>
      <c r="X98" s="21" t="str">
        <f t="shared" si="16"/>
        <v/>
      </c>
      <c r="Y98" s="60" t="str">
        <f t="shared" si="17"/>
        <v/>
      </c>
      <c r="Z98" s="60" t="str">
        <f t="shared" si="18"/>
        <v/>
      </c>
      <c r="AA98" s="64" t="str">
        <f t="shared" si="19"/>
        <v/>
      </c>
      <c r="AB98" s="64" t="str">
        <f>IF(AND(AA98&lt;&gt;"",AA98&lt;&gt;0), IF(E98="Muni", AA98, IF(E98 = "Corp", (1-'Investor Input'!$C$4-'Investor Input'!$C$5)*AA98, (1-'Investor Input'!$C$4)*AA98)), AA98)</f>
        <v/>
      </c>
      <c r="AC98" s="94" t="str">
        <f t="shared" si="20"/>
        <v/>
      </c>
      <c r="AD98" s="60" t="str">
        <f>IF(AND(M98&lt;&gt;"", M98&lt;&gt;0), N98/$N$505*MATCH(AC98,'Misc Lists'!$K$2:$K$25,0), "")</f>
        <v/>
      </c>
      <c r="AE98" s="90" t="str">
        <f t="shared" si="21"/>
        <v/>
      </c>
      <c r="AF98" s="99" t="str">
        <f>IF(AND(M98&lt;&gt;"", M98&lt;&gt;0), N98/$N$505*MATCH(AE98,'Misc Lists'!$L$2:$L$25,0), "")</f>
        <v/>
      </c>
    </row>
    <row r="99" spans="2:32" hidden="1" outlineLevel="1" x14ac:dyDescent="0.5">
      <c r="B99" s="60" t="str">
        <f ca="1"/>
        <v>91282CEB3</v>
      </c>
      <c r="C99" s="61" t="str">
        <f ca="1"/>
        <v>N/A</v>
      </c>
      <c r="D99" s="60" t="str">
        <f ca="1"/>
        <v>UNITED STATES TREAS SER H-2029          1.87500% 02/28/2029 NTS NOTE</v>
      </c>
      <c r="E99" s="61" t="str">
        <f ca="1"/>
        <v>Tres</v>
      </c>
      <c r="F99" s="62">
        <f ca="1"/>
        <v>1.875</v>
      </c>
      <c r="G99" s="63">
        <f ca="1"/>
        <v>47177</v>
      </c>
      <c r="H99" s="61" t="str">
        <f ca="1"/>
        <v>AAA</v>
      </c>
      <c r="I99" s="61" t="str">
        <f ca="1"/>
        <v>--</v>
      </c>
      <c r="J99" s="64">
        <f ca="1"/>
        <v>91.075000000000003</v>
      </c>
      <c r="K99" s="17">
        <f ca="1"/>
        <v>4.3120000000000003</v>
      </c>
      <c r="L99" s="18" t="str">
        <f ca="1"/>
        <v>65,000(400)</v>
      </c>
      <c r="M99" s="83"/>
      <c r="N99" s="84" t="str">
        <f t="shared" si="22"/>
        <v/>
      </c>
      <c r="O99" s="20" t="str">
        <f t="shared" si="23"/>
        <v/>
      </c>
      <c r="P99" s="64" t="str">
        <f t="shared" si="24"/>
        <v/>
      </c>
      <c r="Q99" s="85" t="str">
        <f t="shared" ca="1" si="25"/>
        <v/>
      </c>
      <c r="R99" s="86" t="str">
        <f t="shared" si="26"/>
        <v/>
      </c>
      <c r="S99" s="86" t="str">
        <f t="shared" si="27"/>
        <v/>
      </c>
      <c r="T99" s="104" t="str">
        <f t="shared" si="28"/>
        <v/>
      </c>
      <c r="U99" s="19" t="str">
        <f>IF(AND(M99&lt;&gt;"",M99&lt;&gt;0), IF(E99 = "Muni", T99, IF(E99="Corp", T99*(1 -'Investor Input'!$C$4-'Investor Input'!$C$5), T99*(1 -'Investor Input'!$C$4))), T99)</f>
        <v/>
      </c>
      <c r="V99" s="84" t="str">
        <f t="shared" si="29"/>
        <v/>
      </c>
      <c r="W99" s="84" t="str">
        <f t="shared" si="15"/>
        <v/>
      </c>
      <c r="X99" s="21" t="str">
        <f t="shared" si="16"/>
        <v/>
      </c>
      <c r="Y99" s="60" t="str">
        <f t="shared" si="17"/>
        <v/>
      </c>
      <c r="Z99" s="60" t="str">
        <f t="shared" si="18"/>
        <v/>
      </c>
      <c r="AA99" s="64" t="str">
        <f t="shared" si="19"/>
        <v/>
      </c>
      <c r="AB99" s="64" t="str">
        <f>IF(AND(AA99&lt;&gt;"",AA99&lt;&gt;0), IF(E99="Muni", AA99, IF(E99 = "Corp", (1-'Investor Input'!$C$4-'Investor Input'!$C$5)*AA99, (1-'Investor Input'!$C$4)*AA99)), AA99)</f>
        <v/>
      </c>
      <c r="AC99" s="94" t="str">
        <f t="shared" si="20"/>
        <v/>
      </c>
      <c r="AD99" s="60" t="str">
        <f>IF(AND(M99&lt;&gt;"", M99&lt;&gt;0), N99/$N$505*MATCH(AC99,'Misc Lists'!$K$2:$K$25,0), "")</f>
        <v/>
      </c>
      <c r="AE99" s="90" t="str">
        <f t="shared" si="21"/>
        <v/>
      </c>
      <c r="AF99" s="99" t="str">
        <f>IF(AND(M99&lt;&gt;"", M99&lt;&gt;0), N99/$N$505*MATCH(AE99,'Misc Lists'!$L$2:$L$25,0), "")</f>
        <v/>
      </c>
    </row>
    <row r="100" spans="2:32" hidden="1" outlineLevel="1" x14ac:dyDescent="0.5">
      <c r="B100" s="60" t="str">
        <f ca="1"/>
        <v>9128286T2</v>
      </c>
      <c r="C100" s="61" t="str">
        <f ca="1"/>
        <v>N/A</v>
      </c>
      <c r="D100" s="60" t="str">
        <f ca="1"/>
        <v>UNITED STATES TREAS SER C-2029          2.37500% 05/15/2029 NTS NOTE</v>
      </c>
      <c r="E100" s="61" t="str">
        <f ca="1"/>
        <v>Tres</v>
      </c>
      <c r="F100" s="62">
        <f ca="1"/>
        <v>2.375</v>
      </c>
      <c r="G100" s="63">
        <f ca="1"/>
        <v>47253</v>
      </c>
      <c r="H100" s="61" t="str">
        <f ca="1"/>
        <v>AAA</v>
      </c>
      <c r="I100" s="61" t="str">
        <f ca="1"/>
        <v>--</v>
      </c>
      <c r="J100" s="64">
        <f ca="1"/>
        <v>92.566999999999993</v>
      </c>
      <c r="K100" s="17">
        <f ca="1"/>
        <v>4.3120000000000003</v>
      </c>
      <c r="L100" s="18" t="str">
        <f ca="1"/>
        <v>65,000(400)</v>
      </c>
      <c r="M100" s="83"/>
      <c r="N100" s="84" t="str">
        <f t="shared" si="22"/>
        <v/>
      </c>
      <c r="O100" s="20" t="str">
        <f t="shared" si="23"/>
        <v/>
      </c>
      <c r="P100" s="64" t="str">
        <f t="shared" si="24"/>
        <v/>
      </c>
      <c r="Q100" s="85" t="str">
        <f t="shared" ca="1" si="25"/>
        <v/>
      </c>
      <c r="R100" s="86" t="str">
        <f t="shared" si="26"/>
        <v/>
      </c>
      <c r="S100" s="86" t="str">
        <f t="shared" si="27"/>
        <v/>
      </c>
      <c r="T100" s="104" t="str">
        <f t="shared" si="28"/>
        <v/>
      </c>
      <c r="U100" s="19" t="str">
        <f>IF(AND(M100&lt;&gt;"",M100&lt;&gt;0), IF(E100 = "Muni", T100, IF(E100="Corp", T100*(1 -'Investor Input'!$C$4-'Investor Input'!$C$5), T100*(1 -'Investor Input'!$C$4))), T100)</f>
        <v/>
      </c>
      <c r="V100" s="84" t="str">
        <f t="shared" si="29"/>
        <v/>
      </c>
      <c r="W100" s="84" t="str">
        <f t="shared" si="15"/>
        <v/>
      </c>
      <c r="X100" s="21" t="str">
        <f t="shared" si="16"/>
        <v/>
      </c>
      <c r="Y100" s="60" t="str">
        <f t="shared" si="17"/>
        <v/>
      </c>
      <c r="Z100" s="60" t="str">
        <f t="shared" si="18"/>
        <v/>
      </c>
      <c r="AA100" s="64" t="str">
        <f t="shared" si="19"/>
        <v/>
      </c>
      <c r="AB100" s="64" t="str">
        <f>IF(AND(AA100&lt;&gt;"",AA100&lt;&gt;0), IF(E100="Muni", AA100, IF(E100 = "Corp", (1-'Investor Input'!$C$4-'Investor Input'!$C$5)*AA100, (1-'Investor Input'!$C$4)*AA100)), AA100)</f>
        <v/>
      </c>
      <c r="AC100" s="94" t="str">
        <f t="shared" si="20"/>
        <v/>
      </c>
      <c r="AD100" s="60" t="str">
        <f>IF(AND(M100&lt;&gt;"", M100&lt;&gt;0), N100/$N$505*MATCH(AC100,'Misc Lists'!$K$2:$K$25,0), "")</f>
        <v/>
      </c>
      <c r="AE100" s="90" t="str">
        <f t="shared" si="21"/>
        <v/>
      </c>
      <c r="AF100" s="99" t="str">
        <f>IF(AND(M100&lt;&gt;"", M100&lt;&gt;0), N100/$N$505*MATCH(AE100,'Misc Lists'!$L$2:$L$25,0), "")</f>
        <v/>
      </c>
    </row>
    <row r="101" spans="2:32" hidden="1" outlineLevel="1" x14ac:dyDescent="0.5">
      <c r="B101" s="60" t="str">
        <f ca="1"/>
        <v>91282CJW2</v>
      </c>
      <c r="C101" s="61" t="str">
        <f ca="1"/>
        <v>N/A</v>
      </c>
      <c r="D101" s="60" t="str">
        <f ca="1"/>
        <v>UNITED STATES TREAS SER U-2029          4.00000% 01/31/2029 NTS NOTE</v>
      </c>
      <c r="E101" s="61" t="str">
        <f ca="1"/>
        <v>Tres</v>
      </c>
      <c r="F101" s="62">
        <f ca="1"/>
        <v>4</v>
      </c>
      <c r="G101" s="63">
        <f ca="1"/>
        <v>47149</v>
      </c>
      <c r="H101" s="61" t="str">
        <f ca="1"/>
        <v>AAA</v>
      </c>
      <c r="I101" s="61" t="str">
        <f ca="1"/>
        <v>--</v>
      </c>
      <c r="J101" s="64">
        <f ca="1"/>
        <v>98.88</v>
      </c>
      <c r="K101" s="17">
        <f ca="1"/>
        <v>4.3109999999999999</v>
      </c>
      <c r="L101" s="18" t="str">
        <f ca="1"/>
        <v>65,000(400)</v>
      </c>
      <c r="M101" s="83"/>
      <c r="N101" s="84" t="str">
        <f t="shared" si="22"/>
        <v/>
      </c>
      <c r="O101" s="20" t="str">
        <f t="shared" si="23"/>
        <v/>
      </c>
      <c r="P101" s="64" t="str">
        <f t="shared" si="24"/>
        <v/>
      </c>
      <c r="Q101" s="85" t="str">
        <f t="shared" ca="1" si="25"/>
        <v/>
      </c>
      <c r="R101" s="86" t="str">
        <f t="shared" si="26"/>
        <v/>
      </c>
      <c r="S101" s="86" t="str">
        <f t="shared" si="27"/>
        <v/>
      </c>
      <c r="T101" s="104" t="str">
        <f t="shared" si="28"/>
        <v/>
      </c>
      <c r="U101" s="19" t="str">
        <f>IF(AND(M101&lt;&gt;"",M101&lt;&gt;0), IF(E101 = "Muni", T101, IF(E101="Corp", T101*(1 -'Investor Input'!$C$4-'Investor Input'!$C$5), T101*(1 -'Investor Input'!$C$4))), T101)</f>
        <v/>
      </c>
      <c r="V101" s="84" t="str">
        <f t="shared" si="29"/>
        <v/>
      </c>
      <c r="W101" s="84" t="str">
        <f t="shared" si="15"/>
        <v/>
      </c>
      <c r="X101" s="21" t="str">
        <f t="shared" si="16"/>
        <v/>
      </c>
      <c r="Y101" s="60" t="str">
        <f t="shared" si="17"/>
        <v/>
      </c>
      <c r="Z101" s="60" t="str">
        <f t="shared" si="18"/>
        <v/>
      </c>
      <c r="AA101" s="64" t="str">
        <f t="shared" si="19"/>
        <v/>
      </c>
      <c r="AB101" s="64" t="str">
        <f>IF(AND(AA101&lt;&gt;"",AA101&lt;&gt;0), IF(E101="Muni", AA101, IF(E101 = "Corp", (1-'Investor Input'!$C$4-'Investor Input'!$C$5)*AA101, (1-'Investor Input'!$C$4)*AA101)), AA101)</f>
        <v/>
      </c>
      <c r="AC101" s="94" t="str">
        <f t="shared" si="20"/>
        <v/>
      </c>
      <c r="AD101" s="60" t="str">
        <f>IF(AND(M101&lt;&gt;"", M101&lt;&gt;0), N101/$N$505*MATCH(AC101,'Misc Lists'!$K$2:$K$25,0), "")</f>
        <v/>
      </c>
      <c r="AE101" s="90" t="str">
        <f t="shared" si="21"/>
        <v/>
      </c>
      <c r="AF101" s="99" t="str">
        <f>IF(AND(M101&lt;&gt;"", M101&lt;&gt;0), N101/$N$505*MATCH(AE101,'Misc Lists'!$L$2:$L$25,0), "")</f>
        <v/>
      </c>
    </row>
    <row r="102" spans="2:32" hidden="1" outlineLevel="1" x14ac:dyDescent="0.5">
      <c r="B102" s="60" t="str">
        <f ca="1"/>
        <v>91282CAM3</v>
      </c>
      <c r="C102" s="61" t="str">
        <f ca="1"/>
        <v>N/A</v>
      </c>
      <c r="D102" s="60" t="str">
        <f ca="1"/>
        <v>UNITED STATES TREAS SER AD-2025         0.25000% 09/30/2025 NTS NOTE</v>
      </c>
      <c r="E102" s="61" t="str">
        <f ca="1"/>
        <v>Tres</v>
      </c>
      <c r="F102" s="62">
        <f ca="1"/>
        <v>0.25</v>
      </c>
      <c r="G102" s="63">
        <f ca="1"/>
        <v>45930</v>
      </c>
      <c r="H102" s="61" t="str">
        <f ca="1"/>
        <v>AAA</v>
      </c>
      <c r="I102" s="61" t="str">
        <f ca="1"/>
        <v>--</v>
      </c>
      <c r="J102" s="64">
        <f ca="1"/>
        <v>97.570999999999998</v>
      </c>
      <c r="K102" s="17">
        <f ca="1"/>
        <v>4.3099999999999996</v>
      </c>
      <c r="L102" s="18" t="str">
        <f ca="1"/>
        <v>30,000(600)</v>
      </c>
      <c r="M102" s="83"/>
      <c r="N102" s="84" t="str">
        <f t="shared" si="22"/>
        <v/>
      </c>
      <c r="O102" s="20" t="str">
        <f t="shared" si="23"/>
        <v/>
      </c>
      <c r="P102" s="64" t="str">
        <f t="shared" si="24"/>
        <v/>
      </c>
      <c r="Q102" s="85" t="str">
        <f t="shared" ca="1" si="25"/>
        <v/>
      </c>
      <c r="R102" s="86" t="str">
        <f t="shared" si="26"/>
        <v/>
      </c>
      <c r="S102" s="86" t="str">
        <f t="shared" si="27"/>
        <v/>
      </c>
      <c r="T102" s="104" t="str">
        <f t="shared" si="28"/>
        <v/>
      </c>
      <c r="U102" s="19" t="str">
        <f>IF(AND(M102&lt;&gt;"",M102&lt;&gt;0), IF(E102 = "Muni", T102, IF(E102="Corp", T102*(1 -'Investor Input'!$C$4-'Investor Input'!$C$5), T102*(1 -'Investor Input'!$C$4))), T102)</f>
        <v/>
      </c>
      <c r="V102" s="84" t="str">
        <f t="shared" si="29"/>
        <v/>
      </c>
      <c r="W102" s="84" t="str">
        <f t="shared" si="15"/>
        <v/>
      </c>
      <c r="X102" s="21" t="str">
        <f t="shared" si="16"/>
        <v/>
      </c>
      <c r="Y102" s="60" t="str">
        <f t="shared" si="17"/>
        <v/>
      </c>
      <c r="Z102" s="60" t="str">
        <f t="shared" si="18"/>
        <v/>
      </c>
      <c r="AA102" s="64" t="str">
        <f t="shared" si="19"/>
        <v/>
      </c>
      <c r="AB102" s="64" t="str">
        <f>IF(AND(AA102&lt;&gt;"",AA102&lt;&gt;0), IF(E102="Muni", AA102, IF(E102 = "Corp", (1-'Investor Input'!$C$4-'Investor Input'!$C$5)*AA102, (1-'Investor Input'!$C$4)*AA102)), AA102)</f>
        <v/>
      </c>
      <c r="AC102" s="94" t="str">
        <f t="shared" si="20"/>
        <v/>
      </c>
      <c r="AD102" s="60" t="str">
        <f>IF(AND(M102&lt;&gt;"", M102&lt;&gt;0), N102/$N$505*MATCH(AC102,'Misc Lists'!$K$2:$K$25,0), "")</f>
        <v/>
      </c>
      <c r="AE102" s="90" t="str">
        <f t="shared" si="21"/>
        <v/>
      </c>
      <c r="AF102" s="99" t="str">
        <f>IF(AND(M102&lt;&gt;"", M102&lt;&gt;0), N102/$N$505*MATCH(AE102,'Misc Lists'!$L$2:$L$25,0), "")</f>
        <v/>
      </c>
    </row>
    <row r="103" spans="2:32" hidden="1" outlineLevel="1" x14ac:dyDescent="0.5">
      <c r="B103" s="60" t="str">
        <f ca="1"/>
        <v>91282CAZ4</v>
      </c>
      <c r="C103" s="61" t="str">
        <f ca="1"/>
        <v>N/A</v>
      </c>
      <c r="D103" s="60" t="str">
        <f ca="1"/>
        <v>UNITED STATES TREAS SER AG-2025 0.37500% 11/30/2025 NTS NOTE</v>
      </c>
      <c r="E103" s="61" t="str">
        <f ca="1"/>
        <v>Tres</v>
      </c>
      <c r="F103" s="62">
        <f ca="1"/>
        <v>0.375</v>
      </c>
      <c r="G103" s="63">
        <f ca="1"/>
        <v>45991</v>
      </c>
      <c r="H103" s="61" t="str">
        <f ca="1"/>
        <v>AAA</v>
      </c>
      <c r="I103" s="61" t="str">
        <f ca="1"/>
        <v>--</v>
      </c>
      <c r="J103" s="64">
        <f ca="1"/>
        <v>97.012</v>
      </c>
      <c r="K103" s="17">
        <f ca="1"/>
        <v>4.3099999999999996</v>
      </c>
      <c r="L103" s="18" t="str">
        <f ca="1"/>
        <v>30,000(600)</v>
      </c>
      <c r="M103" s="83"/>
      <c r="N103" s="84" t="str">
        <f t="shared" si="22"/>
        <v/>
      </c>
      <c r="O103" s="20" t="str">
        <f t="shared" si="23"/>
        <v/>
      </c>
      <c r="P103" s="64" t="str">
        <f t="shared" si="24"/>
        <v/>
      </c>
      <c r="Q103" s="85" t="str">
        <f t="shared" ca="1" si="25"/>
        <v/>
      </c>
      <c r="R103" s="86" t="str">
        <f t="shared" si="26"/>
        <v/>
      </c>
      <c r="S103" s="86" t="str">
        <f t="shared" si="27"/>
        <v/>
      </c>
      <c r="T103" s="104" t="str">
        <f t="shared" si="28"/>
        <v/>
      </c>
      <c r="U103" s="19" t="str">
        <f>IF(AND(M103&lt;&gt;"",M103&lt;&gt;0), IF(E103 = "Muni", T103, IF(E103="Corp", T103*(1 -'Investor Input'!$C$4-'Investor Input'!$C$5), T103*(1 -'Investor Input'!$C$4))), T103)</f>
        <v/>
      </c>
      <c r="V103" s="84" t="str">
        <f t="shared" si="29"/>
        <v/>
      </c>
      <c r="W103" s="84" t="str">
        <f t="shared" si="15"/>
        <v/>
      </c>
      <c r="X103" s="21" t="str">
        <f t="shared" si="16"/>
        <v/>
      </c>
      <c r="Y103" s="60" t="str">
        <f t="shared" si="17"/>
        <v/>
      </c>
      <c r="Z103" s="60" t="str">
        <f t="shared" si="18"/>
        <v/>
      </c>
      <c r="AA103" s="64" t="str">
        <f t="shared" si="19"/>
        <v/>
      </c>
      <c r="AB103" s="64" t="str">
        <f>IF(AND(AA103&lt;&gt;"",AA103&lt;&gt;0), IF(E103="Muni", AA103, IF(E103 = "Corp", (1-'Investor Input'!$C$4-'Investor Input'!$C$5)*AA103, (1-'Investor Input'!$C$4)*AA103)), AA103)</f>
        <v/>
      </c>
      <c r="AC103" s="94" t="str">
        <f t="shared" si="20"/>
        <v/>
      </c>
      <c r="AD103" s="60" t="str">
        <f>IF(AND(M103&lt;&gt;"", M103&lt;&gt;0), N103/$N$505*MATCH(AC103,'Misc Lists'!$K$2:$K$25,0), "")</f>
        <v/>
      </c>
      <c r="AE103" s="90" t="str">
        <f t="shared" si="21"/>
        <v/>
      </c>
      <c r="AF103" s="99" t="str">
        <f>IF(AND(M103&lt;&gt;"", M103&lt;&gt;0), N103/$N$505*MATCH(AE103,'Misc Lists'!$L$2:$L$25,0), "")</f>
        <v/>
      </c>
    </row>
    <row r="104" spans="2:32" hidden="1" outlineLevel="1" x14ac:dyDescent="0.5">
      <c r="B104" s="60" t="str">
        <f ca="1"/>
        <v>91282CJR3</v>
      </c>
      <c r="C104" s="61" t="str">
        <f ca="1"/>
        <v>N/A</v>
      </c>
      <c r="D104" s="60" t="str">
        <f ca="1"/>
        <v>UNITED STATES TREAS SER AH-2028         3.75000% 12/31/2028 NTS NOTE</v>
      </c>
      <c r="E104" s="61" t="str">
        <f ca="1"/>
        <v>Tres</v>
      </c>
      <c r="F104" s="62">
        <f ca="1"/>
        <v>3.75</v>
      </c>
      <c r="G104" s="63">
        <f ca="1"/>
        <v>47118</v>
      </c>
      <c r="H104" s="61" t="str">
        <f ca="1"/>
        <v>AAA</v>
      </c>
      <c r="I104" s="61" t="str">
        <f ca="1"/>
        <v>--</v>
      </c>
      <c r="J104" s="64">
        <f ca="1"/>
        <v>98.02</v>
      </c>
      <c r="K104" s="17">
        <f ca="1"/>
        <v>4.3099999999999996</v>
      </c>
      <c r="L104" s="18" t="str">
        <f ca="1"/>
        <v>65,000(400)</v>
      </c>
      <c r="M104" s="83"/>
      <c r="N104" s="84" t="str">
        <f t="shared" si="22"/>
        <v/>
      </c>
      <c r="O104" s="20" t="str">
        <f t="shared" si="23"/>
        <v/>
      </c>
      <c r="P104" s="64" t="str">
        <f t="shared" si="24"/>
        <v/>
      </c>
      <c r="Q104" s="85" t="str">
        <f t="shared" ca="1" si="25"/>
        <v/>
      </c>
      <c r="R104" s="86" t="str">
        <f t="shared" si="26"/>
        <v/>
      </c>
      <c r="S104" s="86" t="str">
        <f t="shared" si="27"/>
        <v/>
      </c>
      <c r="T104" s="104" t="str">
        <f t="shared" si="28"/>
        <v/>
      </c>
      <c r="U104" s="19" t="str">
        <f>IF(AND(M104&lt;&gt;"",M104&lt;&gt;0), IF(E104 = "Muni", T104, IF(E104="Corp", T104*(1 -'Investor Input'!$C$4-'Investor Input'!$C$5), T104*(1 -'Investor Input'!$C$4))), T104)</f>
        <v/>
      </c>
      <c r="V104" s="84" t="str">
        <f t="shared" si="29"/>
        <v/>
      </c>
      <c r="W104" s="84" t="str">
        <f t="shared" si="15"/>
        <v/>
      </c>
      <c r="X104" s="21" t="str">
        <f t="shared" si="16"/>
        <v/>
      </c>
      <c r="Y104" s="60" t="str">
        <f t="shared" si="17"/>
        <v/>
      </c>
      <c r="Z104" s="60" t="str">
        <f t="shared" si="18"/>
        <v/>
      </c>
      <c r="AA104" s="64" t="str">
        <f t="shared" si="19"/>
        <v/>
      </c>
      <c r="AB104" s="64" t="str">
        <f>IF(AND(AA104&lt;&gt;"",AA104&lt;&gt;0), IF(E104="Muni", AA104, IF(E104 = "Corp", (1-'Investor Input'!$C$4-'Investor Input'!$C$5)*AA104, (1-'Investor Input'!$C$4)*AA104)), AA104)</f>
        <v/>
      </c>
      <c r="AC104" s="94" t="str">
        <f t="shared" si="20"/>
        <v/>
      </c>
      <c r="AD104" s="60" t="str">
        <f>IF(AND(M104&lt;&gt;"", M104&lt;&gt;0), N104/$N$505*MATCH(AC104,'Misc Lists'!$K$2:$K$25,0), "")</f>
        <v/>
      </c>
      <c r="AE104" s="90" t="str">
        <f t="shared" si="21"/>
        <v/>
      </c>
      <c r="AF104" s="99" t="str">
        <f>IF(AND(M104&lt;&gt;"", M104&lt;&gt;0), N104/$N$505*MATCH(AE104,'Misc Lists'!$L$2:$L$25,0), "")</f>
        <v/>
      </c>
    </row>
    <row r="105" spans="2:32" hidden="1" outlineLevel="1" x14ac:dyDescent="0.5">
      <c r="B105" s="60" t="str">
        <f ca="1"/>
        <v>91282CDW8</v>
      </c>
      <c r="C105" s="61" t="str">
        <f ca="1"/>
        <v>N/A</v>
      </c>
      <c r="D105" s="60" t="str">
        <f ca="1"/>
        <v>UNITED STATES TREAS SER G-2029          1.75000% 01/31/2029 NTS NOTE</v>
      </c>
      <c r="E105" s="61" t="str">
        <f ca="1"/>
        <v>Tres</v>
      </c>
      <c r="F105" s="62">
        <f ca="1"/>
        <v>1.75</v>
      </c>
      <c r="G105" s="63">
        <f ca="1"/>
        <v>47149</v>
      </c>
      <c r="H105" s="61" t="str">
        <f ca="1"/>
        <v>AAA</v>
      </c>
      <c r="I105" s="61" t="str">
        <f ca="1"/>
        <v>--</v>
      </c>
      <c r="J105" s="64">
        <f ca="1"/>
        <v>90.79</v>
      </c>
      <c r="K105" s="17">
        <f ca="1"/>
        <v>4.3099999999999996</v>
      </c>
      <c r="L105" s="18" t="str">
        <f ca="1"/>
        <v>65,000(400)</v>
      </c>
      <c r="M105" s="83"/>
      <c r="N105" s="84" t="str">
        <f t="shared" si="22"/>
        <v/>
      </c>
      <c r="O105" s="20" t="str">
        <f t="shared" si="23"/>
        <v/>
      </c>
      <c r="P105" s="64" t="str">
        <f t="shared" si="24"/>
        <v/>
      </c>
      <c r="Q105" s="85" t="str">
        <f t="shared" ca="1" si="25"/>
        <v/>
      </c>
      <c r="R105" s="86" t="str">
        <f t="shared" si="26"/>
        <v/>
      </c>
      <c r="S105" s="86" t="str">
        <f t="shared" si="27"/>
        <v/>
      </c>
      <c r="T105" s="104" t="str">
        <f t="shared" si="28"/>
        <v/>
      </c>
      <c r="U105" s="19" t="str">
        <f>IF(AND(M105&lt;&gt;"",M105&lt;&gt;0), IF(E105 = "Muni", T105, IF(E105="Corp", T105*(1 -'Investor Input'!$C$4-'Investor Input'!$C$5), T105*(1 -'Investor Input'!$C$4))), T105)</f>
        <v/>
      </c>
      <c r="V105" s="84" t="str">
        <f t="shared" si="29"/>
        <v/>
      </c>
      <c r="W105" s="84" t="str">
        <f t="shared" si="15"/>
        <v/>
      </c>
      <c r="X105" s="21" t="str">
        <f t="shared" si="16"/>
        <v/>
      </c>
      <c r="Y105" s="60" t="str">
        <f t="shared" si="17"/>
        <v/>
      </c>
      <c r="Z105" s="60" t="str">
        <f t="shared" si="18"/>
        <v/>
      </c>
      <c r="AA105" s="64" t="str">
        <f t="shared" si="19"/>
        <v/>
      </c>
      <c r="AB105" s="64" t="str">
        <f>IF(AND(AA105&lt;&gt;"",AA105&lt;&gt;0), IF(E105="Muni", AA105, IF(E105 = "Corp", (1-'Investor Input'!$C$4-'Investor Input'!$C$5)*AA105, (1-'Investor Input'!$C$4)*AA105)), AA105)</f>
        <v/>
      </c>
      <c r="AC105" s="94" t="str">
        <f t="shared" si="20"/>
        <v/>
      </c>
      <c r="AD105" s="60" t="str">
        <f>IF(AND(M105&lt;&gt;"", M105&lt;&gt;0), N105/$N$505*MATCH(AC105,'Misc Lists'!$K$2:$K$25,0), "")</f>
        <v/>
      </c>
      <c r="AE105" s="90" t="str">
        <f t="shared" si="21"/>
        <v/>
      </c>
      <c r="AF105" s="99" t="str">
        <f>IF(AND(M105&lt;&gt;"", M105&lt;&gt;0), N105/$N$505*MATCH(AE105,'Misc Lists'!$L$2:$L$25,0), "")</f>
        <v/>
      </c>
    </row>
    <row r="106" spans="2:32" hidden="1" outlineLevel="1" x14ac:dyDescent="0.5">
      <c r="B106" s="60" t="str">
        <f ca="1"/>
        <v>91282CDP3</v>
      </c>
      <c r="C106" s="61" t="str">
        <f ca="1"/>
        <v>N/A</v>
      </c>
      <c r="D106" s="60" t="str">
        <f ca="1"/>
        <v>UNITED STATES TREAS SER T-2028          1.37500% 12/31/2028 NTS NOTE</v>
      </c>
      <c r="E106" s="61" t="str">
        <f ca="1"/>
        <v>Tres</v>
      </c>
      <c r="F106" s="62">
        <f ca="1"/>
        <v>1.375</v>
      </c>
      <c r="G106" s="63">
        <f ca="1"/>
        <v>47118</v>
      </c>
      <c r="H106" s="61" t="str">
        <f ca="1"/>
        <v>AAA</v>
      </c>
      <c r="I106" s="61" t="str">
        <f ca="1"/>
        <v>--</v>
      </c>
      <c r="J106" s="64">
        <f ca="1"/>
        <v>89.653000000000006</v>
      </c>
      <c r="K106" s="17">
        <f ca="1"/>
        <v>4.3090000000000002</v>
      </c>
      <c r="L106" s="18" t="str">
        <f ca="1"/>
        <v>65,000(400)</v>
      </c>
      <c r="M106" s="83"/>
      <c r="N106" s="84" t="str">
        <f t="shared" si="22"/>
        <v/>
      </c>
      <c r="O106" s="20" t="str">
        <f t="shared" si="23"/>
        <v/>
      </c>
      <c r="P106" s="64" t="str">
        <f t="shared" si="24"/>
        <v/>
      </c>
      <c r="Q106" s="85" t="str">
        <f t="shared" ca="1" si="25"/>
        <v/>
      </c>
      <c r="R106" s="86" t="str">
        <f t="shared" si="26"/>
        <v/>
      </c>
      <c r="S106" s="86" t="str">
        <f t="shared" si="27"/>
        <v/>
      </c>
      <c r="T106" s="104" t="str">
        <f t="shared" si="28"/>
        <v/>
      </c>
      <c r="U106" s="19" t="str">
        <f>IF(AND(M106&lt;&gt;"",M106&lt;&gt;0), IF(E106 = "Muni", T106, IF(E106="Corp", T106*(1 -'Investor Input'!$C$4-'Investor Input'!$C$5), T106*(1 -'Investor Input'!$C$4))), T106)</f>
        <v/>
      </c>
      <c r="V106" s="84" t="str">
        <f t="shared" si="29"/>
        <v/>
      </c>
      <c r="W106" s="84" t="str">
        <f t="shared" si="15"/>
        <v/>
      </c>
      <c r="X106" s="21" t="str">
        <f t="shared" si="16"/>
        <v/>
      </c>
      <c r="Y106" s="60" t="str">
        <f t="shared" si="17"/>
        <v/>
      </c>
      <c r="Z106" s="60" t="str">
        <f t="shared" si="18"/>
        <v/>
      </c>
      <c r="AA106" s="64" t="str">
        <f t="shared" si="19"/>
        <v/>
      </c>
      <c r="AB106" s="64" t="str">
        <f>IF(AND(AA106&lt;&gt;"",AA106&lt;&gt;0), IF(E106="Muni", AA106, IF(E106 = "Corp", (1-'Investor Input'!$C$4-'Investor Input'!$C$5)*AA106, (1-'Investor Input'!$C$4)*AA106)), AA106)</f>
        <v/>
      </c>
      <c r="AC106" s="94" t="str">
        <f t="shared" si="20"/>
        <v/>
      </c>
      <c r="AD106" s="60" t="str">
        <f>IF(AND(M106&lt;&gt;"", M106&lt;&gt;0), N106/$N$505*MATCH(AC106,'Misc Lists'!$K$2:$K$25,0), "")</f>
        <v/>
      </c>
      <c r="AE106" s="90" t="str">
        <f t="shared" si="21"/>
        <v/>
      </c>
      <c r="AF106" s="99" t="str">
        <f>IF(AND(M106&lt;&gt;"", M106&lt;&gt;0), N106/$N$505*MATCH(AE106,'Misc Lists'!$L$2:$L$25,0), "")</f>
        <v/>
      </c>
    </row>
    <row r="107" spans="2:32" hidden="1" outlineLevel="1" x14ac:dyDescent="0.5">
      <c r="B107" s="60" t="str">
        <f ca="1"/>
        <v>91282CJN2</v>
      </c>
      <c r="C107" s="61" t="str">
        <f ca="1"/>
        <v>N/A</v>
      </c>
      <c r="D107" s="60" t="str">
        <f ca="1"/>
        <v>UNITED STATES TREAS SER AG-2028         4.37500% 11/30/2028 NTS NOTE</v>
      </c>
      <c r="E107" s="61" t="str">
        <f ca="1"/>
        <v>Tres</v>
      </c>
      <c r="F107" s="62">
        <f ca="1"/>
        <v>4.375</v>
      </c>
      <c r="G107" s="63">
        <f ca="1"/>
        <v>47087</v>
      </c>
      <c r="H107" s="61" t="str">
        <f ca="1"/>
        <v>AAA</v>
      </c>
      <c r="I107" s="61" t="str">
        <f ca="1"/>
        <v>--</v>
      </c>
      <c r="J107" s="64">
        <f ca="1"/>
        <v>100.223</v>
      </c>
      <c r="K107" s="17">
        <f ca="1"/>
        <v>4.3079999999999998</v>
      </c>
      <c r="L107" s="18" t="str">
        <f ca="1"/>
        <v>65,000(400)</v>
      </c>
      <c r="M107" s="83"/>
      <c r="N107" s="84" t="str">
        <f t="shared" si="22"/>
        <v/>
      </c>
      <c r="O107" s="20" t="str">
        <f t="shared" si="23"/>
        <v/>
      </c>
      <c r="P107" s="64" t="str">
        <f t="shared" si="24"/>
        <v/>
      </c>
      <c r="Q107" s="85" t="str">
        <f t="shared" ca="1" si="25"/>
        <v/>
      </c>
      <c r="R107" s="86" t="str">
        <f t="shared" si="26"/>
        <v/>
      </c>
      <c r="S107" s="86" t="str">
        <f t="shared" si="27"/>
        <v/>
      </c>
      <c r="T107" s="104" t="str">
        <f t="shared" si="28"/>
        <v/>
      </c>
      <c r="U107" s="19" t="str">
        <f>IF(AND(M107&lt;&gt;"",M107&lt;&gt;0), IF(E107 = "Muni", T107, IF(E107="Corp", T107*(1 -'Investor Input'!$C$4-'Investor Input'!$C$5), T107*(1 -'Investor Input'!$C$4))), T107)</f>
        <v/>
      </c>
      <c r="V107" s="84" t="str">
        <f t="shared" si="29"/>
        <v/>
      </c>
      <c r="W107" s="84" t="str">
        <f t="shared" si="15"/>
        <v/>
      </c>
      <c r="X107" s="21" t="str">
        <f t="shared" si="16"/>
        <v/>
      </c>
      <c r="Y107" s="60" t="str">
        <f t="shared" si="17"/>
        <v/>
      </c>
      <c r="Z107" s="60" t="str">
        <f t="shared" si="18"/>
        <v/>
      </c>
      <c r="AA107" s="64" t="str">
        <f t="shared" si="19"/>
        <v/>
      </c>
      <c r="AB107" s="64" t="str">
        <f>IF(AND(AA107&lt;&gt;"",AA107&lt;&gt;0), IF(E107="Muni", AA107, IF(E107 = "Corp", (1-'Investor Input'!$C$4-'Investor Input'!$C$5)*AA107, (1-'Investor Input'!$C$4)*AA107)), AA107)</f>
        <v/>
      </c>
      <c r="AC107" s="94" t="str">
        <f t="shared" si="20"/>
        <v/>
      </c>
      <c r="AD107" s="60" t="str">
        <f>IF(AND(M107&lt;&gt;"", M107&lt;&gt;0), N107/$N$505*MATCH(AC107,'Misc Lists'!$K$2:$K$25,0), "")</f>
        <v/>
      </c>
      <c r="AE107" s="90" t="str">
        <f t="shared" si="21"/>
        <v/>
      </c>
      <c r="AF107" s="99" t="str">
        <f>IF(AND(M107&lt;&gt;"", M107&lt;&gt;0), N107/$N$505*MATCH(AE107,'Misc Lists'!$L$2:$L$25,0), "")</f>
        <v/>
      </c>
    </row>
    <row r="108" spans="2:32" hidden="1" outlineLevel="1" x14ac:dyDescent="0.5">
      <c r="B108" s="60" t="str">
        <f ca="1"/>
        <v>91282CFK2</v>
      </c>
      <c r="C108" s="61" t="str">
        <f ca="1"/>
        <v>N/A</v>
      </c>
      <c r="D108" s="60" t="str">
        <f ca="1"/>
        <v>UNITED STATES TREAS SER AS-2025         3.50000% 09/15/2025 NTS NOTE</v>
      </c>
      <c r="E108" s="61" t="str">
        <f ca="1"/>
        <v>Tres</v>
      </c>
      <c r="F108" s="62">
        <f ca="1"/>
        <v>3.5</v>
      </c>
      <c r="G108" s="63">
        <f ca="1"/>
        <v>45915</v>
      </c>
      <c r="H108" s="61" t="str">
        <f ca="1"/>
        <v>AAA</v>
      </c>
      <c r="I108" s="61" t="str">
        <f ca="1"/>
        <v>--</v>
      </c>
      <c r="J108" s="64">
        <f ca="1"/>
        <v>99.55</v>
      </c>
      <c r="K108" s="17">
        <f ca="1"/>
        <v>4.306</v>
      </c>
      <c r="L108" s="18" t="str">
        <f ca="1"/>
        <v>8,000(200)</v>
      </c>
      <c r="M108" s="83"/>
      <c r="N108" s="84" t="str">
        <f t="shared" si="22"/>
        <v/>
      </c>
      <c r="O108" s="20" t="str">
        <f t="shared" si="23"/>
        <v/>
      </c>
      <c r="P108" s="64" t="str">
        <f t="shared" si="24"/>
        <v/>
      </c>
      <c r="Q108" s="85" t="str">
        <f t="shared" ca="1" si="25"/>
        <v/>
      </c>
      <c r="R108" s="86" t="str">
        <f t="shared" si="26"/>
        <v/>
      </c>
      <c r="S108" s="86" t="str">
        <f t="shared" si="27"/>
        <v/>
      </c>
      <c r="T108" s="104" t="str">
        <f t="shared" si="28"/>
        <v/>
      </c>
      <c r="U108" s="19" t="str">
        <f>IF(AND(M108&lt;&gt;"",M108&lt;&gt;0), IF(E108 = "Muni", T108, IF(E108="Corp", T108*(1 -'Investor Input'!$C$4-'Investor Input'!$C$5), T108*(1 -'Investor Input'!$C$4))), T108)</f>
        <v/>
      </c>
      <c r="V108" s="84" t="str">
        <f t="shared" si="29"/>
        <v/>
      </c>
      <c r="W108" s="84" t="str">
        <f t="shared" si="15"/>
        <v/>
      </c>
      <c r="X108" s="21" t="str">
        <f t="shared" si="16"/>
        <v/>
      </c>
      <c r="Y108" s="60" t="str">
        <f t="shared" si="17"/>
        <v/>
      </c>
      <c r="Z108" s="60" t="str">
        <f t="shared" si="18"/>
        <v/>
      </c>
      <c r="AA108" s="64" t="str">
        <f t="shared" si="19"/>
        <v/>
      </c>
      <c r="AB108" s="64" t="str">
        <f>IF(AND(AA108&lt;&gt;"",AA108&lt;&gt;0), IF(E108="Muni", AA108, IF(E108 = "Corp", (1-'Investor Input'!$C$4-'Investor Input'!$C$5)*AA108, (1-'Investor Input'!$C$4)*AA108)), AA108)</f>
        <v/>
      </c>
      <c r="AC108" s="94" t="str">
        <f t="shared" si="20"/>
        <v/>
      </c>
      <c r="AD108" s="60" t="str">
        <f>IF(AND(M108&lt;&gt;"", M108&lt;&gt;0), N108/$N$505*MATCH(AC108,'Misc Lists'!$K$2:$K$25,0), "")</f>
        <v/>
      </c>
      <c r="AE108" s="90" t="str">
        <f t="shared" si="21"/>
        <v/>
      </c>
      <c r="AF108" s="99" t="str">
        <f>IF(AND(M108&lt;&gt;"", M108&lt;&gt;0), N108/$N$505*MATCH(AE108,'Misc Lists'!$L$2:$L$25,0), "")</f>
        <v/>
      </c>
    </row>
    <row r="109" spans="2:32" hidden="1" outlineLevel="1" x14ac:dyDescent="0.5">
      <c r="B109" s="60" t="str">
        <f ca="1"/>
        <v>9128285M8</v>
      </c>
      <c r="C109" s="61" t="str">
        <f ca="1"/>
        <v>N/A</v>
      </c>
      <c r="D109" s="60" t="str">
        <f ca="1"/>
        <v>UNITED STATES TREAS SER F-2028          3.12500% 11/15/2028 NTS NOTE</v>
      </c>
      <c r="E109" s="61" t="str">
        <f ca="1"/>
        <v>Tres</v>
      </c>
      <c r="F109" s="62">
        <f ca="1"/>
        <v>3.125</v>
      </c>
      <c r="G109" s="63">
        <f ca="1"/>
        <v>47072</v>
      </c>
      <c r="H109" s="61" t="str">
        <f ca="1"/>
        <v>AAA</v>
      </c>
      <c r="I109" s="61" t="str">
        <f ca="1"/>
        <v>--</v>
      </c>
      <c r="J109" s="64">
        <f ca="1"/>
        <v>95.957999999999998</v>
      </c>
      <c r="K109" s="17">
        <f ca="1"/>
        <v>4.306</v>
      </c>
      <c r="L109" s="18" t="str">
        <f ca="1"/>
        <v>65,000(400)</v>
      </c>
      <c r="M109" s="83"/>
      <c r="N109" s="84" t="str">
        <f t="shared" si="22"/>
        <v/>
      </c>
      <c r="O109" s="20" t="str">
        <f t="shared" si="23"/>
        <v/>
      </c>
      <c r="P109" s="64" t="str">
        <f t="shared" si="24"/>
        <v/>
      </c>
      <c r="Q109" s="85" t="str">
        <f t="shared" ca="1" si="25"/>
        <v/>
      </c>
      <c r="R109" s="86" t="str">
        <f t="shared" si="26"/>
        <v/>
      </c>
      <c r="S109" s="86" t="str">
        <f t="shared" si="27"/>
        <v/>
      </c>
      <c r="T109" s="104" t="str">
        <f t="shared" si="28"/>
        <v/>
      </c>
      <c r="U109" s="19" t="str">
        <f>IF(AND(M109&lt;&gt;"",M109&lt;&gt;0), IF(E109 = "Muni", T109, IF(E109="Corp", T109*(1 -'Investor Input'!$C$4-'Investor Input'!$C$5), T109*(1 -'Investor Input'!$C$4))), T109)</f>
        <v/>
      </c>
      <c r="V109" s="84" t="str">
        <f t="shared" si="29"/>
        <v/>
      </c>
      <c r="W109" s="84" t="str">
        <f t="shared" si="15"/>
        <v/>
      </c>
      <c r="X109" s="21" t="str">
        <f t="shared" si="16"/>
        <v/>
      </c>
      <c r="Y109" s="60" t="str">
        <f t="shared" si="17"/>
        <v/>
      </c>
      <c r="Z109" s="60" t="str">
        <f t="shared" si="18"/>
        <v/>
      </c>
      <c r="AA109" s="64" t="str">
        <f t="shared" si="19"/>
        <v/>
      </c>
      <c r="AB109" s="64" t="str">
        <f>IF(AND(AA109&lt;&gt;"",AA109&lt;&gt;0), IF(E109="Muni", AA109, IF(E109 = "Corp", (1-'Investor Input'!$C$4-'Investor Input'!$C$5)*AA109, (1-'Investor Input'!$C$4)*AA109)), AA109)</f>
        <v/>
      </c>
      <c r="AC109" s="94" t="str">
        <f t="shared" si="20"/>
        <v/>
      </c>
      <c r="AD109" s="60" t="str">
        <f>IF(AND(M109&lt;&gt;"", M109&lt;&gt;0), N109/$N$505*MATCH(AC109,'Misc Lists'!$K$2:$K$25,0), "")</f>
        <v/>
      </c>
      <c r="AE109" s="90" t="str">
        <f t="shared" si="21"/>
        <v/>
      </c>
      <c r="AF109" s="99" t="str">
        <f>IF(AND(M109&lt;&gt;"", M109&lt;&gt;0), N109/$N$505*MATCH(AE109,'Misc Lists'!$L$2:$L$25,0), "")</f>
        <v/>
      </c>
    </row>
    <row r="110" spans="2:32" hidden="1" outlineLevel="1" x14ac:dyDescent="0.5">
      <c r="B110" s="60" t="str">
        <f ca="1"/>
        <v>91282CDL2</v>
      </c>
      <c r="C110" s="61" t="str">
        <f ca="1"/>
        <v>N/A</v>
      </c>
      <c r="D110" s="60" t="str">
        <f ca="1"/>
        <v>UNITED STATES TREAS SER S-2028          1.50000% 11/30/2028 NTS NOTE</v>
      </c>
      <c r="E110" s="61" t="str">
        <f ca="1"/>
        <v>Tres</v>
      </c>
      <c r="F110" s="62">
        <f ca="1"/>
        <v>1.5</v>
      </c>
      <c r="G110" s="63">
        <f ca="1"/>
        <v>47087</v>
      </c>
      <c r="H110" s="61" t="str">
        <f ca="1"/>
        <v>AAA</v>
      </c>
      <c r="I110" s="61" t="str">
        <f ca="1"/>
        <v>--</v>
      </c>
      <c r="J110" s="64">
        <f ca="1"/>
        <v>90.305000000000007</v>
      </c>
      <c r="K110" s="17">
        <f ca="1"/>
        <v>4.306</v>
      </c>
      <c r="L110" s="18" t="str">
        <f ca="1"/>
        <v>5,000(1)</v>
      </c>
      <c r="M110" s="83"/>
      <c r="N110" s="84" t="str">
        <f t="shared" si="22"/>
        <v/>
      </c>
      <c r="O110" s="20" t="str">
        <f t="shared" si="23"/>
        <v/>
      </c>
      <c r="P110" s="64" t="str">
        <f t="shared" si="24"/>
        <v/>
      </c>
      <c r="Q110" s="85" t="str">
        <f t="shared" ca="1" si="25"/>
        <v/>
      </c>
      <c r="R110" s="86" t="str">
        <f t="shared" si="26"/>
        <v/>
      </c>
      <c r="S110" s="86" t="str">
        <f t="shared" si="27"/>
        <v/>
      </c>
      <c r="T110" s="104" t="str">
        <f t="shared" si="28"/>
        <v/>
      </c>
      <c r="U110" s="19" t="str">
        <f>IF(AND(M110&lt;&gt;"",M110&lt;&gt;0), IF(E110 = "Muni", T110, IF(E110="Corp", T110*(1 -'Investor Input'!$C$4-'Investor Input'!$C$5), T110*(1 -'Investor Input'!$C$4))), T110)</f>
        <v/>
      </c>
      <c r="V110" s="84" t="str">
        <f t="shared" si="29"/>
        <v/>
      </c>
      <c r="W110" s="84" t="str">
        <f t="shared" si="15"/>
        <v/>
      </c>
      <c r="X110" s="21" t="str">
        <f t="shared" si="16"/>
        <v/>
      </c>
      <c r="Y110" s="60" t="str">
        <f t="shared" si="17"/>
        <v/>
      </c>
      <c r="Z110" s="60" t="str">
        <f t="shared" si="18"/>
        <v/>
      </c>
      <c r="AA110" s="64" t="str">
        <f t="shared" si="19"/>
        <v/>
      </c>
      <c r="AB110" s="64" t="str">
        <f>IF(AND(AA110&lt;&gt;"",AA110&lt;&gt;0), IF(E110="Muni", AA110, IF(E110 = "Corp", (1-'Investor Input'!$C$4-'Investor Input'!$C$5)*AA110, (1-'Investor Input'!$C$4)*AA110)), AA110)</f>
        <v/>
      </c>
      <c r="AC110" s="94" t="str">
        <f t="shared" si="20"/>
        <v/>
      </c>
      <c r="AD110" s="60" t="str">
        <f>IF(AND(M110&lt;&gt;"", M110&lt;&gt;0), N110/$N$505*MATCH(AC110,'Misc Lists'!$K$2:$K$25,0), "")</f>
        <v/>
      </c>
      <c r="AE110" s="90" t="str">
        <f t="shared" si="21"/>
        <v/>
      </c>
      <c r="AF110" s="99" t="str">
        <f>IF(AND(M110&lt;&gt;"", M110&lt;&gt;0), N110/$N$505*MATCH(AE110,'Misc Lists'!$L$2:$L$25,0), "")</f>
        <v/>
      </c>
    </row>
    <row r="111" spans="2:32" hidden="1" outlineLevel="1" x14ac:dyDescent="0.5">
      <c r="B111" s="60" t="str">
        <f ca="1"/>
        <v>91282CDF5</v>
      </c>
      <c r="C111" s="61" t="str">
        <f ca="1"/>
        <v>N/A</v>
      </c>
      <c r="D111" s="60" t="str">
        <f ca="1"/>
        <v>UNITED STATES TREAS SER R-2028          1.37500% 10/31/2028 NTS NOTE</v>
      </c>
      <c r="E111" s="61" t="str">
        <f ca="1"/>
        <v>Tres</v>
      </c>
      <c r="F111" s="62">
        <f ca="1"/>
        <v>1.375</v>
      </c>
      <c r="G111" s="63">
        <f ca="1"/>
        <v>47057</v>
      </c>
      <c r="H111" s="61" t="str">
        <f ca="1"/>
        <v>AAA</v>
      </c>
      <c r="I111" s="61" t="str">
        <f ca="1"/>
        <v>--</v>
      </c>
      <c r="J111" s="64">
        <f ca="1"/>
        <v>90.087000000000003</v>
      </c>
      <c r="K111" s="17">
        <f ca="1"/>
        <v>4.3040000000000003</v>
      </c>
      <c r="L111" s="18" t="str">
        <f ca="1"/>
        <v>1,000(200)</v>
      </c>
      <c r="M111" s="83"/>
      <c r="N111" s="84" t="str">
        <f t="shared" si="22"/>
        <v/>
      </c>
      <c r="O111" s="20" t="str">
        <f t="shared" si="23"/>
        <v/>
      </c>
      <c r="P111" s="64" t="str">
        <f t="shared" si="24"/>
        <v/>
      </c>
      <c r="Q111" s="85" t="str">
        <f t="shared" ca="1" si="25"/>
        <v/>
      </c>
      <c r="R111" s="86" t="str">
        <f t="shared" si="26"/>
        <v/>
      </c>
      <c r="S111" s="86" t="str">
        <f t="shared" si="27"/>
        <v/>
      </c>
      <c r="T111" s="104" t="str">
        <f t="shared" si="28"/>
        <v/>
      </c>
      <c r="U111" s="19" t="str">
        <f>IF(AND(M111&lt;&gt;"",M111&lt;&gt;0), IF(E111 = "Muni", T111, IF(E111="Corp", T111*(1 -'Investor Input'!$C$4-'Investor Input'!$C$5), T111*(1 -'Investor Input'!$C$4))), T111)</f>
        <v/>
      </c>
      <c r="V111" s="84" t="str">
        <f t="shared" si="29"/>
        <v/>
      </c>
      <c r="W111" s="84" t="str">
        <f t="shared" si="15"/>
        <v/>
      </c>
      <c r="X111" s="21" t="str">
        <f t="shared" si="16"/>
        <v/>
      </c>
      <c r="Y111" s="60" t="str">
        <f t="shared" si="17"/>
        <v/>
      </c>
      <c r="Z111" s="60" t="str">
        <f t="shared" si="18"/>
        <v/>
      </c>
      <c r="AA111" s="64" t="str">
        <f t="shared" si="19"/>
        <v/>
      </c>
      <c r="AB111" s="64" t="str">
        <f>IF(AND(AA111&lt;&gt;"",AA111&lt;&gt;0), IF(E111="Muni", AA111, IF(E111 = "Corp", (1-'Investor Input'!$C$4-'Investor Input'!$C$5)*AA111, (1-'Investor Input'!$C$4)*AA111)), AA111)</f>
        <v/>
      </c>
      <c r="AC111" s="94" t="str">
        <f t="shared" si="20"/>
        <v/>
      </c>
      <c r="AD111" s="60" t="str">
        <f>IF(AND(M111&lt;&gt;"", M111&lt;&gt;0), N111/$N$505*MATCH(AC111,'Misc Lists'!$K$2:$K$25,0), "")</f>
        <v/>
      </c>
      <c r="AE111" s="90" t="str">
        <f t="shared" si="21"/>
        <v/>
      </c>
      <c r="AF111" s="99" t="str">
        <f>IF(AND(M111&lt;&gt;"", M111&lt;&gt;0), N111/$N$505*MATCH(AE111,'Misc Lists'!$L$2:$L$25,0), "")</f>
        <v/>
      </c>
    </row>
    <row r="112" spans="2:32" hidden="1" outlineLevel="1" x14ac:dyDescent="0.5">
      <c r="B112" s="60" t="str">
        <f ca="1"/>
        <v>91282CCY5</v>
      </c>
      <c r="C112" s="61" t="str">
        <f ca="1"/>
        <v>N/A</v>
      </c>
      <c r="D112" s="60" t="str">
        <f ca="1"/>
        <v>UNITED STATES TREAS SER Q-2028          1.25000% 09/30/2028 NTS NOTE</v>
      </c>
      <c r="E112" s="61" t="str">
        <f ca="1"/>
        <v>Tres</v>
      </c>
      <c r="F112" s="62">
        <f ca="1"/>
        <v>1.25</v>
      </c>
      <c r="G112" s="63">
        <f ca="1"/>
        <v>47026</v>
      </c>
      <c r="H112" s="61" t="str">
        <f ca="1"/>
        <v>AAA</v>
      </c>
      <c r="I112" s="61" t="str">
        <f ca="1"/>
        <v>--</v>
      </c>
      <c r="J112" s="64">
        <f ca="1"/>
        <v>89.887</v>
      </c>
      <c r="K112" s="17">
        <f ca="1"/>
        <v>4.3019999999999996</v>
      </c>
      <c r="L112" s="18" t="str">
        <f ca="1"/>
        <v>65,000(400)</v>
      </c>
      <c r="M112" s="83"/>
      <c r="N112" s="84" t="str">
        <f t="shared" si="22"/>
        <v/>
      </c>
      <c r="O112" s="20" t="str">
        <f t="shared" si="23"/>
        <v/>
      </c>
      <c r="P112" s="64" t="str">
        <f t="shared" si="24"/>
        <v/>
      </c>
      <c r="Q112" s="85" t="str">
        <f t="shared" ca="1" si="25"/>
        <v/>
      </c>
      <c r="R112" s="86" t="str">
        <f t="shared" si="26"/>
        <v/>
      </c>
      <c r="S112" s="86" t="str">
        <f t="shared" si="27"/>
        <v/>
      </c>
      <c r="T112" s="104" t="str">
        <f t="shared" si="28"/>
        <v/>
      </c>
      <c r="U112" s="19" t="str">
        <f>IF(AND(M112&lt;&gt;"",M112&lt;&gt;0), IF(E112 = "Muni", T112, IF(E112="Corp", T112*(1 -'Investor Input'!$C$4-'Investor Input'!$C$5), T112*(1 -'Investor Input'!$C$4))), T112)</f>
        <v/>
      </c>
      <c r="V112" s="84" t="str">
        <f t="shared" si="29"/>
        <v/>
      </c>
      <c r="W112" s="84" t="str">
        <f t="shared" si="15"/>
        <v/>
      </c>
      <c r="X112" s="21" t="str">
        <f t="shared" si="16"/>
        <v/>
      </c>
      <c r="Y112" s="60" t="str">
        <f t="shared" si="17"/>
        <v/>
      </c>
      <c r="Z112" s="60" t="str">
        <f t="shared" si="18"/>
        <v/>
      </c>
      <c r="AA112" s="64" t="str">
        <f t="shared" si="19"/>
        <v/>
      </c>
      <c r="AB112" s="64" t="str">
        <f>IF(AND(AA112&lt;&gt;"",AA112&lt;&gt;0), IF(E112="Muni", AA112, IF(E112 = "Corp", (1-'Investor Input'!$C$4-'Investor Input'!$C$5)*AA112, (1-'Investor Input'!$C$4)*AA112)), AA112)</f>
        <v/>
      </c>
      <c r="AC112" s="94" t="str">
        <f t="shared" si="20"/>
        <v/>
      </c>
      <c r="AD112" s="60" t="str">
        <f>IF(AND(M112&lt;&gt;"", M112&lt;&gt;0), N112/$N$505*MATCH(AC112,'Misc Lists'!$K$2:$K$25,0), "")</f>
        <v/>
      </c>
      <c r="AE112" s="90" t="str">
        <f t="shared" si="21"/>
        <v/>
      </c>
      <c r="AF112" s="99" t="str">
        <f>IF(AND(M112&lt;&gt;"", M112&lt;&gt;0), N112/$N$505*MATCH(AE112,'Misc Lists'!$L$2:$L$25,0), "")</f>
        <v/>
      </c>
    </row>
    <row r="113" spans="2:32" hidden="1" outlineLevel="1" x14ac:dyDescent="0.5">
      <c r="B113" s="60" t="str">
        <f ca="1"/>
        <v>91282CJF9</v>
      </c>
      <c r="C113" s="61" t="str">
        <f ca="1"/>
        <v>N/A</v>
      </c>
      <c r="D113" s="60" t="str">
        <f ca="1"/>
        <v>UNITED STATES TREAS SER AF-2028         4.87500% 10/31/2028 NTS NOTE</v>
      </c>
      <c r="E113" s="61" t="str">
        <f ca="1"/>
        <v>Tres</v>
      </c>
      <c r="F113" s="62">
        <f ca="1"/>
        <v>4.875</v>
      </c>
      <c r="G113" s="63">
        <f ca="1"/>
        <v>47057</v>
      </c>
      <c r="H113" s="61" t="str">
        <f ca="1"/>
        <v>AAA</v>
      </c>
      <c r="I113" s="61" t="str">
        <f ca="1"/>
        <v>--</v>
      </c>
      <c r="J113" s="64">
        <f ca="1"/>
        <v>101.934</v>
      </c>
      <c r="K113" s="17">
        <f ca="1"/>
        <v>4.3010000000000002</v>
      </c>
      <c r="L113" s="18" t="str">
        <f ca="1"/>
        <v>65,000(400)</v>
      </c>
      <c r="M113" s="83"/>
      <c r="N113" s="84" t="str">
        <f t="shared" si="22"/>
        <v/>
      </c>
      <c r="O113" s="20" t="str">
        <f t="shared" si="23"/>
        <v/>
      </c>
      <c r="P113" s="64" t="str">
        <f t="shared" si="24"/>
        <v/>
      </c>
      <c r="Q113" s="85" t="str">
        <f t="shared" ca="1" si="25"/>
        <v/>
      </c>
      <c r="R113" s="86" t="str">
        <f t="shared" si="26"/>
        <v/>
      </c>
      <c r="S113" s="86" t="str">
        <f t="shared" si="27"/>
        <v/>
      </c>
      <c r="T113" s="104" t="str">
        <f t="shared" si="28"/>
        <v/>
      </c>
      <c r="U113" s="19" t="str">
        <f>IF(AND(M113&lt;&gt;"",M113&lt;&gt;0), IF(E113 = "Muni", T113, IF(E113="Corp", T113*(1 -'Investor Input'!$C$4-'Investor Input'!$C$5), T113*(1 -'Investor Input'!$C$4))), T113)</f>
        <v/>
      </c>
      <c r="V113" s="84" t="str">
        <f t="shared" si="29"/>
        <v/>
      </c>
      <c r="W113" s="84" t="str">
        <f t="shared" si="15"/>
        <v/>
      </c>
      <c r="X113" s="21" t="str">
        <f t="shared" si="16"/>
        <v/>
      </c>
      <c r="Y113" s="60" t="str">
        <f t="shared" si="17"/>
        <v/>
      </c>
      <c r="Z113" s="60" t="str">
        <f t="shared" si="18"/>
        <v/>
      </c>
      <c r="AA113" s="64" t="str">
        <f t="shared" si="19"/>
        <v/>
      </c>
      <c r="AB113" s="64" t="str">
        <f>IF(AND(AA113&lt;&gt;"",AA113&lt;&gt;0), IF(E113="Muni", AA113, IF(E113 = "Corp", (1-'Investor Input'!$C$4-'Investor Input'!$C$5)*AA113, (1-'Investor Input'!$C$4)*AA113)), AA113)</f>
        <v/>
      </c>
      <c r="AC113" s="94" t="str">
        <f t="shared" si="20"/>
        <v/>
      </c>
      <c r="AD113" s="60" t="str">
        <f>IF(AND(M113&lt;&gt;"", M113&lt;&gt;0), N113/$N$505*MATCH(AC113,'Misc Lists'!$K$2:$K$25,0), "")</f>
        <v/>
      </c>
      <c r="AE113" s="90" t="str">
        <f t="shared" si="21"/>
        <v/>
      </c>
      <c r="AF113" s="99" t="str">
        <f>IF(AND(M113&lt;&gt;"", M113&lt;&gt;0), N113/$N$505*MATCH(AE113,'Misc Lists'!$L$2:$L$25,0), "")</f>
        <v/>
      </c>
    </row>
    <row r="114" spans="2:32" hidden="1" outlineLevel="1" x14ac:dyDescent="0.5">
      <c r="B114" s="60" t="str">
        <f ca="1"/>
        <v>91282CJL6</v>
      </c>
      <c r="C114" s="61" t="str">
        <f ca="1"/>
        <v>N/A</v>
      </c>
      <c r="D114" s="60" t="str">
        <f ca="1"/>
        <v>UNITED STATES TREAS SER BL-2025         4.87500% 11/30/2025 NTS NOTE</v>
      </c>
      <c r="E114" s="61" t="str">
        <f ca="1"/>
        <v>Tres</v>
      </c>
      <c r="F114" s="62">
        <f ca="1"/>
        <v>4.875</v>
      </c>
      <c r="G114" s="63">
        <f ca="1"/>
        <v>45991</v>
      </c>
      <c r="H114" s="61" t="str">
        <f ca="1"/>
        <v>AAA</v>
      </c>
      <c r="I114" s="61" t="str">
        <f ca="1"/>
        <v>--</v>
      </c>
      <c r="J114" s="64">
        <f ca="1"/>
        <v>100.43</v>
      </c>
      <c r="K114" s="17">
        <f ca="1"/>
        <v>4.3</v>
      </c>
      <c r="L114" s="18" t="str">
        <f ca="1"/>
        <v>30,000(600)</v>
      </c>
      <c r="M114" s="83"/>
      <c r="N114" s="84" t="str">
        <f t="shared" si="22"/>
        <v/>
      </c>
      <c r="O114" s="20" t="str">
        <f t="shared" si="23"/>
        <v/>
      </c>
      <c r="P114" s="64" t="str">
        <f t="shared" si="24"/>
        <v/>
      </c>
      <c r="Q114" s="85" t="str">
        <f t="shared" ca="1" si="25"/>
        <v/>
      </c>
      <c r="R114" s="86" t="str">
        <f t="shared" si="26"/>
        <v/>
      </c>
      <c r="S114" s="86" t="str">
        <f t="shared" si="27"/>
        <v/>
      </c>
      <c r="T114" s="104" t="str">
        <f t="shared" si="28"/>
        <v/>
      </c>
      <c r="U114" s="19" t="str">
        <f>IF(AND(M114&lt;&gt;"",M114&lt;&gt;0), IF(E114 = "Muni", T114, IF(E114="Corp", T114*(1 -'Investor Input'!$C$4-'Investor Input'!$C$5), T114*(1 -'Investor Input'!$C$4))), T114)</f>
        <v/>
      </c>
      <c r="V114" s="84" t="str">
        <f t="shared" si="29"/>
        <v/>
      </c>
      <c r="W114" s="84" t="str">
        <f t="shared" si="15"/>
        <v/>
      </c>
      <c r="X114" s="21" t="str">
        <f t="shared" si="16"/>
        <v/>
      </c>
      <c r="Y114" s="60" t="str">
        <f t="shared" si="17"/>
        <v/>
      </c>
      <c r="Z114" s="60" t="str">
        <f t="shared" si="18"/>
        <v/>
      </c>
      <c r="AA114" s="64" t="str">
        <f t="shared" si="19"/>
        <v/>
      </c>
      <c r="AB114" s="64" t="str">
        <f>IF(AND(AA114&lt;&gt;"",AA114&lt;&gt;0), IF(E114="Muni", AA114, IF(E114 = "Corp", (1-'Investor Input'!$C$4-'Investor Input'!$C$5)*AA114, (1-'Investor Input'!$C$4)*AA114)), AA114)</f>
        <v/>
      </c>
      <c r="AC114" s="94" t="str">
        <f t="shared" si="20"/>
        <v/>
      </c>
      <c r="AD114" s="60" t="str">
        <f>IF(AND(M114&lt;&gt;"", M114&lt;&gt;0), N114/$N$505*MATCH(AC114,'Misc Lists'!$K$2:$K$25,0), "")</f>
        <v/>
      </c>
      <c r="AE114" s="90" t="str">
        <f t="shared" si="21"/>
        <v/>
      </c>
      <c r="AF114" s="99" t="str">
        <f>IF(AND(M114&lt;&gt;"", M114&lt;&gt;0), N114/$N$505*MATCH(AE114,'Misc Lists'!$L$2:$L$25,0), "")</f>
        <v/>
      </c>
    </row>
    <row r="115" spans="2:32" hidden="1" outlineLevel="1" x14ac:dyDescent="0.5">
      <c r="B115" s="60" t="str">
        <f ca="1"/>
        <v>9128285N6</v>
      </c>
      <c r="C115" s="61" t="str">
        <f ca="1"/>
        <v>N/A</v>
      </c>
      <c r="D115" s="60" t="str">
        <f ca="1"/>
        <v>UNITED STATES TREAS SER S-2025          2.87500% 11/30/2025 NTS NOTE</v>
      </c>
      <c r="E115" s="61" t="str">
        <f ca="1"/>
        <v>Tres</v>
      </c>
      <c r="F115" s="62">
        <f ca="1"/>
        <v>2.875</v>
      </c>
      <c r="G115" s="63">
        <f ca="1"/>
        <v>45991</v>
      </c>
      <c r="H115" s="61" t="str">
        <f ca="1"/>
        <v>AAA</v>
      </c>
      <c r="I115" s="61" t="str">
        <f ca="1"/>
        <v>--</v>
      </c>
      <c r="J115" s="64">
        <f ca="1"/>
        <v>98.915000000000006</v>
      </c>
      <c r="K115" s="17">
        <f ca="1"/>
        <v>4.3</v>
      </c>
      <c r="L115" s="18" t="str">
        <f ca="1"/>
        <v>30,000(600)</v>
      </c>
      <c r="M115" s="83"/>
      <c r="N115" s="84" t="str">
        <f t="shared" si="22"/>
        <v/>
      </c>
      <c r="O115" s="20" t="str">
        <f t="shared" si="23"/>
        <v/>
      </c>
      <c r="P115" s="64" t="str">
        <f t="shared" si="24"/>
        <v/>
      </c>
      <c r="Q115" s="85" t="str">
        <f t="shared" ca="1" si="25"/>
        <v/>
      </c>
      <c r="R115" s="86" t="str">
        <f t="shared" si="26"/>
        <v/>
      </c>
      <c r="S115" s="86" t="str">
        <f t="shared" si="27"/>
        <v/>
      </c>
      <c r="T115" s="104" t="str">
        <f t="shared" si="28"/>
        <v/>
      </c>
      <c r="U115" s="19" t="str">
        <f>IF(AND(M115&lt;&gt;"",M115&lt;&gt;0), IF(E115 = "Muni", T115, IF(E115="Corp", T115*(1 -'Investor Input'!$C$4-'Investor Input'!$C$5), T115*(1 -'Investor Input'!$C$4))), T115)</f>
        <v/>
      </c>
      <c r="V115" s="84" t="str">
        <f t="shared" si="29"/>
        <v/>
      </c>
      <c r="W115" s="84" t="str">
        <f t="shared" si="15"/>
        <v/>
      </c>
      <c r="X115" s="21" t="str">
        <f t="shared" si="16"/>
        <v/>
      </c>
      <c r="Y115" s="60" t="str">
        <f t="shared" si="17"/>
        <v/>
      </c>
      <c r="Z115" s="60" t="str">
        <f t="shared" si="18"/>
        <v/>
      </c>
      <c r="AA115" s="64" t="str">
        <f t="shared" si="19"/>
        <v/>
      </c>
      <c r="AB115" s="64" t="str">
        <f>IF(AND(AA115&lt;&gt;"",AA115&lt;&gt;0), IF(E115="Muni", AA115, IF(E115 = "Corp", (1-'Investor Input'!$C$4-'Investor Input'!$C$5)*AA115, (1-'Investor Input'!$C$4)*AA115)), AA115)</f>
        <v/>
      </c>
      <c r="AC115" s="94" t="str">
        <f t="shared" si="20"/>
        <v/>
      </c>
      <c r="AD115" s="60" t="str">
        <f>IF(AND(M115&lt;&gt;"", M115&lt;&gt;0), N115/$N$505*MATCH(AC115,'Misc Lists'!$K$2:$K$25,0), "")</f>
        <v/>
      </c>
      <c r="AE115" s="90" t="str">
        <f t="shared" si="21"/>
        <v/>
      </c>
      <c r="AF115" s="99" t="str">
        <f>IF(AND(M115&lt;&gt;"", M115&lt;&gt;0), N115/$N$505*MATCH(AE115,'Misc Lists'!$L$2:$L$25,0), "")</f>
        <v/>
      </c>
    </row>
    <row r="116" spans="2:32" hidden="1" outlineLevel="1" x14ac:dyDescent="0.5">
      <c r="B116" s="60" t="str">
        <f ca="1"/>
        <v>91282CJA0</v>
      </c>
      <c r="C116" s="61" t="str">
        <f ca="1"/>
        <v>N/A</v>
      </c>
      <c r="D116" s="60" t="str">
        <f ca="1"/>
        <v>UNITED STATES TREAS SER AD-2028         4.62500% 09/30/2028 NTS NOTE</v>
      </c>
      <c r="E116" s="61" t="str">
        <f ca="1"/>
        <v>Tres</v>
      </c>
      <c r="F116" s="62">
        <f ca="1"/>
        <v>4.625</v>
      </c>
      <c r="G116" s="63">
        <f ca="1"/>
        <v>47026</v>
      </c>
      <c r="H116" s="61" t="str">
        <f ca="1"/>
        <v>AAA</v>
      </c>
      <c r="I116" s="61" t="str">
        <f ca="1"/>
        <v>--</v>
      </c>
      <c r="J116" s="64">
        <f ca="1"/>
        <v>101.071</v>
      </c>
      <c r="K116" s="17">
        <f ca="1"/>
        <v>4.3</v>
      </c>
      <c r="L116" s="18" t="str">
        <f ca="1"/>
        <v>65,000(400)</v>
      </c>
      <c r="M116" s="83"/>
      <c r="N116" s="84" t="str">
        <f t="shared" si="22"/>
        <v/>
      </c>
      <c r="O116" s="20" t="str">
        <f t="shared" si="23"/>
        <v/>
      </c>
      <c r="P116" s="64" t="str">
        <f t="shared" si="24"/>
        <v/>
      </c>
      <c r="Q116" s="85" t="str">
        <f t="shared" ca="1" si="25"/>
        <v/>
      </c>
      <c r="R116" s="86" t="str">
        <f t="shared" si="26"/>
        <v/>
      </c>
      <c r="S116" s="86" t="str">
        <f t="shared" si="27"/>
        <v/>
      </c>
      <c r="T116" s="104" t="str">
        <f t="shared" si="28"/>
        <v/>
      </c>
      <c r="U116" s="19" t="str">
        <f>IF(AND(M116&lt;&gt;"",M116&lt;&gt;0), IF(E116 = "Muni", T116, IF(E116="Corp", T116*(1 -'Investor Input'!$C$4-'Investor Input'!$C$5), T116*(1 -'Investor Input'!$C$4))), T116)</f>
        <v/>
      </c>
      <c r="V116" s="84" t="str">
        <f t="shared" si="29"/>
        <v/>
      </c>
      <c r="W116" s="84" t="str">
        <f t="shared" si="15"/>
        <v/>
      </c>
      <c r="X116" s="21" t="str">
        <f t="shared" si="16"/>
        <v/>
      </c>
      <c r="Y116" s="60" t="str">
        <f t="shared" si="17"/>
        <v/>
      </c>
      <c r="Z116" s="60" t="str">
        <f t="shared" si="18"/>
        <v/>
      </c>
      <c r="AA116" s="64" t="str">
        <f t="shared" si="19"/>
        <v/>
      </c>
      <c r="AB116" s="64" t="str">
        <f>IF(AND(AA116&lt;&gt;"",AA116&lt;&gt;0), IF(E116="Muni", AA116, IF(E116 = "Corp", (1-'Investor Input'!$C$4-'Investor Input'!$C$5)*AA116, (1-'Investor Input'!$C$4)*AA116)), AA116)</f>
        <v/>
      </c>
      <c r="AC116" s="94" t="str">
        <f t="shared" si="20"/>
        <v/>
      </c>
      <c r="AD116" s="60" t="str">
        <f>IF(AND(M116&lt;&gt;"", M116&lt;&gt;0), N116/$N$505*MATCH(AC116,'Misc Lists'!$K$2:$K$25,0), "")</f>
        <v/>
      </c>
      <c r="AE116" s="90" t="str">
        <f t="shared" si="21"/>
        <v/>
      </c>
      <c r="AF116" s="99" t="str">
        <f>IF(AND(M116&lt;&gt;"", M116&lt;&gt;0), N116/$N$505*MATCH(AE116,'Misc Lists'!$L$2:$L$25,0), "")</f>
        <v/>
      </c>
    </row>
    <row r="117" spans="2:32" hidden="1" outlineLevel="1" x14ac:dyDescent="0.5">
      <c r="B117" s="60" t="str">
        <f ca="1"/>
        <v>91282CCV1</v>
      </c>
      <c r="C117" s="61" t="str">
        <f ca="1"/>
        <v>N/A</v>
      </c>
      <c r="D117" s="60" t="str">
        <f ca="1"/>
        <v>UNITED STATES TREAS SER P-2028          1.12500% 08/31/2028 NTS NOTE</v>
      </c>
      <c r="E117" s="61" t="str">
        <f ca="1"/>
        <v>Tres</v>
      </c>
      <c r="F117" s="62">
        <f ca="1"/>
        <v>1.125</v>
      </c>
      <c r="G117" s="63">
        <f ca="1"/>
        <v>46996</v>
      </c>
      <c r="H117" s="61" t="str">
        <f ca="1"/>
        <v>AAA</v>
      </c>
      <c r="I117" s="61" t="str">
        <f ca="1"/>
        <v>--</v>
      </c>
      <c r="J117" s="64">
        <f ca="1"/>
        <v>89.712000000000003</v>
      </c>
      <c r="K117" s="17">
        <f ca="1"/>
        <v>4.2990000000000004</v>
      </c>
      <c r="L117" s="18" t="str">
        <f ca="1"/>
        <v>65,000(400)</v>
      </c>
      <c r="M117" s="83"/>
      <c r="N117" s="84" t="str">
        <f t="shared" si="22"/>
        <v/>
      </c>
      <c r="O117" s="20" t="str">
        <f t="shared" si="23"/>
        <v/>
      </c>
      <c r="P117" s="64" t="str">
        <f t="shared" si="24"/>
        <v/>
      </c>
      <c r="Q117" s="85" t="str">
        <f t="shared" ca="1" si="25"/>
        <v/>
      </c>
      <c r="R117" s="86" t="str">
        <f t="shared" si="26"/>
        <v/>
      </c>
      <c r="S117" s="86" t="str">
        <f t="shared" si="27"/>
        <v/>
      </c>
      <c r="T117" s="104" t="str">
        <f t="shared" si="28"/>
        <v/>
      </c>
      <c r="U117" s="19" t="str">
        <f>IF(AND(M117&lt;&gt;"",M117&lt;&gt;0), IF(E117 = "Muni", T117, IF(E117="Corp", T117*(1 -'Investor Input'!$C$4-'Investor Input'!$C$5), T117*(1 -'Investor Input'!$C$4))), T117)</f>
        <v/>
      </c>
      <c r="V117" s="84" t="str">
        <f t="shared" si="29"/>
        <v/>
      </c>
      <c r="W117" s="84" t="str">
        <f t="shared" si="15"/>
        <v/>
      </c>
      <c r="X117" s="21" t="str">
        <f t="shared" si="16"/>
        <v/>
      </c>
      <c r="Y117" s="60" t="str">
        <f t="shared" si="17"/>
        <v/>
      </c>
      <c r="Z117" s="60" t="str">
        <f t="shared" si="18"/>
        <v/>
      </c>
      <c r="AA117" s="64" t="str">
        <f t="shared" si="19"/>
        <v/>
      </c>
      <c r="AB117" s="64" t="str">
        <f>IF(AND(AA117&lt;&gt;"",AA117&lt;&gt;0), IF(E117="Muni", AA117, IF(E117 = "Corp", (1-'Investor Input'!$C$4-'Investor Input'!$C$5)*AA117, (1-'Investor Input'!$C$4)*AA117)), AA117)</f>
        <v/>
      </c>
      <c r="AC117" s="94" t="str">
        <f t="shared" si="20"/>
        <v/>
      </c>
      <c r="AD117" s="60" t="str">
        <f>IF(AND(M117&lt;&gt;"", M117&lt;&gt;0), N117/$N$505*MATCH(AC117,'Misc Lists'!$K$2:$K$25,0), "")</f>
        <v/>
      </c>
      <c r="AE117" s="90" t="str">
        <f t="shared" si="21"/>
        <v/>
      </c>
      <c r="AF117" s="99" t="str">
        <f>IF(AND(M117&lt;&gt;"", M117&lt;&gt;0), N117/$N$505*MATCH(AE117,'Misc Lists'!$L$2:$L$25,0), "")</f>
        <v/>
      </c>
    </row>
    <row r="118" spans="2:32" hidden="1" outlineLevel="1" x14ac:dyDescent="0.5">
      <c r="B118" s="60" t="str">
        <f ca="1"/>
        <v>91282CHX2</v>
      </c>
      <c r="C118" s="61" t="str">
        <f ca="1"/>
        <v>N/A</v>
      </c>
      <c r="D118" s="60" t="str">
        <f ca="1"/>
        <v>UNITED STATES TREAS SER AC-2028         4.37500% 08/31/2028 NTS NOTE</v>
      </c>
      <c r="E118" s="61" t="str">
        <f ca="1"/>
        <v>Tres</v>
      </c>
      <c r="F118" s="62">
        <f ca="1"/>
        <v>4.375</v>
      </c>
      <c r="G118" s="63">
        <f ca="1"/>
        <v>46996</v>
      </c>
      <c r="H118" s="61" t="str">
        <f ca="1"/>
        <v>AAA</v>
      </c>
      <c r="I118" s="61" t="str">
        <f ca="1"/>
        <v>--</v>
      </c>
      <c r="J118" s="64">
        <f ca="1"/>
        <v>100.24299999999999</v>
      </c>
      <c r="K118" s="17">
        <f ca="1"/>
        <v>4.2990000000000004</v>
      </c>
      <c r="L118" s="18" t="str">
        <f ca="1"/>
        <v>4,197(1)</v>
      </c>
      <c r="M118" s="83"/>
      <c r="N118" s="84" t="str">
        <f t="shared" si="22"/>
        <v/>
      </c>
      <c r="O118" s="20" t="str">
        <f t="shared" si="23"/>
        <v/>
      </c>
      <c r="P118" s="64" t="str">
        <f t="shared" si="24"/>
        <v/>
      </c>
      <c r="Q118" s="85" t="str">
        <f t="shared" ca="1" si="25"/>
        <v/>
      </c>
      <c r="R118" s="86" t="str">
        <f t="shared" si="26"/>
        <v/>
      </c>
      <c r="S118" s="86" t="str">
        <f t="shared" si="27"/>
        <v/>
      </c>
      <c r="T118" s="104" t="str">
        <f t="shared" si="28"/>
        <v/>
      </c>
      <c r="U118" s="19" t="str">
        <f>IF(AND(M118&lt;&gt;"",M118&lt;&gt;0), IF(E118 = "Muni", T118, IF(E118="Corp", T118*(1 -'Investor Input'!$C$4-'Investor Input'!$C$5), T118*(1 -'Investor Input'!$C$4))), T118)</f>
        <v/>
      </c>
      <c r="V118" s="84" t="str">
        <f t="shared" si="29"/>
        <v/>
      </c>
      <c r="W118" s="84" t="str">
        <f t="shared" si="15"/>
        <v/>
      </c>
      <c r="X118" s="21" t="str">
        <f t="shared" si="16"/>
        <v/>
      </c>
      <c r="Y118" s="60" t="str">
        <f t="shared" si="17"/>
        <v/>
      </c>
      <c r="Z118" s="60" t="str">
        <f t="shared" si="18"/>
        <v/>
      </c>
      <c r="AA118" s="64" t="str">
        <f t="shared" si="19"/>
        <v/>
      </c>
      <c r="AB118" s="64" t="str">
        <f>IF(AND(AA118&lt;&gt;"",AA118&lt;&gt;0), IF(E118="Muni", AA118, IF(E118 = "Corp", (1-'Investor Input'!$C$4-'Investor Input'!$C$5)*AA118, (1-'Investor Input'!$C$4)*AA118)), AA118)</f>
        <v/>
      </c>
      <c r="AC118" s="94" t="str">
        <f t="shared" si="20"/>
        <v/>
      </c>
      <c r="AD118" s="60" t="str">
        <f>IF(AND(M118&lt;&gt;"", M118&lt;&gt;0), N118/$N$505*MATCH(AC118,'Misc Lists'!$K$2:$K$25,0), "")</f>
        <v/>
      </c>
      <c r="AE118" s="90" t="str">
        <f t="shared" si="21"/>
        <v/>
      </c>
      <c r="AF118" s="99" t="str">
        <f>IF(AND(M118&lt;&gt;"", M118&lt;&gt;0), N118/$N$505*MATCH(AE118,'Misc Lists'!$L$2:$L$25,0), "")</f>
        <v/>
      </c>
    </row>
    <row r="119" spans="2:32" hidden="1" outlineLevel="1" x14ac:dyDescent="0.5">
      <c r="B119" s="60" t="str">
        <f ca="1"/>
        <v>9128285C0</v>
      </c>
      <c r="C119" s="61" t="str">
        <f ca="1"/>
        <v>N/A</v>
      </c>
      <c r="D119" s="60" t="str">
        <f ca="1"/>
        <v>UNITED STATES TREAS SER Q-2025          3.00000% 09/30/2025 NTS NOTE</v>
      </c>
      <c r="E119" s="61" t="str">
        <f ca="1"/>
        <v>Tres</v>
      </c>
      <c r="F119" s="62">
        <f ca="1"/>
        <v>3</v>
      </c>
      <c r="G119" s="63">
        <f ca="1"/>
        <v>45930</v>
      </c>
      <c r="H119" s="61" t="str">
        <f ca="1"/>
        <v>AAA</v>
      </c>
      <c r="I119" s="61" t="str">
        <f ca="1"/>
        <v>--</v>
      </c>
      <c r="J119" s="64">
        <f ca="1"/>
        <v>99.222999999999999</v>
      </c>
      <c r="K119" s="17">
        <f ca="1"/>
        <v>4.2939999999999996</v>
      </c>
      <c r="L119" s="18" t="str">
        <f ca="1"/>
        <v>30,000(600)</v>
      </c>
      <c r="M119" s="83"/>
      <c r="N119" s="84" t="str">
        <f t="shared" si="22"/>
        <v/>
      </c>
      <c r="O119" s="20" t="str">
        <f t="shared" si="23"/>
        <v/>
      </c>
      <c r="P119" s="64" t="str">
        <f t="shared" si="24"/>
        <v/>
      </c>
      <c r="Q119" s="85" t="str">
        <f t="shared" ca="1" si="25"/>
        <v/>
      </c>
      <c r="R119" s="86" t="str">
        <f t="shared" si="26"/>
        <v/>
      </c>
      <c r="S119" s="86" t="str">
        <f t="shared" si="27"/>
        <v/>
      </c>
      <c r="T119" s="104" t="str">
        <f t="shared" si="28"/>
        <v/>
      </c>
      <c r="U119" s="19" t="str">
        <f>IF(AND(M119&lt;&gt;"",M119&lt;&gt;0), IF(E119 = "Muni", T119, IF(E119="Corp", T119*(1 -'Investor Input'!$C$4-'Investor Input'!$C$5), T119*(1 -'Investor Input'!$C$4))), T119)</f>
        <v/>
      </c>
      <c r="V119" s="84" t="str">
        <f t="shared" si="29"/>
        <v/>
      </c>
      <c r="W119" s="84" t="str">
        <f t="shared" si="15"/>
        <v/>
      </c>
      <c r="X119" s="21" t="str">
        <f t="shared" si="16"/>
        <v/>
      </c>
      <c r="Y119" s="60" t="str">
        <f t="shared" si="17"/>
        <v/>
      </c>
      <c r="Z119" s="60" t="str">
        <f t="shared" si="18"/>
        <v/>
      </c>
      <c r="AA119" s="64" t="str">
        <f t="shared" si="19"/>
        <v/>
      </c>
      <c r="AB119" s="64" t="str">
        <f>IF(AND(AA119&lt;&gt;"",AA119&lt;&gt;0), IF(E119="Muni", AA119, IF(E119 = "Corp", (1-'Investor Input'!$C$4-'Investor Input'!$C$5)*AA119, (1-'Investor Input'!$C$4)*AA119)), AA119)</f>
        <v/>
      </c>
      <c r="AC119" s="94" t="str">
        <f t="shared" si="20"/>
        <v/>
      </c>
      <c r="AD119" s="60" t="str">
        <f>IF(AND(M119&lt;&gt;"", M119&lt;&gt;0), N119/$N$505*MATCH(AC119,'Misc Lists'!$K$2:$K$25,0), "")</f>
        <v/>
      </c>
      <c r="AE119" s="90" t="str">
        <f t="shared" si="21"/>
        <v/>
      </c>
      <c r="AF119" s="99" t="str">
        <f>IF(AND(M119&lt;&gt;"", M119&lt;&gt;0), N119/$N$505*MATCH(AE119,'Misc Lists'!$L$2:$L$25,0), "")</f>
        <v/>
      </c>
    </row>
    <row r="120" spans="2:32" hidden="1" outlineLevel="1" x14ac:dyDescent="0.5">
      <c r="B120" s="60" t="str">
        <f ca="1"/>
        <v>91282CJE2</v>
      </c>
      <c r="C120" s="61" t="str">
        <f ca="1"/>
        <v>N/A</v>
      </c>
      <c r="D120" s="60" t="str">
        <f ca="1"/>
        <v>UNITED STATES TREAS SER BJ-2025         5.00000% 10/31/2025 NTS NOTE</v>
      </c>
      <c r="E120" s="61" t="str">
        <f ca="1"/>
        <v>Tres</v>
      </c>
      <c r="F120" s="62">
        <f ca="1"/>
        <v>5</v>
      </c>
      <c r="G120" s="63">
        <f ca="1"/>
        <v>45961</v>
      </c>
      <c r="H120" s="61" t="str">
        <f ca="1"/>
        <v>AAA</v>
      </c>
      <c r="I120" s="61" t="str">
        <f ca="1"/>
        <v>--</v>
      </c>
      <c r="J120" s="64">
        <f ca="1"/>
        <v>100.473</v>
      </c>
      <c r="K120" s="17">
        <f ca="1"/>
        <v>4.2939999999999996</v>
      </c>
      <c r="L120" s="18" t="str">
        <f ca="1"/>
        <v>30,000(600)</v>
      </c>
      <c r="M120" s="83"/>
      <c r="N120" s="84" t="str">
        <f t="shared" si="22"/>
        <v/>
      </c>
      <c r="O120" s="20" t="str">
        <f t="shared" si="23"/>
        <v/>
      </c>
      <c r="P120" s="64" t="str">
        <f t="shared" si="24"/>
        <v/>
      </c>
      <c r="Q120" s="85" t="str">
        <f t="shared" ca="1" si="25"/>
        <v/>
      </c>
      <c r="R120" s="86" t="str">
        <f t="shared" si="26"/>
        <v/>
      </c>
      <c r="S120" s="86" t="str">
        <f t="shared" si="27"/>
        <v/>
      </c>
      <c r="T120" s="104" t="str">
        <f t="shared" si="28"/>
        <v/>
      </c>
      <c r="U120" s="19" t="str">
        <f>IF(AND(M120&lt;&gt;"",M120&lt;&gt;0), IF(E120 = "Muni", T120, IF(E120="Corp", T120*(1 -'Investor Input'!$C$4-'Investor Input'!$C$5), T120*(1 -'Investor Input'!$C$4))), T120)</f>
        <v/>
      </c>
      <c r="V120" s="84" t="str">
        <f t="shared" si="29"/>
        <v/>
      </c>
      <c r="W120" s="84" t="str">
        <f t="shared" si="15"/>
        <v/>
      </c>
      <c r="X120" s="21" t="str">
        <f t="shared" si="16"/>
        <v/>
      </c>
      <c r="Y120" s="60" t="str">
        <f t="shared" si="17"/>
        <v/>
      </c>
      <c r="Z120" s="60" t="str">
        <f t="shared" si="18"/>
        <v/>
      </c>
      <c r="AA120" s="64" t="str">
        <f t="shared" si="19"/>
        <v/>
      </c>
      <c r="AB120" s="64" t="str">
        <f>IF(AND(AA120&lt;&gt;"",AA120&lt;&gt;0), IF(E120="Muni", AA120, IF(E120 = "Corp", (1-'Investor Input'!$C$4-'Investor Input'!$C$5)*AA120, (1-'Investor Input'!$C$4)*AA120)), AA120)</f>
        <v/>
      </c>
      <c r="AC120" s="94" t="str">
        <f t="shared" si="20"/>
        <v/>
      </c>
      <c r="AD120" s="60" t="str">
        <f>IF(AND(M120&lt;&gt;"", M120&lt;&gt;0), N120/$N$505*MATCH(AC120,'Misc Lists'!$K$2:$K$25,0), "")</f>
        <v/>
      </c>
      <c r="AE120" s="90" t="str">
        <f t="shared" si="21"/>
        <v/>
      </c>
      <c r="AF120" s="99" t="str">
        <f>IF(AND(M120&lt;&gt;"", M120&lt;&gt;0), N120/$N$505*MATCH(AE120,'Misc Lists'!$L$2:$L$25,0), "")</f>
        <v/>
      </c>
    </row>
    <row r="121" spans="2:32" hidden="1" outlineLevel="1" x14ac:dyDescent="0.5">
      <c r="B121" s="60" t="str">
        <f ca="1"/>
        <v>91282CFW6</v>
      </c>
      <c r="C121" s="61" t="str">
        <f ca="1"/>
        <v>N/A</v>
      </c>
      <c r="D121" s="60" t="str">
        <f ca="1"/>
        <v>UNITED STATES TREAS SER AU-2025         4.50000% 11/15/2025 NTS NOTE</v>
      </c>
      <c r="E121" s="61" t="str">
        <f ca="1"/>
        <v>Tres</v>
      </c>
      <c r="F121" s="62">
        <f ca="1"/>
        <v>4.5</v>
      </c>
      <c r="G121" s="63">
        <f ca="1"/>
        <v>45976</v>
      </c>
      <c r="H121" s="61" t="str">
        <f ca="1"/>
        <v>--</v>
      </c>
      <c r="I121" s="61" t="str">
        <f ca="1"/>
        <v>--</v>
      </c>
      <c r="J121" s="64">
        <f ca="1"/>
        <v>100.142</v>
      </c>
      <c r="K121" s="17">
        <f ca="1"/>
        <v>4.2939999999999996</v>
      </c>
      <c r="L121" s="18" t="str">
        <f ca="1"/>
        <v>5,600(200)</v>
      </c>
      <c r="M121" s="83"/>
      <c r="N121" s="84" t="str">
        <f t="shared" si="22"/>
        <v/>
      </c>
      <c r="O121" s="20" t="str">
        <f t="shared" si="23"/>
        <v/>
      </c>
      <c r="P121" s="64" t="str">
        <f t="shared" si="24"/>
        <v/>
      </c>
      <c r="Q121" s="85" t="str">
        <f t="shared" ca="1" si="25"/>
        <v/>
      </c>
      <c r="R121" s="86" t="str">
        <f t="shared" si="26"/>
        <v/>
      </c>
      <c r="S121" s="86" t="str">
        <f t="shared" si="27"/>
        <v/>
      </c>
      <c r="T121" s="104" t="str">
        <f t="shared" si="28"/>
        <v/>
      </c>
      <c r="U121" s="19" t="str">
        <f>IF(AND(M121&lt;&gt;"",M121&lt;&gt;0), IF(E121 = "Muni", T121, IF(E121="Corp", T121*(1 -'Investor Input'!$C$4-'Investor Input'!$C$5), T121*(1 -'Investor Input'!$C$4))), T121)</f>
        <v/>
      </c>
      <c r="V121" s="84" t="str">
        <f t="shared" si="29"/>
        <v/>
      </c>
      <c r="W121" s="84" t="str">
        <f t="shared" si="15"/>
        <v/>
      </c>
      <c r="X121" s="21" t="str">
        <f t="shared" si="16"/>
        <v/>
      </c>
      <c r="Y121" s="60" t="str">
        <f t="shared" si="17"/>
        <v/>
      </c>
      <c r="Z121" s="60" t="str">
        <f t="shared" si="18"/>
        <v/>
      </c>
      <c r="AA121" s="64" t="str">
        <f t="shared" si="19"/>
        <v/>
      </c>
      <c r="AB121" s="64" t="str">
        <f>IF(AND(AA121&lt;&gt;"",AA121&lt;&gt;0), IF(E121="Muni", AA121, IF(E121 = "Corp", (1-'Investor Input'!$C$4-'Investor Input'!$C$5)*AA121, (1-'Investor Input'!$C$4)*AA121)), AA121)</f>
        <v/>
      </c>
      <c r="AC121" s="94" t="str">
        <f t="shared" si="20"/>
        <v/>
      </c>
      <c r="AD121" s="60" t="str">
        <f>IF(AND(M121&lt;&gt;"", M121&lt;&gt;0), N121/$N$505*MATCH(AC121,'Misc Lists'!$K$2:$K$25,0), "")</f>
        <v/>
      </c>
      <c r="AE121" s="90" t="str">
        <f t="shared" si="21"/>
        <v/>
      </c>
      <c r="AF121" s="99" t="str">
        <f>IF(AND(M121&lt;&gt;"", M121&lt;&gt;0), N121/$N$505*MATCH(AE121,'Misc Lists'!$L$2:$L$25,0), "")</f>
        <v/>
      </c>
    </row>
    <row r="122" spans="2:32" hidden="1" outlineLevel="1" x14ac:dyDescent="0.5">
      <c r="B122" s="60" t="str">
        <f ca="1"/>
        <v>9128284V9</v>
      </c>
      <c r="C122" s="61" t="str">
        <f ca="1"/>
        <v>N/A</v>
      </c>
      <c r="D122" s="60" t="str">
        <f ca="1"/>
        <v>UNITED STATES TREAS SER E-2028 2.87500% 08/15/2028 NTS NOTE</v>
      </c>
      <c r="E122" s="61" t="str">
        <f ca="1"/>
        <v>Tres</v>
      </c>
      <c r="F122" s="62">
        <f ca="1"/>
        <v>2.875</v>
      </c>
      <c r="G122" s="63">
        <f ca="1"/>
        <v>46980</v>
      </c>
      <c r="H122" s="61" t="str">
        <f ca="1"/>
        <v>AAA</v>
      </c>
      <c r="I122" s="61" t="str">
        <f ca="1"/>
        <v>--</v>
      </c>
      <c r="J122" s="64">
        <f ca="1"/>
        <v>95.441999999999993</v>
      </c>
      <c r="K122" s="17">
        <f ca="1"/>
        <v>4.2939999999999996</v>
      </c>
      <c r="L122" s="18" t="str">
        <f ca="1"/>
        <v>1,000(200)</v>
      </c>
      <c r="M122" s="83"/>
      <c r="N122" s="84" t="str">
        <f t="shared" si="22"/>
        <v/>
      </c>
      <c r="O122" s="20" t="str">
        <f t="shared" si="23"/>
        <v/>
      </c>
      <c r="P122" s="64" t="str">
        <f t="shared" si="24"/>
        <v/>
      </c>
      <c r="Q122" s="85" t="str">
        <f t="shared" ca="1" si="25"/>
        <v/>
      </c>
      <c r="R122" s="86" t="str">
        <f t="shared" si="26"/>
        <v/>
      </c>
      <c r="S122" s="86" t="str">
        <f t="shared" si="27"/>
        <v/>
      </c>
      <c r="T122" s="104" t="str">
        <f t="shared" si="28"/>
        <v/>
      </c>
      <c r="U122" s="19" t="str">
        <f>IF(AND(M122&lt;&gt;"",M122&lt;&gt;0), IF(E122 = "Muni", T122, IF(E122="Corp", T122*(1 -'Investor Input'!$C$4-'Investor Input'!$C$5), T122*(1 -'Investor Input'!$C$4))), T122)</f>
        <v/>
      </c>
      <c r="V122" s="84" t="str">
        <f t="shared" si="29"/>
        <v/>
      </c>
      <c r="W122" s="84" t="str">
        <f t="shared" si="15"/>
        <v/>
      </c>
      <c r="X122" s="21" t="str">
        <f t="shared" si="16"/>
        <v/>
      </c>
      <c r="Y122" s="60" t="str">
        <f t="shared" si="17"/>
        <v/>
      </c>
      <c r="Z122" s="60" t="str">
        <f t="shared" si="18"/>
        <v/>
      </c>
      <c r="AA122" s="64" t="str">
        <f t="shared" si="19"/>
        <v/>
      </c>
      <c r="AB122" s="64" t="str">
        <f>IF(AND(AA122&lt;&gt;"",AA122&lt;&gt;0), IF(E122="Muni", AA122, IF(E122 = "Corp", (1-'Investor Input'!$C$4-'Investor Input'!$C$5)*AA122, (1-'Investor Input'!$C$4)*AA122)), AA122)</f>
        <v/>
      </c>
      <c r="AC122" s="94" t="str">
        <f t="shared" si="20"/>
        <v/>
      </c>
      <c r="AD122" s="60" t="str">
        <f>IF(AND(M122&lt;&gt;"", M122&lt;&gt;0), N122/$N$505*MATCH(AC122,'Misc Lists'!$K$2:$K$25,0), "")</f>
        <v/>
      </c>
      <c r="AE122" s="90" t="str">
        <f t="shared" si="21"/>
        <v/>
      </c>
      <c r="AF122" s="99" t="str">
        <f>IF(AND(M122&lt;&gt;"", M122&lt;&gt;0), N122/$N$505*MATCH(AE122,'Misc Lists'!$L$2:$L$25,0), "")</f>
        <v/>
      </c>
    </row>
    <row r="123" spans="2:32" hidden="1" outlineLevel="1" x14ac:dyDescent="0.5">
      <c r="B123" s="60" t="str">
        <f ca="1"/>
        <v>91282CHQ7</v>
      </c>
      <c r="C123" s="61" t="str">
        <f ca="1"/>
        <v>N/A</v>
      </c>
      <c r="D123" s="60" t="str">
        <f ca="1"/>
        <v>UNITED STATES TREAS SER AB-2028         4.12500% 07/31/2028 NTS NOTE</v>
      </c>
      <c r="E123" s="61" t="str">
        <f ca="1"/>
        <v>Tres</v>
      </c>
      <c r="F123" s="62">
        <f ca="1"/>
        <v>4.125</v>
      </c>
      <c r="G123" s="63">
        <f ca="1"/>
        <v>46965</v>
      </c>
      <c r="H123" s="61" t="str">
        <f ca="1"/>
        <v>AAA</v>
      </c>
      <c r="I123" s="61" t="str">
        <f ca="1"/>
        <v>--</v>
      </c>
      <c r="J123" s="64">
        <f ca="1"/>
        <v>99.477000000000004</v>
      </c>
      <c r="K123" s="17">
        <f ca="1"/>
        <v>4.2889999999999997</v>
      </c>
      <c r="L123" s="18" t="str">
        <f ca="1"/>
        <v>65,000(400)</v>
      </c>
      <c r="M123" s="83"/>
      <c r="N123" s="84" t="str">
        <f t="shared" si="22"/>
        <v/>
      </c>
      <c r="O123" s="20" t="str">
        <f t="shared" si="23"/>
        <v/>
      </c>
      <c r="P123" s="64" t="str">
        <f t="shared" si="24"/>
        <v/>
      </c>
      <c r="Q123" s="85" t="str">
        <f t="shared" ca="1" si="25"/>
        <v/>
      </c>
      <c r="R123" s="86" t="str">
        <f t="shared" si="26"/>
        <v/>
      </c>
      <c r="S123" s="86" t="str">
        <f t="shared" si="27"/>
        <v/>
      </c>
      <c r="T123" s="104" t="str">
        <f t="shared" si="28"/>
        <v/>
      </c>
      <c r="U123" s="19" t="str">
        <f>IF(AND(M123&lt;&gt;"",M123&lt;&gt;0), IF(E123 = "Muni", T123, IF(E123="Corp", T123*(1 -'Investor Input'!$C$4-'Investor Input'!$C$5), T123*(1 -'Investor Input'!$C$4))), T123)</f>
        <v/>
      </c>
      <c r="V123" s="84" t="str">
        <f t="shared" si="29"/>
        <v/>
      </c>
      <c r="W123" s="84" t="str">
        <f t="shared" si="15"/>
        <v/>
      </c>
      <c r="X123" s="21" t="str">
        <f t="shared" si="16"/>
        <v/>
      </c>
      <c r="Y123" s="60" t="str">
        <f t="shared" si="17"/>
        <v/>
      </c>
      <c r="Z123" s="60" t="str">
        <f t="shared" si="18"/>
        <v/>
      </c>
      <c r="AA123" s="64" t="str">
        <f t="shared" si="19"/>
        <v/>
      </c>
      <c r="AB123" s="64" t="str">
        <f>IF(AND(AA123&lt;&gt;"",AA123&lt;&gt;0), IF(E123="Muni", AA123, IF(E123 = "Corp", (1-'Investor Input'!$C$4-'Investor Input'!$C$5)*AA123, (1-'Investor Input'!$C$4)*AA123)), AA123)</f>
        <v/>
      </c>
      <c r="AC123" s="94" t="str">
        <f t="shared" si="20"/>
        <v/>
      </c>
      <c r="AD123" s="60" t="str">
        <f>IF(AND(M123&lt;&gt;"", M123&lt;&gt;0), N123/$N$505*MATCH(AC123,'Misc Lists'!$K$2:$K$25,0), "")</f>
        <v/>
      </c>
      <c r="AE123" s="90" t="str">
        <f t="shared" si="21"/>
        <v/>
      </c>
      <c r="AF123" s="99" t="str">
        <f>IF(AND(M123&lt;&gt;"", M123&lt;&gt;0), N123/$N$505*MATCH(AE123,'Misc Lists'!$L$2:$L$25,0), "")</f>
        <v/>
      </c>
    </row>
    <row r="124" spans="2:32" hidden="1" outlineLevel="1" x14ac:dyDescent="0.5">
      <c r="B124" s="60" t="str">
        <f ca="1"/>
        <v>912828YS3</v>
      </c>
      <c r="C124" s="61" t="str">
        <f ca="1"/>
        <v>N/A</v>
      </c>
      <c r="D124" s="60" t="str">
        <f ca="1"/>
        <v>UNITED STATES TREAS SER F-2029          1.75000% 11/15/2029 NTS NOTE</v>
      </c>
      <c r="E124" s="61" t="str">
        <f ca="1"/>
        <v>Tres</v>
      </c>
      <c r="F124" s="62">
        <f ca="1"/>
        <v>1.75</v>
      </c>
      <c r="G124" s="63">
        <f ca="1"/>
        <v>47437</v>
      </c>
      <c r="H124" s="61" t="str">
        <f ca="1"/>
        <v>AAA</v>
      </c>
      <c r="I124" s="61" t="str">
        <f ca="1"/>
        <v>--</v>
      </c>
      <c r="J124" s="64">
        <f ca="1"/>
        <v>89.222999999999999</v>
      </c>
      <c r="K124" s="17">
        <f ca="1"/>
        <v>4.2869999999999999</v>
      </c>
      <c r="L124" s="18" t="str">
        <f ca="1"/>
        <v>65,000(400)</v>
      </c>
      <c r="M124" s="83"/>
      <c r="N124" s="84" t="str">
        <f t="shared" si="22"/>
        <v/>
      </c>
      <c r="O124" s="20" t="str">
        <f t="shared" si="23"/>
        <v/>
      </c>
      <c r="P124" s="64" t="str">
        <f t="shared" si="24"/>
        <v/>
      </c>
      <c r="Q124" s="85" t="str">
        <f t="shared" ca="1" si="25"/>
        <v/>
      </c>
      <c r="R124" s="86" t="str">
        <f t="shared" si="26"/>
        <v/>
      </c>
      <c r="S124" s="86" t="str">
        <f t="shared" si="27"/>
        <v/>
      </c>
      <c r="T124" s="104" t="str">
        <f t="shared" si="28"/>
        <v/>
      </c>
      <c r="U124" s="19" t="str">
        <f>IF(AND(M124&lt;&gt;"",M124&lt;&gt;0), IF(E124 = "Muni", T124, IF(E124="Corp", T124*(1 -'Investor Input'!$C$4-'Investor Input'!$C$5), T124*(1 -'Investor Input'!$C$4))), T124)</f>
        <v/>
      </c>
      <c r="V124" s="84" t="str">
        <f t="shared" si="29"/>
        <v/>
      </c>
      <c r="W124" s="84" t="str">
        <f t="shared" si="15"/>
        <v/>
      </c>
      <c r="X124" s="21" t="str">
        <f t="shared" si="16"/>
        <v/>
      </c>
      <c r="Y124" s="60" t="str">
        <f t="shared" si="17"/>
        <v/>
      </c>
      <c r="Z124" s="60" t="str">
        <f t="shared" si="18"/>
        <v/>
      </c>
      <c r="AA124" s="64" t="str">
        <f t="shared" si="19"/>
        <v/>
      </c>
      <c r="AB124" s="64" t="str">
        <f>IF(AND(AA124&lt;&gt;"",AA124&lt;&gt;0), IF(E124="Muni", AA124, IF(E124 = "Corp", (1-'Investor Input'!$C$4-'Investor Input'!$C$5)*AA124, (1-'Investor Input'!$C$4)*AA124)), AA124)</f>
        <v/>
      </c>
      <c r="AC124" s="94" t="str">
        <f t="shared" si="20"/>
        <v/>
      </c>
      <c r="AD124" s="60" t="str">
        <f>IF(AND(M124&lt;&gt;"", M124&lt;&gt;0), N124/$N$505*MATCH(AC124,'Misc Lists'!$K$2:$K$25,0), "")</f>
        <v/>
      </c>
      <c r="AE124" s="90" t="str">
        <f t="shared" si="21"/>
        <v/>
      </c>
      <c r="AF124" s="99" t="str">
        <f>IF(AND(M124&lt;&gt;"", M124&lt;&gt;0), N124/$N$505*MATCH(AE124,'Misc Lists'!$L$2:$L$25,0), "")</f>
        <v/>
      </c>
    </row>
    <row r="125" spans="2:32" hidden="1" outlineLevel="1" x14ac:dyDescent="0.5">
      <c r="B125" s="60" t="str">
        <f ca="1"/>
        <v>9128284N7</v>
      </c>
      <c r="C125" s="61" t="str">
        <f ca="1"/>
        <v>N/A</v>
      </c>
      <c r="D125" s="60" t="str">
        <f ca="1"/>
        <v>UNITED STATES TREAS SER C-2028          2.87500% 05/15/2028 NTS NOTE</v>
      </c>
      <c r="E125" s="61" t="str">
        <f ca="1"/>
        <v>Tres</v>
      </c>
      <c r="F125" s="62">
        <f ca="1"/>
        <v>2.875</v>
      </c>
      <c r="G125" s="63">
        <f ca="1"/>
        <v>46888</v>
      </c>
      <c r="H125" s="61" t="str">
        <f ca="1"/>
        <v>AAA</v>
      </c>
      <c r="I125" s="61" t="str">
        <f ca="1"/>
        <v>--</v>
      </c>
      <c r="J125" s="64">
        <f ca="1"/>
        <v>95.772000000000006</v>
      </c>
      <c r="K125" s="17">
        <f ca="1"/>
        <v>4.2859999999999996</v>
      </c>
      <c r="L125" s="18" t="str">
        <f ca="1"/>
        <v>1,000(200)</v>
      </c>
      <c r="M125" s="83"/>
      <c r="N125" s="84" t="str">
        <f t="shared" si="22"/>
        <v/>
      </c>
      <c r="O125" s="20" t="str">
        <f t="shared" si="23"/>
        <v/>
      </c>
      <c r="P125" s="64" t="str">
        <f t="shared" si="24"/>
        <v/>
      </c>
      <c r="Q125" s="85" t="str">
        <f t="shared" ca="1" si="25"/>
        <v/>
      </c>
      <c r="R125" s="86" t="str">
        <f t="shared" si="26"/>
        <v/>
      </c>
      <c r="S125" s="86" t="str">
        <f t="shared" si="27"/>
        <v/>
      </c>
      <c r="T125" s="104" t="str">
        <f t="shared" si="28"/>
        <v/>
      </c>
      <c r="U125" s="19" t="str">
        <f>IF(AND(M125&lt;&gt;"",M125&lt;&gt;0), IF(E125 = "Muni", T125, IF(E125="Corp", T125*(1 -'Investor Input'!$C$4-'Investor Input'!$C$5), T125*(1 -'Investor Input'!$C$4))), T125)</f>
        <v/>
      </c>
      <c r="V125" s="84" t="str">
        <f t="shared" si="29"/>
        <v/>
      </c>
      <c r="W125" s="84" t="str">
        <f t="shared" si="15"/>
        <v/>
      </c>
      <c r="X125" s="21" t="str">
        <f t="shared" si="16"/>
        <v/>
      </c>
      <c r="Y125" s="60" t="str">
        <f t="shared" si="17"/>
        <v/>
      </c>
      <c r="Z125" s="60" t="str">
        <f t="shared" si="18"/>
        <v/>
      </c>
      <c r="AA125" s="64" t="str">
        <f t="shared" si="19"/>
        <v/>
      </c>
      <c r="AB125" s="64" t="str">
        <f>IF(AND(AA125&lt;&gt;"",AA125&lt;&gt;0), IF(E125="Muni", AA125, IF(E125 = "Corp", (1-'Investor Input'!$C$4-'Investor Input'!$C$5)*AA125, (1-'Investor Input'!$C$4)*AA125)), AA125)</f>
        <v/>
      </c>
      <c r="AC125" s="94" t="str">
        <f t="shared" si="20"/>
        <v/>
      </c>
      <c r="AD125" s="60" t="str">
        <f>IF(AND(M125&lt;&gt;"", M125&lt;&gt;0), N125/$N$505*MATCH(AC125,'Misc Lists'!$K$2:$K$25,0), "")</f>
        <v/>
      </c>
      <c r="AE125" s="90" t="str">
        <f t="shared" si="21"/>
        <v/>
      </c>
      <c r="AF125" s="99" t="str">
        <f>IF(AND(M125&lt;&gt;"", M125&lt;&gt;0), N125/$N$505*MATCH(AE125,'Misc Lists'!$L$2:$L$25,0), "")</f>
        <v/>
      </c>
    </row>
    <row r="126" spans="2:32" hidden="1" outlineLevel="1" x14ac:dyDescent="0.5">
      <c r="B126" s="60" t="str">
        <f ca="1"/>
        <v>91282CCR0</v>
      </c>
      <c r="C126" s="61" t="str">
        <f ca="1"/>
        <v>N/A</v>
      </c>
      <c r="D126" s="60" t="str">
        <f ca="1"/>
        <v>UNITED STATES TREAS SER N-2028          1.00000% 07/31/2028 NTS NOTE</v>
      </c>
      <c r="E126" s="61" t="str">
        <f ca="1"/>
        <v>Tres</v>
      </c>
      <c r="F126" s="62">
        <f ca="1"/>
        <v>1</v>
      </c>
      <c r="G126" s="63">
        <f ca="1"/>
        <v>46965</v>
      </c>
      <c r="H126" s="61" t="str">
        <f ca="1"/>
        <v>AAA</v>
      </c>
      <c r="I126" s="61" t="str">
        <f ca="1"/>
        <v>--</v>
      </c>
      <c r="J126" s="64">
        <f ca="1"/>
        <v>89.566999999999993</v>
      </c>
      <c r="K126" s="17">
        <f ca="1"/>
        <v>4.2850000000000001</v>
      </c>
      <c r="L126" s="18" t="str">
        <f ca="1"/>
        <v>1,000(200)</v>
      </c>
      <c r="M126" s="83"/>
      <c r="N126" s="84" t="str">
        <f t="shared" si="22"/>
        <v/>
      </c>
      <c r="O126" s="20" t="str">
        <f t="shared" si="23"/>
        <v/>
      </c>
      <c r="P126" s="64" t="str">
        <f t="shared" si="24"/>
        <v/>
      </c>
      <c r="Q126" s="85" t="str">
        <f t="shared" ca="1" si="25"/>
        <v/>
      </c>
      <c r="R126" s="86" t="str">
        <f t="shared" si="26"/>
        <v/>
      </c>
      <c r="S126" s="86" t="str">
        <f t="shared" si="27"/>
        <v/>
      </c>
      <c r="T126" s="104" t="str">
        <f t="shared" si="28"/>
        <v/>
      </c>
      <c r="U126" s="19" t="str">
        <f>IF(AND(M126&lt;&gt;"",M126&lt;&gt;0), IF(E126 = "Muni", T126, IF(E126="Corp", T126*(1 -'Investor Input'!$C$4-'Investor Input'!$C$5), T126*(1 -'Investor Input'!$C$4))), T126)</f>
        <v/>
      </c>
      <c r="V126" s="84" t="str">
        <f t="shared" si="29"/>
        <v/>
      </c>
      <c r="W126" s="84" t="str">
        <f t="shared" si="15"/>
        <v/>
      </c>
      <c r="X126" s="21" t="str">
        <f t="shared" si="16"/>
        <v/>
      </c>
      <c r="Y126" s="60" t="str">
        <f t="shared" si="17"/>
        <v/>
      </c>
      <c r="Z126" s="60" t="str">
        <f t="shared" si="18"/>
        <v/>
      </c>
      <c r="AA126" s="64" t="str">
        <f t="shared" si="19"/>
        <v/>
      </c>
      <c r="AB126" s="64" t="str">
        <f>IF(AND(AA126&lt;&gt;"",AA126&lt;&gt;0), IF(E126="Muni", AA126, IF(E126 = "Corp", (1-'Investor Input'!$C$4-'Investor Input'!$C$5)*AA126, (1-'Investor Input'!$C$4)*AA126)), AA126)</f>
        <v/>
      </c>
      <c r="AC126" s="94" t="str">
        <f t="shared" si="20"/>
        <v/>
      </c>
      <c r="AD126" s="60" t="str">
        <f>IF(AND(M126&lt;&gt;"", M126&lt;&gt;0), N126/$N$505*MATCH(AC126,'Misc Lists'!$K$2:$K$25,0), "")</f>
        <v/>
      </c>
      <c r="AE126" s="90" t="str">
        <f t="shared" si="21"/>
        <v/>
      </c>
      <c r="AF126" s="99" t="str">
        <f>IF(AND(M126&lt;&gt;"", M126&lt;&gt;0), N126/$N$505*MATCH(AE126,'Misc Lists'!$L$2:$L$25,0), "")</f>
        <v/>
      </c>
    </row>
    <row r="127" spans="2:32" hidden="1" outlineLevel="1" x14ac:dyDescent="0.5">
      <c r="B127" s="60" t="str">
        <f ca="1"/>
        <v>91282CCE9</v>
      </c>
      <c r="C127" s="61" t="str">
        <f ca="1"/>
        <v>N/A</v>
      </c>
      <c r="D127" s="60" t="str">
        <f ca="1"/>
        <v>UNITED STATES TREAS SER L-2028          1.25000% 05/31/2028 NTS NOTE</v>
      </c>
      <c r="E127" s="61" t="str">
        <f ca="1"/>
        <v>Tres</v>
      </c>
      <c r="F127" s="62">
        <f ca="1"/>
        <v>1.25</v>
      </c>
      <c r="G127" s="63">
        <f ca="1"/>
        <v>46904</v>
      </c>
      <c r="H127" s="61" t="str">
        <f ca="1"/>
        <v>AAA</v>
      </c>
      <c r="I127" s="61" t="str">
        <f ca="1"/>
        <v>--</v>
      </c>
      <c r="J127" s="64">
        <f ca="1"/>
        <v>90.805000000000007</v>
      </c>
      <c r="K127" s="17">
        <f ca="1"/>
        <v>4.2839999999999998</v>
      </c>
      <c r="L127" s="18" t="str">
        <f ca="1"/>
        <v>65,000(400)</v>
      </c>
      <c r="M127" s="83"/>
      <c r="N127" s="84" t="str">
        <f t="shared" si="22"/>
        <v/>
      </c>
      <c r="O127" s="20" t="str">
        <f t="shared" si="23"/>
        <v/>
      </c>
      <c r="P127" s="64" t="str">
        <f t="shared" si="24"/>
        <v/>
      </c>
      <c r="Q127" s="85" t="str">
        <f t="shared" ca="1" si="25"/>
        <v/>
      </c>
      <c r="R127" s="86" t="str">
        <f t="shared" si="26"/>
        <v/>
      </c>
      <c r="S127" s="86" t="str">
        <f t="shared" si="27"/>
        <v/>
      </c>
      <c r="T127" s="104" t="str">
        <f t="shared" si="28"/>
        <v/>
      </c>
      <c r="U127" s="19" t="str">
        <f>IF(AND(M127&lt;&gt;"",M127&lt;&gt;0), IF(E127 = "Muni", T127, IF(E127="Corp", T127*(1 -'Investor Input'!$C$4-'Investor Input'!$C$5), T127*(1 -'Investor Input'!$C$4))), T127)</f>
        <v/>
      </c>
      <c r="V127" s="84" t="str">
        <f t="shared" si="29"/>
        <v/>
      </c>
      <c r="W127" s="84" t="str">
        <f t="shared" si="15"/>
        <v/>
      </c>
      <c r="X127" s="21" t="str">
        <f t="shared" si="16"/>
        <v/>
      </c>
      <c r="Y127" s="60" t="str">
        <f t="shared" si="17"/>
        <v/>
      </c>
      <c r="Z127" s="60" t="str">
        <f t="shared" si="18"/>
        <v/>
      </c>
      <c r="AA127" s="64" t="str">
        <f t="shared" si="19"/>
        <v/>
      </c>
      <c r="AB127" s="64" t="str">
        <f>IF(AND(AA127&lt;&gt;"",AA127&lt;&gt;0), IF(E127="Muni", AA127, IF(E127 = "Corp", (1-'Investor Input'!$C$4-'Investor Input'!$C$5)*AA127, (1-'Investor Input'!$C$4)*AA127)), AA127)</f>
        <v/>
      </c>
      <c r="AC127" s="94" t="str">
        <f t="shared" si="20"/>
        <v/>
      </c>
      <c r="AD127" s="60" t="str">
        <f>IF(AND(M127&lt;&gt;"", M127&lt;&gt;0), N127/$N$505*MATCH(AC127,'Misc Lists'!$K$2:$K$25,0), "")</f>
        <v/>
      </c>
      <c r="AE127" s="90" t="str">
        <f t="shared" si="21"/>
        <v/>
      </c>
      <c r="AF127" s="99" t="str">
        <f>IF(AND(M127&lt;&gt;"", M127&lt;&gt;0), N127/$N$505*MATCH(AE127,'Misc Lists'!$L$2:$L$25,0), "")</f>
        <v/>
      </c>
    </row>
    <row r="128" spans="2:32" hidden="1" outlineLevel="1" x14ac:dyDescent="0.5">
      <c r="B128" s="60" t="str">
        <f ca="1"/>
        <v>912828Y79</v>
      </c>
      <c r="C128" s="61" t="str">
        <f ca="1"/>
        <v>N/A</v>
      </c>
      <c r="D128" s="60" t="str">
        <f ca="1"/>
        <v>UNITED STATES TREAS SER N-2025          2.87500% 07/31/2025 NTS NOTE</v>
      </c>
      <c r="E128" s="61" t="str">
        <f ca="1"/>
        <v>Tres</v>
      </c>
      <c r="F128" s="62">
        <f ca="1"/>
        <v>2.875</v>
      </c>
      <c r="G128" s="63">
        <f ca="1"/>
        <v>45869</v>
      </c>
      <c r="H128" s="61" t="str">
        <f ca="1"/>
        <v>AAA</v>
      </c>
      <c r="I128" s="61" t="str">
        <f ca="1"/>
        <v>--</v>
      </c>
      <c r="J128" s="64">
        <f ca="1"/>
        <v>99.376000000000005</v>
      </c>
      <c r="K128" s="17">
        <f ca="1"/>
        <v>4.2830000000000004</v>
      </c>
      <c r="L128" s="18" t="str">
        <f ca="1"/>
        <v>30,000(600)</v>
      </c>
      <c r="M128" s="83"/>
      <c r="N128" s="84" t="str">
        <f t="shared" si="22"/>
        <v/>
      </c>
      <c r="O128" s="20" t="str">
        <f t="shared" si="23"/>
        <v/>
      </c>
      <c r="P128" s="64" t="str">
        <f t="shared" si="24"/>
        <v/>
      </c>
      <c r="Q128" s="85" t="str">
        <f t="shared" ca="1" si="25"/>
        <v/>
      </c>
      <c r="R128" s="86" t="str">
        <f t="shared" si="26"/>
        <v/>
      </c>
      <c r="S128" s="86" t="str">
        <f t="shared" si="27"/>
        <v/>
      </c>
      <c r="T128" s="104" t="str">
        <f t="shared" si="28"/>
        <v/>
      </c>
      <c r="U128" s="19" t="str">
        <f>IF(AND(M128&lt;&gt;"",M128&lt;&gt;0), IF(E128 = "Muni", T128, IF(E128="Corp", T128*(1 -'Investor Input'!$C$4-'Investor Input'!$C$5), T128*(1 -'Investor Input'!$C$4))), T128)</f>
        <v/>
      </c>
      <c r="V128" s="84" t="str">
        <f t="shared" si="29"/>
        <v/>
      </c>
      <c r="W128" s="84" t="str">
        <f t="shared" si="15"/>
        <v/>
      </c>
      <c r="X128" s="21" t="str">
        <f t="shared" si="16"/>
        <v/>
      </c>
      <c r="Y128" s="60" t="str">
        <f t="shared" si="17"/>
        <v/>
      </c>
      <c r="Z128" s="60" t="str">
        <f t="shared" si="18"/>
        <v/>
      </c>
      <c r="AA128" s="64" t="str">
        <f t="shared" si="19"/>
        <v/>
      </c>
      <c r="AB128" s="64" t="str">
        <f>IF(AND(AA128&lt;&gt;"",AA128&lt;&gt;0), IF(E128="Muni", AA128, IF(E128 = "Corp", (1-'Investor Input'!$C$4-'Investor Input'!$C$5)*AA128, (1-'Investor Input'!$C$4)*AA128)), AA128)</f>
        <v/>
      </c>
      <c r="AC128" s="94" t="str">
        <f t="shared" si="20"/>
        <v/>
      </c>
      <c r="AD128" s="60" t="str">
        <f>IF(AND(M128&lt;&gt;"", M128&lt;&gt;0), N128/$N$505*MATCH(AC128,'Misc Lists'!$K$2:$K$25,0), "")</f>
        <v/>
      </c>
      <c r="AE128" s="90" t="str">
        <f t="shared" si="21"/>
        <v/>
      </c>
      <c r="AF128" s="99" t="str">
        <f>IF(AND(M128&lt;&gt;"", M128&lt;&gt;0), N128/$N$505*MATCH(AE128,'Misc Lists'!$L$2:$L$25,0), "")</f>
        <v/>
      </c>
    </row>
    <row r="129" spans="2:32" hidden="1" outlineLevel="1" x14ac:dyDescent="0.5">
      <c r="B129" s="60" t="str">
        <f ca="1"/>
        <v>91282CFE6</v>
      </c>
      <c r="C129" s="61" t="str">
        <f ca="1"/>
        <v>N/A</v>
      </c>
      <c r="D129" s="60" t="str">
        <f ca="1"/>
        <v>UNITED STATES       TREASURY NOTE       3.12500% 08/15/2025</v>
      </c>
      <c r="E129" s="61" t="str">
        <f ca="1"/>
        <v>Tres</v>
      </c>
      <c r="F129" s="62">
        <f ca="1"/>
        <v>3.125</v>
      </c>
      <c r="G129" s="63">
        <f ca="1"/>
        <v>45884</v>
      </c>
      <c r="H129" s="61" t="str">
        <f ca="1"/>
        <v>--</v>
      </c>
      <c r="I129" s="61" t="str">
        <f ca="1"/>
        <v>--</v>
      </c>
      <c r="J129" s="64">
        <f ca="1"/>
        <v>99.441999999999993</v>
      </c>
      <c r="K129" s="17">
        <f ca="1"/>
        <v>4.2830000000000004</v>
      </c>
      <c r="L129" s="18" t="str">
        <f ca="1"/>
        <v>30,000(600)</v>
      </c>
      <c r="M129" s="83"/>
      <c r="N129" s="84" t="str">
        <f t="shared" si="22"/>
        <v/>
      </c>
      <c r="O129" s="20" t="str">
        <f t="shared" si="23"/>
        <v/>
      </c>
      <c r="P129" s="64" t="str">
        <f t="shared" si="24"/>
        <v/>
      </c>
      <c r="Q129" s="85" t="str">
        <f t="shared" ca="1" si="25"/>
        <v/>
      </c>
      <c r="R129" s="86" t="str">
        <f t="shared" si="26"/>
        <v/>
      </c>
      <c r="S129" s="86" t="str">
        <f t="shared" si="27"/>
        <v/>
      </c>
      <c r="T129" s="104" t="str">
        <f t="shared" si="28"/>
        <v/>
      </c>
      <c r="U129" s="19" t="str">
        <f>IF(AND(M129&lt;&gt;"",M129&lt;&gt;0), IF(E129 = "Muni", T129, IF(E129="Corp", T129*(1 -'Investor Input'!$C$4-'Investor Input'!$C$5), T129*(1 -'Investor Input'!$C$4))), T129)</f>
        <v/>
      </c>
      <c r="V129" s="84" t="str">
        <f t="shared" si="29"/>
        <v/>
      </c>
      <c r="W129" s="84" t="str">
        <f t="shared" si="15"/>
        <v/>
      </c>
      <c r="X129" s="21" t="str">
        <f t="shared" si="16"/>
        <v/>
      </c>
      <c r="Y129" s="60" t="str">
        <f t="shared" si="17"/>
        <v/>
      </c>
      <c r="Z129" s="60" t="str">
        <f t="shared" si="18"/>
        <v/>
      </c>
      <c r="AA129" s="64" t="str">
        <f t="shared" si="19"/>
        <v/>
      </c>
      <c r="AB129" s="64" t="str">
        <f>IF(AND(AA129&lt;&gt;"",AA129&lt;&gt;0), IF(E129="Muni", AA129, IF(E129 = "Corp", (1-'Investor Input'!$C$4-'Investor Input'!$C$5)*AA129, (1-'Investor Input'!$C$4)*AA129)), AA129)</f>
        <v/>
      </c>
      <c r="AC129" s="94" t="str">
        <f t="shared" si="20"/>
        <v/>
      </c>
      <c r="AD129" s="60" t="str">
        <f>IF(AND(M129&lt;&gt;"", M129&lt;&gt;0), N129/$N$505*MATCH(AC129,'Misc Lists'!$K$2:$K$25,0), "")</f>
        <v/>
      </c>
      <c r="AE129" s="90" t="str">
        <f t="shared" si="21"/>
        <v/>
      </c>
      <c r="AF129" s="99" t="str">
        <f>IF(AND(M129&lt;&gt;"", M129&lt;&gt;0), N129/$N$505*MATCH(AE129,'Misc Lists'!$L$2:$L$25,0), "")</f>
        <v/>
      </c>
    </row>
    <row r="130" spans="2:32" hidden="1" outlineLevel="1" x14ac:dyDescent="0.5">
      <c r="B130" s="60" t="str">
        <f ca="1"/>
        <v>91282CAT8</v>
      </c>
      <c r="C130" s="61" t="str">
        <f ca="1"/>
        <v>N/A</v>
      </c>
      <c r="D130" s="60" t="str">
        <f ca="1"/>
        <v>UNITED STATES TREAS 0.25000% 10/31/2025 NOTE</v>
      </c>
      <c r="E130" s="61" t="str">
        <f ca="1"/>
        <v>Tres</v>
      </c>
      <c r="F130" s="62">
        <f ca="1"/>
        <v>0.25</v>
      </c>
      <c r="G130" s="63">
        <f ca="1"/>
        <v>45961</v>
      </c>
      <c r="H130" s="61" t="str">
        <f ca="1"/>
        <v>AAA</v>
      </c>
      <c r="I130" s="61" t="str">
        <f ca="1"/>
        <v>--</v>
      </c>
      <c r="J130" s="64">
        <f ca="1"/>
        <v>97.263000000000005</v>
      </c>
      <c r="K130" s="17">
        <f ca="1"/>
        <v>4.2830000000000004</v>
      </c>
      <c r="L130" s="18" t="str">
        <f ca="1"/>
        <v>8,000(200)</v>
      </c>
      <c r="M130" s="83"/>
      <c r="N130" s="84" t="str">
        <f t="shared" si="22"/>
        <v/>
      </c>
      <c r="O130" s="20" t="str">
        <f t="shared" si="23"/>
        <v/>
      </c>
      <c r="P130" s="64" t="str">
        <f t="shared" si="24"/>
        <v/>
      </c>
      <c r="Q130" s="85" t="str">
        <f t="shared" ca="1" si="25"/>
        <v/>
      </c>
      <c r="R130" s="86" t="str">
        <f t="shared" si="26"/>
        <v/>
      </c>
      <c r="S130" s="86" t="str">
        <f t="shared" si="27"/>
        <v/>
      </c>
      <c r="T130" s="104" t="str">
        <f t="shared" si="28"/>
        <v/>
      </c>
      <c r="U130" s="19" t="str">
        <f>IF(AND(M130&lt;&gt;"",M130&lt;&gt;0), IF(E130 = "Muni", T130, IF(E130="Corp", T130*(1 -'Investor Input'!$C$4-'Investor Input'!$C$5), T130*(1 -'Investor Input'!$C$4))), T130)</f>
        <v/>
      </c>
      <c r="V130" s="84" t="str">
        <f t="shared" si="29"/>
        <v/>
      </c>
      <c r="W130" s="84" t="str">
        <f t="shared" si="15"/>
        <v/>
      </c>
      <c r="X130" s="21" t="str">
        <f t="shared" si="16"/>
        <v/>
      </c>
      <c r="Y130" s="60" t="str">
        <f t="shared" si="17"/>
        <v/>
      </c>
      <c r="Z130" s="60" t="str">
        <f t="shared" si="18"/>
        <v/>
      </c>
      <c r="AA130" s="64" t="str">
        <f t="shared" si="19"/>
        <v/>
      </c>
      <c r="AB130" s="64" t="str">
        <f>IF(AND(AA130&lt;&gt;"",AA130&lt;&gt;0), IF(E130="Muni", AA130, IF(E130 = "Corp", (1-'Investor Input'!$C$4-'Investor Input'!$C$5)*AA130, (1-'Investor Input'!$C$4)*AA130)), AA130)</f>
        <v/>
      </c>
      <c r="AC130" s="94" t="str">
        <f t="shared" si="20"/>
        <v/>
      </c>
      <c r="AD130" s="60" t="str">
        <f>IF(AND(M130&lt;&gt;"", M130&lt;&gt;0), N130/$N$505*MATCH(AC130,'Misc Lists'!$K$2:$K$25,0), "")</f>
        <v/>
      </c>
      <c r="AE130" s="90" t="str">
        <f t="shared" si="21"/>
        <v/>
      </c>
      <c r="AF130" s="99" t="str">
        <f>IF(AND(M130&lt;&gt;"", M130&lt;&gt;0), N130/$N$505*MATCH(AE130,'Misc Lists'!$L$2:$L$25,0), "")</f>
        <v/>
      </c>
    </row>
    <row r="131" spans="2:32" hidden="1" outlineLevel="1" x14ac:dyDescent="0.5">
      <c r="B131" s="60" t="str">
        <f ca="1"/>
        <v>91282CKS9</v>
      </c>
      <c r="C131" s="61" t="str">
        <f ca="1"/>
        <v>N/A</v>
      </c>
      <c r="D131" s="60" t="str">
        <f ca="1"/>
        <v>UNITED STATES TREAS SER BC-2026         4.87500% 05/31/2026 NTS NOTE</v>
      </c>
      <c r="E131" s="61" t="str">
        <f ca="1"/>
        <v>Tres</v>
      </c>
      <c r="F131" s="62">
        <f ca="1"/>
        <v>4.875</v>
      </c>
      <c r="G131" s="63">
        <f ca="1"/>
        <v>46173</v>
      </c>
      <c r="H131" s="61" t="str">
        <f ca="1"/>
        <v>AAA</v>
      </c>
      <c r="I131" s="61" t="str">
        <f ca="1"/>
        <v>--</v>
      </c>
      <c r="J131" s="64">
        <f ca="1"/>
        <v>100.723</v>
      </c>
      <c r="K131" s="17">
        <f ca="1"/>
        <v>4.2830000000000004</v>
      </c>
      <c r="L131" s="18" t="str">
        <f ca="1"/>
        <v>30,000(400)</v>
      </c>
      <c r="M131" s="83"/>
      <c r="N131" s="84" t="str">
        <f t="shared" si="22"/>
        <v/>
      </c>
      <c r="O131" s="20" t="str">
        <f t="shared" si="23"/>
        <v/>
      </c>
      <c r="P131" s="64" t="str">
        <f t="shared" si="24"/>
        <v/>
      </c>
      <c r="Q131" s="85" t="str">
        <f t="shared" ca="1" si="25"/>
        <v/>
      </c>
      <c r="R131" s="86" t="str">
        <f t="shared" si="26"/>
        <v/>
      </c>
      <c r="S131" s="86" t="str">
        <f t="shared" si="27"/>
        <v/>
      </c>
      <c r="T131" s="104" t="str">
        <f t="shared" si="28"/>
        <v/>
      </c>
      <c r="U131" s="19" t="str">
        <f>IF(AND(M131&lt;&gt;"",M131&lt;&gt;0), IF(E131 = "Muni", T131, IF(E131="Corp", T131*(1 -'Investor Input'!$C$4-'Investor Input'!$C$5), T131*(1 -'Investor Input'!$C$4))), T131)</f>
        <v/>
      </c>
      <c r="V131" s="84" t="str">
        <f t="shared" si="29"/>
        <v/>
      </c>
      <c r="W131" s="84" t="str">
        <f t="shared" si="15"/>
        <v/>
      </c>
      <c r="X131" s="21" t="str">
        <f t="shared" si="16"/>
        <v/>
      </c>
      <c r="Y131" s="60" t="str">
        <f t="shared" si="17"/>
        <v/>
      </c>
      <c r="Z131" s="60" t="str">
        <f t="shared" si="18"/>
        <v/>
      </c>
      <c r="AA131" s="64" t="str">
        <f t="shared" si="19"/>
        <v/>
      </c>
      <c r="AB131" s="64" t="str">
        <f>IF(AND(AA131&lt;&gt;"",AA131&lt;&gt;0), IF(E131="Muni", AA131, IF(E131 = "Corp", (1-'Investor Input'!$C$4-'Investor Input'!$C$5)*AA131, (1-'Investor Input'!$C$4)*AA131)), AA131)</f>
        <v/>
      </c>
      <c r="AC131" s="94" t="str">
        <f t="shared" si="20"/>
        <v/>
      </c>
      <c r="AD131" s="60" t="str">
        <f>IF(AND(M131&lt;&gt;"", M131&lt;&gt;0), N131/$N$505*MATCH(AC131,'Misc Lists'!$K$2:$K$25,0), "")</f>
        <v/>
      </c>
      <c r="AE131" s="90" t="str">
        <f t="shared" si="21"/>
        <v/>
      </c>
      <c r="AF131" s="99" t="str">
        <f>IF(AND(M131&lt;&gt;"", M131&lt;&gt;0), N131/$N$505*MATCH(AE131,'Misc Lists'!$L$2:$L$25,0), "")</f>
        <v/>
      </c>
    </row>
    <row r="132" spans="2:32" hidden="1" outlineLevel="1" x14ac:dyDescent="0.5">
      <c r="B132" s="60" t="str">
        <f ca="1"/>
        <v>91282CCH2</v>
      </c>
      <c r="C132" s="61" t="str">
        <f ca="1"/>
        <v>N/A</v>
      </c>
      <c r="D132" s="60" t="str">
        <f ca="1"/>
        <v>UNITED STATES TREAS SER M-2028          1.25000% 06/30/2028 NTS NOTE</v>
      </c>
      <c r="E132" s="61" t="str">
        <f ca="1"/>
        <v>Tres</v>
      </c>
      <c r="F132" s="62">
        <f ca="1"/>
        <v>1.25</v>
      </c>
      <c r="G132" s="63">
        <f ca="1"/>
        <v>46934</v>
      </c>
      <c r="H132" s="61" t="str">
        <f ca="1"/>
        <v>AAA</v>
      </c>
      <c r="I132" s="61" t="str">
        <f ca="1"/>
        <v>--</v>
      </c>
      <c r="J132" s="64">
        <f ca="1"/>
        <v>90.587000000000003</v>
      </c>
      <c r="K132" s="17">
        <f ca="1"/>
        <v>4.2830000000000004</v>
      </c>
      <c r="L132" s="18" t="str">
        <f ca="1"/>
        <v>4,988(1)</v>
      </c>
      <c r="M132" s="83"/>
      <c r="N132" s="84" t="str">
        <f t="shared" si="22"/>
        <v/>
      </c>
      <c r="O132" s="20" t="str">
        <f t="shared" si="23"/>
        <v/>
      </c>
      <c r="P132" s="64" t="str">
        <f t="shared" si="24"/>
        <v/>
      </c>
      <c r="Q132" s="85" t="str">
        <f t="shared" ca="1" si="25"/>
        <v/>
      </c>
      <c r="R132" s="86" t="str">
        <f t="shared" si="26"/>
        <v/>
      </c>
      <c r="S132" s="86" t="str">
        <f t="shared" si="27"/>
        <v/>
      </c>
      <c r="T132" s="104" t="str">
        <f t="shared" si="28"/>
        <v/>
      </c>
      <c r="U132" s="19" t="str">
        <f>IF(AND(M132&lt;&gt;"",M132&lt;&gt;0), IF(E132 = "Muni", T132, IF(E132="Corp", T132*(1 -'Investor Input'!$C$4-'Investor Input'!$C$5), T132*(1 -'Investor Input'!$C$4))), T132)</f>
        <v/>
      </c>
      <c r="V132" s="84" t="str">
        <f t="shared" si="29"/>
        <v/>
      </c>
      <c r="W132" s="84" t="str">
        <f t="shared" ref="W132:W195" si="30">IF(AND(M132&lt;&gt;"",M132&lt;&gt;0),V132-N132,"")</f>
        <v/>
      </c>
      <c r="X132" s="21" t="str">
        <f t="shared" ref="X132:X195" si="31">IF(AND(M132&lt;&gt;"",M132&lt;&gt;0),W132/N132,"")</f>
        <v/>
      </c>
      <c r="Y132" s="60" t="str">
        <f t="shared" ref="Y132:Y195" si="32">IF(AND(M132&lt;&gt;"", M132&lt;&gt;0), MONTH(G132), "")</f>
        <v/>
      </c>
      <c r="Z132" s="60" t="str">
        <f t="shared" ref="Z132:Z195" si="33">IF(AND(M132&lt;&gt;"", M132&lt;&gt;0), MONTH(EDATE(G132, 6)), "")</f>
        <v/>
      </c>
      <c r="AA132" s="64" t="str">
        <f t="shared" ref="AA132:AA195" si="34">IF(AND(M132&lt;&gt;"", M132&lt;&gt;0), F132*1000*M132/(100*2), "")</f>
        <v/>
      </c>
      <c r="AB132" s="64" t="str">
        <f>IF(AND(AA132&lt;&gt;"",AA132&lt;&gt;0), IF(E132="Muni", AA132, IF(E132 = "Corp", (1-'Investor Input'!$C$4-'Investor Input'!$C$5)*AA132, (1-'Investor Input'!$C$4)*AA132)), AA132)</f>
        <v/>
      </c>
      <c r="AC132" s="94" t="str">
        <f t="shared" ref="AC132:AC195" si="35">IF(AND(M132&lt;&gt;"", M132&lt;&gt;0), H132, "")</f>
        <v/>
      </c>
      <c r="AD132" s="60" t="str">
        <f>IF(AND(M132&lt;&gt;"", M132&lt;&gt;0), N132/$N$505*MATCH(AC132,'Misc Lists'!$K$2:$K$25,0), "")</f>
        <v/>
      </c>
      <c r="AE132" s="90" t="str">
        <f t="shared" ref="AE132:AE195" si="36">IF(AND(M132&lt;&gt;"", M132&lt;&gt;0), I132, "")</f>
        <v/>
      </c>
      <c r="AF132" s="99" t="str">
        <f>IF(AND(M132&lt;&gt;"", M132&lt;&gt;0), N132/$N$505*MATCH(AE132,'Misc Lists'!$L$2:$L$25,0), "")</f>
        <v/>
      </c>
    </row>
    <row r="133" spans="2:32" hidden="1" outlineLevel="1" x14ac:dyDescent="0.5">
      <c r="B133" s="60" t="str">
        <f ca="1"/>
        <v>91282CEU1</v>
      </c>
      <c r="C133" s="61" t="str">
        <f ca="1"/>
        <v>N/A</v>
      </c>
      <c r="D133" s="60" t="str">
        <f ca="1"/>
        <v>UNITED STATES TREAS SER AP-2025         2.87500% 06/15/2025 NTS NOTE</v>
      </c>
      <c r="E133" s="61" t="str">
        <f ca="1"/>
        <v>Tres</v>
      </c>
      <c r="F133" s="62">
        <f ca="1"/>
        <v>2.875</v>
      </c>
      <c r="G133" s="63">
        <f ca="1"/>
        <v>45823</v>
      </c>
      <c r="H133" s="61" t="str">
        <f ca="1"/>
        <v>AAA</v>
      </c>
      <c r="I133" s="61" t="str">
        <f ca="1"/>
        <v>--</v>
      </c>
      <c r="J133" s="64">
        <f ca="1"/>
        <v>99.546999999999997</v>
      </c>
      <c r="K133" s="17">
        <f ca="1"/>
        <v>4.282</v>
      </c>
      <c r="L133" s="18" t="str">
        <f ca="1"/>
        <v>30,000(600)</v>
      </c>
      <c r="M133" s="83"/>
      <c r="N133" s="84" t="str">
        <f t="shared" ref="N133:N196" si="37">IF(AND(M133&lt;&gt;"", M133&lt;&gt;0), IF(L133 &lt;&gt; "N/A", IF(M133&gt;=VALUE(LEFT(L133, FIND("(", L133)-1)), J133*10*M133, 1000*M133), 1000*M133), "")</f>
        <v/>
      </c>
      <c r="O133" s="20" t="str">
        <f t="shared" ref="O133:O196" si="38">IF(AND(M133&lt;&gt;"",M133&lt;&gt;0),N133/$N$505, "")</f>
        <v/>
      </c>
      <c r="P133" s="64" t="str">
        <f t="shared" ref="P133:P196" si="39">IF(AND(M133&lt;&gt;"", M133&lt;&gt;0), F133*1000/100, "")</f>
        <v/>
      </c>
      <c r="Q133" s="85" t="str">
        <f t="shared" ref="Q133:Q196" ca="1" si="40">IF(AND(M133&lt;&gt;"", M133&lt;&gt;0), NOW(), "")</f>
        <v/>
      </c>
      <c r="R133" s="86" t="str">
        <f t="shared" ref="R133:R196" si="41">IF(AND(M133&lt;&gt;"", M133&lt;&gt;0), ROUND((G133 - Q133)/365, 0), "")</f>
        <v/>
      </c>
      <c r="S133" s="86" t="str">
        <f t="shared" ref="S133:S196" si="42">IF(AND(M133&lt;&gt;"",M133&lt;&gt;0),MDURATION(Q133,G133,F133/100,K133/100,2), "")</f>
        <v/>
      </c>
      <c r="T133" s="104" t="str">
        <f t="shared" ref="T133:T196" si="43">IF(AND(M133&lt;&gt;"",M133&lt;&gt;0),YIELD(Q133,G133,F133/100,N133/(M133*10),100,2),"")</f>
        <v/>
      </c>
      <c r="U133" s="19" t="str">
        <f>IF(AND(M133&lt;&gt;"",M133&lt;&gt;0), IF(E133 = "Muni", T133, IF(E133="Corp", T133*(1 -'Investor Input'!$C$4-'Investor Input'!$C$5), T133*(1 -'Investor Input'!$C$4))), T133)</f>
        <v/>
      </c>
      <c r="V133" s="84" t="str">
        <f t="shared" ref="V133:V196" si="44">IF(AND(M133&lt;&gt;"",M133&lt;&gt;0),(FV(K133/(2*100),(G133-Q133)*2/365, F133*1000/(2*100), -N133/M133))*M133, "")</f>
        <v/>
      </c>
      <c r="W133" s="84" t="str">
        <f t="shared" si="30"/>
        <v/>
      </c>
      <c r="X133" s="21" t="str">
        <f t="shared" si="31"/>
        <v/>
      </c>
      <c r="Y133" s="60" t="str">
        <f t="shared" si="32"/>
        <v/>
      </c>
      <c r="Z133" s="60" t="str">
        <f t="shared" si="33"/>
        <v/>
      </c>
      <c r="AA133" s="64" t="str">
        <f t="shared" si="34"/>
        <v/>
      </c>
      <c r="AB133" s="64" t="str">
        <f>IF(AND(AA133&lt;&gt;"",AA133&lt;&gt;0), IF(E133="Muni", AA133, IF(E133 = "Corp", (1-'Investor Input'!$C$4-'Investor Input'!$C$5)*AA133, (1-'Investor Input'!$C$4)*AA133)), AA133)</f>
        <v/>
      </c>
      <c r="AC133" s="94" t="str">
        <f t="shared" si="35"/>
        <v/>
      </c>
      <c r="AD133" s="60" t="str">
        <f>IF(AND(M133&lt;&gt;"", M133&lt;&gt;0), N133/$N$505*MATCH(AC133,'Misc Lists'!$K$2:$K$25,0), "")</f>
        <v/>
      </c>
      <c r="AE133" s="90" t="str">
        <f t="shared" si="36"/>
        <v/>
      </c>
      <c r="AF133" s="99" t="str">
        <f>IF(AND(M133&lt;&gt;"", M133&lt;&gt;0), N133/$N$505*MATCH(AE133,'Misc Lists'!$L$2:$L$25,0), "")</f>
        <v/>
      </c>
    </row>
    <row r="134" spans="2:32" hidden="1" outlineLevel="1" x14ac:dyDescent="0.5">
      <c r="B134" s="60" t="str">
        <f ca="1"/>
        <v>91282CKB6</v>
      </c>
      <c r="C134" s="61" t="str">
        <f ca="1"/>
        <v>N/A</v>
      </c>
      <c r="D134" s="60" t="str">
        <f ca="1"/>
        <v>UNITED STATES TREAS SER AY-2026         4.62500% 02/28/2026 NTS NOTE</v>
      </c>
      <c r="E134" s="61" t="str">
        <f ca="1"/>
        <v>Tres</v>
      </c>
      <c r="F134" s="62">
        <f ca="1"/>
        <v>4.625</v>
      </c>
      <c r="G134" s="63">
        <f ca="1"/>
        <v>46081</v>
      </c>
      <c r="H134" s="61" t="str">
        <f ca="1"/>
        <v>AAA</v>
      </c>
      <c r="I134" s="61" t="str">
        <f ca="1"/>
        <v>--</v>
      </c>
      <c r="J134" s="64">
        <f ca="1"/>
        <v>100.34</v>
      </c>
      <c r="K134" s="17">
        <f ca="1"/>
        <v>4.282</v>
      </c>
      <c r="L134" s="18" t="str">
        <f ca="1"/>
        <v>29,024(400)</v>
      </c>
      <c r="M134" s="83"/>
      <c r="N134" s="84" t="str">
        <f t="shared" si="37"/>
        <v/>
      </c>
      <c r="O134" s="20" t="str">
        <f t="shared" si="38"/>
        <v/>
      </c>
      <c r="P134" s="64" t="str">
        <f t="shared" si="39"/>
        <v/>
      </c>
      <c r="Q134" s="85" t="str">
        <f t="shared" ca="1" si="40"/>
        <v/>
      </c>
      <c r="R134" s="86" t="str">
        <f t="shared" si="41"/>
        <v/>
      </c>
      <c r="S134" s="86" t="str">
        <f t="shared" si="42"/>
        <v/>
      </c>
      <c r="T134" s="104" t="str">
        <f t="shared" si="43"/>
        <v/>
      </c>
      <c r="U134" s="19" t="str">
        <f>IF(AND(M134&lt;&gt;"",M134&lt;&gt;0), IF(E134 = "Muni", T134, IF(E134="Corp", T134*(1 -'Investor Input'!$C$4-'Investor Input'!$C$5), T134*(1 -'Investor Input'!$C$4))), T134)</f>
        <v/>
      </c>
      <c r="V134" s="84" t="str">
        <f t="shared" si="44"/>
        <v/>
      </c>
      <c r="W134" s="84" t="str">
        <f t="shared" si="30"/>
        <v/>
      </c>
      <c r="X134" s="21" t="str">
        <f t="shared" si="31"/>
        <v/>
      </c>
      <c r="Y134" s="60" t="str">
        <f t="shared" si="32"/>
        <v/>
      </c>
      <c r="Z134" s="60" t="str">
        <f t="shared" si="33"/>
        <v/>
      </c>
      <c r="AA134" s="64" t="str">
        <f t="shared" si="34"/>
        <v/>
      </c>
      <c r="AB134" s="64" t="str">
        <f>IF(AND(AA134&lt;&gt;"",AA134&lt;&gt;0), IF(E134="Muni", AA134, IF(E134 = "Corp", (1-'Investor Input'!$C$4-'Investor Input'!$C$5)*AA134, (1-'Investor Input'!$C$4)*AA134)), AA134)</f>
        <v/>
      </c>
      <c r="AC134" s="94" t="str">
        <f t="shared" si="35"/>
        <v/>
      </c>
      <c r="AD134" s="60" t="str">
        <f>IF(AND(M134&lt;&gt;"", M134&lt;&gt;0), N134/$N$505*MATCH(AC134,'Misc Lists'!$K$2:$K$25,0), "")</f>
        <v/>
      </c>
      <c r="AE134" s="90" t="str">
        <f t="shared" si="36"/>
        <v/>
      </c>
      <c r="AF134" s="99" t="str">
        <f>IF(AND(M134&lt;&gt;"", M134&lt;&gt;0), N134/$N$505*MATCH(AE134,'Misc Lists'!$L$2:$L$25,0), "")</f>
        <v/>
      </c>
    </row>
    <row r="135" spans="2:32" hidden="1" outlineLevel="1" x14ac:dyDescent="0.5">
      <c r="B135" s="60" t="str">
        <f ca="1"/>
        <v>91282CHE4</v>
      </c>
      <c r="C135" s="61" t="str">
        <f ca="1"/>
        <v>N/A</v>
      </c>
      <c r="D135" s="60" t="str">
        <f ca="1"/>
        <v>UNITED STATES TREAS SER Z-2028          3.62500% 05/31/2028 NTS NOTE</v>
      </c>
      <c r="E135" s="61" t="str">
        <f ca="1"/>
        <v>Tres</v>
      </c>
      <c r="F135" s="62">
        <f ca="1"/>
        <v>3.625</v>
      </c>
      <c r="G135" s="63">
        <f ca="1"/>
        <v>46904</v>
      </c>
      <c r="H135" s="61" t="str">
        <f ca="1"/>
        <v>AAA</v>
      </c>
      <c r="I135" s="61" t="str">
        <f ca="1"/>
        <v>--</v>
      </c>
      <c r="J135" s="64">
        <f ca="1"/>
        <v>98.004999999999995</v>
      </c>
      <c r="K135" s="17">
        <f ca="1"/>
        <v>4.282</v>
      </c>
      <c r="L135" s="18" t="str">
        <f ca="1"/>
        <v>65,000(400)</v>
      </c>
      <c r="M135" s="83"/>
      <c r="N135" s="84" t="str">
        <f t="shared" si="37"/>
        <v/>
      </c>
      <c r="O135" s="20" t="str">
        <f t="shared" si="38"/>
        <v/>
      </c>
      <c r="P135" s="64" t="str">
        <f t="shared" si="39"/>
        <v/>
      </c>
      <c r="Q135" s="85" t="str">
        <f t="shared" ca="1" si="40"/>
        <v/>
      </c>
      <c r="R135" s="86" t="str">
        <f t="shared" si="41"/>
        <v/>
      </c>
      <c r="S135" s="86" t="str">
        <f t="shared" si="42"/>
        <v/>
      </c>
      <c r="T135" s="104" t="str">
        <f t="shared" si="43"/>
        <v/>
      </c>
      <c r="U135" s="19" t="str">
        <f>IF(AND(M135&lt;&gt;"",M135&lt;&gt;0), IF(E135 = "Muni", T135, IF(E135="Corp", T135*(1 -'Investor Input'!$C$4-'Investor Input'!$C$5), T135*(1 -'Investor Input'!$C$4))), T135)</f>
        <v/>
      </c>
      <c r="V135" s="84" t="str">
        <f t="shared" si="44"/>
        <v/>
      </c>
      <c r="W135" s="84" t="str">
        <f t="shared" si="30"/>
        <v/>
      </c>
      <c r="X135" s="21" t="str">
        <f t="shared" si="31"/>
        <v/>
      </c>
      <c r="Y135" s="60" t="str">
        <f t="shared" si="32"/>
        <v/>
      </c>
      <c r="Z135" s="60" t="str">
        <f t="shared" si="33"/>
        <v/>
      </c>
      <c r="AA135" s="64" t="str">
        <f t="shared" si="34"/>
        <v/>
      </c>
      <c r="AB135" s="64" t="str">
        <f>IF(AND(AA135&lt;&gt;"",AA135&lt;&gt;0), IF(E135="Muni", AA135, IF(E135 = "Corp", (1-'Investor Input'!$C$4-'Investor Input'!$C$5)*AA135, (1-'Investor Input'!$C$4)*AA135)), AA135)</f>
        <v/>
      </c>
      <c r="AC135" s="94" t="str">
        <f t="shared" si="35"/>
        <v/>
      </c>
      <c r="AD135" s="60" t="str">
        <f>IF(AND(M135&lt;&gt;"", M135&lt;&gt;0), N135/$N$505*MATCH(AC135,'Misc Lists'!$K$2:$K$25,0), "")</f>
        <v/>
      </c>
      <c r="AE135" s="90" t="str">
        <f t="shared" si="36"/>
        <v/>
      </c>
      <c r="AF135" s="99" t="str">
        <f>IF(AND(M135&lt;&gt;"", M135&lt;&gt;0), N135/$N$505*MATCH(AE135,'Misc Lists'!$L$2:$L$25,0), "")</f>
        <v/>
      </c>
    </row>
    <row r="136" spans="2:32" hidden="1" outlineLevel="1" x14ac:dyDescent="0.5">
      <c r="B136" s="60" t="str">
        <f ca="1"/>
        <v>9128283W8</v>
      </c>
      <c r="C136" s="61" t="str">
        <f ca="1"/>
        <v>N/A</v>
      </c>
      <c r="D136" s="60" t="str">
        <f ca="1"/>
        <v>UNITED STATES TREAS NOTES               2.75000% 02/15/2028</v>
      </c>
      <c r="E136" s="61" t="str">
        <f ca="1"/>
        <v>Tres</v>
      </c>
      <c r="F136" s="62">
        <f ca="1"/>
        <v>2.75</v>
      </c>
      <c r="G136" s="63">
        <f ca="1"/>
        <v>46798</v>
      </c>
      <c r="H136" s="61" t="str">
        <f ca="1"/>
        <v>AAA</v>
      </c>
      <c r="I136" s="61" t="str">
        <f ca="1"/>
        <v>--</v>
      </c>
      <c r="J136" s="64">
        <f ca="1"/>
        <v>95.742999999999995</v>
      </c>
      <c r="K136" s="17">
        <f ca="1"/>
        <v>4.2809999999999997</v>
      </c>
      <c r="L136" s="18" t="str">
        <f ca="1"/>
        <v>65,000(400)</v>
      </c>
      <c r="M136" s="83"/>
      <c r="N136" s="84" t="str">
        <f t="shared" si="37"/>
        <v/>
      </c>
      <c r="O136" s="20" t="str">
        <f t="shared" si="38"/>
        <v/>
      </c>
      <c r="P136" s="64" t="str">
        <f t="shared" si="39"/>
        <v/>
      </c>
      <c r="Q136" s="85" t="str">
        <f t="shared" ca="1" si="40"/>
        <v/>
      </c>
      <c r="R136" s="86" t="str">
        <f t="shared" si="41"/>
        <v/>
      </c>
      <c r="S136" s="86" t="str">
        <f t="shared" si="42"/>
        <v/>
      </c>
      <c r="T136" s="104" t="str">
        <f t="shared" si="43"/>
        <v/>
      </c>
      <c r="U136" s="19" t="str">
        <f>IF(AND(M136&lt;&gt;"",M136&lt;&gt;0), IF(E136 = "Muni", T136, IF(E136="Corp", T136*(1 -'Investor Input'!$C$4-'Investor Input'!$C$5), T136*(1 -'Investor Input'!$C$4))), T136)</f>
        <v/>
      </c>
      <c r="V136" s="84" t="str">
        <f t="shared" si="44"/>
        <v/>
      </c>
      <c r="W136" s="84" t="str">
        <f t="shared" si="30"/>
        <v/>
      </c>
      <c r="X136" s="21" t="str">
        <f t="shared" si="31"/>
        <v/>
      </c>
      <c r="Y136" s="60" t="str">
        <f t="shared" si="32"/>
        <v/>
      </c>
      <c r="Z136" s="60" t="str">
        <f t="shared" si="33"/>
        <v/>
      </c>
      <c r="AA136" s="64" t="str">
        <f t="shared" si="34"/>
        <v/>
      </c>
      <c r="AB136" s="64" t="str">
        <f>IF(AND(AA136&lt;&gt;"",AA136&lt;&gt;0), IF(E136="Muni", AA136, IF(E136 = "Corp", (1-'Investor Input'!$C$4-'Investor Input'!$C$5)*AA136, (1-'Investor Input'!$C$4)*AA136)), AA136)</f>
        <v/>
      </c>
      <c r="AC136" s="94" t="str">
        <f t="shared" si="35"/>
        <v/>
      </c>
      <c r="AD136" s="60" t="str">
        <f>IF(AND(M136&lt;&gt;"", M136&lt;&gt;0), N136/$N$505*MATCH(AC136,'Misc Lists'!$K$2:$K$25,0), "")</f>
        <v/>
      </c>
      <c r="AE136" s="90" t="str">
        <f t="shared" si="36"/>
        <v/>
      </c>
      <c r="AF136" s="99" t="str">
        <f>IF(AND(M136&lt;&gt;"", M136&lt;&gt;0), N136/$N$505*MATCH(AE136,'Misc Lists'!$L$2:$L$25,0), "")</f>
        <v/>
      </c>
    </row>
    <row r="137" spans="2:32" hidden="1" outlineLevel="1" x14ac:dyDescent="0.5">
      <c r="B137" s="60" t="str">
        <f ca="1"/>
        <v>912828YB0</v>
      </c>
      <c r="C137" s="61" t="str">
        <f ca="1"/>
        <v>N/A</v>
      </c>
      <c r="D137" s="60" t="str">
        <f ca="1"/>
        <v>UNITED STATES TREAS SER E-2029          1.62500% 08/15/2029 NTS NOTE</v>
      </c>
      <c r="E137" s="61" t="str">
        <f ca="1"/>
        <v>Tres</v>
      </c>
      <c r="F137" s="62">
        <f ca="1"/>
        <v>1.625</v>
      </c>
      <c r="G137" s="63">
        <f ca="1"/>
        <v>47345</v>
      </c>
      <c r="H137" s="61" t="str">
        <f ca="1"/>
        <v>AAA</v>
      </c>
      <c r="I137" s="61" t="str">
        <f ca="1"/>
        <v>--</v>
      </c>
      <c r="J137" s="64">
        <f ca="1"/>
        <v>89.248000000000005</v>
      </c>
      <c r="K137" s="17">
        <f ca="1"/>
        <v>4.2809999999999997</v>
      </c>
      <c r="L137" s="18" t="str">
        <f ca="1"/>
        <v>1,200(200)</v>
      </c>
      <c r="M137" s="83"/>
      <c r="N137" s="84" t="str">
        <f t="shared" si="37"/>
        <v/>
      </c>
      <c r="O137" s="20" t="str">
        <f t="shared" si="38"/>
        <v/>
      </c>
      <c r="P137" s="64" t="str">
        <f t="shared" si="39"/>
        <v/>
      </c>
      <c r="Q137" s="85" t="str">
        <f t="shared" ca="1" si="40"/>
        <v/>
      </c>
      <c r="R137" s="86" t="str">
        <f t="shared" si="41"/>
        <v/>
      </c>
      <c r="S137" s="86" t="str">
        <f t="shared" si="42"/>
        <v/>
      </c>
      <c r="T137" s="104" t="str">
        <f t="shared" si="43"/>
        <v/>
      </c>
      <c r="U137" s="19" t="str">
        <f>IF(AND(M137&lt;&gt;"",M137&lt;&gt;0), IF(E137 = "Muni", T137, IF(E137="Corp", T137*(1 -'Investor Input'!$C$4-'Investor Input'!$C$5), T137*(1 -'Investor Input'!$C$4))), T137)</f>
        <v/>
      </c>
      <c r="V137" s="84" t="str">
        <f t="shared" si="44"/>
        <v/>
      </c>
      <c r="W137" s="84" t="str">
        <f t="shared" si="30"/>
        <v/>
      </c>
      <c r="X137" s="21" t="str">
        <f t="shared" si="31"/>
        <v/>
      </c>
      <c r="Y137" s="60" t="str">
        <f t="shared" si="32"/>
        <v/>
      </c>
      <c r="Z137" s="60" t="str">
        <f t="shared" si="33"/>
        <v/>
      </c>
      <c r="AA137" s="64" t="str">
        <f t="shared" si="34"/>
        <v/>
      </c>
      <c r="AB137" s="64" t="str">
        <f>IF(AND(AA137&lt;&gt;"",AA137&lt;&gt;0), IF(E137="Muni", AA137, IF(E137 = "Corp", (1-'Investor Input'!$C$4-'Investor Input'!$C$5)*AA137, (1-'Investor Input'!$C$4)*AA137)), AA137)</f>
        <v/>
      </c>
      <c r="AC137" s="94" t="str">
        <f t="shared" si="35"/>
        <v/>
      </c>
      <c r="AD137" s="60" t="str">
        <f>IF(AND(M137&lt;&gt;"", M137&lt;&gt;0), N137/$N$505*MATCH(AC137,'Misc Lists'!$K$2:$K$25,0), "")</f>
        <v/>
      </c>
      <c r="AE137" s="90" t="str">
        <f t="shared" si="36"/>
        <v/>
      </c>
      <c r="AF137" s="99" t="str">
        <f>IF(AND(M137&lt;&gt;"", M137&lt;&gt;0), N137/$N$505*MATCH(AE137,'Misc Lists'!$L$2:$L$25,0), "")</f>
        <v/>
      </c>
    </row>
    <row r="138" spans="2:32" hidden="1" outlineLevel="1" x14ac:dyDescent="0.5">
      <c r="B138" s="60" t="str">
        <f ca="1"/>
        <v>91282CHD6</v>
      </c>
      <c r="C138" s="61" t="str">
        <f ca="1"/>
        <v>N/A</v>
      </c>
      <c r="D138" s="60" t="str">
        <f ca="1"/>
        <v>UNITED STATES TREAS SER BC-2025         4.25000% 05/31/2025 NTS NOTE</v>
      </c>
      <c r="E138" s="61" t="str">
        <f ca="1"/>
        <v>Tres</v>
      </c>
      <c r="F138" s="62">
        <f ca="1"/>
        <v>4.25</v>
      </c>
      <c r="G138" s="63">
        <f ca="1"/>
        <v>45808</v>
      </c>
      <c r="H138" s="61" t="str">
        <f ca="1"/>
        <v>AAA</v>
      </c>
      <c r="I138" s="61" t="str">
        <f ca="1"/>
        <v>--</v>
      </c>
      <c r="J138" s="64">
        <f ca="1"/>
        <v>99.980999999999995</v>
      </c>
      <c r="K138" s="17">
        <f ca="1"/>
        <v>4.28</v>
      </c>
      <c r="L138" s="18" t="str">
        <f ca="1"/>
        <v>30,000(600)</v>
      </c>
      <c r="M138" s="83"/>
      <c r="N138" s="84" t="str">
        <f t="shared" si="37"/>
        <v/>
      </c>
      <c r="O138" s="20" t="str">
        <f t="shared" si="38"/>
        <v/>
      </c>
      <c r="P138" s="64" t="str">
        <f t="shared" si="39"/>
        <v/>
      </c>
      <c r="Q138" s="85" t="str">
        <f t="shared" ca="1" si="40"/>
        <v/>
      </c>
      <c r="R138" s="86" t="str">
        <f t="shared" si="41"/>
        <v/>
      </c>
      <c r="S138" s="86" t="str">
        <f t="shared" si="42"/>
        <v/>
      </c>
      <c r="T138" s="104" t="str">
        <f t="shared" si="43"/>
        <v/>
      </c>
      <c r="U138" s="19" t="str">
        <f>IF(AND(M138&lt;&gt;"",M138&lt;&gt;0), IF(E138 = "Muni", T138, IF(E138="Corp", T138*(1 -'Investor Input'!$C$4-'Investor Input'!$C$5), T138*(1 -'Investor Input'!$C$4))), T138)</f>
        <v/>
      </c>
      <c r="V138" s="84" t="str">
        <f t="shared" si="44"/>
        <v/>
      </c>
      <c r="W138" s="84" t="str">
        <f t="shared" si="30"/>
        <v/>
      </c>
      <c r="X138" s="21" t="str">
        <f t="shared" si="31"/>
        <v/>
      </c>
      <c r="Y138" s="60" t="str">
        <f t="shared" si="32"/>
        <v/>
      </c>
      <c r="Z138" s="60" t="str">
        <f t="shared" si="33"/>
        <v/>
      </c>
      <c r="AA138" s="64" t="str">
        <f t="shared" si="34"/>
        <v/>
      </c>
      <c r="AB138" s="64" t="str">
        <f>IF(AND(AA138&lt;&gt;"",AA138&lt;&gt;0), IF(E138="Muni", AA138, IF(E138 = "Corp", (1-'Investor Input'!$C$4-'Investor Input'!$C$5)*AA138, (1-'Investor Input'!$C$4)*AA138)), AA138)</f>
        <v/>
      </c>
      <c r="AC138" s="94" t="str">
        <f t="shared" si="35"/>
        <v/>
      </c>
      <c r="AD138" s="60" t="str">
        <f>IF(AND(M138&lt;&gt;"", M138&lt;&gt;0), N138/$N$505*MATCH(AC138,'Misc Lists'!$K$2:$K$25,0), "")</f>
        <v/>
      </c>
      <c r="AE138" s="90" t="str">
        <f t="shared" si="36"/>
        <v/>
      </c>
      <c r="AF138" s="99" t="str">
        <f>IF(AND(M138&lt;&gt;"", M138&lt;&gt;0), N138/$N$505*MATCH(AE138,'Misc Lists'!$L$2:$L$25,0), "")</f>
        <v/>
      </c>
    </row>
    <row r="139" spans="2:32" hidden="1" outlineLevel="1" x14ac:dyDescent="0.5">
      <c r="B139" s="60" t="str">
        <f ca="1"/>
        <v>912828P46</v>
      </c>
      <c r="C139" s="61" t="str">
        <f ca="1"/>
        <v>N/A</v>
      </c>
      <c r="D139" s="60" t="str">
        <f ca="1"/>
        <v>UNITED STATES TREAS SER B-2026          1.62500% 02/15/2026 NTS NOTE</v>
      </c>
      <c r="E139" s="61" t="str">
        <f ca="1"/>
        <v>Tres</v>
      </c>
      <c r="F139" s="62">
        <f ca="1"/>
        <v>1.625</v>
      </c>
      <c r="G139" s="63">
        <f ca="1"/>
        <v>46068</v>
      </c>
      <c r="H139" s="61" t="str">
        <f ca="1"/>
        <v>AAA</v>
      </c>
      <c r="I139" s="61" t="str">
        <f ca="1"/>
        <v>--</v>
      </c>
      <c r="J139" s="64">
        <f ca="1"/>
        <v>97.448999999999998</v>
      </c>
      <c r="K139" s="17">
        <f ca="1"/>
        <v>4.28</v>
      </c>
      <c r="L139" s="18" t="str">
        <f ca="1"/>
        <v>2,800(200)</v>
      </c>
      <c r="M139" s="83"/>
      <c r="N139" s="84" t="str">
        <f t="shared" si="37"/>
        <v/>
      </c>
      <c r="O139" s="20" t="str">
        <f t="shared" si="38"/>
        <v/>
      </c>
      <c r="P139" s="64" t="str">
        <f t="shared" si="39"/>
        <v/>
      </c>
      <c r="Q139" s="85" t="str">
        <f t="shared" ca="1" si="40"/>
        <v/>
      </c>
      <c r="R139" s="86" t="str">
        <f t="shared" si="41"/>
        <v/>
      </c>
      <c r="S139" s="86" t="str">
        <f t="shared" si="42"/>
        <v/>
      </c>
      <c r="T139" s="104" t="str">
        <f t="shared" si="43"/>
        <v/>
      </c>
      <c r="U139" s="19" t="str">
        <f>IF(AND(M139&lt;&gt;"",M139&lt;&gt;0), IF(E139 = "Muni", T139, IF(E139="Corp", T139*(1 -'Investor Input'!$C$4-'Investor Input'!$C$5), T139*(1 -'Investor Input'!$C$4))), T139)</f>
        <v/>
      </c>
      <c r="V139" s="84" t="str">
        <f t="shared" si="44"/>
        <v/>
      </c>
      <c r="W139" s="84" t="str">
        <f t="shared" si="30"/>
        <v/>
      </c>
      <c r="X139" s="21" t="str">
        <f t="shared" si="31"/>
        <v/>
      </c>
      <c r="Y139" s="60" t="str">
        <f t="shared" si="32"/>
        <v/>
      </c>
      <c r="Z139" s="60" t="str">
        <f t="shared" si="33"/>
        <v/>
      </c>
      <c r="AA139" s="64" t="str">
        <f t="shared" si="34"/>
        <v/>
      </c>
      <c r="AB139" s="64" t="str">
        <f>IF(AND(AA139&lt;&gt;"",AA139&lt;&gt;0), IF(E139="Muni", AA139, IF(E139 = "Corp", (1-'Investor Input'!$C$4-'Investor Input'!$C$5)*AA139, (1-'Investor Input'!$C$4)*AA139)), AA139)</f>
        <v/>
      </c>
      <c r="AC139" s="94" t="str">
        <f t="shared" si="35"/>
        <v/>
      </c>
      <c r="AD139" s="60" t="str">
        <f>IF(AND(M139&lt;&gt;"", M139&lt;&gt;0), N139/$N$505*MATCH(AC139,'Misc Lists'!$K$2:$K$25,0), "")</f>
        <v/>
      </c>
      <c r="AE139" s="90" t="str">
        <f t="shared" si="36"/>
        <v/>
      </c>
      <c r="AF139" s="99" t="str">
        <f>IF(AND(M139&lt;&gt;"", M139&lt;&gt;0), N139/$N$505*MATCH(AE139,'Misc Lists'!$L$2:$L$25,0), "")</f>
        <v/>
      </c>
    </row>
    <row r="140" spans="2:32" hidden="1" outlineLevel="1" x14ac:dyDescent="0.5">
      <c r="B140" s="60" t="str">
        <f ca="1"/>
        <v>91282CBZ3</v>
      </c>
      <c r="C140" s="61" t="str">
        <f ca="1"/>
        <v>N/A</v>
      </c>
      <c r="D140" s="60" t="str">
        <f ca="1"/>
        <v>UNITED STATES TREAS SER K-2028          1.25000% 04/30/2028 NTS NOTE</v>
      </c>
      <c r="E140" s="61" t="str">
        <f ca="1"/>
        <v>Tres</v>
      </c>
      <c r="F140" s="62">
        <f ca="1"/>
        <v>1.25</v>
      </c>
      <c r="G140" s="63">
        <f ca="1"/>
        <v>46873</v>
      </c>
      <c r="H140" s="61" t="str">
        <f ca="1"/>
        <v>AAA</v>
      </c>
      <c r="I140" s="61" t="str">
        <f ca="1"/>
        <v>--</v>
      </c>
      <c r="J140" s="64">
        <f ca="1"/>
        <v>91.036000000000001</v>
      </c>
      <c r="K140" s="17">
        <f ca="1"/>
        <v>4.28</v>
      </c>
      <c r="L140" s="18" t="str">
        <f ca="1"/>
        <v>1,000(200)</v>
      </c>
      <c r="M140" s="83"/>
      <c r="N140" s="84" t="str">
        <f t="shared" si="37"/>
        <v/>
      </c>
      <c r="O140" s="20" t="str">
        <f t="shared" si="38"/>
        <v/>
      </c>
      <c r="P140" s="64" t="str">
        <f t="shared" si="39"/>
        <v/>
      </c>
      <c r="Q140" s="85" t="str">
        <f t="shared" ca="1" si="40"/>
        <v/>
      </c>
      <c r="R140" s="86" t="str">
        <f t="shared" si="41"/>
        <v/>
      </c>
      <c r="S140" s="86" t="str">
        <f t="shared" si="42"/>
        <v/>
      </c>
      <c r="T140" s="104" t="str">
        <f t="shared" si="43"/>
        <v/>
      </c>
      <c r="U140" s="19" t="str">
        <f>IF(AND(M140&lt;&gt;"",M140&lt;&gt;0), IF(E140 = "Muni", T140, IF(E140="Corp", T140*(1 -'Investor Input'!$C$4-'Investor Input'!$C$5), T140*(1 -'Investor Input'!$C$4))), T140)</f>
        <v/>
      </c>
      <c r="V140" s="84" t="str">
        <f t="shared" si="44"/>
        <v/>
      </c>
      <c r="W140" s="84" t="str">
        <f t="shared" si="30"/>
        <v/>
      </c>
      <c r="X140" s="21" t="str">
        <f t="shared" si="31"/>
        <v/>
      </c>
      <c r="Y140" s="60" t="str">
        <f t="shared" si="32"/>
        <v/>
      </c>
      <c r="Z140" s="60" t="str">
        <f t="shared" si="33"/>
        <v/>
      </c>
      <c r="AA140" s="64" t="str">
        <f t="shared" si="34"/>
        <v/>
      </c>
      <c r="AB140" s="64" t="str">
        <f>IF(AND(AA140&lt;&gt;"",AA140&lt;&gt;0), IF(E140="Muni", AA140, IF(E140 = "Corp", (1-'Investor Input'!$C$4-'Investor Input'!$C$5)*AA140, (1-'Investor Input'!$C$4)*AA140)), AA140)</f>
        <v/>
      </c>
      <c r="AC140" s="94" t="str">
        <f t="shared" si="35"/>
        <v/>
      </c>
      <c r="AD140" s="60" t="str">
        <f>IF(AND(M140&lt;&gt;"", M140&lt;&gt;0), N140/$N$505*MATCH(AC140,'Misc Lists'!$K$2:$K$25,0), "")</f>
        <v/>
      </c>
      <c r="AE140" s="90" t="str">
        <f t="shared" si="36"/>
        <v/>
      </c>
      <c r="AF140" s="99" t="str">
        <f>IF(AND(M140&lt;&gt;"", M140&lt;&gt;0), N140/$N$505*MATCH(AE140,'Misc Lists'!$L$2:$L$25,0), "")</f>
        <v/>
      </c>
    </row>
    <row r="141" spans="2:32" hidden="1" outlineLevel="1" x14ac:dyDescent="0.5">
      <c r="B141" s="60" t="str">
        <f ca="1"/>
        <v>91282CHA2</v>
      </c>
      <c r="C141" s="61" t="str">
        <f ca="1"/>
        <v>N/A</v>
      </c>
      <c r="D141" s="60" t="str">
        <f ca="1"/>
        <v>UNITED STATES TREAS SER Y-2028          3.50000% 04/30/2028 NTS NOTE</v>
      </c>
      <c r="E141" s="61" t="str">
        <f ca="1"/>
        <v>Tres</v>
      </c>
      <c r="F141" s="62">
        <f ca="1"/>
        <v>3.5</v>
      </c>
      <c r="G141" s="63">
        <f ca="1"/>
        <v>46873</v>
      </c>
      <c r="H141" s="61" t="str">
        <f ca="1"/>
        <v>AAA</v>
      </c>
      <c r="I141" s="61" t="str">
        <f ca="1"/>
        <v>--</v>
      </c>
      <c r="J141" s="64">
        <f ca="1"/>
        <v>97.688000000000002</v>
      </c>
      <c r="K141" s="17">
        <f ca="1"/>
        <v>4.28</v>
      </c>
      <c r="L141" s="18" t="str">
        <f ca="1"/>
        <v>65,000(400)</v>
      </c>
      <c r="M141" s="83"/>
      <c r="N141" s="84" t="str">
        <f t="shared" si="37"/>
        <v/>
      </c>
      <c r="O141" s="20" t="str">
        <f t="shared" si="38"/>
        <v/>
      </c>
      <c r="P141" s="64" t="str">
        <f t="shared" si="39"/>
        <v/>
      </c>
      <c r="Q141" s="85" t="str">
        <f t="shared" ca="1" si="40"/>
        <v/>
      </c>
      <c r="R141" s="86" t="str">
        <f t="shared" si="41"/>
        <v/>
      </c>
      <c r="S141" s="86" t="str">
        <f t="shared" si="42"/>
        <v/>
      </c>
      <c r="T141" s="104" t="str">
        <f t="shared" si="43"/>
        <v/>
      </c>
      <c r="U141" s="19" t="str">
        <f>IF(AND(M141&lt;&gt;"",M141&lt;&gt;0), IF(E141 = "Muni", T141, IF(E141="Corp", T141*(1 -'Investor Input'!$C$4-'Investor Input'!$C$5), T141*(1 -'Investor Input'!$C$4))), T141)</f>
        <v/>
      </c>
      <c r="V141" s="84" t="str">
        <f t="shared" si="44"/>
        <v/>
      </c>
      <c r="W141" s="84" t="str">
        <f t="shared" si="30"/>
        <v/>
      </c>
      <c r="X141" s="21" t="str">
        <f t="shared" si="31"/>
        <v/>
      </c>
      <c r="Y141" s="60" t="str">
        <f t="shared" si="32"/>
        <v/>
      </c>
      <c r="Z141" s="60" t="str">
        <f t="shared" si="33"/>
        <v/>
      </c>
      <c r="AA141" s="64" t="str">
        <f t="shared" si="34"/>
        <v/>
      </c>
      <c r="AB141" s="64" t="str">
        <f>IF(AND(AA141&lt;&gt;"",AA141&lt;&gt;0), IF(E141="Muni", AA141, IF(E141 = "Corp", (1-'Investor Input'!$C$4-'Investor Input'!$C$5)*AA141, (1-'Investor Input'!$C$4)*AA141)), AA141)</f>
        <v/>
      </c>
      <c r="AC141" s="94" t="str">
        <f t="shared" si="35"/>
        <v/>
      </c>
      <c r="AD141" s="60" t="str">
        <f>IF(AND(M141&lt;&gt;"", M141&lt;&gt;0), N141/$N$505*MATCH(AC141,'Misc Lists'!$K$2:$K$25,0), "")</f>
        <v/>
      </c>
      <c r="AE141" s="90" t="str">
        <f t="shared" si="36"/>
        <v/>
      </c>
      <c r="AF141" s="99" t="str">
        <f>IF(AND(M141&lt;&gt;"", M141&lt;&gt;0), N141/$N$505*MATCH(AE141,'Misc Lists'!$L$2:$L$25,0), "")</f>
        <v/>
      </c>
    </row>
    <row r="142" spans="2:32" hidden="1" outlineLevel="1" x14ac:dyDescent="0.5">
      <c r="B142" s="60" t="str">
        <f ca="1"/>
        <v>91282CHK0</v>
      </c>
      <c r="C142" s="61" t="str">
        <f ca="1"/>
        <v>N/A</v>
      </c>
      <c r="D142" s="60" t="str">
        <f ca="1"/>
        <v>UNITED STATES TREAS SER AA-2028         4.00000% 06/30/2028 NTS NOTE</v>
      </c>
      <c r="E142" s="61" t="str">
        <f ca="1"/>
        <v>Tres</v>
      </c>
      <c r="F142" s="62">
        <f ca="1"/>
        <v>4</v>
      </c>
      <c r="G142" s="63">
        <f ca="1"/>
        <v>46934</v>
      </c>
      <c r="H142" s="61" t="str">
        <f ca="1"/>
        <v>AAA</v>
      </c>
      <c r="I142" s="61" t="str">
        <f ca="1"/>
        <v>--</v>
      </c>
      <c r="J142" s="64">
        <f ca="1"/>
        <v>99.13</v>
      </c>
      <c r="K142" s="17">
        <f ca="1"/>
        <v>4.2789999999999999</v>
      </c>
      <c r="L142" s="18" t="str">
        <f ca="1"/>
        <v>65,000(400)</v>
      </c>
      <c r="M142" s="83"/>
      <c r="N142" s="84" t="str">
        <f t="shared" si="37"/>
        <v/>
      </c>
      <c r="O142" s="20" t="str">
        <f t="shared" si="38"/>
        <v/>
      </c>
      <c r="P142" s="64" t="str">
        <f t="shared" si="39"/>
        <v/>
      </c>
      <c r="Q142" s="85" t="str">
        <f t="shared" ca="1" si="40"/>
        <v/>
      </c>
      <c r="R142" s="86" t="str">
        <f t="shared" si="41"/>
        <v/>
      </c>
      <c r="S142" s="86" t="str">
        <f t="shared" si="42"/>
        <v/>
      </c>
      <c r="T142" s="104" t="str">
        <f t="shared" si="43"/>
        <v/>
      </c>
      <c r="U142" s="19" t="str">
        <f>IF(AND(M142&lt;&gt;"",M142&lt;&gt;0), IF(E142 = "Muni", T142, IF(E142="Corp", T142*(1 -'Investor Input'!$C$4-'Investor Input'!$C$5), T142*(1 -'Investor Input'!$C$4))), T142)</f>
        <v/>
      </c>
      <c r="V142" s="84" t="str">
        <f t="shared" si="44"/>
        <v/>
      </c>
      <c r="W142" s="84" t="str">
        <f t="shared" si="30"/>
        <v/>
      </c>
      <c r="X142" s="21" t="str">
        <f t="shared" si="31"/>
        <v/>
      </c>
      <c r="Y142" s="60" t="str">
        <f t="shared" si="32"/>
        <v/>
      </c>
      <c r="Z142" s="60" t="str">
        <f t="shared" si="33"/>
        <v/>
      </c>
      <c r="AA142" s="64" t="str">
        <f t="shared" si="34"/>
        <v/>
      </c>
      <c r="AB142" s="64" t="str">
        <f>IF(AND(AA142&lt;&gt;"",AA142&lt;&gt;0), IF(E142="Muni", AA142, IF(E142 = "Corp", (1-'Investor Input'!$C$4-'Investor Input'!$C$5)*AA142, (1-'Investor Input'!$C$4)*AA142)), AA142)</f>
        <v/>
      </c>
      <c r="AC142" s="94" t="str">
        <f t="shared" si="35"/>
        <v/>
      </c>
      <c r="AD142" s="60" t="str">
        <f>IF(AND(M142&lt;&gt;"", M142&lt;&gt;0), N142/$N$505*MATCH(AC142,'Misc Lists'!$K$2:$K$25,0), "")</f>
        <v/>
      </c>
      <c r="AE142" s="90" t="str">
        <f t="shared" si="36"/>
        <v/>
      </c>
      <c r="AF142" s="99" t="str">
        <f>IF(AND(M142&lt;&gt;"", M142&lt;&gt;0), N142/$N$505*MATCH(AE142,'Misc Lists'!$L$2:$L$25,0), "")</f>
        <v/>
      </c>
    </row>
    <row r="143" spans="2:32" hidden="1" outlineLevel="1" x14ac:dyDescent="0.5">
      <c r="B143" s="60" t="str">
        <f ca="1"/>
        <v>91282CBH3</v>
      </c>
      <c r="C143" s="61" t="str">
        <f ca="1"/>
        <v>N/A</v>
      </c>
      <c r="D143" s="60" t="str">
        <f ca="1"/>
        <v>UNITED STATES TREAS SER U-2026          0.37500% 01/31/2026 NTS NOTE</v>
      </c>
      <c r="E143" s="61" t="str">
        <f ca="1"/>
        <v>Tres</v>
      </c>
      <c r="F143" s="62">
        <f ca="1"/>
        <v>0.375</v>
      </c>
      <c r="G143" s="63">
        <f ca="1"/>
        <v>46053</v>
      </c>
      <c r="H143" s="61" t="str">
        <f ca="1"/>
        <v>AAA</v>
      </c>
      <c r="I143" s="61" t="str">
        <f ca="1"/>
        <v>--</v>
      </c>
      <c r="J143" s="64">
        <f ca="1"/>
        <v>96.403000000000006</v>
      </c>
      <c r="K143" s="17">
        <f ca="1"/>
        <v>4.2779999999999996</v>
      </c>
      <c r="L143" s="18" t="str">
        <f ca="1"/>
        <v>30,000(400)</v>
      </c>
      <c r="M143" s="83"/>
      <c r="N143" s="84" t="str">
        <f t="shared" si="37"/>
        <v/>
      </c>
      <c r="O143" s="20" t="str">
        <f t="shared" si="38"/>
        <v/>
      </c>
      <c r="P143" s="64" t="str">
        <f t="shared" si="39"/>
        <v/>
      </c>
      <c r="Q143" s="85" t="str">
        <f t="shared" ca="1" si="40"/>
        <v/>
      </c>
      <c r="R143" s="86" t="str">
        <f t="shared" si="41"/>
        <v/>
      </c>
      <c r="S143" s="86" t="str">
        <f t="shared" si="42"/>
        <v/>
      </c>
      <c r="T143" s="104" t="str">
        <f t="shared" si="43"/>
        <v/>
      </c>
      <c r="U143" s="19" t="str">
        <f>IF(AND(M143&lt;&gt;"",M143&lt;&gt;0), IF(E143 = "Muni", T143, IF(E143="Corp", T143*(1 -'Investor Input'!$C$4-'Investor Input'!$C$5), T143*(1 -'Investor Input'!$C$4))), T143)</f>
        <v/>
      </c>
      <c r="V143" s="84" t="str">
        <f t="shared" si="44"/>
        <v/>
      </c>
      <c r="W143" s="84" t="str">
        <f t="shared" si="30"/>
        <v/>
      </c>
      <c r="X143" s="21" t="str">
        <f t="shared" si="31"/>
        <v/>
      </c>
      <c r="Y143" s="60" t="str">
        <f t="shared" si="32"/>
        <v/>
      </c>
      <c r="Z143" s="60" t="str">
        <f t="shared" si="33"/>
        <v/>
      </c>
      <c r="AA143" s="64" t="str">
        <f t="shared" si="34"/>
        <v/>
      </c>
      <c r="AB143" s="64" t="str">
        <f>IF(AND(AA143&lt;&gt;"",AA143&lt;&gt;0), IF(E143="Muni", AA143, IF(E143 = "Corp", (1-'Investor Input'!$C$4-'Investor Input'!$C$5)*AA143, (1-'Investor Input'!$C$4)*AA143)), AA143)</f>
        <v/>
      </c>
      <c r="AC143" s="94" t="str">
        <f t="shared" si="35"/>
        <v/>
      </c>
      <c r="AD143" s="60" t="str">
        <f>IF(AND(M143&lt;&gt;"", M143&lt;&gt;0), N143/$N$505*MATCH(AC143,'Misc Lists'!$K$2:$K$25,0), "")</f>
        <v/>
      </c>
      <c r="AE143" s="90" t="str">
        <f t="shared" si="36"/>
        <v/>
      </c>
      <c r="AF143" s="99" t="str">
        <f>IF(AND(M143&lt;&gt;"", M143&lt;&gt;0), N143/$N$505*MATCH(AE143,'Misc Lists'!$L$2:$L$25,0), "")</f>
        <v/>
      </c>
    </row>
    <row r="144" spans="2:32" hidden="1" outlineLevel="1" x14ac:dyDescent="0.5">
      <c r="B144" s="60" t="str">
        <f ca="1"/>
        <v>912828K74</v>
      </c>
      <c r="C144" s="61" t="str">
        <f ca="1"/>
        <v>N/A</v>
      </c>
      <c r="D144" s="60" t="str">
        <f ca="1"/>
        <v>UNITED STATES TREAS NTS NOTE            2.00000% 08/15/2025</v>
      </c>
      <c r="E144" s="61" t="str">
        <f ca="1"/>
        <v>Tres</v>
      </c>
      <c r="F144" s="62">
        <f ca="1"/>
        <v>2</v>
      </c>
      <c r="G144" s="63">
        <f ca="1"/>
        <v>45884</v>
      </c>
      <c r="H144" s="61" t="str">
        <f ca="1"/>
        <v>AAA</v>
      </c>
      <c r="I144" s="61" t="str">
        <f ca="1"/>
        <v>--</v>
      </c>
      <c r="J144" s="64">
        <f ca="1"/>
        <v>98.903000000000006</v>
      </c>
      <c r="K144" s="17">
        <f ca="1"/>
        <v>4.2770000000000001</v>
      </c>
      <c r="L144" s="18" t="str">
        <f ca="1"/>
        <v>5,600(200)</v>
      </c>
      <c r="M144" s="83"/>
      <c r="N144" s="84" t="str">
        <f t="shared" si="37"/>
        <v/>
      </c>
      <c r="O144" s="20" t="str">
        <f t="shared" si="38"/>
        <v/>
      </c>
      <c r="P144" s="64" t="str">
        <f t="shared" si="39"/>
        <v/>
      </c>
      <c r="Q144" s="85" t="str">
        <f t="shared" ca="1" si="40"/>
        <v/>
      </c>
      <c r="R144" s="86" t="str">
        <f t="shared" si="41"/>
        <v/>
      </c>
      <c r="S144" s="86" t="str">
        <f t="shared" si="42"/>
        <v/>
      </c>
      <c r="T144" s="104" t="str">
        <f t="shared" si="43"/>
        <v/>
      </c>
      <c r="U144" s="19" t="str">
        <f>IF(AND(M144&lt;&gt;"",M144&lt;&gt;0), IF(E144 = "Muni", T144, IF(E144="Corp", T144*(1 -'Investor Input'!$C$4-'Investor Input'!$C$5), T144*(1 -'Investor Input'!$C$4))), T144)</f>
        <v/>
      </c>
      <c r="V144" s="84" t="str">
        <f t="shared" si="44"/>
        <v/>
      </c>
      <c r="W144" s="84" t="str">
        <f t="shared" si="30"/>
        <v/>
      </c>
      <c r="X144" s="21" t="str">
        <f t="shared" si="31"/>
        <v/>
      </c>
      <c r="Y144" s="60" t="str">
        <f t="shared" si="32"/>
        <v/>
      </c>
      <c r="Z144" s="60" t="str">
        <f t="shared" si="33"/>
        <v/>
      </c>
      <c r="AA144" s="64" t="str">
        <f t="shared" si="34"/>
        <v/>
      </c>
      <c r="AB144" s="64" t="str">
        <f>IF(AND(AA144&lt;&gt;"",AA144&lt;&gt;0), IF(E144="Muni", AA144, IF(E144 = "Corp", (1-'Investor Input'!$C$4-'Investor Input'!$C$5)*AA144, (1-'Investor Input'!$C$4)*AA144)), AA144)</f>
        <v/>
      </c>
      <c r="AC144" s="94" t="str">
        <f t="shared" si="35"/>
        <v/>
      </c>
      <c r="AD144" s="60" t="str">
        <f>IF(AND(M144&lt;&gt;"", M144&lt;&gt;0), N144/$N$505*MATCH(AC144,'Misc Lists'!$K$2:$K$25,0), "")</f>
        <v/>
      </c>
      <c r="AE144" s="90" t="str">
        <f t="shared" si="36"/>
        <v/>
      </c>
      <c r="AF144" s="99" t="str">
        <f>IF(AND(M144&lt;&gt;"", M144&lt;&gt;0), N144/$N$505*MATCH(AE144,'Misc Lists'!$L$2:$L$25,0), "")</f>
        <v/>
      </c>
    </row>
    <row r="145" spans="2:32" hidden="1" outlineLevel="1" x14ac:dyDescent="0.5">
      <c r="B145" s="60" t="str">
        <f ca="1"/>
        <v>91282CLH2</v>
      </c>
      <c r="C145" s="61" t="str">
        <f ca="1"/>
        <v>N/A</v>
      </c>
      <c r="D145" s="60" t="str">
        <f ca="1"/>
        <v>UNITED STATES TREAS SER BG-2026         3.75000% 08/31/2026 NTS NOTE</v>
      </c>
      <c r="E145" s="61" t="str">
        <f ca="1"/>
        <v>Tres</v>
      </c>
      <c r="F145" s="62">
        <f ca="1"/>
        <v>3.75</v>
      </c>
      <c r="G145" s="63">
        <f ca="1"/>
        <v>46265</v>
      </c>
      <c r="H145" s="61" t="str">
        <f ca="1"/>
        <v>AAA</v>
      </c>
      <c r="I145" s="61" t="str">
        <f ca="1"/>
        <v>--</v>
      </c>
      <c r="J145" s="64">
        <f ca="1"/>
        <v>99.227000000000004</v>
      </c>
      <c r="K145" s="17">
        <f ca="1"/>
        <v>4.2770000000000001</v>
      </c>
      <c r="L145" s="18" t="str">
        <f ca="1"/>
        <v>80,000(400)</v>
      </c>
      <c r="M145" s="83"/>
      <c r="N145" s="84" t="str">
        <f t="shared" si="37"/>
        <v/>
      </c>
      <c r="O145" s="20" t="str">
        <f t="shared" si="38"/>
        <v/>
      </c>
      <c r="P145" s="64" t="str">
        <f t="shared" si="39"/>
        <v/>
      </c>
      <c r="Q145" s="85" t="str">
        <f t="shared" ca="1" si="40"/>
        <v/>
      </c>
      <c r="R145" s="86" t="str">
        <f t="shared" si="41"/>
        <v/>
      </c>
      <c r="S145" s="86" t="str">
        <f t="shared" si="42"/>
        <v/>
      </c>
      <c r="T145" s="104" t="str">
        <f t="shared" si="43"/>
        <v/>
      </c>
      <c r="U145" s="19" t="str">
        <f>IF(AND(M145&lt;&gt;"",M145&lt;&gt;0), IF(E145 = "Muni", T145, IF(E145="Corp", T145*(1 -'Investor Input'!$C$4-'Investor Input'!$C$5), T145*(1 -'Investor Input'!$C$4))), T145)</f>
        <v/>
      </c>
      <c r="V145" s="84" t="str">
        <f t="shared" si="44"/>
        <v/>
      </c>
      <c r="W145" s="84" t="str">
        <f t="shared" si="30"/>
        <v/>
      </c>
      <c r="X145" s="21" t="str">
        <f t="shared" si="31"/>
        <v/>
      </c>
      <c r="Y145" s="60" t="str">
        <f t="shared" si="32"/>
        <v/>
      </c>
      <c r="Z145" s="60" t="str">
        <f t="shared" si="33"/>
        <v/>
      </c>
      <c r="AA145" s="64" t="str">
        <f t="shared" si="34"/>
        <v/>
      </c>
      <c r="AB145" s="64" t="str">
        <f>IF(AND(AA145&lt;&gt;"",AA145&lt;&gt;0), IF(E145="Muni", AA145, IF(E145 = "Corp", (1-'Investor Input'!$C$4-'Investor Input'!$C$5)*AA145, (1-'Investor Input'!$C$4)*AA145)), AA145)</f>
        <v/>
      </c>
      <c r="AC145" s="94" t="str">
        <f t="shared" si="35"/>
        <v/>
      </c>
      <c r="AD145" s="60" t="str">
        <f>IF(AND(M145&lt;&gt;"", M145&lt;&gt;0), N145/$N$505*MATCH(AC145,'Misc Lists'!$K$2:$K$25,0), "")</f>
        <v/>
      </c>
      <c r="AE145" s="90" t="str">
        <f t="shared" si="36"/>
        <v/>
      </c>
      <c r="AF145" s="99" t="str">
        <f>IF(AND(M145&lt;&gt;"", M145&lt;&gt;0), N145/$N$505*MATCH(AE145,'Misc Lists'!$L$2:$L$25,0), "")</f>
        <v/>
      </c>
    </row>
    <row r="146" spans="2:32" hidden="1" outlineLevel="1" x14ac:dyDescent="0.5">
      <c r="B146" s="60" t="str">
        <f ca="1"/>
        <v>91282CMF5</v>
      </c>
      <c r="C146" s="61" t="str">
        <f ca="1"/>
        <v>N/A</v>
      </c>
      <c r="D146" s="60" t="str">
        <f ca="1"/>
        <v>UNITED STATES TREAS SER AJ-2028         4.25000% 01/15/2028 NTS NOTE</v>
      </c>
      <c r="E146" s="61" t="str">
        <f ca="1"/>
        <v>Tres</v>
      </c>
      <c r="F146" s="62">
        <f ca="1"/>
        <v>4.25</v>
      </c>
      <c r="G146" s="63">
        <f ca="1"/>
        <v>46767</v>
      </c>
      <c r="H146" s="61" t="str">
        <f ca="1"/>
        <v>AAA</v>
      </c>
      <c r="I146" s="61" t="str">
        <f ca="1"/>
        <v>--</v>
      </c>
      <c r="J146" s="64">
        <f ca="1"/>
        <v>99.921999999999997</v>
      </c>
      <c r="K146" s="17">
        <f ca="1"/>
        <v>4.2770000000000001</v>
      </c>
      <c r="L146" s="18" t="str">
        <f ca="1"/>
        <v>46,000(475)</v>
      </c>
      <c r="M146" s="83"/>
      <c r="N146" s="84" t="str">
        <f t="shared" si="37"/>
        <v/>
      </c>
      <c r="O146" s="20" t="str">
        <f t="shared" si="38"/>
        <v/>
      </c>
      <c r="P146" s="64" t="str">
        <f t="shared" si="39"/>
        <v/>
      </c>
      <c r="Q146" s="85" t="str">
        <f t="shared" ca="1" si="40"/>
        <v/>
      </c>
      <c r="R146" s="86" t="str">
        <f t="shared" si="41"/>
        <v/>
      </c>
      <c r="S146" s="86" t="str">
        <f t="shared" si="42"/>
        <v/>
      </c>
      <c r="T146" s="104" t="str">
        <f t="shared" si="43"/>
        <v/>
      </c>
      <c r="U146" s="19" t="str">
        <f>IF(AND(M146&lt;&gt;"",M146&lt;&gt;0), IF(E146 = "Muni", T146, IF(E146="Corp", T146*(1 -'Investor Input'!$C$4-'Investor Input'!$C$5), T146*(1 -'Investor Input'!$C$4))), T146)</f>
        <v/>
      </c>
      <c r="V146" s="84" t="str">
        <f t="shared" si="44"/>
        <v/>
      </c>
      <c r="W146" s="84" t="str">
        <f t="shared" si="30"/>
        <v/>
      </c>
      <c r="X146" s="21" t="str">
        <f t="shared" si="31"/>
        <v/>
      </c>
      <c r="Y146" s="60" t="str">
        <f t="shared" si="32"/>
        <v/>
      </c>
      <c r="Z146" s="60" t="str">
        <f t="shared" si="33"/>
        <v/>
      </c>
      <c r="AA146" s="64" t="str">
        <f t="shared" si="34"/>
        <v/>
      </c>
      <c r="AB146" s="64" t="str">
        <f>IF(AND(AA146&lt;&gt;"",AA146&lt;&gt;0), IF(E146="Muni", AA146, IF(E146 = "Corp", (1-'Investor Input'!$C$4-'Investor Input'!$C$5)*AA146, (1-'Investor Input'!$C$4)*AA146)), AA146)</f>
        <v/>
      </c>
      <c r="AC146" s="94" t="str">
        <f t="shared" si="35"/>
        <v/>
      </c>
      <c r="AD146" s="60" t="str">
        <f>IF(AND(M146&lt;&gt;"", M146&lt;&gt;0), N146/$N$505*MATCH(AC146,'Misc Lists'!$K$2:$K$25,0), "")</f>
        <v/>
      </c>
      <c r="AE146" s="90" t="str">
        <f t="shared" si="36"/>
        <v/>
      </c>
      <c r="AF146" s="99" t="str">
        <f>IF(AND(M146&lt;&gt;"", M146&lt;&gt;0), N146/$N$505*MATCH(AE146,'Misc Lists'!$L$2:$L$25,0), "")</f>
        <v/>
      </c>
    </row>
    <row r="147" spans="2:32" hidden="1" outlineLevel="1" x14ac:dyDescent="0.5">
      <c r="B147" s="60" t="str">
        <f ca="1"/>
        <v>91282CGP0</v>
      </c>
      <c r="C147" s="61" t="str">
        <f ca="1"/>
        <v>N/A</v>
      </c>
      <c r="D147" s="60" t="str">
        <f ca="1"/>
        <v>UNITED STATES TREAS SER V-2028          4.00000% 02/29/2028 NTS NOTE</v>
      </c>
      <c r="E147" s="61" t="str">
        <f ca="1"/>
        <v>Tres</v>
      </c>
      <c r="F147" s="62">
        <f ca="1"/>
        <v>4</v>
      </c>
      <c r="G147" s="63">
        <f ca="1"/>
        <v>46812</v>
      </c>
      <c r="H147" s="61" t="str">
        <f ca="1"/>
        <v>AAA</v>
      </c>
      <c r="I147" s="61" t="str">
        <f ca="1"/>
        <v>--</v>
      </c>
      <c r="J147" s="64">
        <f ca="1"/>
        <v>99.222999999999999</v>
      </c>
      <c r="K147" s="17">
        <f ca="1"/>
        <v>4.2759999999999998</v>
      </c>
      <c r="L147" s="18" t="str">
        <f ca="1"/>
        <v>65,000(400)</v>
      </c>
      <c r="M147" s="83"/>
      <c r="N147" s="84" t="str">
        <f t="shared" si="37"/>
        <v/>
      </c>
      <c r="O147" s="20" t="str">
        <f t="shared" si="38"/>
        <v/>
      </c>
      <c r="P147" s="64" t="str">
        <f t="shared" si="39"/>
        <v/>
      </c>
      <c r="Q147" s="85" t="str">
        <f t="shared" ca="1" si="40"/>
        <v/>
      </c>
      <c r="R147" s="86" t="str">
        <f t="shared" si="41"/>
        <v/>
      </c>
      <c r="S147" s="86" t="str">
        <f t="shared" si="42"/>
        <v/>
      </c>
      <c r="T147" s="104" t="str">
        <f t="shared" si="43"/>
        <v/>
      </c>
      <c r="U147" s="19" t="str">
        <f>IF(AND(M147&lt;&gt;"",M147&lt;&gt;0), IF(E147 = "Muni", T147, IF(E147="Corp", T147*(1 -'Investor Input'!$C$4-'Investor Input'!$C$5), T147*(1 -'Investor Input'!$C$4))), T147)</f>
        <v/>
      </c>
      <c r="V147" s="84" t="str">
        <f t="shared" si="44"/>
        <v/>
      </c>
      <c r="W147" s="84" t="str">
        <f t="shared" si="30"/>
        <v/>
      </c>
      <c r="X147" s="21" t="str">
        <f t="shared" si="31"/>
        <v/>
      </c>
      <c r="Y147" s="60" t="str">
        <f t="shared" si="32"/>
        <v/>
      </c>
      <c r="Z147" s="60" t="str">
        <f t="shared" si="33"/>
        <v/>
      </c>
      <c r="AA147" s="64" t="str">
        <f t="shared" si="34"/>
        <v/>
      </c>
      <c r="AB147" s="64" t="str">
        <f>IF(AND(AA147&lt;&gt;"",AA147&lt;&gt;0), IF(E147="Muni", AA147, IF(E147 = "Corp", (1-'Investor Input'!$C$4-'Investor Input'!$C$5)*AA147, (1-'Investor Input'!$C$4)*AA147)), AA147)</f>
        <v/>
      </c>
      <c r="AC147" s="94" t="str">
        <f t="shared" si="35"/>
        <v/>
      </c>
      <c r="AD147" s="60" t="str">
        <f>IF(AND(M147&lt;&gt;"", M147&lt;&gt;0), N147/$N$505*MATCH(AC147,'Misc Lists'!$K$2:$K$25,0), "")</f>
        <v/>
      </c>
      <c r="AE147" s="90" t="str">
        <f t="shared" si="36"/>
        <v/>
      </c>
      <c r="AF147" s="99" t="str">
        <f>IF(AND(M147&lt;&gt;"", M147&lt;&gt;0), N147/$N$505*MATCH(AE147,'Misc Lists'!$L$2:$L$25,0), "")</f>
        <v/>
      </c>
    </row>
    <row r="148" spans="2:32" hidden="1" outlineLevel="1" x14ac:dyDescent="0.5">
      <c r="B148" s="60" t="str">
        <f ca="1"/>
        <v>912828ZT0</v>
      </c>
      <c r="C148" s="61" t="str">
        <f ca="1"/>
        <v>N/A</v>
      </c>
      <c r="D148" s="60" t="str">
        <f ca="1"/>
        <v>UNITED STATES TREAS SER Z-2025          0.25000% 05/31/2025 NTS NOTE</v>
      </c>
      <c r="E148" s="61" t="str">
        <f ca="1"/>
        <v>Tres</v>
      </c>
      <c r="F148" s="62">
        <f ca="1"/>
        <v>0.25</v>
      </c>
      <c r="G148" s="63">
        <f ca="1"/>
        <v>45808</v>
      </c>
      <c r="H148" s="61" t="str">
        <f ca="1"/>
        <v>AAA</v>
      </c>
      <c r="I148" s="61" t="str">
        <f ca="1"/>
        <v>--</v>
      </c>
      <c r="J148" s="64">
        <f ca="1"/>
        <v>98.885000000000005</v>
      </c>
      <c r="K148" s="17">
        <f ca="1"/>
        <v>4.274</v>
      </c>
      <c r="L148" s="18" t="str">
        <f ca="1"/>
        <v>5,600(200)</v>
      </c>
      <c r="M148" s="83"/>
      <c r="N148" s="84" t="str">
        <f t="shared" si="37"/>
        <v/>
      </c>
      <c r="O148" s="20" t="str">
        <f t="shared" si="38"/>
        <v/>
      </c>
      <c r="P148" s="64" t="str">
        <f t="shared" si="39"/>
        <v/>
      </c>
      <c r="Q148" s="85" t="str">
        <f t="shared" ca="1" si="40"/>
        <v/>
      </c>
      <c r="R148" s="86" t="str">
        <f t="shared" si="41"/>
        <v/>
      </c>
      <c r="S148" s="86" t="str">
        <f t="shared" si="42"/>
        <v/>
      </c>
      <c r="T148" s="104" t="str">
        <f t="shared" si="43"/>
        <v/>
      </c>
      <c r="U148" s="19" t="str">
        <f>IF(AND(M148&lt;&gt;"",M148&lt;&gt;0), IF(E148 = "Muni", T148, IF(E148="Corp", T148*(1 -'Investor Input'!$C$4-'Investor Input'!$C$5), T148*(1 -'Investor Input'!$C$4))), T148)</f>
        <v/>
      </c>
      <c r="V148" s="84" t="str">
        <f t="shared" si="44"/>
        <v/>
      </c>
      <c r="W148" s="84" t="str">
        <f t="shared" si="30"/>
        <v/>
      </c>
      <c r="X148" s="21" t="str">
        <f t="shared" si="31"/>
        <v/>
      </c>
      <c r="Y148" s="60" t="str">
        <f t="shared" si="32"/>
        <v/>
      </c>
      <c r="Z148" s="60" t="str">
        <f t="shared" si="33"/>
        <v/>
      </c>
      <c r="AA148" s="64" t="str">
        <f t="shared" si="34"/>
        <v/>
      </c>
      <c r="AB148" s="64" t="str">
        <f>IF(AND(AA148&lt;&gt;"",AA148&lt;&gt;0), IF(E148="Muni", AA148, IF(E148 = "Corp", (1-'Investor Input'!$C$4-'Investor Input'!$C$5)*AA148, (1-'Investor Input'!$C$4)*AA148)), AA148)</f>
        <v/>
      </c>
      <c r="AC148" s="94" t="str">
        <f t="shared" si="35"/>
        <v/>
      </c>
      <c r="AD148" s="60" t="str">
        <f>IF(AND(M148&lt;&gt;"", M148&lt;&gt;0), N148/$N$505*MATCH(AC148,'Misc Lists'!$K$2:$K$25,0), "")</f>
        <v/>
      </c>
      <c r="AE148" s="90" t="str">
        <f t="shared" si="36"/>
        <v/>
      </c>
      <c r="AF148" s="99" t="str">
        <f>IF(AND(M148&lt;&gt;"", M148&lt;&gt;0), N148/$N$505*MATCH(AE148,'Misc Lists'!$L$2:$L$25,0), "")</f>
        <v/>
      </c>
    </row>
    <row r="149" spans="2:32" hidden="1" outlineLevel="1" x14ac:dyDescent="0.5">
      <c r="B149" s="60" t="str">
        <f ca="1"/>
        <v>912828M56</v>
      </c>
      <c r="C149" s="61" t="str">
        <f ca="1"/>
        <v>N/A</v>
      </c>
      <c r="D149" s="60" t="str">
        <f ca="1"/>
        <v>UNITED STATES TREAS SER F-2025          2.25000% 11/15/2025 NTS NOTE</v>
      </c>
      <c r="E149" s="61" t="str">
        <f ca="1"/>
        <v>Tres</v>
      </c>
      <c r="F149" s="62">
        <f ca="1"/>
        <v>2.25</v>
      </c>
      <c r="G149" s="63">
        <f ca="1"/>
        <v>45976</v>
      </c>
      <c r="H149" s="61" t="str">
        <f ca="1"/>
        <v>AAA</v>
      </c>
      <c r="I149" s="61" t="str">
        <f ca="1"/>
        <v>--</v>
      </c>
      <c r="J149" s="64">
        <f ca="1"/>
        <v>98.543999999999997</v>
      </c>
      <c r="K149" s="17">
        <f ca="1"/>
        <v>4.2729999999999997</v>
      </c>
      <c r="L149" s="18" t="str">
        <f ca="1"/>
        <v>30,000(600)</v>
      </c>
      <c r="M149" s="83"/>
      <c r="N149" s="84" t="str">
        <f t="shared" si="37"/>
        <v/>
      </c>
      <c r="O149" s="20" t="str">
        <f t="shared" si="38"/>
        <v/>
      </c>
      <c r="P149" s="64" t="str">
        <f t="shared" si="39"/>
        <v/>
      </c>
      <c r="Q149" s="85" t="str">
        <f t="shared" ca="1" si="40"/>
        <v/>
      </c>
      <c r="R149" s="86" t="str">
        <f t="shared" si="41"/>
        <v/>
      </c>
      <c r="S149" s="86" t="str">
        <f t="shared" si="42"/>
        <v/>
      </c>
      <c r="T149" s="104" t="str">
        <f t="shared" si="43"/>
        <v/>
      </c>
      <c r="U149" s="19" t="str">
        <f>IF(AND(M149&lt;&gt;"",M149&lt;&gt;0), IF(E149 = "Muni", T149, IF(E149="Corp", T149*(1 -'Investor Input'!$C$4-'Investor Input'!$C$5), T149*(1 -'Investor Input'!$C$4))), T149)</f>
        <v/>
      </c>
      <c r="V149" s="84" t="str">
        <f t="shared" si="44"/>
        <v/>
      </c>
      <c r="W149" s="84" t="str">
        <f t="shared" si="30"/>
        <v/>
      </c>
      <c r="X149" s="21" t="str">
        <f t="shared" si="31"/>
        <v/>
      </c>
      <c r="Y149" s="60" t="str">
        <f t="shared" si="32"/>
        <v/>
      </c>
      <c r="Z149" s="60" t="str">
        <f t="shared" si="33"/>
        <v/>
      </c>
      <c r="AA149" s="64" t="str">
        <f t="shared" si="34"/>
        <v/>
      </c>
      <c r="AB149" s="64" t="str">
        <f>IF(AND(AA149&lt;&gt;"",AA149&lt;&gt;0), IF(E149="Muni", AA149, IF(E149 = "Corp", (1-'Investor Input'!$C$4-'Investor Input'!$C$5)*AA149, (1-'Investor Input'!$C$4)*AA149)), AA149)</f>
        <v/>
      </c>
      <c r="AC149" s="94" t="str">
        <f t="shared" si="35"/>
        <v/>
      </c>
      <c r="AD149" s="60" t="str">
        <f>IF(AND(M149&lt;&gt;"", M149&lt;&gt;0), N149/$N$505*MATCH(AC149,'Misc Lists'!$K$2:$K$25,0), "")</f>
        <v/>
      </c>
      <c r="AE149" s="90" t="str">
        <f t="shared" si="36"/>
        <v/>
      </c>
      <c r="AF149" s="99" t="str">
        <f>IF(AND(M149&lt;&gt;"", M149&lt;&gt;0), N149/$N$505*MATCH(AE149,'Misc Lists'!$L$2:$L$25,0), "")</f>
        <v/>
      </c>
    </row>
    <row r="150" spans="2:32" hidden="1" outlineLevel="1" x14ac:dyDescent="0.5">
      <c r="B150" s="60" t="str">
        <f ca="1"/>
        <v>91282CJV4</v>
      </c>
      <c r="C150" s="61" t="str">
        <f ca="1"/>
        <v>N/A</v>
      </c>
      <c r="D150" s="60" t="str">
        <f ca="1"/>
        <v>UNITED STATES TREAS SER AW-2026         4.25000% 01/31/2026 NTS NOTE</v>
      </c>
      <c r="E150" s="61" t="str">
        <f ca="1"/>
        <v>Tres</v>
      </c>
      <c r="F150" s="62">
        <f ca="1"/>
        <v>4.25</v>
      </c>
      <c r="G150" s="63">
        <f ca="1"/>
        <v>46053</v>
      </c>
      <c r="H150" s="61" t="str">
        <f ca="1"/>
        <v>AAA</v>
      </c>
      <c r="I150" s="61" t="str">
        <f ca="1"/>
        <v>--</v>
      </c>
      <c r="J150" s="64">
        <f ca="1"/>
        <v>99.977000000000004</v>
      </c>
      <c r="K150" s="17">
        <f ca="1"/>
        <v>4.2729999999999997</v>
      </c>
      <c r="L150" s="18" t="str">
        <f ca="1"/>
        <v>30,000( 400)</v>
      </c>
      <c r="M150" s="83"/>
      <c r="N150" s="84" t="str">
        <f t="shared" si="37"/>
        <v/>
      </c>
      <c r="O150" s="20" t="str">
        <f t="shared" si="38"/>
        <v/>
      </c>
      <c r="P150" s="64" t="str">
        <f t="shared" si="39"/>
        <v/>
      </c>
      <c r="Q150" s="85" t="str">
        <f t="shared" ca="1" si="40"/>
        <v/>
      </c>
      <c r="R150" s="86" t="str">
        <f t="shared" si="41"/>
        <v/>
      </c>
      <c r="S150" s="86" t="str">
        <f t="shared" si="42"/>
        <v/>
      </c>
      <c r="T150" s="104" t="str">
        <f t="shared" si="43"/>
        <v/>
      </c>
      <c r="U150" s="19" t="str">
        <f>IF(AND(M150&lt;&gt;"",M150&lt;&gt;0), IF(E150 = "Muni", T150, IF(E150="Corp", T150*(1 -'Investor Input'!$C$4-'Investor Input'!$C$5), T150*(1 -'Investor Input'!$C$4))), T150)</f>
        <v/>
      </c>
      <c r="V150" s="84" t="str">
        <f t="shared" si="44"/>
        <v/>
      </c>
      <c r="W150" s="84" t="str">
        <f t="shared" si="30"/>
        <v/>
      </c>
      <c r="X150" s="21" t="str">
        <f t="shared" si="31"/>
        <v/>
      </c>
      <c r="Y150" s="60" t="str">
        <f t="shared" si="32"/>
        <v/>
      </c>
      <c r="Z150" s="60" t="str">
        <f t="shared" si="33"/>
        <v/>
      </c>
      <c r="AA150" s="64" t="str">
        <f t="shared" si="34"/>
        <v/>
      </c>
      <c r="AB150" s="64" t="str">
        <f>IF(AND(AA150&lt;&gt;"",AA150&lt;&gt;0), IF(E150="Muni", AA150, IF(E150 = "Corp", (1-'Investor Input'!$C$4-'Investor Input'!$C$5)*AA150, (1-'Investor Input'!$C$4)*AA150)), AA150)</f>
        <v/>
      </c>
      <c r="AC150" s="94" t="str">
        <f t="shared" si="35"/>
        <v/>
      </c>
      <c r="AD150" s="60" t="str">
        <f>IF(AND(M150&lt;&gt;"", M150&lt;&gt;0), N150/$N$505*MATCH(AC150,'Misc Lists'!$K$2:$K$25,0), "")</f>
        <v/>
      </c>
      <c r="AE150" s="90" t="str">
        <f t="shared" si="36"/>
        <v/>
      </c>
      <c r="AF150" s="99" t="str">
        <f>IF(AND(M150&lt;&gt;"", M150&lt;&gt;0), N150/$N$505*MATCH(AE150,'Misc Lists'!$L$2:$L$25,0), "")</f>
        <v/>
      </c>
    </row>
    <row r="151" spans="2:32" hidden="1" outlineLevel="1" x14ac:dyDescent="0.5">
      <c r="B151" s="60" t="str">
        <f ca="1"/>
        <v>91282CKK6</v>
      </c>
      <c r="C151" s="61" t="str">
        <f ca="1"/>
        <v>N/A</v>
      </c>
      <c r="D151" s="60" t="str">
        <f ca="1"/>
        <v>UNITED STATES TREAS SER BA-2026         4.87500% 04/30/2026 NTS NOTE</v>
      </c>
      <c r="E151" s="61" t="str">
        <f ca="1"/>
        <v>Tres</v>
      </c>
      <c r="F151" s="62">
        <f ca="1"/>
        <v>4.875</v>
      </c>
      <c r="G151" s="63">
        <f ca="1"/>
        <v>46142</v>
      </c>
      <c r="H151" s="61" t="str">
        <f ca="1"/>
        <v>AAA</v>
      </c>
      <c r="I151" s="61" t="str">
        <f ca="1"/>
        <v>--</v>
      </c>
      <c r="J151" s="64">
        <f ca="1"/>
        <v>100.688</v>
      </c>
      <c r="K151" s="17">
        <f ca="1"/>
        <v>4.2729999999999997</v>
      </c>
      <c r="L151" s="18" t="str">
        <f ca="1"/>
        <v>30,000(400)</v>
      </c>
      <c r="M151" s="83"/>
      <c r="N151" s="84" t="str">
        <f t="shared" si="37"/>
        <v/>
      </c>
      <c r="O151" s="20" t="str">
        <f t="shared" si="38"/>
        <v/>
      </c>
      <c r="P151" s="64" t="str">
        <f t="shared" si="39"/>
        <v/>
      </c>
      <c r="Q151" s="85" t="str">
        <f t="shared" ca="1" si="40"/>
        <v/>
      </c>
      <c r="R151" s="86" t="str">
        <f t="shared" si="41"/>
        <v/>
      </c>
      <c r="S151" s="86" t="str">
        <f t="shared" si="42"/>
        <v/>
      </c>
      <c r="T151" s="104" t="str">
        <f t="shared" si="43"/>
        <v/>
      </c>
      <c r="U151" s="19" t="str">
        <f>IF(AND(M151&lt;&gt;"",M151&lt;&gt;0), IF(E151 = "Muni", T151, IF(E151="Corp", T151*(1 -'Investor Input'!$C$4-'Investor Input'!$C$5), T151*(1 -'Investor Input'!$C$4))), T151)</f>
        <v/>
      </c>
      <c r="V151" s="84" t="str">
        <f t="shared" si="44"/>
        <v/>
      </c>
      <c r="W151" s="84" t="str">
        <f t="shared" si="30"/>
        <v/>
      </c>
      <c r="X151" s="21" t="str">
        <f t="shared" si="31"/>
        <v/>
      </c>
      <c r="Y151" s="60" t="str">
        <f t="shared" si="32"/>
        <v/>
      </c>
      <c r="Z151" s="60" t="str">
        <f t="shared" si="33"/>
        <v/>
      </c>
      <c r="AA151" s="64" t="str">
        <f t="shared" si="34"/>
        <v/>
      </c>
      <c r="AB151" s="64" t="str">
        <f>IF(AND(AA151&lt;&gt;"",AA151&lt;&gt;0), IF(E151="Muni", AA151, IF(E151 = "Corp", (1-'Investor Input'!$C$4-'Investor Input'!$C$5)*AA151, (1-'Investor Input'!$C$4)*AA151)), AA151)</f>
        <v/>
      </c>
      <c r="AC151" s="94" t="str">
        <f t="shared" si="35"/>
        <v/>
      </c>
      <c r="AD151" s="60" t="str">
        <f>IF(AND(M151&lt;&gt;"", M151&lt;&gt;0), N151/$N$505*MATCH(AC151,'Misc Lists'!$K$2:$K$25,0), "")</f>
        <v/>
      </c>
      <c r="AE151" s="90" t="str">
        <f t="shared" si="36"/>
        <v/>
      </c>
      <c r="AF151" s="99" t="str">
        <f>IF(AND(M151&lt;&gt;"", M151&lt;&gt;0), N151/$N$505*MATCH(AE151,'Misc Lists'!$L$2:$L$25,0), "")</f>
        <v/>
      </c>
    </row>
    <row r="152" spans="2:32" hidden="1" outlineLevel="1" x14ac:dyDescent="0.5">
      <c r="B152" s="60" t="str">
        <f ca="1"/>
        <v>91282CLB5</v>
      </c>
      <c r="C152" s="61" t="str">
        <f ca="1"/>
        <v>N/A</v>
      </c>
      <c r="D152" s="60" t="str">
        <f ca="1"/>
        <v>UNITED STATES TREAS SER BE-2026         4.37500% 07/31/2026 NTS NOTE</v>
      </c>
      <c r="E152" s="61" t="str">
        <f ca="1"/>
        <v>Tres</v>
      </c>
      <c r="F152" s="62">
        <f ca="1"/>
        <v>4.375</v>
      </c>
      <c r="G152" s="63">
        <f ca="1"/>
        <v>46234</v>
      </c>
      <c r="H152" s="61" t="str">
        <f ca="1"/>
        <v>AAA</v>
      </c>
      <c r="I152" s="61" t="str">
        <f ca="1"/>
        <v>--</v>
      </c>
      <c r="J152" s="64">
        <f ca="1"/>
        <v>100.14100000000001</v>
      </c>
      <c r="K152" s="17">
        <f ca="1"/>
        <v>4.2720000000000002</v>
      </c>
      <c r="L152" s="18" t="str">
        <f ca="1"/>
        <v>150,000(400)</v>
      </c>
      <c r="M152" s="83"/>
      <c r="N152" s="84" t="str">
        <f t="shared" si="37"/>
        <v/>
      </c>
      <c r="O152" s="20" t="str">
        <f t="shared" si="38"/>
        <v/>
      </c>
      <c r="P152" s="64" t="str">
        <f t="shared" si="39"/>
        <v/>
      </c>
      <c r="Q152" s="85" t="str">
        <f t="shared" ca="1" si="40"/>
        <v/>
      </c>
      <c r="R152" s="86" t="str">
        <f t="shared" si="41"/>
        <v/>
      </c>
      <c r="S152" s="86" t="str">
        <f t="shared" si="42"/>
        <v/>
      </c>
      <c r="T152" s="104" t="str">
        <f t="shared" si="43"/>
        <v/>
      </c>
      <c r="U152" s="19" t="str">
        <f>IF(AND(M152&lt;&gt;"",M152&lt;&gt;0), IF(E152 = "Muni", T152, IF(E152="Corp", T152*(1 -'Investor Input'!$C$4-'Investor Input'!$C$5), T152*(1 -'Investor Input'!$C$4))), T152)</f>
        <v/>
      </c>
      <c r="V152" s="84" t="str">
        <f t="shared" si="44"/>
        <v/>
      </c>
      <c r="W152" s="84" t="str">
        <f t="shared" si="30"/>
        <v/>
      </c>
      <c r="X152" s="21" t="str">
        <f t="shared" si="31"/>
        <v/>
      </c>
      <c r="Y152" s="60" t="str">
        <f t="shared" si="32"/>
        <v/>
      </c>
      <c r="Z152" s="60" t="str">
        <f t="shared" si="33"/>
        <v/>
      </c>
      <c r="AA152" s="64" t="str">
        <f t="shared" si="34"/>
        <v/>
      </c>
      <c r="AB152" s="64" t="str">
        <f>IF(AND(AA152&lt;&gt;"",AA152&lt;&gt;0), IF(E152="Muni", AA152, IF(E152 = "Corp", (1-'Investor Input'!$C$4-'Investor Input'!$C$5)*AA152, (1-'Investor Input'!$C$4)*AA152)), AA152)</f>
        <v/>
      </c>
      <c r="AC152" s="94" t="str">
        <f t="shared" si="35"/>
        <v/>
      </c>
      <c r="AD152" s="60" t="str">
        <f>IF(AND(M152&lt;&gt;"", M152&lt;&gt;0), N152/$N$505*MATCH(AC152,'Misc Lists'!$K$2:$K$25,0), "")</f>
        <v/>
      </c>
      <c r="AE152" s="90" t="str">
        <f t="shared" si="36"/>
        <v/>
      </c>
      <c r="AF152" s="99" t="str">
        <f>IF(AND(M152&lt;&gt;"", M152&lt;&gt;0), N152/$N$505*MATCH(AE152,'Misc Lists'!$L$2:$L$25,0), "")</f>
        <v/>
      </c>
    </row>
    <row r="153" spans="2:32" hidden="1" outlineLevel="1" x14ac:dyDescent="0.5">
      <c r="B153" s="60" t="str">
        <f ca="1"/>
        <v>91282CGL9</v>
      </c>
      <c r="C153" s="61" t="str">
        <f ca="1"/>
        <v>N/A</v>
      </c>
      <c r="D153" s="60" t="str">
        <f ca="1"/>
        <v>UNITED STATES TREAS SER AK-2026         4.00000% 02/15/2026 NTS NOTE</v>
      </c>
      <c r="E153" s="61" t="str">
        <f ca="1"/>
        <v>Tres</v>
      </c>
      <c r="F153" s="62">
        <f ca="1"/>
        <v>4</v>
      </c>
      <c r="G153" s="63">
        <f ca="1"/>
        <v>46068</v>
      </c>
      <c r="H153" s="61" t="str">
        <f ca="1"/>
        <v>AAA</v>
      </c>
      <c r="I153" s="61" t="str">
        <f ca="1"/>
        <v>--</v>
      </c>
      <c r="J153" s="64">
        <f ca="1"/>
        <v>99.739000000000004</v>
      </c>
      <c r="K153" s="17">
        <f ca="1"/>
        <v>4.2709999999999999</v>
      </c>
      <c r="L153" s="18" t="str">
        <f ca="1"/>
        <v>30,000(400)</v>
      </c>
      <c r="M153" s="83"/>
      <c r="N153" s="84" t="str">
        <f t="shared" si="37"/>
        <v/>
      </c>
      <c r="O153" s="20" t="str">
        <f t="shared" si="38"/>
        <v/>
      </c>
      <c r="P153" s="64" t="str">
        <f t="shared" si="39"/>
        <v/>
      </c>
      <c r="Q153" s="85" t="str">
        <f t="shared" ca="1" si="40"/>
        <v/>
      </c>
      <c r="R153" s="86" t="str">
        <f t="shared" si="41"/>
        <v/>
      </c>
      <c r="S153" s="86" t="str">
        <f t="shared" si="42"/>
        <v/>
      </c>
      <c r="T153" s="104" t="str">
        <f t="shared" si="43"/>
        <v/>
      </c>
      <c r="U153" s="19" t="str">
        <f>IF(AND(M153&lt;&gt;"",M153&lt;&gt;0), IF(E153 = "Muni", T153, IF(E153="Corp", T153*(1 -'Investor Input'!$C$4-'Investor Input'!$C$5), T153*(1 -'Investor Input'!$C$4))), T153)</f>
        <v/>
      </c>
      <c r="V153" s="84" t="str">
        <f t="shared" si="44"/>
        <v/>
      </c>
      <c r="W153" s="84" t="str">
        <f t="shared" si="30"/>
        <v/>
      </c>
      <c r="X153" s="21" t="str">
        <f t="shared" si="31"/>
        <v/>
      </c>
      <c r="Y153" s="60" t="str">
        <f t="shared" si="32"/>
        <v/>
      </c>
      <c r="Z153" s="60" t="str">
        <f t="shared" si="33"/>
        <v/>
      </c>
      <c r="AA153" s="64" t="str">
        <f t="shared" si="34"/>
        <v/>
      </c>
      <c r="AB153" s="64" t="str">
        <f>IF(AND(AA153&lt;&gt;"",AA153&lt;&gt;0), IF(E153="Muni", AA153, IF(E153 = "Corp", (1-'Investor Input'!$C$4-'Investor Input'!$C$5)*AA153, (1-'Investor Input'!$C$4)*AA153)), AA153)</f>
        <v/>
      </c>
      <c r="AC153" s="94" t="str">
        <f t="shared" si="35"/>
        <v/>
      </c>
      <c r="AD153" s="60" t="str">
        <f>IF(AND(M153&lt;&gt;"", M153&lt;&gt;0), N153/$N$505*MATCH(AC153,'Misc Lists'!$K$2:$K$25,0), "")</f>
        <v/>
      </c>
      <c r="AE153" s="90" t="str">
        <f t="shared" si="36"/>
        <v/>
      </c>
      <c r="AF153" s="99" t="str">
        <f>IF(AND(M153&lt;&gt;"", M153&lt;&gt;0), N153/$N$505*MATCH(AE153,'Misc Lists'!$L$2:$L$25,0), "")</f>
        <v/>
      </c>
    </row>
    <row r="154" spans="2:32" hidden="1" outlineLevel="1" x14ac:dyDescent="0.5">
      <c r="B154" s="60" t="str">
        <f ca="1"/>
        <v>91282CBQ3</v>
      </c>
      <c r="C154" s="61" t="str">
        <f ca="1"/>
        <v>N/A</v>
      </c>
      <c r="D154" s="60" t="str">
        <f ca="1"/>
        <v>UNITED STATES TREAS SER V-2026          0.50000% 02/28/2026 NTS NOTE</v>
      </c>
      <c r="E154" s="61" t="str">
        <f ca="1"/>
        <v>Tres</v>
      </c>
      <c r="F154" s="62">
        <f ca="1"/>
        <v>0.5</v>
      </c>
      <c r="G154" s="63">
        <f ca="1"/>
        <v>46081</v>
      </c>
      <c r="H154" s="61" t="str">
        <f ca="1"/>
        <v>AAA</v>
      </c>
      <c r="I154" s="61" t="str">
        <f ca="1"/>
        <v>--</v>
      </c>
      <c r="J154" s="64">
        <f ca="1"/>
        <v>96.248000000000005</v>
      </c>
      <c r="K154" s="17">
        <f ca="1"/>
        <v>4.2709999999999999</v>
      </c>
      <c r="L154" s="18" t="str">
        <f ca="1"/>
        <v>2,800(200)</v>
      </c>
      <c r="M154" s="83"/>
      <c r="N154" s="84" t="str">
        <f t="shared" si="37"/>
        <v/>
      </c>
      <c r="O154" s="20" t="str">
        <f t="shared" si="38"/>
        <v/>
      </c>
      <c r="P154" s="64" t="str">
        <f t="shared" si="39"/>
        <v/>
      </c>
      <c r="Q154" s="85" t="str">
        <f t="shared" ca="1" si="40"/>
        <v/>
      </c>
      <c r="R154" s="86" t="str">
        <f t="shared" si="41"/>
        <v/>
      </c>
      <c r="S154" s="86" t="str">
        <f t="shared" si="42"/>
        <v/>
      </c>
      <c r="T154" s="104" t="str">
        <f t="shared" si="43"/>
        <v/>
      </c>
      <c r="U154" s="19" t="str">
        <f>IF(AND(M154&lt;&gt;"",M154&lt;&gt;0), IF(E154 = "Muni", T154, IF(E154="Corp", T154*(1 -'Investor Input'!$C$4-'Investor Input'!$C$5), T154*(1 -'Investor Input'!$C$4))), T154)</f>
        <v/>
      </c>
      <c r="V154" s="84" t="str">
        <f t="shared" si="44"/>
        <v/>
      </c>
      <c r="W154" s="84" t="str">
        <f t="shared" si="30"/>
        <v/>
      </c>
      <c r="X154" s="21" t="str">
        <f t="shared" si="31"/>
        <v/>
      </c>
      <c r="Y154" s="60" t="str">
        <f t="shared" si="32"/>
        <v/>
      </c>
      <c r="Z154" s="60" t="str">
        <f t="shared" si="33"/>
        <v/>
      </c>
      <c r="AA154" s="64" t="str">
        <f t="shared" si="34"/>
        <v/>
      </c>
      <c r="AB154" s="64" t="str">
        <f>IF(AND(AA154&lt;&gt;"",AA154&lt;&gt;0), IF(E154="Muni", AA154, IF(E154 = "Corp", (1-'Investor Input'!$C$4-'Investor Input'!$C$5)*AA154, (1-'Investor Input'!$C$4)*AA154)), AA154)</f>
        <v/>
      </c>
      <c r="AC154" s="94" t="str">
        <f t="shared" si="35"/>
        <v/>
      </c>
      <c r="AD154" s="60" t="str">
        <f>IF(AND(M154&lt;&gt;"", M154&lt;&gt;0), N154/$N$505*MATCH(AC154,'Misc Lists'!$K$2:$K$25,0), "")</f>
        <v/>
      </c>
      <c r="AE154" s="90" t="str">
        <f t="shared" si="36"/>
        <v/>
      </c>
      <c r="AF154" s="99" t="str">
        <f>IF(AND(M154&lt;&gt;"", M154&lt;&gt;0), N154/$N$505*MATCH(AE154,'Misc Lists'!$L$2:$L$25,0), "")</f>
        <v/>
      </c>
    </row>
    <row r="155" spans="2:32" hidden="1" outlineLevel="1" x14ac:dyDescent="0.5">
      <c r="B155" s="60" t="str">
        <f ca="1"/>
        <v>91282CCF6</v>
      </c>
      <c r="C155" s="61" t="str">
        <f ca="1"/>
        <v>N/A</v>
      </c>
      <c r="D155" s="60" t="str">
        <f ca="1"/>
        <v>UNITED STATES TREAS SER Z-2026          0.75000% 05/31/2026 NTS NOTE</v>
      </c>
      <c r="E155" s="61" t="str">
        <f ca="1"/>
        <v>Tres</v>
      </c>
      <c r="F155" s="62">
        <f ca="1"/>
        <v>0.75</v>
      </c>
      <c r="G155" s="63">
        <f ca="1"/>
        <v>46173</v>
      </c>
      <c r="H155" s="61" t="str">
        <f ca="1"/>
        <v>AAA</v>
      </c>
      <c r="I155" s="61" t="str">
        <f ca="1"/>
        <v>--</v>
      </c>
      <c r="J155" s="64">
        <f ca="1"/>
        <v>95.656999999999996</v>
      </c>
      <c r="K155" s="17">
        <f ca="1"/>
        <v>4.2709999999999999</v>
      </c>
      <c r="L155" s="18" t="str">
        <f ca="1"/>
        <v>30,000(400)</v>
      </c>
      <c r="M155" s="83"/>
      <c r="N155" s="84" t="str">
        <f t="shared" si="37"/>
        <v/>
      </c>
      <c r="O155" s="20" t="str">
        <f t="shared" si="38"/>
        <v/>
      </c>
      <c r="P155" s="64" t="str">
        <f t="shared" si="39"/>
        <v/>
      </c>
      <c r="Q155" s="85" t="str">
        <f t="shared" ca="1" si="40"/>
        <v/>
      </c>
      <c r="R155" s="86" t="str">
        <f t="shared" si="41"/>
        <v/>
      </c>
      <c r="S155" s="86" t="str">
        <f t="shared" si="42"/>
        <v/>
      </c>
      <c r="T155" s="104" t="str">
        <f t="shared" si="43"/>
        <v/>
      </c>
      <c r="U155" s="19" t="str">
        <f>IF(AND(M155&lt;&gt;"",M155&lt;&gt;0), IF(E155 = "Muni", T155, IF(E155="Corp", T155*(1 -'Investor Input'!$C$4-'Investor Input'!$C$5), T155*(1 -'Investor Input'!$C$4))), T155)</f>
        <v/>
      </c>
      <c r="V155" s="84" t="str">
        <f t="shared" si="44"/>
        <v/>
      </c>
      <c r="W155" s="84" t="str">
        <f t="shared" si="30"/>
        <v/>
      </c>
      <c r="X155" s="21" t="str">
        <f t="shared" si="31"/>
        <v/>
      </c>
      <c r="Y155" s="60" t="str">
        <f t="shared" si="32"/>
        <v/>
      </c>
      <c r="Z155" s="60" t="str">
        <f t="shared" si="33"/>
        <v/>
      </c>
      <c r="AA155" s="64" t="str">
        <f t="shared" si="34"/>
        <v/>
      </c>
      <c r="AB155" s="64" t="str">
        <f>IF(AND(AA155&lt;&gt;"",AA155&lt;&gt;0), IF(E155="Muni", AA155, IF(E155 = "Corp", (1-'Investor Input'!$C$4-'Investor Input'!$C$5)*AA155, (1-'Investor Input'!$C$4)*AA155)), AA155)</f>
        <v/>
      </c>
      <c r="AC155" s="94" t="str">
        <f t="shared" si="35"/>
        <v/>
      </c>
      <c r="AD155" s="60" t="str">
        <f>IF(AND(M155&lt;&gt;"", M155&lt;&gt;0), N155/$N$505*MATCH(AC155,'Misc Lists'!$K$2:$K$25,0), "")</f>
        <v/>
      </c>
      <c r="AE155" s="90" t="str">
        <f t="shared" si="36"/>
        <v/>
      </c>
      <c r="AF155" s="99" t="str">
        <f>IF(AND(M155&lt;&gt;"", M155&lt;&gt;0), N155/$N$505*MATCH(AE155,'Misc Lists'!$L$2:$L$25,0), "")</f>
        <v/>
      </c>
    </row>
    <row r="156" spans="2:32" hidden="1" outlineLevel="1" x14ac:dyDescent="0.5">
      <c r="B156" s="60" t="str">
        <f ca="1"/>
        <v>91282CLS8</v>
      </c>
      <c r="C156" s="61" t="str">
        <f ca="1"/>
        <v>N/A</v>
      </c>
      <c r="D156" s="60" t="str">
        <f ca="1"/>
        <v>UNITED STATES TREAS SER BJ-2026         4.12500% 10/31/2026 NTS NOTE</v>
      </c>
      <c r="E156" s="61" t="str">
        <f ca="1"/>
        <v>Tres</v>
      </c>
      <c r="F156" s="62">
        <f ca="1"/>
        <v>4.125</v>
      </c>
      <c r="G156" s="63">
        <f ca="1"/>
        <v>46326</v>
      </c>
      <c r="H156" s="61" t="str">
        <f ca="1"/>
        <v>AAA</v>
      </c>
      <c r="I156" s="61" t="str">
        <f ca="1"/>
        <v>--</v>
      </c>
      <c r="J156" s="64">
        <f ca="1"/>
        <v>99.757999999999996</v>
      </c>
      <c r="K156" s="17">
        <f ca="1"/>
        <v>4.2709999999999999</v>
      </c>
      <c r="L156" s="18" t="str">
        <f ca="1"/>
        <v>70,000(400)</v>
      </c>
      <c r="M156" s="83"/>
      <c r="N156" s="84" t="str">
        <f t="shared" si="37"/>
        <v/>
      </c>
      <c r="O156" s="20" t="str">
        <f t="shared" si="38"/>
        <v/>
      </c>
      <c r="P156" s="64" t="str">
        <f t="shared" si="39"/>
        <v/>
      </c>
      <c r="Q156" s="85" t="str">
        <f t="shared" ca="1" si="40"/>
        <v/>
      </c>
      <c r="R156" s="86" t="str">
        <f t="shared" si="41"/>
        <v/>
      </c>
      <c r="S156" s="86" t="str">
        <f t="shared" si="42"/>
        <v/>
      </c>
      <c r="T156" s="104" t="str">
        <f t="shared" si="43"/>
        <v/>
      </c>
      <c r="U156" s="19" t="str">
        <f>IF(AND(M156&lt;&gt;"",M156&lt;&gt;0), IF(E156 = "Muni", T156, IF(E156="Corp", T156*(1 -'Investor Input'!$C$4-'Investor Input'!$C$5), T156*(1 -'Investor Input'!$C$4))), T156)</f>
        <v/>
      </c>
      <c r="V156" s="84" t="str">
        <f t="shared" si="44"/>
        <v/>
      </c>
      <c r="W156" s="84" t="str">
        <f t="shared" si="30"/>
        <v/>
      </c>
      <c r="X156" s="21" t="str">
        <f t="shared" si="31"/>
        <v/>
      </c>
      <c r="Y156" s="60" t="str">
        <f t="shared" si="32"/>
        <v/>
      </c>
      <c r="Z156" s="60" t="str">
        <f t="shared" si="33"/>
        <v/>
      </c>
      <c r="AA156" s="64" t="str">
        <f t="shared" si="34"/>
        <v/>
      </c>
      <c r="AB156" s="64" t="str">
        <f>IF(AND(AA156&lt;&gt;"",AA156&lt;&gt;0), IF(E156="Muni", AA156, IF(E156 = "Corp", (1-'Investor Input'!$C$4-'Investor Input'!$C$5)*AA156, (1-'Investor Input'!$C$4)*AA156)), AA156)</f>
        <v/>
      </c>
      <c r="AC156" s="94" t="str">
        <f t="shared" si="35"/>
        <v/>
      </c>
      <c r="AD156" s="60" t="str">
        <f>IF(AND(M156&lt;&gt;"", M156&lt;&gt;0), N156/$N$505*MATCH(AC156,'Misc Lists'!$K$2:$K$25,0), "")</f>
        <v/>
      </c>
      <c r="AE156" s="90" t="str">
        <f t="shared" si="36"/>
        <v/>
      </c>
      <c r="AF156" s="99" t="str">
        <f>IF(AND(M156&lt;&gt;"", M156&lt;&gt;0), N156/$N$505*MATCH(AE156,'Misc Lists'!$L$2:$L$25,0), "")</f>
        <v/>
      </c>
    </row>
    <row r="157" spans="2:32" hidden="1" outlineLevel="1" x14ac:dyDescent="0.5">
      <c r="B157" s="60" t="str">
        <f ca="1"/>
        <v>91282CLX7</v>
      </c>
      <c r="C157" s="61" t="str">
        <f ca="1"/>
        <v>N/A</v>
      </c>
      <c r="D157" s="60" t="str">
        <f ca="1"/>
        <v>UNITED STATES TREAS SER AU-2027         4.12500% 11/15/2027 NTS NOTE</v>
      </c>
      <c r="E157" s="61" t="str">
        <f ca="1"/>
        <v>Tres</v>
      </c>
      <c r="F157" s="62">
        <f ca="1"/>
        <v>4.125</v>
      </c>
      <c r="G157" s="63">
        <f ca="1"/>
        <v>46706</v>
      </c>
      <c r="H157" s="61" t="str">
        <f ca="1"/>
        <v>AAA</v>
      </c>
      <c r="I157" s="61" t="str">
        <f ca="1"/>
        <v>--</v>
      </c>
      <c r="J157" s="64">
        <f ca="1"/>
        <v>99.622</v>
      </c>
      <c r="K157" s="17">
        <f ca="1"/>
        <v>4.2709999999999999</v>
      </c>
      <c r="L157" s="18" t="str">
        <f ca="1"/>
        <v>125,000(400)</v>
      </c>
      <c r="M157" s="83"/>
      <c r="N157" s="84" t="str">
        <f t="shared" si="37"/>
        <v/>
      </c>
      <c r="O157" s="20" t="str">
        <f t="shared" si="38"/>
        <v/>
      </c>
      <c r="P157" s="64" t="str">
        <f t="shared" si="39"/>
        <v/>
      </c>
      <c r="Q157" s="85" t="str">
        <f t="shared" ca="1" si="40"/>
        <v/>
      </c>
      <c r="R157" s="86" t="str">
        <f t="shared" si="41"/>
        <v/>
      </c>
      <c r="S157" s="86" t="str">
        <f t="shared" si="42"/>
        <v/>
      </c>
      <c r="T157" s="104" t="str">
        <f t="shared" si="43"/>
        <v/>
      </c>
      <c r="U157" s="19" t="str">
        <f>IF(AND(M157&lt;&gt;"",M157&lt;&gt;0), IF(E157 = "Muni", T157, IF(E157="Corp", T157*(1 -'Investor Input'!$C$4-'Investor Input'!$C$5), T157*(1 -'Investor Input'!$C$4))), T157)</f>
        <v/>
      </c>
      <c r="V157" s="84" t="str">
        <f t="shared" si="44"/>
        <v/>
      </c>
      <c r="W157" s="84" t="str">
        <f t="shared" si="30"/>
        <v/>
      </c>
      <c r="X157" s="21" t="str">
        <f t="shared" si="31"/>
        <v/>
      </c>
      <c r="Y157" s="60" t="str">
        <f t="shared" si="32"/>
        <v/>
      </c>
      <c r="Z157" s="60" t="str">
        <f t="shared" si="33"/>
        <v/>
      </c>
      <c r="AA157" s="64" t="str">
        <f t="shared" si="34"/>
        <v/>
      </c>
      <c r="AB157" s="64" t="str">
        <f>IF(AND(AA157&lt;&gt;"",AA157&lt;&gt;0), IF(E157="Muni", AA157, IF(E157 = "Corp", (1-'Investor Input'!$C$4-'Investor Input'!$C$5)*AA157, (1-'Investor Input'!$C$4)*AA157)), AA157)</f>
        <v/>
      </c>
      <c r="AC157" s="94" t="str">
        <f t="shared" si="35"/>
        <v/>
      </c>
      <c r="AD157" s="60" t="str">
        <f>IF(AND(M157&lt;&gt;"", M157&lt;&gt;0), N157/$N$505*MATCH(AC157,'Misc Lists'!$K$2:$K$25,0), "")</f>
        <v/>
      </c>
      <c r="AE157" s="90" t="str">
        <f t="shared" si="36"/>
        <v/>
      </c>
      <c r="AF157" s="99" t="str">
        <f>IF(AND(M157&lt;&gt;"", M157&lt;&gt;0), N157/$N$505*MATCH(AE157,'Misc Lists'!$L$2:$L$25,0), "")</f>
        <v/>
      </c>
    </row>
    <row r="158" spans="2:32" hidden="1" outlineLevel="1" x14ac:dyDescent="0.5">
      <c r="B158" s="60" t="str">
        <f ca="1"/>
        <v>91282CHN4</v>
      </c>
      <c r="C158" s="61" t="str">
        <f ca="1"/>
        <v>N/A</v>
      </c>
      <c r="D158" s="60" t="str">
        <f ca="1"/>
        <v>UNITED STATES TREAS SER BE-2025         4.75000% 07/31/2025 NTS NOTE</v>
      </c>
      <c r="E158" s="61" t="str">
        <f ca="1"/>
        <v>Tres</v>
      </c>
      <c r="F158" s="62">
        <f ca="1"/>
        <v>4.75</v>
      </c>
      <c r="G158" s="63">
        <f ca="1"/>
        <v>45869</v>
      </c>
      <c r="H158" s="61" t="str">
        <f ca="1"/>
        <v>AAA</v>
      </c>
      <c r="I158" s="61" t="str">
        <f ca="1"/>
        <v>--</v>
      </c>
      <c r="J158" s="64">
        <f ca="1"/>
        <v>100.208</v>
      </c>
      <c r="K158" s="17">
        <f ca="1"/>
        <v>4.2699999999999996</v>
      </c>
      <c r="L158" s="18" t="str">
        <f ca="1"/>
        <v>8,000(200)</v>
      </c>
      <c r="M158" s="83"/>
      <c r="N158" s="84" t="str">
        <f t="shared" si="37"/>
        <v/>
      </c>
      <c r="O158" s="20" t="str">
        <f t="shared" si="38"/>
        <v/>
      </c>
      <c r="P158" s="64" t="str">
        <f t="shared" si="39"/>
        <v/>
      </c>
      <c r="Q158" s="85" t="str">
        <f t="shared" ca="1" si="40"/>
        <v/>
      </c>
      <c r="R158" s="86" t="str">
        <f t="shared" si="41"/>
        <v/>
      </c>
      <c r="S158" s="86" t="str">
        <f t="shared" si="42"/>
        <v/>
      </c>
      <c r="T158" s="104" t="str">
        <f t="shared" si="43"/>
        <v/>
      </c>
      <c r="U158" s="19" t="str">
        <f>IF(AND(M158&lt;&gt;"",M158&lt;&gt;0), IF(E158 = "Muni", T158, IF(E158="Corp", T158*(1 -'Investor Input'!$C$4-'Investor Input'!$C$5), T158*(1 -'Investor Input'!$C$4))), T158)</f>
        <v/>
      </c>
      <c r="V158" s="84" t="str">
        <f t="shared" si="44"/>
        <v/>
      </c>
      <c r="W158" s="84" t="str">
        <f t="shared" si="30"/>
        <v/>
      </c>
      <c r="X158" s="21" t="str">
        <f t="shared" si="31"/>
        <v/>
      </c>
      <c r="Y158" s="60" t="str">
        <f t="shared" si="32"/>
        <v/>
      </c>
      <c r="Z158" s="60" t="str">
        <f t="shared" si="33"/>
        <v/>
      </c>
      <c r="AA158" s="64" t="str">
        <f t="shared" si="34"/>
        <v/>
      </c>
      <c r="AB158" s="64" t="str">
        <f>IF(AND(AA158&lt;&gt;"",AA158&lt;&gt;0), IF(E158="Muni", AA158, IF(E158 = "Corp", (1-'Investor Input'!$C$4-'Investor Input'!$C$5)*AA158, (1-'Investor Input'!$C$4)*AA158)), AA158)</f>
        <v/>
      </c>
      <c r="AC158" s="94" t="str">
        <f t="shared" si="35"/>
        <v/>
      </c>
      <c r="AD158" s="60" t="str">
        <f>IF(AND(M158&lt;&gt;"", M158&lt;&gt;0), N158/$N$505*MATCH(AC158,'Misc Lists'!$K$2:$K$25,0), "")</f>
        <v/>
      </c>
      <c r="AE158" s="90" t="str">
        <f t="shared" si="36"/>
        <v/>
      </c>
      <c r="AF158" s="99" t="str">
        <f>IF(AND(M158&lt;&gt;"", M158&lt;&gt;0), N158/$N$505*MATCH(AE158,'Misc Lists'!$L$2:$L$25,0), "")</f>
        <v/>
      </c>
    </row>
    <row r="159" spans="2:32" hidden="1" outlineLevel="1" x14ac:dyDescent="0.5">
      <c r="B159" s="60" t="str">
        <f ca="1"/>
        <v>91282CKH3</v>
      </c>
      <c r="C159" s="61" t="str">
        <f ca="1"/>
        <v>N/A</v>
      </c>
      <c r="D159" s="60" t="str">
        <f ca="1"/>
        <v>UNITED STATES TREAS SER AZ-2026         4.50000% 03/31/2026 NTS NOTE</v>
      </c>
      <c r="E159" s="61" t="str">
        <f ca="1"/>
        <v>Tres</v>
      </c>
      <c r="F159" s="62">
        <f ca="1"/>
        <v>4.5</v>
      </c>
      <c r="G159" s="63">
        <f ca="1"/>
        <v>46112</v>
      </c>
      <c r="H159" s="61" t="str">
        <f ca="1"/>
        <v>AAA</v>
      </c>
      <c r="I159" s="61" t="str">
        <f ca="1"/>
        <v>--</v>
      </c>
      <c r="J159" s="64">
        <f ca="1"/>
        <v>100.24299999999999</v>
      </c>
      <c r="K159" s="17">
        <f ca="1"/>
        <v>4.2699999999999996</v>
      </c>
      <c r="L159" s="18" t="str">
        <f ca="1"/>
        <v>30,000(400)</v>
      </c>
      <c r="M159" s="83"/>
      <c r="N159" s="84" t="str">
        <f t="shared" si="37"/>
        <v/>
      </c>
      <c r="O159" s="20" t="str">
        <f t="shared" si="38"/>
        <v/>
      </c>
      <c r="P159" s="64" t="str">
        <f t="shared" si="39"/>
        <v/>
      </c>
      <c r="Q159" s="85" t="str">
        <f t="shared" ca="1" si="40"/>
        <v/>
      </c>
      <c r="R159" s="86" t="str">
        <f t="shared" si="41"/>
        <v/>
      </c>
      <c r="S159" s="86" t="str">
        <f t="shared" si="42"/>
        <v/>
      </c>
      <c r="T159" s="104" t="str">
        <f t="shared" si="43"/>
        <v/>
      </c>
      <c r="U159" s="19" t="str">
        <f>IF(AND(M159&lt;&gt;"",M159&lt;&gt;0), IF(E159 = "Muni", T159, IF(E159="Corp", T159*(1 -'Investor Input'!$C$4-'Investor Input'!$C$5), T159*(1 -'Investor Input'!$C$4))), T159)</f>
        <v/>
      </c>
      <c r="V159" s="84" t="str">
        <f t="shared" si="44"/>
        <v/>
      </c>
      <c r="W159" s="84" t="str">
        <f t="shared" si="30"/>
        <v/>
      </c>
      <c r="X159" s="21" t="str">
        <f t="shared" si="31"/>
        <v/>
      </c>
      <c r="Y159" s="60" t="str">
        <f t="shared" si="32"/>
        <v/>
      </c>
      <c r="Z159" s="60" t="str">
        <f t="shared" si="33"/>
        <v/>
      </c>
      <c r="AA159" s="64" t="str">
        <f t="shared" si="34"/>
        <v/>
      </c>
      <c r="AB159" s="64" t="str">
        <f>IF(AND(AA159&lt;&gt;"",AA159&lt;&gt;0), IF(E159="Muni", AA159, IF(E159 = "Corp", (1-'Investor Input'!$C$4-'Investor Input'!$C$5)*AA159, (1-'Investor Input'!$C$4)*AA159)), AA159)</f>
        <v/>
      </c>
      <c r="AC159" s="94" t="str">
        <f t="shared" si="35"/>
        <v/>
      </c>
      <c r="AD159" s="60" t="str">
        <f>IF(AND(M159&lt;&gt;"", M159&lt;&gt;0), N159/$N$505*MATCH(AC159,'Misc Lists'!$K$2:$K$25,0), "")</f>
        <v/>
      </c>
      <c r="AE159" s="90" t="str">
        <f t="shared" si="36"/>
        <v/>
      </c>
      <c r="AF159" s="99" t="str">
        <f>IF(AND(M159&lt;&gt;"", M159&lt;&gt;0), N159/$N$505*MATCH(AE159,'Misc Lists'!$L$2:$L$25,0), "")</f>
        <v/>
      </c>
    </row>
    <row r="160" spans="2:32" hidden="1" outlineLevel="1" x14ac:dyDescent="0.5">
      <c r="B160" s="60" t="str">
        <f ca="1"/>
        <v>91282CCZ2</v>
      </c>
      <c r="C160" s="61" t="str">
        <f ca="1"/>
        <v>N/A</v>
      </c>
      <c r="D160" s="60" t="str">
        <f ca="1"/>
        <v>UNITED STATES TREAS SER AD-2026         0.87500% 09/30/2026 NTS NOTE</v>
      </c>
      <c r="E160" s="61" t="str">
        <f ca="1"/>
        <v>Tres</v>
      </c>
      <c r="F160" s="62">
        <f ca="1"/>
        <v>0.875</v>
      </c>
      <c r="G160" s="63">
        <f ca="1"/>
        <v>46295</v>
      </c>
      <c r="H160" s="61" t="str">
        <f ca="1"/>
        <v>AAA</v>
      </c>
      <c r="I160" s="61" t="str">
        <f ca="1"/>
        <v>--</v>
      </c>
      <c r="J160" s="64">
        <f ca="1"/>
        <v>94.762</v>
      </c>
      <c r="K160" s="17">
        <f ca="1"/>
        <v>4.2699999999999996</v>
      </c>
      <c r="L160" s="18" t="str">
        <f ca="1"/>
        <v>70,000(400)</v>
      </c>
      <c r="M160" s="83"/>
      <c r="N160" s="84" t="str">
        <f t="shared" si="37"/>
        <v/>
      </c>
      <c r="O160" s="20" t="str">
        <f t="shared" si="38"/>
        <v/>
      </c>
      <c r="P160" s="64" t="str">
        <f t="shared" si="39"/>
        <v/>
      </c>
      <c r="Q160" s="85" t="str">
        <f t="shared" ca="1" si="40"/>
        <v/>
      </c>
      <c r="R160" s="86" t="str">
        <f t="shared" si="41"/>
        <v/>
      </c>
      <c r="S160" s="86" t="str">
        <f t="shared" si="42"/>
        <v/>
      </c>
      <c r="T160" s="104" t="str">
        <f t="shared" si="43"/>
        <v/>
      </c>
      <c r="U160" s="19" t="str">
        <f>IF(AND(M160&lt;&gt;"",M160&lt;&gt;0), IF(E160 = "Muni", T160, IF(E160="Corp", T160*(1 -'Investor Input'!$C$4-'Investor Input'!$C$5), T160*(1 -'Investor Input'!$C$4))), T160)</f>
        <v/>
      </c>
      <c r="V160" s="84" t="str">
        <f t="shared" si="44"/>
        <v/>
      </c>
      <c r="W160" s="84" t="str">
        <f t="shared" si="30"/>
        <v/>
      </c>
      <c r="X160" s="21" t="str">
        <f t="shared" si="31"/>
        <v/>
      </c>
      <c r="Y160" s="60" t="str">
        <f t="shared" si="32"/>
        <v/>
      </c>
      <c r="Z160" s="60" t="str">
        <f t="shared" si="33"/>
        <v/>
      </c>
      <c r="AA160" s="64" t="str">
        <f t="shared" si="34"/>
        <v/>
      </c>
      <c r="AB160" s="64" t="str">
        <f>IF(AND(AA160&lt;&gt;"",AA160&lt;&gt;0), IF(E160="Muni", AA160, IF(E160 = "Corp", (1-'Investor Input'!$C$4-'Investor Input'!$C$5)*AA160, (1-'Investor Input'!$C$4)*AA160)), AA160)</f>
        <v/>
      </c>
      <c r="AC160" s="94" t="str">
        <f t="shared" si="35"/>
        <v/>
      </c>
      <c r="AD160" s="60" t="str">
        <f>IF(AND(M160&lt;&gt;"", M160&lt;&gt;0), N160/$N$505*MATCH(AC160,'Misc Lists'!$K$2:$K$25,0), "")</f>
        <v/>
      </c>
      <c r="AE160" s="90" t="str">
        <f t="shared" si="36"/>
        <v/>
      </c>
      <c r="AF160" s="99" t="str">
        <f>IF(AND(M160&lt;&gt;"", M160&lt;&gt;0), N160/$N$505*MATCH(AE160,'Misc Lists'!$L$2:$L$25,0), "")</f>
        <v/>
      </c>
    </row>
    <row r="161" spans="2:32" hidden="1" outlineLevel="1" x14ac:dyDescent="0.5">
      <c r="B161" s="60" t="str">
        <f ca="1"/>
        <v>912828U24</v>
      </c>
      <c r="C161" s="61" t="str">
        <f ca="1"/>
        <v>N/A</v>
      </c>
      <c r="D161" s="60" t="str">
        <f ca="1"/>
        <v>UNITED STATES TREAS SER F-2026          2.00000% 11/15/2026 NTS NOTE</v>
      </c>
      <c r="E161" s="61" t="str">
        <f ca="1"/>
        <v>Tres</v>
      </c>
      <c r="F161" s="62">
        <f ca="1"/>
        <v>2</v>
      </c>
      <c r="G161" s="63">
        <f ca="1"/>
        <v>46341</v>
      </c>
      <c r="H161" s="61" t="str">
        <f ca="1"/>
        <v>AAA</v>
      </c>
      <c r="I161" s="61" t="str">
        <f ca="1"/>
        <v>--</v>
      </c>
      <c r="J161" s="64">
        <f ca="1"/>
        <v>96.234999999999999</v>
      </c>
      <c r="K161" s="17">
        <f ca="1"/>
        <v>4.2699999999999996</v>
      </c>
      <c r="L161" s="18" t="str">
        <f ca="1"/>
        <v>70,000(400)</v>
      </c>
      <c r="M161" s="83"/>
      <c r="N161" s="84" t="str">
        <f t="shared" si="37"/>
        <v/>
      </c>
      <c r="O161" s="20" t="str">
        <f t="shared" si="38"/>
        <v/>
      </c>
      <c r="P161" s="64" t="str">
        <f t="shared" si="39"/>
        <v/>
      </c>
      <c r="Q161" s="85" t="str">
        <f t="shared" ca="1" si="40"/>
        <v/>
      </c>
      <c r="R161" s="86" t="str">
        <f t="shared" si="41"/>
        <v/>
      </c>
      <c r="S161" s="86" t="str">
        <f t="shared" si="42"/>
        <v/>
      </c>
      <c r="T161" s="104" t="str">
        <f t="shared" si="43"/>
        <v/>
      </c>
      <c r="U161" s="19" t="str">
        <f>IF(AND(M161&lt;&gt;"",M161&lt;&gt;0), IF(E161 = "Muni", T161, IF(E161="Corp", T161*(1 -'Investor Input'!$C$4-'Investor Input'!$C$5), T161*(1 -'Investor Input'!$C$4))), T161)</f>
        <v/>
      </c>
      <c r="V161" s="84" t="str">
        <f t="shared" si="44"/>
        <v/>
      </c>
      <c r="W161" s="84" t="str">
        <f t="shared" si="30"/>
        <v/>
      </c>
      <c r="X161" s="21" t="str">
        <f t="shared" si="31"/>
        <v/>
      </c>
      <c r="Y161" s="60" t="str">
        <f t="shared" si="32"/>
        <v/>
      </c>
      <c r="Z161" s="60" t="str">
        <f t="shared" si="33"/>
        <v/>
      </c>
      <c r="AA161" s="64" t="str">
        <f t="shared" si="34"/>
        <v/>
      </c>
      <c r="AB161" s="64" t="str">
        <f>IF(AND(AA161&lt;&gt;"",AA161&lt;&gt;0), IF(E161="Muni", AA161, IF(E161 = "Corp", (1-'Investor Input'!$C$4-'Investor Input'!$C$5)*AA161, (1-'Investor Input'!$C$4)*AA161)), AA161)</f>
        <v/>
      </c>
      <c r="AC161" s="94" t="str">
        <f t="shared" si="35"/>
        <v/>
      </c>
      <c r="AD161" s="60" t="str">
        <f>IF(AND(M161&lt;&gt;"", M161&lt;&gt;0), N161/$N$505*MATCH(AC161,'Misc Lists'!$K$2:$K$25,0), "")</f>
        <v/>
      </c>
      <c r="AE161" s="90" t="str">
        <f t="shared" si="36"/>
        <v/>
      </c>
      <c r="AF161" s="99" t="str">
        <f>IF(AND(M161&lt;&gt;"", M161&lt;&gt;0), N161/$N$505*MATCH(AE161,'Misc Lists'!$L$2:$L$25,0), "")</f>
        <v/>
      </c>
    </row>
    <row r="162" spans="2:32" hidden="1" outlineLevel="1" x14ac:dyDescent="0.5">
      <c r="B162" s="60" t="str">
        <f ca="1"/>
        <v>91282CEY3</v>
      </c>
      <c r="C162" s="61" t="str">
        <f ca="1"/>
        <v>N/A</v>
      </c>
      <c r="D162" s="60" t="str">
        <f ca="1"/>
        <v>UNITED STATES TREAS SER AQ-2025         3.00000% 07/15/2025 NTS NOTE</v>
      </c>
      <c r="E162" s="61" t="str">
        <f ca="1"/>
        <v>Tres</v>
      </c>
      <c r="F162" s="62">
        <f ca="1"/>
        <v>3</v>
      </c>
      <c r="G162" s="63">
        <f ca="1"/>
        <v>45853</v>
      </c>
      <c r="H162" s="61" t="str">
        <f ca="1"/>
        <v>AAA</v>
      </c>
      <c r="I162" s="61" t="str">
        <f ca="1"/>
        <v>--</v>
      </c>
      <c r="J162" s="64">
        <f ca="1"/>
        <v>99.489000000000004</v>
      </c>
      <c r="K162" s="17">
        <f ca="1"/>
        <v>4.2690000000000001</v>
      </c>
      <c r="L162" s="18" t="str">
        <f ca="1"/>
        <v>30,000(600)</v>
      </c>
      <c r="M162" s="83"/>
      <c r="N162" s="84" t="str">
        <f t="shared" si="37"/>
        <v/>
      </c>
      <c r="O162" s="20" t="str">
        <f t="shared" si="38"/>
        <v/>
      </c>
      <c r="P162" s="64" t="str">
        <f t="shared" si="39"/>
        <v/>
      </c>
      <c r="Q162" s="85" t="str">
        <f t="shared" ca="1" si="40"/>
        <v/>
      </c>
      <c r="R162" s="86" t="str">
        <f t="shared" si="41"/>
        <v/>
      </c>
      <c r="S162" s="86" t="str">
        <f t="shared" si="42"/>
        <v/>
      </c>
      <c r="T162" s="104" t="str">
        <f t="shared" si="43"/>
        <v/>
      </c>
      <c r="U162" s="19" t="str">
        <f>IF(AND(M162&lt;&gt;"",M162&lt;&gt;0), IF(E162 = "Muni", T162, IF(E162="Corp", T162*(1 -'Investor Input'!$C$4-'Investor Input'!$C$5), T162*(1 -'Investor Input'!$C$4))), T162)</f>
        <v/>
      </c>
      <c r="V162" s="84" t="str">
        <f t="shared" si="44"/>
        <v/>
      </c>
      <c r="W162" s="84" t="str">
        <f t="shared" si="30"/>
        <v/>
      </c>
      <c r="X162" s="21" t="str">
        <f t="shared" si="31"/>
        <v/>
      </c>
      <c r="Y162" s="60" t="str">
        <f t="shared" si="32"/>
        <v/>
      </c>
      <c r="Z162" s="60" t="str">
        <f t="shared" si="33"/>
        <v/>
      </c>
      <c r="AA162" s="64" t="str">
        <f t="shared" si="34"/>
        <v/>
      </c>
      <c r="AB162" s="64" t="str">
        <f>IF(AND(AA162&lt;&gt;"",AA162&lt;&gt;0), IF(E162="Muni", AA162, IF(E162 = "Corp", (1-'Investor Input'!$C$4-'Investor Input'!$C$5)*AA162, (1-'Investor Input'!$C$4)*AA162)), AA162)</f>
        <v/>
      </c>
      <c r="AC162" s="94" t="str">
        <f t="shared" si="35"/>
        <v/>
      </c>
      <c r="AD162" s="60" t="str">
        <f>IF(AND(M162&lt;&gt;"", M162&lt;&gt;0), N162/$N$505*MATCH(AC162,'Misc Lists'!$K$2:$K$25,0), "")</f>
        <v/>
      </c>
      <c r="AE162" s="90" t="str">
        <f t="shared" si="36"/>
        <v/>
      </c>
      <c r="AF162" s="99" t="str">
        <f>IF(AND(M162&lt;&gt;"", M162&lt;&gt;0), N162/$N$505*MATCH(AE162,'Misc Lists'!$L$2:$L$25,0), "")</f>
        <v/>
      </c>
    </row>
    <row r="163" spans="2:32" hidden="1" outlineLevel="1" x14ac:dyDescent="0.5">
      <c r="B163" s="60" t="str">
        <f ca="1"/>
        <v>91282CBS9</v>
      </c>
      <c r="C163" s="61" t="str">
        <f ca="1"/>
        <v>N/A</v>
      </c>
      <c r="D163" s="60" t="str">
        <f ca="1"/>
        <v>UNITED STATES TREAS SER J-2028          1.25000% 03/31/2028 NTS NOTE</v>
      </c>
      <c r="E163" s="61" t="str">
        <f ca="1"/>
        <v>Tres</v>
      </c>
      <c r="F163" s="62">
        <f ca="1"/>
        <v>1.25</v>
      </c>
      <c r="G163" s="63">
        <f ca="1"/>
        <v>46843</v>
      </c>
      <c r="H163" s="61" t="str">
        <f ca="1"/>
        <v>AAA</v>
      </c>
      <c r="I163" s="61" t="str">
        <f ca="1"/>
        <v>--</v>
      </c>
      <c r="J163" s="64">
        <f ca="1"/>
        <v>91.286000000000001</v>
      </c>
      <c r="K163" s="17">
        <f ca="1"/>
        <v>4.2690000000000001</v>
      </c>
      <c r="L163" s="18" t="str">
        <f ca="1"/>
        <v>65,000(400)</v>
      </c>
      <c r="M163" s="83"/>
      <c r="N163" s="84" t="str">
        <f t="shared" si="37"/>
        <v/>
      </c>
      <c r="O163" s="20" t="str">
        <f t="shared" si="38"/>
        <v/>
      </c>
      <c r="P163" s="64" t="str">
        <f t="shared" si="39"/>
        <v/>
      </c>
      <c r="Q163" s="85" t="str">
        <f t="shared" ca="1" si="40"/>
        <v/>
      </c>
      <c r="R163" s="86" t="str">
        <f t="shared" si="41"/>
        <v/>
      </c>
      <c r="S163" s="86" t="str">
        <f t="shared" si="42"/>
        <v/>
      </c>
      <c r="T163" s="104" t="str">
        <f t="shared" si="43"/>
        <v/>
      </c>
      <c r="U163" s="19" t="str">
        <f>IF(AND(M163&lt;&gt;"",M163&lt;&gt;0), IF(E163 = "Muni", T163, IF(E163="Corp", T163*(1 -'Investor Input'!$C$4-'Investor Input'!$C$5), T163*(1 -'Investor Input'!$C$4))), T163)</f>
        <v/>
      </c>
      <c r="V163" s="84" t="str">
        <f t="shared" si="44"/>
        <v/>
      </c>
      <c r="W163" s="84" t="str">
        <f t="shared" si="30"/>
        <v/>
      </c>
      <c r="X163" s="21" t="str">
        <f t="shared" si="31"/>
        <v/>
      </c>
      <c r="Y163" s="60" t="str">
        <f t="shared" si="32"/>
        <v/>
      </c>
      <c r="Z163" s="60" t="str">
        <f t="shared" si="33"/>
        <v/>
      </c>
      <c r="AA163" s="64" t="str">
        <f t="shared" si="34"/>
        <v/>
      </c>
      <c r="AB163" s="64" t="str">
        <f>IF(AND(AA163&lt;&gt;"",AA163&lt;&gt;0), IF(E163="Muni", AA163, IF(E163 = "Corp", (1-'Investor Input'!$C$4-'Investor Input'!$C$5)*AA163, (1-'Investor Input'!$C$4)*AA163)), AA163)</f>
        <v/>
      </c>
      <c r="AC163" s="94" t="str">
        <f t="shared" si="35"/>
        <v/>
      </c>
      <c r="AD163" s="60" t="str">
        <f>IF(AND(M163&lt;&gt;"", M163&lt;&gt;0), N163/$N$505*MATCH(AC163,'Misc Lists'!$K$2:$K$25,0), "")</f>
        <v/>
      </c>
      <c r="AE163" s="90" t="str">
        <f t="shared" si="36"/>
        <v/>
      </c>
      <c r="AF163" s="99" t="str">
        <f>IF(AND(M163&lt;&gt;"", M163&lt;&gt;0), N163/$N$505*MATCH(AE163,'Misc Lists'!$L$2:$L$25,0), "")</f>
        <v/>
      </c>
    </row>
    <row r="164" spans="2:32" hidden="1" outlineLevel="1" x14ac:dyDescent="0.5">
      <c r="B164" s="60" t="str">
        <f ca="1"/>
        <v>91282CGT2</v>
      </c>
      <c r="C164" s="61" t="str">
        <f ca="1"/>
        <v>N/A</v>
      </c>
      <c r="D164" s="60" t="str">
        <f ca="1"/>
        <v>UNITED STATES TREAS SER W-2028          3.62500% 03/31/2028 NTS NOTE</v>
      </c>
      <c r="E164" s="61" t="str">
        <f ca="1"/>
        <v>Tres</v>
      </c>
      <c r="F164" s="62">
        <f ca="1"/>
        <v>3.625</v>
      </c>
      <c r="G164" s="63">
        <f ca="1"/>
        <v>46843</v>
      </c>
      <c r="H164" s="61" t="str">
        <f ca="1"/>
        <v>AAA</v>
      </c>
      <c r="I164" s="61" t="str">
        <f ca="1"/>
        <v>--</v>
      </c>
      <c r="J164" s="64">
        <f ca="1"/>
        <v>98.137</v>
      </c>
      <c r="K164" s="17">
        <f ca="1"/>
        <v>4.2690000000000001</v>
      </c>
      <c r="L164" s="18" t="str">
        <f ca="1"/>
        <v>65,000(400)</v>
      </c>
      <c r="M164" s="83"/>
      <c r="N164" s="84" t="str">
        <f t="shared" si="37"/>
        <v/>
      </c>
      <c r="O164" s="20" t="str">
        <f t="shared" si="38"/>
        <v/>
      </c>
      <c r="P164" s="64" t="str">
        <f t="shared" si="39"/>
        <v/>
      </c>
      <c r="Q164" s="85" t="str">
        <f t="shared" ca="1" si="40"/>
        <v/>
      </c>
      <c r="R164" s="86" t="str">
        <f t="shared" si="41"/>
        <v/>
      </c>
      <c r="S164" s="86" t="str">
        <f t="shared" si="42"/>
        <v/>
      </c>
      <c r="T164" s="104" t="str">
        <f t="shared" si="43"/>
        <v/>
      </c>
      <c r="U164" s="19" t="str">
        <f>IF(AND(M164&lt;&gt;"",M164&lt;&gt;0), IF(E164 = "Muni", T164, IF(E164="Corp", T164*(1 -'Investor Input'!$C$4-'Investor Input'!$C$5), T164*(1 -'Investor Input'!$C$4))), T164)</f>
        <v/>
      </c>
      <c r="V164" s="84" t="str">
        <f t="shared" si="44"/>
        <v/>
      </c>
      <c r="W164" s="84" t="str">
        <f t="shared" si="30"/>
        <v/>
      </c>
      <c r="X164" s="21" t="str">
        <f t="shared" si="31"/>
        <v/>
      </c>
      <c r="Y164" s="60" t="str">
        <f t="shared" si="32"/>
        <v/>
      </c>
      <c r="Z164" s="60" t="str">
        <f t="shared" si="33"/>
        <v/>
      </c>
      <c r="AA164" s="64" t="str">
        <f t="shared" si="34"/>
        <v/>
      </c>
      <c r="AB164" s="64" t="str">
        <f>IF(AND(AA164&lt;&gt;"",AA164&lt;&gt;0), IF(E164="Muni", AA164, IF(E164 = "Corp", (1-'Investor Input'!$C$4-'Investor Input'!$C$5)*AA164, (1-'Investor Input'!$C$4)*AA164)), AA164)</f>
        <v/>
      </c>
      <c r="AC164" s="94" t="str">
        <f t="shared" si="35"/>
        <v/>
      </c>
      <c r="AD164" s="60" t="str">
        <f>IF(AND(M164&lt;&gt;"", M164&lt;&gt;0), N164/$N$505*MATCH(AC164,'Misc Lists'!$K$2:$K$25,0), "")</f>
        <v/>
      </c>
      <c r="AE164" s="90" t="str">
        <f t="shared" si="36"/>
        <v/>
      </c>
      <c r="AF164" s="99" t="str">
        <f>IF(AND(M164&lt;&gt;"", M164&lt;&gt;0), N164/$N$505*MATCH(AE164,'Misc Lists'!$L$2:$L$25,0), "")</f>
        <v/>
      </c>
    </row>
    <row r="165" spans="2:32" hidden="1" outlineLevel="1" x14ac:dyDescent="0.5">
      <c r="B165" s="60" t="str">
        <f ca="1"/>
        <v>9128286A3</v>
      </c>
      <c r="C165" s="61" t="str">
        <f ca="1"/>
        <v>N/A</v>
      </c>
      <c r="D165" s="60" t="str">
        <f ca="1"/>
        <v>UNITED STATES TREAS SER G-2026          2.62500% 01/31/2026 NTS NOTE</v>
      </c>
      <c r="E165" s="61" t="str">
        <f ca="1"/>
        <v>Tres</v>
      </c>
      <c r="F165" s="62">
        <f ca="1"/>
        <v>2.625</v>
      </c>
      <c r="G165" s="63">
        <f ca="1"/>
        <v>46053</v>
      </c>
      <c r="H165" s="61" t="str">
        <f ca="1"/>
        <v>AAA</v>
      </c>
      <c r="I165" s="61" t="str">
        <f ca="1"/>
        <v>--</v>
      </c>
      <c r="J165" s="64">
        <f ca="1"/>
        <v>98.484999999999999</v>
      </c>
      <c r="K165" s="17">
        <f ca="1"/>
        <v>4.2679999999999998</v>
      </c>
      <c r="L165" s="18" t="str">
        <f ca="1"/>
        <v>30,000(400)</v>
      </c>
      <c r="M165" s="83"/>
      <c r="N165" s="84" t="str">
        <f t="shared" si="37"/>
        <v/>
      </c>
      <c r="O165" s="20" t="str">
        <f t="shared" si="38"/>
        <v/>
      </c>
      <c r="P165" s="64" t="str">
        <f t="shared" si="39"/>
        <v/>
      </c>
      <c r="Q165" s="85" t="str">
        <f t="shared" ca="1" si="40"/>
        <v/>
      </c>
      <c r="R165" s="86" t="str">
        <f t="shared" si="41"/>
        <v/>
      </c>
      <c r="S165" s="86" t="str">
        <f t="shared" si="42"/>
        <v/>
      </c>
      <c r="T165" s="104" t="str">
        <f t="shared" si="43"/>
        <v/>
      </c>
      <c r="U165" s="19" t="str">
        <f>IF(AND(M165&lt;&gt;"",M165&lt;&gt;0), IF(E165 = "Muni", T165, IF(E165="Corp", T165*(1 -'Investor Input'!$C$4-'Investor Input'!$C$5), T165*(1 -'Investor Input'!$C$4))), T165)</f>
        <v/>
      </c>
      <c r="V165" s="84" t="str">
        <f t="shared" si="44"/>
        <v/>
      </c>
      <c r="W165" s="84" t="str">
        <f t="shared" si="30"/>
        <v/>
      </c>
      <c r="X165" s="21" t="str">
        <f t="shared" si="31"/>
        <v/>
      </c>
      <c r="Y165" s="60" t="str">
        <f t="shared" si="32"/>
        <v/>
      </c>
      <c r="Z165" s="60" t="str">
        <f t="shared" si="33"/>
        <v/>
      </c>
      <c r="AA165" s="64" t="str">
        <f t="shared" si="34"/>
        <v/>
      </c>
      <c r="AB165" s="64" t="str">
        <f>IF(AND(AA165&lt;&gt;"",AA165&lt;&gt;0), IF(E165="Muni", AA165, IF(E165 = "Corp", (1-'Investor Input'!$C$4-'Investor Input'!$C$5)*AA165, (1-'Investor Input'!$C$4)*AA165)), AA165)</f>
        <v/>
      </c>
      <c r="AC165" s="94" t="str">
        <f t="shared" si="35"/>
        <v/>
      </c>
      <c r="AD165" s="60" t="str">
        <f>IF(AND(M165&lt;&gt;"", M165&lt;&gt;0), N165/$N$505*MATCH(AC165,'Misc Lists'!$K$2:$K$25,0), "")</f>
        <v/>
      </c>
      <c r="AE165" s="90" t="str">
        <f t="shared" si="36"/>
        <v/>
      </c>
      <c r="AF165" s="99" t="str">
        <f>IF(AND(M165&lt;&gt;"", M165&lt;&gt;0), N165/$N$505*MATCH(AE165,'Misc Lists'!$L$2:$L$25,0), "")</f>
        <v/>
      </c>
    </row>
    <row r="166" spans="2:32" hidden="1" outlineLevel="1" x14ac:dyDescent="0.5">
      <c r="B166" s="60" t="str">
        <f ca="1"/>
        <v>91282CBT7</v>
      </c>
      <c r="C166" s="61" t="str">
        <f ca="1"/>
        <v>N/A</v>
      </c>
      <c r="D166" s="60" t="str">
        <f ca="1"/>
        <v>UNITED STATES TREAS SER W-2026          0.75000% 03/31/2026 NTS NOTE</v>
      </c>
      <c r="E166" s="61" t="str">
        <f ca="1"/>
        <v>Tres</v>
      </c>
      <c r="F166" s="62">
        <f ca="1"/>
        <v>0.75</v>
      </c>
      <c r="G166" s="63">
        <f ca="1"/>
        <v>46112</v>
      </c>
      <c r="H166" s="61" t="str">
        <f ca="1"/>
        <v>AAA</v>
      </c>
      <c r="I166" s="61" t="str">
        <f ca="1"/>
        <v>--</v>
      </c>
      <c r="J166" s="64">
        <f ca="1"/>
        <v>96.215000000000003</v>
      </c>
      <c r="K166" s="17">
        <f ca="1"/>
        <v>4.2679999999999998</v>
      </c>
      <c r="L166" s="18" t="str">
        <f ca="1"/>
        <v>30,000(400)</v>
      </c>
      <c r="M166" s="83"/>
      <c r="N166" s="84" t="str">
        <f t="shared" si="37"/>
        <v/>
      </c>
      <c r="O166" s="20" t="str">
        <f t="shared" si="38"/>
        <v/>
      </c>
      <c r="P166" s="64" t="str">
        <f t="shared" si="39"/>
        <v/>
      </c>
      <c r="Q166" s="85" t="str">
        <f t="shared" ca="1" si="40"/>
        <v/>
      </c>
      <c r="R166" s="86" t="str">
        <f t="shared" si="41"/>
        <v/>
      </c>
      <c r="S166" s="86" t="str">
        <f t="shared" si="42"/>
        <v/>
      </c>
      <c r="T166" s="104" t="str">
        <f t="shared" si="43"/>
        <v/>
      </c>
      <c r="U166" s="19" t="str">
        <f>IF(AND(M166&lt;&gt;"",M166&lt;&gt;0), IF(E166 = "Muni", T166, IF(E166="Corp", T166*(1 -'Investor Input'!$C$4-'Investor Input'!$C$5), T166*(1 -'Investor Input'!$C$4))), T166)</f>
        <v/>
      </c>
      <c r="V166" s="84" t="str">
        <f t="shared" si="44"/>
        <v/>
      </c>
      <c r="W166" s="84" t="str">
        <f t="shared" si="30"/>
        <v/>
      </c>
      <c r="X166" s="21" t="str">
        <f t="shared" si="31"/>
        <v/>
      </c>
      <c r="Y166" s="60" t="str">
        <f t="shared" si="32"/>
        <v/>
      </c>
      <c r="Z166" s="60" t="str">
        <f t="shared" si="33"/>
        <v/>
      </c>
      <c r="AA166" s="64" t="str">
        <f t="shared" si="34"/>
        <v/>
      </c>
      <c r="AB166" s="64" t="str">
        <f>IF(AND(AA166&lt;&gt;"",AA166&lt;&gt;0), IF(E166="Muni", AA166, IF(E166 = "Corp", (1-'Investor Input'!$C$4-'Investor Input'!$C$5)*AA166, (1-'Investor Input'!$C$4)*AA166)), AA166)</f>
        <v/>
      </c>
      <c r="AC166" s="94" t="str">
        <f t="shared" si="35"/>
        <v/>
      </c>
      <c r="AD166" s="60" t="str">
        <f>IF(AND(M166&lt;&gt;"", M166&lt;&gt;0), N166/$N$505*MATCH(AC166,'Misc Lists'!$K$2:$K$25,0), "")</f>
        <v/>
      </c>
      <c r="AE166" s="90" t="str">
        <f t="shared" si="36"/>
        <v/>
      </c>
      <c r="AF166" s="99" t="str">
        <f>IF(AND(M166&lt;&gt;"", M166&lt;&gt;0), N166/$N$505*MATCH(AE166,'Misc Lists'!$L$2:$L$25,0), "")</f>
        <v/>
      </c>
    </row>
    <row r="167" spans="2:32" hidden="1" outlineLevel="1" x14ac:dyDescent="0.5">
      <c r="B167" s="60" t="str">
        <f ca="1"/>
        <v>91282CAU5</v>
      </c>
      <c r="C167" s="61" t="str">
        <f ca="1"/>
        <v>N/A</v>
      </c>
      <c r="D167" s="60" t="str">
        <f ca="1"/>
        <v>UNITED STATES TREAS SER R-2027          0.50000% 10/31/2027 NTS NOTE</v>
      </c>
      <c r="E167" s="61" t="str">
        <f ca="1"/>
        <v>Tres</v>
      </c>
      <c r="F167" s="62">
        <f ca="1"/>
        <v>0.5</v>
      </c>
      <c r="G167" s="63">
        <f ca="1"/>
        <v>46691</v>
      </c>
      <c r="H167" s="61" t="str">
        <f ca="1"/>
        <v>AAA</v>
      </c>
      <c r="I167" s="61" t="str">
        <f ca="1"/>
        <v>--</v>
      </c>
      <c r="J167" s="64">
        <f ca="1"/>
        <v>90.497</v>
      </c>
      <c r="K167" s="17">
        <f ca="1"/>
        <v>4.2679999999999998</v>
      </c>
      <c r="L167" s="18" t="str">
        <f ca="1"/>
        <v>1,000(200)</v>
      </c>
      <c r="M167" s="83"/>
      <c r="N167" s="84" t="str">
        <f t="shared" si="37"/>
        <v/>
      </c>
      <c r="O167" s="20" t="str">
        <f t="shared" si="38"/>
        <v/>
      </c>
      <c r="P167" s="64" t="str">
        <f t="shared" si="39"/>
        <v/>
      </c>
      <c r="Q167" s="85" t="str">
        <f t="shared" ca="1" si="40"/>
        <v/>
      </c>
      <c r="R167" s="86" t="str">
        <f t="shared" si="41"/>
        <v/>
      </c>
      <c r="S167" s="86" t="str">
        <f t="shared" si="42"/>
        <v/>
      </c>
      <c r="T167" s="104" t="str">
        <f t="shared" si="43"/>
        <v/>
      </c>
      <c r="U167" s="19" t="str">
        <f>IF(AND(M167&lt;&gt;"",M167&lt;&gt;0), IF(E167 = "Muni", T167, IF(E167="Corp", T167*(1 -'Investor Input'!$C$4-'Investor Input'!$C$5), T167*(1 -'Investor Input'!$C$4))), T167)</f>
        <v/>
      </c>
      <c r="V167" s="84" t="str">
        <f t="shared" si="44"/>
        <v/>
      </c>
      <c r="W167" s="84" t="str">
        <f t="shared" si="30"/>
        <v/>
      </c>
      <c r="X167" s="21" t="str">
        <f t="shared" si="31"/>
        <v/>
      </c>
      <c r="Y167" s="60" t="str">
        <f t="shared" si="32"/>
        <v/>
      </c>
      <c r="Z167" s="60" t="str">
        <f t="shared" si="33"/>
        <v/>
      </c>
      <c r="AA167" s="64" t="str">
        <f t="shared" si="34"/>
        <v/>
      </c>
      <c r="AB167" s="64" t="str">
        <f>IF(AND(AA167&lt;&gt;"",AA167&lt;&gt;0), IF(E167="Muni", AA167, IF(E167 = "Corp", (1-'Investor Input'!$C$4-'Investor Input'!$C$5)*AA167, (1-'Investor Input'!$C$4)*AA167)), AA167)</f>
        <v/>
      </c>
      <c r="AC167" s="94" t="str">
        <f t="shared" si="35"/>
        <v/>
      </c>
      <c r="AD167" s="60" t="str">
        <f>IF(AND(M167&lt;&gt;"", M167&lt;&gt;0), N167/$N$505*MATCH(AC167,'Misc Lists'!$K$2:$K$25,0), "")</f>
        <v/>
      </c>
      <c r="AE167" s="90" t="str">
        <f t="shared" si="36"/>
        <v/>
      </c>
      <c r="AF167" s="99" t="str">
        <f>IF(AND(M167&lt;&gt;"", M167&lt;&gt;0), N167/$N$505*MATCH(AE167,'Misc Lists'!$L$2:$L$25,0), "")</f>
        <v/>
      </c>
    </row>
    <row r="168" spans="2:32" hidden="1" outlineLevel="1" x14ac:dyDescent="0.5">
      <c r="B168" s="60" t="str">
        <f ca="1"/>
        <v>91282CBJ9</v>
      </c>
      <c r="C168" s="61" t="str">
        <f ca="1"/>
        <v>N/A</v>
      </c>
      <c r="D168" s="60" t="str">
        <f ca="1"/>
        <v>UNITED STATES TREAS SER G-2028          0.75000% 01/31/2028 NTS NOTE</v>
      </c>
      <c r="E168" s="61" t="str">
        <f ca="1"/>
        <v>Tres</v>
      </c>
      <c r="F168" s="62">
        <f ca="1"/>
        <v>0.75</v>
      </c>
      <c r="G168" s="63">
        <f ca="1"/>
        <v>46783</v>
      </c>
      <c r="H168" s="61" t="str">
        <f ca="1"/>
        <v>AAA</v>
      </c>
      <c r="I168" s="61" t="str">
        <f ca="1"/>
        <v>--</v>
      </c>
      <c r="J168" s="64">
        <f ca="1"/>
        <v>90.343999999999994</v>
      </c>
      <c r="K168" s="17">
        <f ca="1"/>
        <v>4.2679999999999998</v>
      </c>
      <c r="L168" s="18" t="str">
        <f ca="1"/>
        <v>65,000(400)</v>
      </c>
      <c r="M168" s="83"/>
      <c r="N168" s="84" t="str">
        <f t="shared" si="37"/>
        <v/>
      </c>
      <c r="O168" s="20" t="str">
        <f t="shared" si="38"/>
        <v/>
      </c>
      <c r="P168" s="64" t="str">
        <f t="shared" si="39"/>
        <v/>
      </c>
      <c r="Q168" s="85" t="str">
        <f t="shared" ca="1" si="40"/>
        <v/>
      </c>
      <c r="R168" s="86" t="str">
        <f t="shared" si="41"/>
        <v/>
      </c>
      <c r="S168" s="86" t="str">
        <f t="shared" si="42"/>
        <v/>
      </c>
      <c r="T168" s="104" t="str">
        <f t="shared" si="43"/>
        <v/>
      </c>
      <c r="U168" s="19" t="str">
        <f>IF(AND(M168&lt;&gt;"",M168&lt;&gt;0), IF(E168 = "Muni", T168, IF(E168="Corp", T168*(1 -'Investor Input'!$C$4-'Investor Input'!$C$5), T168*(1 -'Investor Input'!$C$4))), T168)</f>
        <v/>
      </c>
      <c r="V168" s="84" t="str">
        <f t="shared" si="44"/>
        <v/>
      </c>
      <c r="W168" s="84" t="str">
        <f t="shared" si="30"/>
        <v/>
      </c>
      <c r="X168" s="21" t="str">
        <f t="shared" si="31"/>
        <v/>
      </c>
      <c r="Y168" s="60" t="str">
        <f t="shared" si="32"/>
        <v/>
      </c>
      <c r="Z168" s="60" t="str">
        <f t="shared" si="33"/>
        <v/>
      </c>
      <c r="AA168" s="64" t="str">
        <f t="shared" si="34"/>
        <v/>
      </c>
      <c r="AB168" s="64" t="str">
        <f>IF(AND(AA168&lt;&gt;"",AA168&lt;&gt;0), IF(E168="Muni", AA168, IF(E168 = "Corp", (1-'Investor Input'!$C$4-'Investor Input'!$C$5)*AA168, (1-'Investor Input'!$C$4)*AA168)), AA168)</f>
        <v/>
      </c>
      <c r="AC168" s="94" t="str">
        <f t="shared" si="35"/>
        <v/>
      </c>
      <c r="AD168" s="60" t="str">
        <f>IF(AND(M168&lt;&gt;"", M168&lt;&gt;0), N168/$N$505*MATCH(AC168,'Misc Lists'!$K$2:$K$25,0), "")</f>
        <v/>
      </c>
      <c r="AE168" s="90" t="str">
        <f t="shared" si="36"/>
        <v/>
      </c>
      <c r="AF168" s="99" t="str">
        <f>IF(AND(M168&lt;&gt;"", M168&lt;&gt;0), N168/$N$505*MATCH(AE168,'Misc Lists'!$L$2:$L$25,0), "")</f>
        <v/>
      </c>
    </row>
    <row r="169" spans="2:32" hidden="1" outlineLevel="1" x14ac:dyDescent="0.5">
      <c r="B169" s="60" t="str">
        <f ca="1"/>
        <v>91282CBP5</v>
      </c>
      <c r="C169" s="61" t="str">
        <f ca="1"/>
        <v>N/A</v>
      </c>
      <c r="D169" s="60" t="str">
        <f ca="1"/>
        <v>UNITED STATES TREAS SER H-2028          1.12500% 02/29/2028 NTS</v>
      </c>
      <c r="E169" s="61" t="str">
        <f ca="1"/>
        <v>Tres</v>
      </c>
      <c r="F169" s="62">
        <f ca="1"/>
        <v>1.125</v>
      </c>
      <c r="G169" s="63">
        <f ca="1"/>
        <v>46812</v>
      </c>
      <c r="H169" s="61" t="str">
        <f ca="1"/>
        <v>AAA</v>
      </c>
      <c r="I169" s="61" t="str">
        <f ca="1"/>
        <v>--</v>
      </c>
      <c r="J169" s="64">
        <f ca="1"/>
        <v>91.161000000000001</v>
      </c>
      <c r="K169" s="17">
        <f ca="1"/>
        <v>4.2679999999999998</v>
      </c>
      <c r="L169" s="18" t="str">
        <f ca="1"/>
        <v>65,000(400)</v>
      </c>
      <c r="M169" s="83"/>
      <c r="N169" s="84" t="str">
        <f t="shared" si="37"/>
        <v/>
      </c>
      <c r="O169" s="20" t="str">
        <f t="shared" si="38"/>
        <v/>
      </c>
      <c r="P169" s="64" t="str">
        <f t="shared" si="39"/>
        <v/>
      </c>
      <c r="Q169" s="85" t="str">
        <f t="shared" ca="1" si="40"/>
        <v/>
      </c>
      <c r="R169" s="86" t="str">
        <f t="shared" si="41"/>
        <v/>
      </c>
      <c r="S169" s="86" t="str">
        <f t="shared" si="42"/>
        <v/>
      </c>
      <c r="T169" s="104" t="str">
        <f t="shared" si="43"/>
        <v/>
      </c>
      <c r="U169" s="19" t="str">
        <f>IF(AND(M169&lt;&gt;"",M169&lt;&gt;0), IF(E169 = "Muni", T169, IF(E169="Corp", T169*(1 -'Investor Input'!$C$4-'Investor Input'!$C$5), T169*(1 -'Investor Input'!$C$4))), T169)</f>
        <v/>
      </c>
      <c r="V169" s="84" t="str">
        <f t="shared" si="44"/>
        <v/>
      </c>
      <c r="W169" s="84" t="str">
        <f t="shared" si="30"/>
        <v/>
      </c>
      <c r="X169" s="21" t="str">
        <f t="shared" si="31"/>
        <v/>
      </c>
      <c r="Y169" s="60" t="str">
        <f t="shared" si="32"/>
        <v/>
      </c>
      <c r="Z169" s="60" t="str">
        <f t="shared" si="33"/>
        <v/>
      </c>
      <c r="AA169" s="64" t="str">
        <f t="shared" si="34"/>
        <v/>
      </c>
      <c r="AB169" s="64" t="str">
        <f>IF(AND(AA169&lt;&gt;"",AA169&lt;&gt;0), IF(E169="Muni", AA169, IF(E169 = "Corp", (1-'Investor Input'!$C$4-'Investor Input'!$C$5)*AA169, (1-'Investor Input'!$C$4)*AA169)), AA169)</f>
        <v/>
      </c>
      <c r="AC169" s="94" t="str">
        <f t="shared" si="35"/>
        <v/>
      </c>
      <c r="AD169" s="60" t="str">
        <f>IF(AND(M169&lt;&gt;"", M169&lt;&gt;0), N169/$N$505*MATCH(AC169,'Misc Lists'!$K$2:$K$25,0), "")</f>
        <v/>
      </c>
      <c r="AE169" s="90" t="str">
        <f t="shared" si="36"/>
        <v/>
      </c>
      <c r="AF169" s="99" t="str">
        <f>IF(AND(M169&lt;&gt;"", M169&lt;&gt;0), N169/$N$505*MATCH(AE169,'Misc Lists'!$L$2:$L$25,0), "")</f>
        <v/>
      </c>
    </row>
    <row r="170" spans="2:32" hidden="1" outlineLevel="1" x14ac:dyDescent="0.5">
      <c r="B170" s="60" t="str">
        <f ca="1"/>
        <v>9128286X3</v>
      </c>
      <c r="C170" s="61" t="str">
        <f ca="1"/>
        <v>N/A</v>
      </c>
      <c r="D170" s="60" t="str">
        <f ca="1"/>
        <v>UNITED STATES TREAS SER L-2026          2.12500% 05/31/2026 NTS NOTE</v>
      </c>
      <c r="E170" s="61" t="str">
        <f ca="1"/>
        <v>Tres</v>
      </c>
      <c r="F170" s="62">
        <f ca="1"/>
        <v>2.125</v>
      </c>
      <c r="G170" s="63">
        <f ca="1"/>
        <v>46173</v>
      </c>
      <c r="H170" s="61" t="str">
        <f ca="1"/>
        <v>AAA</v>
      </c>
      <c r="I170" s="61" t="str">
        <f ca="1"/>
        <v>--</v>
      </c>
      <c r="J170" s="64">
        <f ca="1"/>
        <v>97.355999999999995</v>
      </c>
      <c r="K170" s="17">
        <f ca="1"/>
        <v>4.2670000000000003</v>
      </c>
      <c r="L170" s="18" t="str">
        <f ca="1"/>
        <v>30,000(400)</v>
      </c>
      <c r="M170" s="83"/>
      <c r="N170" s="84" t="str">
        <f t="shared" si="37"/>
        <v/>
      </c>
      <c r="O170" s="20" t="str">
        <f t="shared" si="38"/>
        <v/>
      </c>
      <c r="P170" s="64" t="str">
        <f t="shared" si="39"/>
        <v/>
      </c>
      <c r="Q170" s="85" t="str">
        <f t="shared" ca="1" si="40"/>
        <v/>
      </c>
      <c r="R170" s="86" t="str">
        <f t="shared" si="41"/>
        <v/>
      </c>
      <c r="S170" s="86" t="str">
        <f t="shared" si="42"/>
        <v/>
      </c>
      <c r="T170" s="104" t="str">
        <f t="shared" si="43"/>
        <v/>
      </c>
      <c r="U170" s="19" t="str">
        <f>IF(AND(M170&lt;&gt;"",M170&lt;&gt;0), IF(E170 = "Muni", T170, IF(E170="Corp", T170*(1 -'Investor Input'!$C$4-'Investor Input'!$C$5), T170*(1 -'Investor Input'!$C$4))), T170)</f>
        <v/>
      </c>
      <c r="V170" s="84" t="str">
        <f t="shared" si="44"/>
        <v/>
      </c>
      <c r="W170" s="84" t="str">
        <f t="shared" si="30"/>
        <v/>
      </c>
      <c r="X170" s="21" t="str">
        <f t="shared" si="31"/>
        <v/>
      </c>
      <c r="Y170" s="60" t="str">
        <f t="shared" si="32"/>
        <v/>
      </c>
      <c r="Z170" s="60" t="str">
        <f t="shared" si="33"/>
        <v/>
      </c>
      <c r="AA170" s="64" t="str">
        <f t="shared" si="34"/>
        <v/>
      </c>
      <c r="AB170" s="64" t="str">
        <f>IF(AND(AA170&lt;&gt;"",AA170&lt;&gt;0), IF(E170="Muni", AA170, IF(E170 = "Corp", (1-'Investor Input'!$C$4-'Investor Input'!$C$5)*AA170, (1-'Investor Input'!$C$4)*AA170)), AA170)</f>
        <v/>
      </c>
      <c r="AC170" s="94" t="str">
        <f t="shared" si="35"/>
        <v/>
      </c>
      <c r="AD170" s="60" t="str">
        <f>IF(AND(M170&lt;&gt;"", M170&lt;&gt;0), N170/$N$505*MATCH(AC170,'Misc Lists'!$K$2:$K$25,0), "")</f>
        <v/>
      </c>
      <c r="AE170" s="90" t="str">
        <f t="shared" si="36"/>
        <v/>
      </c>
      <c r="AF170" s="99" t="str">
        <f>IF(AND(M170&lt;&gt;"", M170&lt;&gt;0), N170/$N$505*MATCH(AE170,'Misc Lists'!$L$2:$L$25,0), "")</f>
        <v/>
      </c>
    </row>
    <row r="171" spans="2:32" hidden="1" outlineLevel="1" x14ac:dyDescent="0.5">
      <c r="B171" s="60" t="str">
        <f ca="1"/>
        <v>91282CCW9</v>
      </c>
      <c r="C171" s="61" t="str">
        <f ca="1"/>
        <v>N/A</v>
      </c>
      <c r="D171" s="60" t="str">
        <f ca="1"/>
        <v>UNITED STATES TREAS SER AC-2026         0.75000% 08/31/2026 NTS NOTE</v>
      </c>
      <c r="E171" s="61" t="str">
        <f ca="1"/>
        <v>Tres</v>
      </c>
      <c r="F171" s="62">
        <f ca="1"/>
        <v>0.75</v>
      </c>
      <c r="G171" s="63">
        <f ca="1"/>
        <v>46265</v>
      </c>
      <c r="H171" s="61" t="str">
        <f ca="1"/>
        <v>AAA</v>
      </c>
      <c r="I171" s="61" t="str">
        <f ca="1"/>
        <v>--</v>
      </c>
      <c r="J171" s="64">
        <f ca="1"/>
        <v>94.850999999999999</v>
      </c>
      <c r="K171" s="17">
        <f ca="1"/>
        <v>4.2670000000000003</v>
      </c>
      <c r="L171" s="18" t="str">
        <f ca="1"/>
        <v>1,000(200)</v>
      </c>
      <c r="M171" s="83"/>
      <c r="N171" s="84" t="str">
        <f t="shared" si="37"/>
        <v/>
      </c>
      <c r="O171" s="20" t="str">
        <f t="shared" si="38"/>
        <v/>
      </c>
      <c r="P171" s="64" t="str">
        <f t="shared" si="39"/>
        <v/>
      </c>
      <c r="Q171" s="85" t="str">
        <f t="shared" ca="1" si="40"/>
        <v/>
      </c>
      <c r="R171" s="86" t="str">
        <f t="shared" si="41"/>
        <v/>
      </c>
      <c r="S171" s="86" t="str">
        <f t="shared" si="42"/>
        <v/>
      </c>
      <c r="T171" s="104" t="str">
        <f t="shared" si="43"/>
        <v/>
      </c>
      <c r="U171" s="19" t="str">
        <f>IF(AND(M171&lt;&gt;"",M171&lt;&gt;0), IF(E171 = "Muni", T171, IF(E171="Corp", T171*(1 -'Investor Input'!$C$4-'Investor Input'!$C$5), T171*(1 -'Investor Input'!$C$4))), T171)</f>
        <v/>
      </c>
      <c r="V171" s="84" t="str">
        <f t="shared" si="44"/>
        <v/>
      </c>
      <c r="W171" s="84" t="str">
        <f t="shared" si="30"/>
        <v/>
      </c>
      <c r="X171" s="21" t="str">
        <f t="shared" si="31"/>
        <v/>
      </c>
      <c r="Y171" s="60" t="str">
        <f t="shared" si="32"/>
        <v/>
      </c>
      <c r="Z171" s="60" t="str">
        <f t="shared" si="33"/>
        <v/>
      </c>
      <c r="AA171" s="64" t="str">
        <f t="shared" si="34"/>
        <v/>
      </c>
      <c r="AB171" s="64" t="str">
        <f>IF(AND(AA171&lt;&gt;"",AA171&lt;&gt;0), IF(E171="Muni", AA171, IF(E171 = "Corp", (1-'Investor Input'!$C$4-'Investor Input'!$C$5)*AA171, (1-'Investor Input'!$C$4)*AA171)), AA171)</f>
        <v/>
      </c>
      <c r="AC171" s="94" t="str">
        <f t="shared" si="35"/>
        <v/>
      </c>
      <c r="AD171" s="60" t="str">
        <f>IF(AND(M171&lt;&gt;"", M171&lt;&gt;0), N171/$N$505*MATCH(AC171,'Misc Lists'!$K$2:$K$25,0), "")</f>
        <v/>
      </c>
      <c r="AE171" s="90" t="str">
        <f t="shared" si="36"/>
        <v/>
      </c>
      <c r="AF171" s="99" t="str">
        <f>IF(AND(M171&lt;&gt;"", M171&lt;&gt;0), N171/$N$505*MATCH(AE171,'Misc Lists'!$L$2:$L$25,0), "")</f>
        <v/>
      </c>
    </row>
    <row r="172" spans="2:32" hidden="1" outlineLevel="1" x14ac:dyDescent="0.5">
      <c r="B172" s="60" t="str">
        <f ca="1"/>
        <v>91282CFH9</v>
      </c>
      <c r="C172" s="61" t="str">
        <f ca="1"/>
        <v>N/A</v>
      </c>
      <c r="D172" s="60" t="str">
        <f ca="1"/>
        <v>UNITED STATES TREAS SER AC-2027         3.12500% 08/31/2027 NTS NOTE</v>
      </c>
      <c r="E172" s="61" t="str">
        <f ca="1"/>
        <v>Tres</v>
      </c>
      <c r="F172" s="62">
        <f ca="1"/>
        <v>3.125</v>
      </c>
      <c r="G172" s="63">
        <f ca="1"/>
        <v>46630</v>
      </c>
      <c r="H172" s="61" t="str">
        <f ca="1"/>
        <v>AAA</v>
      </c>
      <c r="I172" s="61" t="str">
        <f ca="1"/>
        <v>--</v>
      </c>
      <c r="J172" s="64">
        <f ca="1"/>
        <v>97.289000000000001</v>
      </c>
      <c r="K172" s="17">
        <f ca="1"/>
        <v>4.2670000000000003</v>
      </c>
      <c r="L172" s="18" t="str">
        <f ca="1"/>
        <v>1,000(200)</v>
      </c>
      <c r="M172" s="83"/>
      <c r="N172" s="84" t="str">
        <f t="shared" si="37"/>
        <v/>
      </c>
      <c r="O172" s="20" t="str">
        <f t="shared" si="38"/>
        <v/>
      </c>
      <c r="P172" s="64" t="str">
        <f t="shared" si="39"/>
        <v/>
      </c>
      <c r="Q172" s="85" t="str">
        <f t="shared" ca="1" si="40"/>
        <v/>
      </c>
      <c r="R172" s="86" t="str">
        <f t="shared" si="41"/>
        <v/>
      </c>
      <c r="S172" s="86" t="str">
        <f t="shared" si="42"/>
        <v/>
      </c>
      <c r="T172" s="104" t="str">
        <f t="shared" si="43"/>
        <v/>
      </c>
      <c r="U172" s="19" t="str">
        <f>IF(AND(M172&lt;&gt;"",M172&lt;&gt;0), IF(E172 = "Muni", T172, IF(E172="Corp", T172*(1 -'Investor Input'!$C$4-'Investor Input'!$C$5), T172*(1 -'Investor Input'!$C$4))), T172)</f>
        <v/>
      </c>
      <c r="V172" s="84" t="str">
        <f t="shared" si="44"/>
        <v/>
      </c>
      <c r="W172" s="84" t="str">
        <f t="shared" si="30"/>
        <v/>
      </c>
      <c r="X172" s="21" t="str">
        <f t="shared" si="31"/>
        <v/>
      </c>
      <c r="Y172" s="60" t="str">
        <f t="shared" si="32"/>
        <v/>
      </c>
      <c r="Z172" s="60" t="str">
        <f t="shared" si="33"/>
        <v/>
      </c>
      <c r="AA172" s="64" t="str">
        <f t="shared" si="34"/>
        <v/>
      </c>
      <c r="AB172" s="64" t="str">
        <f>IF(AND(AA172&lt;&gt;"",AA172&lt;&gt;0), IF(E172="Muni", AA172, IF(E172 = "Corp", (1-'Investor Input'!$C$4-'Investor Input'!$C$5)*AA172, (1-'Investor Input'!$C$4)*AA172)), AA172)</f>
        <v/>
      </c>
      <c r="AC172" s="94" t="str">
        <f t="shared" si="35"/>
        <v/>
      </c>
      <c r="AD172" s="60" t="str">
        <f>IF(AND(M172&lt;&gt;"", M172&lt;&gt;0), N172/$N$505*MATCH(AC172,'Misc Lists'!$K$2:$K$25,0), "")</f>
        <v/>
      </c>
      <c r="AE172" s="90" t="str">
        <f t="shared" si="36"/>
        <v/>
      </c>
      <c r="AF172" s="99" t="str">
        <f>IF(AND(M172&lt;&gt;"", M172&lt;&gt;0), N172/$N$505*MATCH(AE172,'Misc Lists'!$L$2:$L$25,0), "")</f>
        <v/>
      </c>
    </row>
    <row r="173" spans="2:32" hidden="1" outlineLevel="1" x14ac:dyDescent="0.5">
      <c r="B173" s="60" t="str">
        <f ca="1"/>
        <v>9128283F5</v>
      </c>
      <c r="C173" s="61" t="str">
        <f ca="1"/>
        <v>N/A</v>
      </c>
      <c r="D173" s="60" t="str">
        <f ca="1"/>
        <v>UNITED STATES TREAS SER F-2027          2.25000% 11/15/2027 NTS NOTE</v>
      </c>
      <c r="E173" s="61" t="str">
        <f ca="1"/>
        <v>Tres</v>
      </c>
      <c r="F173" s="62">
        <f ca="1"/>
        <v>2.25</v>
      </c>
      <c r="G173" s="63">
        <f ca="1"/>
        <v>46706</v>
      </c>
      <c r="H173" s="61" t="str">
        <f ca="1"/>
        <v>AAA</v>
      </c>
      <c r="I173" s="61" t="str">
        <f ca="1"/>
        <v>--</v>
      </c>
      <c r="J173" s="64">
        <f ca="1"/>
        <v>94.835999999999999</v>
      </c>
      <c r="K173" s="17">
        <f ca="1"/>
        <v>4.2670000000000003</v>
      </c>
      <c r="L173" s="18" t="str">
        <f ca="1"/>
        <v>1,000(200)</v>
      </c>
      <c r="M173" s="83"/>
      <c r="N173" s="84" t="str">
        <f t="shared" si="37"/>
        <v/>
      </c>
      <c r="O173" s="20" t="str">
        <f t="shared" si="38"/>
        <v/>
      </c>
      <c r="P173" s="64" t="str">
        <f t="shared" si="39"/>
        <v/>
      </c>
      <c r="Q173" s="85" t="str">
        <f t="shared" ca="1" si="40"/>
        <v/>
      </c>
      <c r="R173" s="86" t="str">
        <f t="shared" si="41"/>
        <v/>
      </c>
      <c r="S173" s="86" t="str">
        <f t="shared" si="42"/>
        <v/>
      </c>
      <c r="T173" s="104" t="str">
        <f t="shared" si="43"/>
        <v/>
      </c>
      <c r="U173" s="19" t="str">
        <f>IF(AND(M173&lt;&gt;"",M173&lt;&gt;0), IF(E173 = "Muni", T173, IF(E173="Corp", T173*(1 -'Investor Input'!$C$4-'Investor Input'!$C$5), T173*(1 -'Investor Input'!$C$4))), T173)</f>
        <v/>
      </c>
      <c r="V173" s="84" t="str">
        <f t="shared" si="44"/>
        <v/>
      </c>
      <c r="W173" s="84" t="str">
        <f t="shared" si="30"/>
        <v/>
      </c>
      <c r="X173" s="21" t="str">
        <f t="shared" si="31"/>
        <v/>
      </c>
      <c r="Y173" s="60" t="str">
        <f t="shared" si="32"/>
        <v/>
      </c>
      <c r="Z173" s="60" t="str">
        <f t="shared" si="33"/>
        <v/>
      </c>
      <c r="AA173" s="64" t="str">
        <f t="shared" si="34"/>
        <v/>
      </c>
      <c r="AB173" s="64" t="str">
        <f>IF(AND(AA173&lt;&gt;"",AA173&lt;&gt;0), IF(E173="Muni", AA173, IF(E173 = "Corp", (1-'Investor Input'!$C$4-'Investor Input'!$C$5)*AA173, (1-'Investor Input'!$C$4)*AA173)), AA173)</f>
        <v/>
      </c>
      <c r="AC173" s="94" t="str">
        <f t="shared" si="35"/>
        <v/>
      </c>
      <c r="AD173" s="60" t="str">
        <f>IF(AND(M173&lt;&gt;"", M173&lt;&gt;0), N173/$N$505*MATCH(AC173,'Misc Lists'!$K$2:$K$25,0), "")</f>
        <v/>
      </c>
      <c r="AE173" s="90" t="str">
        <f t="shared" si="36"/>
        <v/>
      </c>
      <c r="AF173" s="99" t="str">
        <f>IF(AND(M173&lt;&gt;"", M173&lt;&gt;0), N173/$N$505*MATCH(AE173,'Misc Lists'!$L$2:$L$25,0), "")</f>
        <v/>
      </c>
    </row>
    <row r="174" spans="2:32" hidden="1" outlineLevel="1" x14ac:dyDescent="0.5">
      <c r="B174" s="60" t="str">
        <f ca="1"/>
        <v>91282CFZ9</v>
      </c>
      <c r="C174" s="61" t="str">
        <f ca="1"/>
        <v>N/A</v>
      </c>
      <c r="D174" s="60" t="str">
        <f ca="1"/>
        <v>UNITED STATES TREAS SER AG-2027         3.87500% 11/30/2027 NTS NOTE</v>
      </c>
      <c r="E174" s="61" t="str">
        <f ca="1"/>
        <v>Tres</v>
      </c>
      <c r="F174" s="62">
        <f ca="1"/>
        <v>3.875</v>
      </c>
      <c r="G174" s="63">
        <f ca="1"/>
        <v>46721</v>
      </c>
      <c r="H174" s="61" t="str">
        <f ca="1"/>
        <v>AAA</v>
      </c>
      <c r="I174" s="61" t="str">
        <f ca="1"/>
        <v>--</v>
      </c>
      <c r="J174" s="64">
        <f ca="1"/>
        <v>98.977000000000004</v>
      </c>
      <c r="K174" s="17">
        <f ca="1"/>
        <v>4.2670000000000003</v>
      </c>
      <c r="L174" s="18" t="str">
        <f ca="1"/>
        <v>65,000(400)</v>
      </c>
      <c r="M174" s="83"/>
      <c r="N174" s="84" t="str">
        <f t="shared" si="37"/>
        <v/>
      </c>
      <c r="O174" s="20" t="str">
        <f t="shared" si="38"/>
        <v/>
      </c>
      <c r="P174" s="64" t="str">
        <f t="shared" si="39"/>
        <v/>
      </c>
      <c r="Q174" s="85" t="str">
        <f t="shared" ca="1" si="40"/>
        <v/>
      </c>
      <c r="R174" s="86" t="str">
        <f t="shared" si="41"/>
        <v/>
      </c>
      <c r="S174" s="86" t="str">
        <f t="shared" si="42"/>
        <v/>
      </c>
      <c r="T174" s="104" t="str">
        <f t="shared" si="43"/>
        <v/>
      </c>
      <c r="U174" s="19" t="str">
        <f>IF(AND(M174&lt;&gt;"",M174&lt;&gt;0), IF(E174 = "Muni", T174, IF(E174="Corp", T174*(1 -'Investor Input'!$C$4-'Investor Input'!$C$5), T174*(1 -'Investor Input'!$C$4))), T174)</f>
        <v/>
      </c>
      <c r="V174" s="84" t="str">
        <f t="shared" si="44"/>
        <v/>
      </c>
      <c r="W174" s="84" t="str">
        <f t="shared" si="30"/>
        <v/>
      </c>
      <c r="X174" s="21" t="str">
        <f t="shared" si="31"/>
        <v/>
      </c>
      <c r="Y174" s="60" t="str">
        <f t="shared" si="32"/>
        <v/>
      </c>
      <c r="Z174" s="60" t="str">
        <f t="shared" si="33"/>
        <v/>
      </c>
      <c r="AA174" s="64" t="str">
        <f t="shared" si="34"/>
        <v/>
      </c>
      <c r="AB174" s="64" t="str">
        <f>IF(AND(AA174&lt;&gt;"",AA174&lt;&gt;0), IF(E174="Muni", AA174, IF(E174 = "Corp", (1-'Investor Input'!$C$4-'Investor Input'!$C$5)*AA174, (1-'Investor Input'!$C$4)*AA174)), AA174)</f>
        <v/>
      </c>
      <c r="AC174" s="94" t="str">
        <f t="shared" si="35"/>
        <v/>
      </c>
      <c r="AD174" s="60" t="str">
        <f>IF(AND(M174&lt;&gt;"", M174&lt;&gt;0), N174/$N$505*MATCH(AC174,'Misc Lists'!$K$2:$K$25,0), "")</f>
        <v/>
      </c>
      <c r="AE174" s="90" t="str">
        <f t="shared" si="36"/>
        <v/>
      </c>
      <c r="AF174" s="99" t="str">
        <f>IF(AND(M174&lt;&gt;"", M174&lt;&gt;0), N174/$N$505*MATCH(AE174,'Misc Lists'!$L$2:$L$25,0), "")</f>
        <v/>
      </c>
    </row>
    <row r="175" spans="2:32" hidden="1" outlineLevel="1" x14ac:dyDescent="0.5">
      <c r="B175" s="60" t="str">
        <f ca="1"/>
        <v>91282CBB6</v>
      </c>
      <c r="C175" s="61" t="str">
        <f ca="1"/>
        <v>N/A</v>
      </c>
      <c r="D175" s="60" t="str">
        <f ca="1"/>
        <v>UNITED STATES TREAS SER T-2027          0.62500% 12/31/2027 NTS NOTE</v>
      </c>
      <c r="E175" s="61" t="str">
        <f ca="1"/>
        <v>Tres</v>
      </c>
      <c r="F175" s="62">
        <f ca="1"/>
        <v>0.625</v>
      </c>
      <c r="G175" s="63">
        <f ca="1"/>
        <v>46752</v>
      </c>
      <c r="H175" s="61" t="str">
        <f ca="1"/>
        <v>AAA</v>
      </c>
      <c r="I175" s="61" t="str">
        <f ca="1"/>
        <v>--</v>
      </c>
      <c r="J175" s="64">
        <f ca="1"/>
        <v>90.274000000000001</v>
      </c>
      <c r="K175" s="17">
        <f ca="1"/>
        <v>4.2670000000000003</v>
      </c>
      <c r="L175" s="18" t="str">
        <f ca="1"/>
        <v>65,000(400)</v>
      </c>
      <c r="M175" s="83"/>
      <c r="N175" s="84" t="str">
        <f t="shared" si="37"/>
        <v/>
      </c>
      <c r="O175" s="20" t="str">
        <f t="shared" si="38"/>
        <v/>
      </c>
      <c r="P175" s="64" t="str">
        <f t="shared" si="39"/>
        <v/>
      </c>
      <c r="Q175" s="85" t="str">
        <f t="shared" ca="1" si="40"/>
        <v/>
      </c>
      <c r="R175" s="86" t="str">
        <f t="shared" si="41"/>
        <v/>
      </c>
      <c r="S175" s="86" t="str">
        <f t="shared" si="42"/>
        <v/>
      </c>
      <c r="T175" s="104" t="str">
        <f t="shared" si="43"/>
        <v/>
      </c>
      <c r="U175" s="19" t="str">
        <f>IF(AND(M175&lt;&gt;"",M175&lt;&gt;0), IF(E175 = "Muni", T175, IF(E175="Corp", T175*(1 -'Investor Input'!$C$4-'Investor Input'!$C$5), T175*(1 -'Investor Input'!$C$4))), T175)</f>
        <v/>
      </c>
      <c r="V175" s="84" t="str">
        <f t="shared" si="44"/>
        <v/>
      </c>
      <c r="W175" s="84" t="str">
        <f t="shared" si="30"/>
        <v/>
      </c>
      <c r="X175" s="21" t="str">
        <f t="shared" si="31"/>
        <v/>
      </c>
      <c r="Y175" s="60" t="str">
        <f t="shared" si="32"/>
        <v/>
      </c>
      <c r="Z175" s="60" t="str">
        <f t="shared" si="33"/>
        <v/>
      </c>
      <c r="AA175" s="64" t="str">
        <f t="shared" si="34"/>
        <v/>
      </c>
      <c r="AB175" s="64" t="str">
        <f>IF(AND(AA175&lt;&gt;"",AA175&lt;&gt;0), IF(E175="Muni", AA175, IF(E175 = "Corp", (1-'Investor Input'!$C$4-'Investor Input'!$C$5)*AA175, (1-'Investor Input'!$C$4)*AA175)), AA175)</f>
        <v/>
      </c>
      <c r="AC175" s="94" t="str">
        <f t="shared" si="35"/>
        <v/>
      </c>
      <c r="AD175" s="60" t="str">
        <f>IF(AND(M175&lt;&gt;"", M175&lt;&gt;0), N175/$N$505*MATCH(AC175,'Misc Lists'!$K$2:$K$25,0), "")</f>
        <v/>
      </c>
      <c r="AE175" s="90" t="str">
        <f t="shared" si="36"/>
        <v/>
      </c>
      <c r="AF175" s="99" t="str">
        <f>IF(AND(M175&lt;&gt;"", M175&lt;&gt;0), N175/$N$505*MATCH(AE175,'Misc Lists'!$L$2:$L$25,0), "")</f>
        <v/>
      </c>
    </row>
    <row r="176" spans="2:32" hidden="1" outlineLevel="1" x14ac:dyDescent="0.5">
      <c r="B176" s="60" t="str">
        <f ca="1"/>
        <v>91282CGH8</v>
      </c>
      <c r="C176" s="61" t="str">
        <f ca="1"/>
        <v>N/A</v>
      </c>
      <c r="D176" s="60" t="str">
        <f ca="1"/>
        <v>UNITED STATES TREAS SER U-2028          3.50000% 01/31/2028 NTS NOTE</v>
      </c>
      <c r="E176" s="61" t="str">
        <f ca="1"/>
        <v>Tres</v>
      </c>
      <c r="F176" s="62">
        <f ca="1"/>
        <v>3.5</v>
      </c>
      <c r="G176" s="63">
        <f ca="1"/>
        <v>46783</v>
      </c>
      <c r="H176" s="61" t="str">
        <f ca="1"/>
        <v>AAA</v>
      </c>
      <c r="I176" s="61" t="str">
        <f ca="1"/>
        <v>--</v>
      </c>
      <c r="J176" s="64">
        <f ca="1"/>
        <v>97.891000000000005</v>
      </c>
      <c r="K176" s="17">
        <f ca="1"/>
        <v>4.2670000000000003</v>
      </c>
      <c r="L176" s="18" t="str">
        <f ca="1"/>
        <v>65,000(400)</v>
      </c>
      <c r="M176" s="83"/>
      <c r="N176" s="84" t="str">
        <f t="shared" si="37"/>
        <v/>
      </c>
      <c r="O176" s="20" t="str">
        <f t="shared" si="38"/>
        <v/>
      </c>
      <c r="P176" s="64" t="str">
        <f t="shared" si="39"/>
        <v/>
      </c>
      <c r="Q176" s="85" t="str">
        <f t="shared" ca="1" si="40"/>
        <v/>
      </c>
      <c r="R176" s="86" t="str">
        <f t="shared" si="41"/>
        <v/>
      </c>
      <c r="S176" s="86" t="str">
        <f t="shared" si="42"/>
        <v/>
      </c>
      <c r="T176" s="104" t="str">
        <f t="shared" si="43"/>
        <v/>
      </c>
      <c r="U176" s="19" t="str">
        <f>IF(AND(M176&lt;&gt;"",M176&lt;&gt;0), IF(E176 = "Muni", T176, IF(E176="Corp", T176*(1 -'Investor Input'!$C$4-'Investor Input'!$C$5), T176*(1 -'Investor Input'!$C$4))), T176)</f>
        <v/>
      </c>
      <c r="V176" s="84" t="str">
        <f t="shared" si="44"/>
        <v/>
      </c>
      <c r="W176" s="84" t="str">
        <f t="shared" si="30"/>
        <v/>
      </c>
      <c r="X176" s="21" t="str">
        <f t="shared" si="31"/>
        <v/>
      </c>
      <c r="Y176" s="60" t="str">
        <f t="shared" si="32"/>
        <v/>
      </c>
      <c r="Z176" s="60" t="str">
        <f t="shared" si="33"/>
        <v/>
      </c>
      <c r="AA176" s="64" t="str">
        <f t="shared" si="34"/>
        <v/>
      </c>
      <c r="AB176" s="64" t="str">
        <f>IF(AND(AA176&lt;&gt;"",AA176&lt;&gt;0), IF(E176="Muni", AA176, IF(E176 = "Corp", (1-'Investor Input'!$C$4-'Investor Input'!$C$5)*AA176, (1-'Investor Input'!$C$4)*AA176)), AA176)</f>
        <v/>
      </c>
      <c r="AC176" s="94" t="str">
        <f t="shared" si="35"/>
        <v/>
      </c>
      <c r="AD176" s="60" t="str">
        <f>IF(AND(M176&lt;&gt;"", M176&lt;&gt;0), N176/$N$505*MATCH(AC176,'Misc Lists'!$K$2:$K$25,0), "")</f>
        <v/>
      </c>
      <c r="AE176" s="90" t="str">
        <f t="shared" si="36"/>
        <v/>
      </c>
      <c r="AF176" s="99" t="str">
        <f>IF(AND(M176&lt;&gt;"", M176&lt;&gt;0), N176/$N$505*MATCH(AE176,'Misc Lists'!$L$2:$L$25,0), "")</f>
        <v/>
      </c>
    </row>
    <row r="177" spans="2:32" hidden="1" outlineLevel="1" x14ac:dyDescent="0.5">
      <c r="B177" s="60" t="str">
        <f ca="1"/>
        <v>91282CFP1</v>
      </c>
      <c r="C177" s="61" t="str">
        <f ca="1"/>
        <v>N/A</v>
      </c>
      <c r="D177" s="60" t="str">
        <f ca="1"/>
        <v>UNITED STATES TREAS SER AT-2025         4.25000% 10/15/2025 NTS NOTE</v>
      </c>
      <c r="E177" s="61" t="str">
        <f ca="1"/>
        <v>Tres</v>
      </c>
      <c r="F177" s="62">
        <f ca="1"/>
        <v>4.25</v>
      </c>
      <c r="G177" s="63">
        <f ca="1"/>
        <v>45945</v>
      </c>
      <c r="H177" s="61" t="str">
        <f ca="1"/>
        <v>AAA</v>
      </c>
      <c r="I177" s="61" t="str">
        <f ca="1"/>
        <v>--</v>
      </c>
      <c r="J177" s="64">
        <f ca="1"/>
        <v>99.984999999999999</v>
      </c>
      <c r="K177" s="17">
        <f ca="1"/>
        <v>4.266</v>
      </c>
      <c r="L177" s="18" t="str">
        <f ca="1"/>
        <v>5,600(200)</v>
      </c>
      <c r="M177" s="83"/>
      <c r="N177" s="84" t="str">
        <f t="shared" si="37"/>
        <v/>
      </c>
      <c r="O177" s="20" t="str">
        <f t="shared" si="38"/>
        <v/>
      </c>
      <c r="P177" s="64" t="str">
        <f t="shared" si="39"/>
        <v/>
      </c>
      <c r="Q177" s="85" t="str">
        <f t="shared" ca="1" si="40"/>
        <v/>
      </c>
      <c r="R177" s="86" t="str">
        <f t="shared" si="41"/>
        <v/>
      </c>
      <c r="S177" s="86" t="str">
        <f t="shared" si="42"/>
        <v/>
      </c>
      <c r="T177" s="104" t="str">
        <f t="shared" si="43"/>
        <v/>
      </c>
      <c r="U177" s="19" t="str">
        <f>IF(AND(M177&lt;&gt;"",M177&lt;&gt;0), IF(E177 = "Muni", T177, IF(E177="Corp", T177*(1 -'Investor Input'!$C$4-'Investor Input'!$C$5), T177*(1 -'Investor Input'!$C$4))), T177)</f>
        <v/>
      </c>
      <c r="V177" s="84" t="str">
        <f t="shared" si="44"/>
        <v/>
      </c>
      <c r="W177" s="84" t="str">
        <f t="shared" si="30"/>
        <v/>
      </c>
      <c r="X177" s="21" t="str">
        <f t="shared" si="31"/>
        <v/>
      </c>
      <c r="Y177" s="60" t="str">
        <f t="shared" si="32"/>
        <v/>
      </c>
      <c r="Z177" s="60" t="str">
        <f t="shared" si="33"/>
        <v/>
      </c>
      <c r="AA177" s="64" t="str">
        <f t="shared" si="34"/>
        <v/>
      </c>
      <c r="AB177" s="64" t="str">
        <f>IF(AND(AA177&lt;&gt;"",AA177&lt;&gt;0), IF(E177="Muni", AA177, IF(E177 = "Corp", (1-'Investor Input'!$C$4-'Investor Input'!$C$5)*AA177, (1-'Investor Input'!$C$4)*AA177)), AA177)</f>
        <v/>
      </c>
      <c r="AC177" s="94" t="str">
        <f t="shared" si="35"/>
        <v/>
      </c>
      <c r="AD177" s="60" t="str">
        <f>IF(AND(M177&lt;&gt;"", M177&lt;&gt;0), N177/$N$505*MATCH(AC177,'Misc Lists'!$K$2:$K$25,0), "")</f>
        <v/>
      </c>
      <c r="AE177" s="90" t="str">
        <f t="shared" si="36"/>
        <v/>
      </c>
      <c r="AF177" s="99" t="str">
        <f>IF(AND(M177&lt;&gt;"", M177&lt;&gt;0), N177/$N$505*MATCH(AE177,'Misc Lists'!$L$2:$L$25,0), "")</f>
        <v/>
      </c>
    </row>
    <row r="178" spans="2:32" hidden="1" outlineLevel="1" x14ac:dyDescent="0.5">
      <c r="B178" s="60" t="str">
        <f ca="1"/>
        <v>91282CJP7</v>
      </c>
      <c r="C178" s="61" t="str">
        <f ca="1"/>
        <v>N/A</v>
      </c>
      <c r="D178" s="60" t="str">
        <f ca="1"/>
        <v>UNITED STATES TREAS SER AV-2026         4.37500% 12/15/2026 NTS NOTE</v>
      </c>
      <c r="E178" s="61" t="str">
        <f ca="1"/>
        <v>Tres</v>
      </c>
      <c r="F178" s="62">
        <f ca="1"/>
        <v>4.375</v>
      </c>
      <c r="G178" s="63">
        <f ca="1"/>
        <v>46371</v>
      </c>
      <c r="H178" s="61" t="str">
        <f ca="1"/>
        <v>AAA</v>
      </c>
      <c r="I178" s="61" t="str">
        <f ca="1"/>
        <v>--</v>
      </c>
      <c r="J178" s="64">
        <f ca="1"/>
        <v>100.184</v>
      </c>
      <c r="K178" s="17">
        <f ca="1"/>
        <v>4.266</v>
      </c>
      <c r="L178" s="18" t="str">
        <f ca="1"/>
        <v>70,000(400)</v>
      </c>
      <c r="M178" s="83"/>
      <c r="N178" s="84" t="str">
        <f t="shared" si="37"/>
        <v/>
      </c>
      <c r="O178" s="20" t="str">
        <f t="shared" si="38"/>
        <v/>
      </c>
      <c r="P178" s="64" t="str">
        <f t="shared" si="39"/>
        <v/>
      </c>
      <c r="Q178" s="85" t="str">
        <f t="shared" ca="1" si="40"/>
        <v/>
      </c>
      <c r="R178" s="86" t="str">
        <f t="shared" si="41"/>
        <v/>
      </c>
      <c r="S178" s="86" t="str">
        <f t="shared" si="42"/>
        <v/>
      </c>
      <c r="T178" s="104" t="str">
        <f t="shared" si="43"/>
        <v/>
      </c>
      <c r="U178" s="19" t="str">
        <f>IF(AND(M178&lt;&gt;"",M178&lt;&gt;0), IF(E178 = "Muni", T178, IF(E178="Corp", T178*(1 -'Investor Input'!$C$4-'Investor Input'!$C$5), T178*(1 -'Investor Input'!$C$4))), T178)</f>
        <v/>
      </c>
      <c r="V178" s="84" t="str">
        <f t="shared" si="44"/>
        <v/>
      </c>
      <c r="W178" s="84" t="str">
        <f t="shared" si="30"/>
        <v/>
      </c>
      <c r="X178" s="21" t="str">
        <f t="shared" si="31"/>
        <v/>
      </c>
      <c r="Y178" s="60" t="str">
        <f t="shared" si="32"/>
        <v/>
      </c>
      <c r="Z178" s="60" t="str">
        <f t="shared" si="33"/>
        <v/>
      </c>
      <c r="AA178" s="64" t="str">
        <f t="shared" si="34"/>
        <v/>
      </c>
      <c r="AB178" s="64" t="str">
        <f>IF(AND(AA178&lt;&gt;"",AA178&lt;&gt;0), IF(E178="Muni", AA178, IF(E178 = "Corp", (1-'Investor Input'!$C$4-'Investor Input'!$C$5)*AA178, (1-'Investor Input'!$C$4)*AA178)), AA178)</f>
        <v/>
      </c>
      <c r="AC178" s="94" t="str">
        <f t="shared" si="35"/>
        <v/>
      </c>
      <c r="AD178" s="60" t="str">
        <f>IF(AND(M178&lt;&gt;"", M178&lt;&gt;0), N178/$N$505*MATCH(AC178,'Misc Lists'!$K$2:$K$25,0), "")</f>
        <v/>
      </c>
      <c r="AE178" s="90" t="str">
        <f t="shared" si="36"/>
        <v/>
      </c>
      <c r="AF178" s="99" t="str">
        <f>IF(AND(M178&lt;&gt;"", M178&lt;&gt;0), N178/$N$505*MATCH(AE178,'Misc Lists'!$L$2:$L$25,0), "")</f>
        <v/>
      </c>
    </row>
    <row r="179" spans="2:32" hidden="1" outlineLevel="1" x14ac:dyDescent="0.5">
      <c r="B179" s="60" t="str">
        <f ca="1"/>
        <v>91282CAY7</v>
      </c>
      <c r="C179" s="61" t="str">
        <f ca="1"/>
        <v>N/A</v>
      </c>
      <c r="D179" s="60" t="str">
        <f ca="1"/>
        <v>UNITED STATES TREAS SER S-2027          0.62500% 11/30/2027 NTS NOTE</v>
      </c>
      <c r="E179" s="61" t="str">
        <f ca="1"/>
        <v>Tres</v>
      </c>
      <c r="F179" s="62">
        <f ca="1"/>
        <v>0.625</v>
      </c>
      <c r="G179" s="63">
        <f ca="1"/>
        <v>46721</v>
      </c>
      <c r="H179" s="61" t="str">
        <f ca="1"/>
        <v>AAA</v>
      </c>
      <c r="I179" s="61" t="str">
        <f ca="1"/>
        <v>--</v>
      </c>
      <c r="J179" s="64">
        <f ca="1"/>
        <v>90.546999999999997</v>
      </c>
      <c r="K179" s="17">
        <f ca="1"/>
        <v>4.266</v>
      </c>
      <c r="L179" s="18" t="str">
        <f ca="1"/>
        <v>65,000(400)</v>
      </c>
      <c r="M179" s="83"/>
      <c r="N179" s="84" t="str">
        <f t="shared" si="37"/>
        <v/>
      </c>
      <c r="O179" s="20" t="str">
        <f t="shared" si="38"/>
        <v/>
      </c>
      <c r="P179" s="64" t="str">
        <f t="shared" si="39"/>
        <v/>
      </c>
      <c r="Q179" s="85" t="str">
        <f t="shared" ca="1" si="40"/>
        <v/>
      </c>
      <c r="R179" s="86" t="str">
        <f t="shared" si="41"/>
        <v/>
      </c>
      <c r="S179" s="86" t="str">
        <f t="shared" si="42"/>
        <v/>
      </c>
      <c r="T179" s="104" t="str">
        <f t="shared" si="43"/>
        <v/>
      </c>
      <c r="U179" s="19" t="str">
        <f>IF(AND(M179&lt;&gt;"",M179&lt;&gt;0), IF(E179 = "Muni", T179, IF(E179="Corp", T179*(1 -'Investor Input'!$C$4-'Investor Input'!$C$5), T179*(1 -'Investor Input'!$C$4))), T179)</f>
        <v/>
      </c>
      <c r="V179" s="84" t="str">
        <f t="shared" si="44"/>
        <v/>
      </c>
      <c r="W179" s="84" t="str">
        <f t="shared" si="30"/>
        <v/>
      </c>
      <c r="X179" s="21" t="str">
        <f t="shared" si="31"/>
        <v/>
      </c>
      <c r="Y179" s="60" t="str">
        <f t="shared" si="32"/>
        <v/>
      </c>
      <c r="Z179" s="60" t="str">
        <f t="shared" si="33"/>
        <v/>
      </c>
      <c r="AA179" s="64" t="str">
        <f t="shared" si="34"/>
        <v/>
      </c>
      <c r="AB179" s="64" t="str">
        <f>IF(AND(AA179&lt;&gt;"",AA179&lt;&gt;0), IF(E179="Muni", AA179, IF(E179 = "Corp", (1-'Investor Input'!$C$4-'Investor Input'!$C$5)*AA179, (1-'Investor Input'!$C$4)*AA179)), AA179)</f>
        <v/>
      </c>
      <c r="AC179" s="94" t="str">
        <f t="shared" si="35"/>
        <v/>
      </c>
      <c r="AD179" s="60" t="str">
        <f>IF(AND(M179&lt;&gt;"", M179&lt;&gt;0), N179/$N$505*MATCH(AC179,'Misc Lists'!$K$2:$K$25,0), "")</f>
        <v/>
      </c>
      <c r="AE179" s="90" t="str">
        <f t="shared" si="36"/>
        <v/>
      </c>
      <c r="AF179" s="99" t="str">
        <f>IF(AND(M179&lt;&gt;"", M179&lt;&gt;0), N179/$N$505*MATCH(AE179,'Misc Lists'!$L$2:$L$25,0), "")</f>
        <v/>
      </c>
    </row>
    <row r="180" spans="2:32" hidden="1" outlineLevel="1" x14ac:dyDescent="0.5">
      <c r="B180" s="60" t="str">
        <f ca="1"/>
        <v>9128285J5</v>
      </c>
      <c r="C180" s="61" t="str">
        <f ca="1"/>
        <v>N/A</v>
      </c>
      <c r="D180" s="60" t="str">
        <f ca="1"/>
        <v>UNITED STATES TREAS SER R-2025          3.00000% 10/31/2025 NTS NOTE</v>
      </c>
      <c r="E180" s="61" t="str">
        <f ca="1"/>
        <v>Tres</v>
      </c>
      <c r="F180" s="62">
        <f ca="1"/>
        <v>3</v>
      </c>
      <c r="G180" s="63">
        <f ca="1"/>
        <v>45961</v>
      </c>
      <c r="H180" s="61" t="str">
        <f ca="1"/>
        <v>AAA</v>
      </c>
      <c r="I180" s="61" t="str">
        <f ca="1"/>
        <v>--</v>
      </c>
      <c r="J180" s="64">
        <f ca="1"/>
        <v>99.138000000000005</v>
      </c>
      <c r="K180" s="17">
        <f ca="1"/>
        <v>4.2649999999999997</v>
      </c>
      <c r="L180" s="18" t="str">
        <f ca="1"/>
        <v>8,000(200)</v>
      </c>
      <c r="M180" s="83"/>
      <c r="N180" s="84" t="str">
        <f t="shared" si="37"/>
        <v/>
      </c>
      <c r="O180" s="20" t="str">
        <f t="shared" si="38"/>
        <v/>
      </c>
      <c r="P180" s="64" t="str">
        <f t="shared" si="39"/>
        <v/>
      </c>
      <c r="Q180" s="85" t="str">
        <f t="shared" ca="1" si="40"/>
        <v/>
      </c>
      <c r="R180" s="86" t="str">
        <f t="shared" si="41"/>
        <v/>
      </c>
      <c r="S180" s="86" t="str">
        <f t="shared" si="42"/>
        <v/>
      </c>
      <c r="T180" s="104" t="str">
        <f t="shared" si="43"/>
        <v/>
      </c>
      <c r="U180" s="19" t="str">
        <f>IF(AND(M180&lt;&gt;"",M180&lt;&gt;0), IF(E180 = "Muni", T180, IF(E180="Corp", T180*(1 -'Investor Input'!$C$4-'Investor Input'!$C$5), T180*(1 -'Investor Input'!$C$4))), T180)</f>
        <v/>
      </c>
      <c r="V180" s="84" t="str">
        <f t="shared" si="44"/>
        <v/>
      </c>
      <c r="W180" s="84" t="str">
        <f t="shared" si="30"/>
        <v/>
      </c>
      <c r="X180" s="21" t="str">
        <f t="shared" si="31"/>
        <v/>
      </c>
      <c r="Y180" s="60" t="str">
        <f t="shared" si="32"/>
        <v/>
      </c>
      <c r="Z180" s="60" t="str">
        <f t="shared" si="33"/>
        <v/>
      </c>
      <c r="AA180" s="64" t="str">
        <f t="shared" si="34"/>
        <v/>
      </c>
      <c r="AB180" s="64" t="str">
        <f>IF(AND(AA180&lt;&gt;"",AA180&lt;&gt;0), IF(E180="Muni", AA180, IF(E180 = "Corp", (1-'Investor Input'!$C$4-'Investor Input'!$C$5)*AA180, (1-'Investor Input'!$C$4)*AA180)), AA180)</f>
        <v/>
      </c>
      <c r="AC180" s="94" t="str">
        <f t="shared" si="35"/>
        <v/>
      </c>
      <c r="AD180" s="60" t="str">
        <f>IF(AND(M180&lt;&gt;"", M180&lt;&gt;0), N180/$N$505*MATCH(AC180,'Misc Lists'!$K$2:$K$25,0), "")</f>
        <v/>
      </c>
      <c r="AE180" s="90" t="str">
        <f t="shared" si="36"/>
        <v/>
      </c>
      <c r="AF180" s="99" t="str">
        <f>IF(AND(M180&lt;&gt;"", M180&lt;&gt;0), N180/$N$505*MATCH(AE180,'Misc Lists'!$L$2:$L$25,0), "")</f>
        <v/>
      </c>
    </row>
    <row r="181" spans="2:32" hidden="1" outlineLevel="1" x14ac:dyDescent="0.5">
      <c r="B181" s="60" t="str">
        <f ca="1"/>
        <v>91282CBW0</v>
      </c>
      <c r="C181" s="61" t="str">
        <f ca="1"/>
        <v>N/A</v>
      </c>
      <c r="D181" s="60" t="str">
        <f ca="1"/>
        <v>UNITED STATES TREAS SER Y-2026          0.75000% 04/30/2026 NTS NOTE</v>
      </c>
      <c r="E181" s="61" t="str">
        <f ca="1"/>
        <v>Tres</v>
      </c>
      <c r="F181" s="62">
        <f ca="1"/>
        <v>0.75</v>
      </c>
      <c r="G181" s="63">
        <f ca="1"/>
        <v>46142</v>
      </c>
      <c r="H181" s="61" t="str">
        <f ca="1"/>
        <v>AAA</v>
      </c>
      <c r="I181" s="61" t="str">
        <f ca="1"/>
        <v>--</v>
      </c>
      <c r="J181" s="64">
        <f ca="1"/>
        <v>95.941999999999993</v>
      </c>
      <c r="K181" s="17">
        <f ca="1"/>
        <v>4.2649999999999997</v>
      </c>
      <c r="L181" s="18" t="str">
        <f ca="1"/>
        <v>30,000(400)</v>
      </c>
      <c r="M181" s="83"/>
      <c r="N181" s="84" t="str">
        <f t="shared" si="37"/>
        <v/>
      </c>
      <c r="O181" s="20" t="str">
        <f t="shared" si="38"/>
        <v/>
      </c>
      <c r="P181" s="64" t="str">
        <f t="shared" si="39"/>
        <v/>
      </c>
      <c r="Q181" s="85" t="str">
        <f t="shared" ca="1" si="40"/>
        <v/>
      </c>
      <c r="R181" s="86" t="str">
        <f t="shared" si="41"/>
        <v/>
      </c>
      <c r="S181" s="86" t="str">
        <f t="shared" si="42"/>
        <v/>
      </c>
      <c r="T181" s="104" t="str">
        <f t="shared" si="43"/>
        <v/>
      </c>
      <c r="U181" s="19" t="str">
        <f>IF(AND(M181&lt;&gt;"",M181&lt;&gt;0), IF(E181 = "Muni", T181, IF(E181="Corp", T181*(1 -'Investor Input'!$C$4-'Investor Input'!$C$5), T181*(1 -'Investor Input'!$C$4))), T181)</f>
        <v/>
      </c>
      <c r="V181" s="84" t="str">
        <f t="shared" si="44"/>
        <v/>
      </c>
      <c r="W181" s="84" t="str">
        <f t="shared" si="30"/>
        <v/>
      </c>
      <c r="X181" s="21" t="str">
        <f t="shared" si="31"/>
        <v/>
      </c>
      <c r="Y181" s="60" t="str">
        <f t="shared" si="32"/>
        <v/>
      </c>
      <c r="Z181" s="60" t="str">
        <f t="shared" si="33"/>
        <v/>
      </c>
      <c r="AA181" s="64" t="str">
        <f t="shared" si="34"/>
        <v/>
      </c>
      <c r="AB181" s="64" t="str">
        <f>IF(AND(AA181&lt;&gt;"",AA181&lt;&gt;0), IF(E181="Muni", AA181, IF(E181 = "Corp", (1-'Investor Input'!$C$4-'Investor Input'!$C$5)*AA181, (1-'Investor Input'!$C$4)*AA181)), AA181)</f>
        <v/>
      </c>
      <c r="AC181" s="94" t="str">
        <f t="shared" si="35"/>
        <v/>
      </c>
      <c r="AD181" s="60" t="str">
        <f>IF(AND(M181&lt;&gt;"", M181&lt;&gt;0), N181/$N$505*MATCH(AC181,'Misc Lists'!$K$2:$K$25,0), "")</f>
        <v/>
      </c>
      <c r="AE181" s="90" t="str">
        <f t="shared" si="36"/>
        <v/>
      </c>
      <c r="AF181" s="99" t="str">
        <f>IF(AND(M181&lt;&gt;"", M181&lt;&gt;0), N181/$N$505*MATCH(AE181,'Misc Lists'!$L$2:$L$25,0), "")</f>
        <v/>
      </c>
    </row>
    <row r="182" spans="2:32" hidden="1" outlineLevel="1" x14ac:dyDescent="0.5">
      <c r="B182" s="60" t="str">
        <f ca="1"/>
        <v>91282CLP4</v>
      </c>
      <c r="C182" s="61" t="str">
        <f ca="1"/>
        <v>N/A</v>
      </c>
      <c r="D182" s="60" t="str">
        <f ca="1"/>
        <v>UNITED STATES TREAS SER BH-2026         3.50000% 09/30/2026 NTS NOTE</v>
      </c>
      <c r="E182" s="61" t="str">
        <f ca="1"/>
        <v>Tres</v>
      </c>
      <c r="F182" s="62">
        <f ca="1"/>
        <v>3.5</v>
      </c>
      <c r="G182" s="63">
        <f ca="1"/>
        <v>46295</v>
      </c>
      <c r="H182" s="61" t="str">
        <f ca="1"/>
        <v>AAA</v>
      </c>
      <c r="I182" s="61" t="str">
        <f ca="1"/>
        <v>--</v>
      </c>
      <c r="J182" s="64">
        <f ca="1"/>
        <v>98.816999999999993</v>
      </c>
      <c r="K182" s="17">
        <f ca="1"/>
        <v>4.2649999999999997</v>
      </c>
      <c r="L182" s="18" t="str">
        <f ca="1"/>
        <v>150,000(400)</v>
      </c>
      <c r="M182" s="83"/>
      <c r="N182" s="84" t="str">
        <f t="shared" si="37"/>
        <v/>
      </c>
      <c r="O182" s="20" t="str">
        <f t="shared" si="38"/>
        <v/>
      </c>
      <c r="P182" s="64" t="str">
        <f t="shared" si="39"/>
        <v/>
      </c>
      <c r="Q182" s="85" t="str">
        <f t="shared" ca="1" si="40"/>
        <v/>
      </c>
      <c r="R182" s="86" t="str">
        <f t="shared" si="41"/>
        <v/>
      </c>
      <c r="S182" s="86" t="str">
        <f t="shared" si="42"/>
        <v/>
      </c>
      <c r="T182" s="104" t="str">
        <f t="shared" si="43"/>
        <v/>
      </c>
      <c r="U182" s="19" t="str">
        <f>IF(AND(M182&lt;&gt;"",M182&lt;&gt;0), IF(E182 = "Muni", T182, IF(E182="Corp", T182*(1 -'Investor Input'!$C$4-'Investor Input'!$C$5), T182*(1 -'Investor Input'!$C$4))), T182)</f>
        <v/>
      </c>
      <c r="V182" s="84" t="str">
        <f t="shared" si="44"/>
        <v/>
      </c>
      <c r="W182" s="84" t="str">
        <f t="shared" si="30"/>
        <v/>
      </c>
      <c r="X182" s="21" t="str">
        <f t="shared" si="31"/>
        <v/>
      </c>
      <c r="Y182" s="60" t="str">
        <f t="shared" si="32"/>
        <v/>
      </c>
      <c r="Z182" s="60" t="str">
        <f t="shared" si="33"/>
        <v/>
      </c>
      <c r="AA182" s="64" t="str">
        <f t="shared" si="34"/>
        <v/>
      </c>
      <c r="AB182" s="64" t="str">
        <f>IF(AND(AA182&lt;&gt;"",AA182&lt;&gt;0), IF(E182="Muni", AA182, IF(E182 = "Corp", (1-'Investor Input'!$C$4-'Investor Input'!$C$5)*AA182, (1-'Investor Input'!$C$4)*AA182)), AA182)</f>
        <v/>
      </c>
      <c r="AC182" s="94" t="str">
        <f t="shared" si="35"/>
        <v/>
      </c>
      <c r="AD182" s="60" t="str">
        <f>IF(AND(M182&lt;&gt;"", M182&lt;&gt;0), N182/$N$505*MATCH(AC182,'Misc Lists'!$K$2:$K$25,0), "")</f>
        <v/>
      </c>
      <c r="AE182" s="90" t="str">
        <f t="shared" si="36"/>
        <v/>
      </c>
      <c r="AF182" s="99" t="str">
        <f>IF(AND(M182&lt;&gt;"", M182&lt;&gt;0), N182/$N$505*MATCH(AE182,'Misc Lists'!$L$2:$L$25,0), "")</f>
        <v/>
      </c>
    </row>
    <row r="183" spans="2:32" hidden="1" outlineLevel="1" x14ac:dyDescent="0.5">
      <c r="B183" s="60" t="str">
        <f ca="1"/>
        <v>91282CLY5</v>
      </c>
      <c r="C183" s="61" t="str">
        <f ca="1"/>
        <v>N/A</v>
      </c>
      <c r="D183" s="60" t="str">
        <f ca="1"/>
        <v>UNITED STATES TREAS SER BL-2026         4.25000% 11/30/2026 NTS NOTE</v>
      </c>
      <c r="E183" s="61" t="str">
        <f ca="1"/>
        <v>Tres</v>
      </c>
      <c r="F183" s="62">
        <f ca="1"/>
        <v>4.25</v>
      </c>
      <c r="G183" s="63">
        <f ca="1"/>
        <v>46356</v>
      </c>
      <c r="H183" s="61" t="str">
        <f ca="1"/>
        <v>AAA</v>
      </c>
      <c r="I183" s="61" t="str">
        <f ca="1"/>
        <v>--</v>
      </c>
      <c r="J183" s="64">
        <f ca="1"/>
        <v>99.968999999999994</v>
      </c>
      <c r="K183" s="17">
        <f ca="1"/>
        <v>4.2649999999999997</v>
      </c>
      <c r="L183" s="18" t="str">
        <f ca="1"/>
        <v>57,000(525)</v>
      </c>
      <c r="M183" s="83"/>
      <c r="N183" s="84" t="str">
        <f t="shared" si="37"/>
        <v/>
      </c>
      <c r="O183" s="20" t="str">
        <f t="shared" si="38"/>
        <v/>
      </c>
      <c r="P183" s="64" t="str">
        <f t="shared" si="39"/>
        <v/>
      </c>
      <c r="Q183" s="85" t="str">
        <f t="shared" ca="1" si="40"/>
        <v/>
      </c>
      <c r="R183" s="86" t="str">
        <f t="shared" si="41"/>
        <v/>
      </c>
      <c r="S183" s="86" t="str">
        <f t="shared" si="42"/>
        <v/>
      </c>
      <c r="T183" s="104" t="str">
        <f t="shared" si="43"/>
        <v/>
      </c>
      <c r="U183" s="19" t="str">
        <f>IF(AND(M183&lt;&gt;"",M183&lt;&gt;0), IF(E183 = "Muni", T183, IF(E183="Corp", T183*(1 -'Investor Input'!$C$4-'Investor Input'!$C$5), T183*(1 -'Investor Input'!$C$4))), T183)</f>
        <v/>
      </c>
      <c r="V183" s="84" t="str">
        <f t="shared" si="44"/>
        <v/>
      </c>
      <c r="W183" s="84" t="str">
        <f t="shared" si="30"/>
        <v/>
      </c>
      <c r="X183" s="21" t="str">
        <f t="shared" si="31"/>
        <v/>
      </c>
      <c r="Y183" s="60" t="str">
        <f t="shared" si="32"/>
        <v/>
      </c>
      <c r="Z183" s="60" t="str">
        <f t="shared" si="33"/>
        <v/>
      </c>
      <c r="AA183" s="64" t="str">
        <f t="shared" si="34"/>
        <v/>
      </c>
      <c r="AB183" s="64" t="str">
        <f>IF(AND(AA183&lt;&gt;"",AA183&lt;&gt;0), IF(E183="Muni", AA183, IF(E183 = "Corp", (1-'Investor Input'!$C$4-'Investor Input'!$C$5)*AA183, (1-'Investor Input'!$C$4)*AA183)), AA183)</f>
        <v/>
      </c>
      <c r="AC183" s="94" t="str">
        <f t="shared" si="35"/>
        <v/>
      </c>
      <c r="AD183" s="60" t="str">
        <f>IF(AND(M183&lt;&gt;"", M183&lt;&gt;0), N183/$N$505*MATCH(AC183,'Misc Lists'!$K$2:$K$25,0), "")</f>
        <v/>
      </c>
      <c r="AE183" s="90" t="str">
        <f t="shared" si="36"/>
        <v/>
      </c>
      <c r="AF183" s="99" t="str">
        <f>IF(AND(M183&lt;&gt;"", M183&lt;&gt;0), N183/$N$505*MATCH(AE183,'Misc Lists'!$L$2:$L$25,0), "")</f>
        <v/>
      </c>
    </row>
    <row r="184" spans="2:32" hidden="1" outlineLevel="1" x14ac:dyDescent="0.5">
      <c r="B184" s="60" t="str">
        <f ca="1"/>
        <v>91282CME8</v>
      </c>
      <c r="C184" s="61" t="str">
        <f ca="1"/>
        <v>N/A</v>
      </c>
      <c r="D184" s="60" t="str">
        <f ca="1"/>
        <v>UNITED STATES TREAS SER BM-2026         4.25000% 12/31/2026 NTS NOTE</v>
      </c>
      <c r="E184" s="61" t="str">
        <f ca="1"/>
        <v>Tres</v>
      </c>
      <c r="F184" s="62">
        <f ca="1"/>
        <v>4.25</v>
      </c>
      <c r="G184" s="63">
        <f ca="1"/>
        <v>46387</v>
      </c>
      <c r="H184" s="61" t="str">
        <f ca="1"/>
        <v>AAA</v>
      </c>
      <c r="I184" s="61" t="str">
        <f ca="1"/>
        <v>--</v>
      </c>
      <c r="J184" s="64">
        <f ca="1"/>
        <v>99.968999999999994</v>
      </c>
      <c r="K184" s="17">
        <f ca="1"/>
        <v>4.2649999999999997</v>
      </c>
      <c r="L184" s="18" t="str">
        <f ca="1"/>
        <v>70,000(400)</v>
      </c>
      <c r="M184" s="83"/>
      <c r="N184" s="84" t="str">
        <f t="shared" si="37"/>
        <v/>
      </c>
      <c r="O184" s="20" t="str">
        <f t="shared" si="38"/>
        <v/>
      </c>
      <c r="P184" s="64" t="str">
        <f t="shared" si="39"/>
        <v/>
      </c>
      <c r="Q184" s="85" t="str">
        <f t="shared" ca="1" si="40"/>
        <v/>
      </c>
      <c r="R184" s="86" t="str">
        <f t="shared" si="41"/>
        <v/>
      </c>
      <c r="S184" s="86" t="str">
        <f t="shared" si="42"/>
        <v/>
      </c>
      <c r="T184" s="104" t="str">
        <f t="shared" si="43"/>
        <v/>
      </c>
      <c r="U184" s="19" t="str">
        <f>IF(AND(M184&lt;&gt;"",M184&lt;&gt;0), IF(E184 = "Muni", T184, IF(E184="Corp", T184*(1 -'Investor Input'!$C$4-'Investor Input'!$C$5), T184*(1 -'Investor Input'!$C$4))), T184)</f>
        <v/>
      </c>
      <c r="V184" s="84" t="str">
        <f t="shared" si="44"/>
        <v/>
      </c>
      <c r="W184" s="84" t="str">
        <f t="shared" si="30"/>
        <v/>
      </c>
      <c r="X184" s="21" t="str">
        <f t="shared" si="31"/>
        <v/>
      </c>
      <c r="Y184" s="60" t="str">
        <f t="shared" si="32"/>
        <v/>
      </c>
      <c r="Z184" s="60" t="str">
        <f t="shared" si="33"/>
        <v/>
      </c>
      <c r="AA184" s="64" t="str">
        <f t="shared" si="34"/>
        <v/>
      </c>
      <c r="AB184" s="64" t="str">
        <f>IF(AND(AA184&lt;&gt;"",AA184&lt;&gt;0), IF(E184="Muni", AA184, IF(E184 = "Corp", (1-'Investor Input'!$C$4-'Investor Input'!$C$5)*AA184, (1-'Investor Input'!$C$4)*AA184)), AA184)</f>
        <v/>
      </c>
      <c r="AC184" s="94" t="str">
        <f t="shared" si="35"/>
        <v/>
      </c>
      <c r="AD184" s="60" t="str">
        <f>IF(AND(M184&lt;&gt;"", M184&lt;&gt;0), N184/$N$505*MATCH(AC184,'Misc Lists'!$K$2:$K$25,0), "")</f>
        <v/>
      </c>
      <c r="AE184" s="90" t="str">
        <f t="shared" si="36"/>
        <v/>
      </c>
      <c r="AF184" s="99" t="str">
        <f>IF(AND(M184&lt;&gt;"", M184&lt;&gt;0), N184/$N$505*MATCH(AE184,'Misc Lists'!$L$2:$L$25,0), "")</f>
        <v/>
      </c>
    </row>
    <row r="185" spans="2:32" hidden="1" outlineLevel="1" x14ac:dyDescent="0.5">
      <c r="B185" s="60" t="str">
        <f ca="1"/>
        <v>91282CET4</v>
      </c>
      <c r="C185" s="61" t="str">
        <f ca="1"/>
        <v>N/A</v>
      </c>
      <c r="D185" s="60" t="str">
        <f ca="1"/>
        <v>UNITED STATES TREAS SER Z-2027          2.62500% 05/31/2027 NTS NOTE</v>
      </c>
      <c r="E185" s="61" t="str">
        <f ca="1"/>
        <v>Tres</v>
      </c>
      <c r="F185" s="62">
        <f ca="1"/>
        <v>2.625</v>
      </c>
      <c r="G185" s="63">
        <f ca="1"/>
        <v>46538</v>
      </c>
      <c r="H185" s="61" t="str">
        <f ca="1"/>
        <v>AAA</v>
      </c>
      <c r="I185" s="61" t="str">
        <f ca="1"/>
        <v>--</v>
      </c>
      <c r="J185" s="64">
        <f ca="1"/>
        <v>96.468999999999994</v>
      </c>
      <c r="K185" s="17">
        <f ca="1"/>
        <v>4.2649999999999997</v>
      </c>
      <c r="L185" s="18" t="str">
        <f ca="1"/>
        <v>70,000(400)</v>
      </c>
      <c r="M185" s="83"/>
      <c r="N185" s="84" t="str">
        <f t="shared" si="37"/>
        <v/>
      </c>
      <c r="O185" s="20" t="str">
        <f t="shared" si="38"/>
        <v/>
      </c>
      <c r="P185" s="64" t="str">
        <f t="shared" si="39"/>
        <v/>
      </c>
      <c r="Q185" s="85" t="str">
        <f t="shared" ca="1" si="40"/>
        <v/>
      </c>
      <c r="R185" s="86" t="str">
        <f t="shared" si="41"/>
        <v/>
      </c>
      <c r="S185" s="86" t="str">
        <f t="shared" si="42"/>
        <v/>
      </c>
      <c r="T185" s="104" t="str">
        <f t="shared" si="43"/>
        <v/>
      </c>
      <c r="U185" s="19" t="str">
        <f>IF(AND(M185&lt;&gt;"",M185&lt;&gt;0), IF(E185 = "Muni", T185, IF(E185="Corp", T185*(1 -'Investor Input'!$C$4-'Investor Input'!$C$5), T185*(1 -'Investor Input'!$C$4))), T185)</f>
        <v/>
      </c>
      <c r="V185" s="84" t="str">
        <f t="shared" si="44"/>
        <v/>
      </c>
      <c r="W185" s="84" t="str">
        <f t="shared" si="30"/>
        <v/>
      </c>
      <c r="X185" s="21" t="str">
        <f t="shared" si="31"/>
        <v/>
      </c>
      <c r="Y185" s="60" t="str">
        <f t="shared" si="32"/>
        <v/>
      </c>
      <c r="Z185" s="60" t="str">
        <f t="shared" si="33"/>
        <v/>
      </c>
      <c r="AA185" s="64" t="str">
        <f t="shared" si="34"/>
        <v/>
      </c>
      <c r="AB185" s="64" t="str">
        <f>IF(AND(AA185&lt;&gt;"",AA185&lt;&gt;0), IF(E185="Muni", AA185, IF(E185 = "Corp", (1-'Investor Input'!$C$4-'Investor Input'!$C$5)*AA185, (1-'Investor Input'!$C$4)*AA185)), AA185)</f>
        <v/>
      </c>
      <c r="AC185" s="94" t="str">
        <f t="shared" si="35"/>
        <v/>
      </c>
      <c r="AD185" s="60" t="str">
        <f>IF(AND(M185&lt;&gt;"", M185&lt;&gt;0), N185/$N$505*MATCH(AC185,'Misc Lists'!$K$2:$K$25,0), "")</f>
        <v/>
      </c>
      <c r="AE185" s="90" t="str">
        <f t="shared" si="36"/>
        <v/>
      </c>
      <c r="AF185" s="99" t="str">
        <f>IF(AND(M185&lt;&gt;"", M185&lt;&gt;0), N185/$N$505*MATCH(AE185,'Misc Lists'!$L$2:$L$25,0), "")</f>
        <v/>
      </c>
    </row>
    <row r="186" spans="2:32" hidden="1" outlineLevel="1" x14ac:dyDescent="0.5">
      <c r="B186" s="60" t="str">
        <f ca="1"/>
        <v>91282CMB4</v>
      </c>
      <c r="C186" s="61" t="str">
        <f ca="1"/>
        <v>N/A</v>
      </c>
      <c r="D186" s="60" t="str">
        <f ca="1"/>
        <v>UNITED STATES TREAS SER AV-2027         4.00000% 12/15/2027 NTS NOTE</v>
      </c>
      <c r="E186" s="61" t="str">
        <f ca="1"/>
        <v>Tres</v>
      </c>
      <c r="F186" s="62">
        <f ca="1"/>
        <v>4</v>
      </c>
      <c r="G186" s="63">
        <f ca="1"/>
        <v>46736</v>
      </c>
      <c r="H186" s="61" t="str">
        <f ca="1"/>
        <v>AAA</v>
      </c>
      <c r="I186" s="61" t="str">
        <f ca="1"/>
        <v>--</v>
      </c>
      <c r="J186" s="64">
        <f ca="1"/>
        <v>99.296999999999997</v>
      </c>
      <c r="K186" s="17">
        <f ca="1"/>
        <v>4.2649999999999997</v>
      </c>
      <c r="L186" s="18" t="str">
        <f ca="1"/>
        <v>35,000(450)</v>
      </c>
      <c r="M186" s="83"/>
      <c r="N186" s="84" t="str">
        <f t="shared" si="37"/>
        <v/>
      </c>
      <c r="O186" s="20" t="str">
        <f t="shared" si="38"/>
        <v/>
      </c>
      <c r="P186" s="64" t="str">
        <f t="shared" si="39"/>
        <v/>
      </c>
      <c r="Q186" s="85" t="str">
        <f t="shared" ca="1" si="40"/>
        <v/>
      </c>
      <c r="R186" s="86" t="str">
        <f t="shared" si="41"/>
        <v/>
      </c>
      <c r="S186" s="86" t="str">
        <f t="shared" si="42"/>
        <v/>
      </c>
      <c r="T186" s="104" t="str">
        <f t="shared" si="43"/>
        <v/>
      </c>
      <c r="U186" s="19" t="str">
        <f>IF(AND(M186&lt;&gt;"",M186&lt;&gt;0), IF(E186 = "Muni", T186, IF(E186="Corp", T186*(1 -'Investor Input'!$C$4-'Investor Input'!$C$5), T186*(1 -'Investor Input'!$C$4))), T186)</f>
        <v/>
      </c>
      <c r="V186" s="84" t="str">
        <f t="shared" si="44"/>
        <v/>
      </c>
      <c r="W186" s="84" t="str">
        <f t="shared" si="30"/>
        <v/>
      </c>
      <c r="X186" s="21" t="str">
        <f t="shared" si="31"/>
        <v/>
      </c>
      <c r="Y186" s="60" t="str">
        <f t="shared" si="32"/>
        <v/>
      </c>
      <c r="Z186" s="60" t="str">
        <f t="shared" si="33"/>
        <v/>
      </c>
      <c r="AA186" s="64" t="str">
        <f t="shared" si="34"/>
        <v/>
      </c>
      <c r="AB186" s="64" t="str">
        <f>IF(AND(AA186&lt;&gt;"",AA186&lt;&gt;0), IF(E186="Muni", AA186, IF(E186 = "Corp", (1-'Investor Input'!$C$4-'Investor Input'!$C$5)*AA186, (1-'Investor Input'!$C$4)*AA186)), AA186)</f>
        <v/>
      </c>
      <c r="AC186" s="94" t="str">
        <f t="shared" si="35"/>
        <v/>
      </c>
      <c r="AD186" s="60" t="str">
        <f>IF(AND(M186&lt;&gt;"", M186&lt;&gt;0), N186/$N$505*MATCH(AC186,'Misc Lists'!$K$2:$K$25,0), "")</f>
        <v/>
      </c>
      <c r="AE186" s="90" t="str">
        <f t="shared" si="36"/>
        <v/>
      </c>
      <c r="AF186" s="99" t="str">
        <f>IF(AND(M186&lt;&gt;"", M186&lt;&gt;0), N186/$N$505*MATCH(AE186,'Misc Lists'!$L$2:$L$25,0), "")</f>
        <v/>
      </c>
    </row>
    <row r="187" spans="2:32" hidden="1" outlineLevel="1" x14ac:dyDescent="0.5">
      <c r="B187" s="60" t="str">
        <f ca="1"/>
        <v>9128286F2</v>
      </c>
      <c r="C187" s="61" t="str">
        <f ca="1"/>
        <v>N/A</v>
      </c>
      <c r="D187" s="60" t="str">
        <f ca="1"/>
        <v>UNITED STATES TREAS SER H-2026          2.50000% 02/28/2026 NTS NOTE</v>
      </c>
      <c r="E187" s="61" t="str">
        <f ca="1"/>
        <v>Tres</v>
      </c>
      <c r="F187" s="62">
        <f ca="1"/>
        <v>2.5</v>
      </c>
      <c r="G187" s="63">
        <f ca="1"/>
        <v>46081</v>
      </c>
      <c r="H187" s="61" t="str">
        <f ca="1"/>
        <v>AAA</v>
      </c>
      <c r="I187" s="61" t="str">
        <f ca="1"/>
        <v>--</v>
      </c>
      <c r="J187" s="64">
        <f ca="1"/>
        <v>98.244</v>
      </c>
      <c r="K187" s="17">
        <f ca="1"/>
        <v>4.2640000000000002</v>
      </c>
      <c r="L187" s="18" t="str">
        <f ca="1"/>
        <v>8,000(200)</v>
      </c>
      <c r="M187" s="83"/>
      <c r="N187" s="84" t="str">
        <f t="shared" si="37"/>
        <v/>
      </c>
      <c r="O187" s="20" t="str">
        <f t="shared" si="38"/>
        <v/>
      </c>
      <c r="P187" s="64" t="str">
        <f t="shared" si="39"/>
        <v/>
      </c>
      <c r="Q187" s="85" t="str">
        <f t="shared" ca="1" si="40"/>
        <v/>
      </c>
      <c r="R187" s="86" t="str">
        <f t="shared" si="41"/>
        <v/>
      </c>
      <c r="S187" s="86" t="str">
        <f t="shared" si="42"/>
        <v/>
      </c>
      <c r="T187" s="104" t="str">
        <f t="shared" si="43"/>
        <v/>
      </c>
      <c r="U187" s="19" t="str">
        <f>IF(AND(M187&lt;&gt;"",M187&lt;&gt;0), IF(E187 = "Muni", T187, IF(E187="Corp", T187*(1 -'Investor Input'!$C$4-'Investor Input'!$C$5), T187*(1 -'Investor Input'!$C$4))), T187)</f>
        <v/>
      </c>
      <c r="V187" s="84" t="str">
        <f t="shared" si="44"/>
        <v/>
      </c>
      <c r="W187" s="84" t="str">
        <f t="shared" si="30"/>
        <v/>
      </c>
      <c r="X187" s="21" t="str">
        <f t="shared" si="31"/>
        <v/>
      </c>
      <c r="Y187" s="60" t="str">
        <f t="shared" si="32"/>
        <v/>
      </c>
      <c r="Z187" s="60" t="str">
        <f t="shared" si="33"/>
        <v/>
      </c>
      <c r="AA187" s="64" t="str">
        <f t="shared" si="34"/>
        <v/>
      </c>
      <c r="AB187" s="64" t="str">
        <f>IF(AND(AA187&lt;&gt;"",AA187&lt;&gt;0), IF(E187="Muni", AA187, IF(E187 = "Corp", (1-'Investor Input'!$C$4-'Investor Input'!$C$5)*AA187, (1-'Investor Input'!$C$4)*AA187)), AA187)</f>
        <v/>
      </c>
      <c r="AC187" s="94" t="str">
        <f t="shared" si="35"/>
        <v/>
      </c>
      <c r="AD187" s="60" t="str">
        <f>IF(AND(M187&lt;&gt;"", M187&lt;&gt;0), N187/$N$505*MATCH(AC187,'Misc Lists'!$K$2:$K$25,0), "")</f>
        <v/>
      </c>
      <c r="AE187" s="90" t="str">
        <f t="shared" si="36"/>
        <v/>
      </c>
      <c r="AF187" s="99" t="str">
        <f>IF(AND(M187&lt;&gt;"", M187&lt;&gt;0), N187/$N$505*MATCH(AE187,'Misc Lists'!$L$2:$L$25,0), "")</f>
        <v/>
      </c>
    </row>
    <row r="188" spans="2:32" hidden="1" outlineLevel="1" x14ac:dyDescent="0.5">
      <c r="B188" s="60" t="str">
        <f ca="1"/>
        <v>91282CHB0</v>
      </c>
      <c r="C188" s="61" t="str">
        <f ca="1"/>
        <v>N/A</v>
      </c>
      <c r="D188" s="60" t="str">
        <f ca="1"/>
        <v>UNITED STATES TREAS SER AN-2026         3.62500% 05/15/2026 NTS NOTE</v>
      </c>
      <c r="E188" s="61" t="str">
        <f ca="1"/>
        <v>Tres</v>
      </c>
      <c r="F188" s="62">
        <f ca="1"/>
        <v>3.625</v>
      </c>
      <c r="G188" s="63">
        <f ca="1"/>
        <v>46157</v>
      </c>
      <c r="H188" s="61" t="str">
        <f ca="1"/>
        <v>AAA</v>
      </c>
      <c r="I188" s="61" t="str">
        <f ca="1"/>
        <v>--</v>
      </c>
      <c r="J188" s="64">
        <f ca="1"/>
        <v>99.233000000000004</v>
      </c>
      <c r="K188" s="17">
        <f ca="1"/>
        <v>4.2640000000000002</v>
      </c>
      <c r="L188" s="18" t="str">
        <f ca="1"/>
        <v>2,800(200)</v>
      </c>
      <c r="M188" s="83"/>
      <c r="N188" s="84" t="str">
        <f t="shared" si="37"/>
        <v/>
      </c>
      <c r="O188" s="20" t="str">
        <f t="shared" si="38"/>
        <v/>
      </c>
      <c r="P188" s="64" t="str">
        <f t="shared" si="39"/>
        <v/>
      </c>
      <c r="Q188" s="85" t="str">
        <f t="shared" ca="1" si="40"/>
        <v/>
      </c>
      <c r="R188" s="86" t="str">
        <f t="shared" si="41"/>
        <v/>
      </c>
      <c r="S188" s="86" t="str">
        <f t="shared" si="42"/>
        <v/>
      </c>
      <c r="T188" s="104" t="str">
        <f t="shared" si="43"/>
        <v/>
      </c>
      <c r="U188" s="19" t="str">
        <f>IF(AND(M188&lt;&gt;"",M188&lt;&gt;0), IF(E188 = "Muni", T188, IF(E188="Corp", T188*(1 -'Investor Input'!$C$4-'Investor Input'!$C$5), T188*(1 -'Investor Input'!$C$4))), T188)</f>
        <v/>
      </c>
      <c r="V188" s="84" t="str">
        <f t="shared" si="44"/>
        <v/>
      </c>
      <c r="W188" s="84" t="str">
        <f t="shared" si="30"/>
        <v/>
      </c>
      <c r="X188" s="21" t="str">
        <f t="shared" si="31"/>
        <v/>
      </c>
      <c r="Y188" s="60" t="str">
        <f t="shared" si="32"/>
        <v/>
      </c>
      <c r="Z188" s="60" t="str">
        <f t="shared" si="33"/>
        <v/>
      </c>
      <c r="AA188" s="64" t="str">
        <f t="shared" si="34"/>
        <v/>
      </c>
      <c r="AB188" s="64" t="str">
        <f>IF(AND(AA188&lt;&gt;"",AA188&lt;&gt;0), IF(E188="Muni", AA188, IF(E188 = "Corp", (1-'Investor Input'!$C$4-'Investor Input'!$C$5)*AA188, (1-'Investor Input'!$C$4)*AA188)), AA188)</f>
        <v/>
      </c>
      <c r="AC188" s="94" t="str">
        <f t="shared" si="35"/>
        <v/>
      </c>
      <c r="AD188" s="60" t="str">
        <f>IF(AND(M188&lt;&gt;"", M188&lt;&gt;0), N188/$N$505*MATCH(AC188,'Misc Lists'!$K$2:$K$25,0), "")</f>
        <v/>
      </c>
      <c r="AE188" s="90" t="str">
        <f t="shared" si="36"/>
        <v/>
      </c>
      <c r="AF188" s="99" t="str">
        <f>IF(AND(M188&lt;&gt;"", M188&lt;&gt;0), N188/$N$505*MATCH(AE188,'Misc Lists'!$L$2:$L$25,0), "")</f>
        <v/>
      </c>
    </row>
    <row r="189" spans="2:32" hidden="1" outlineLevel="1" x14ac:dyDescent="0.5">
      <c r="B189" s="60" t="str">
        <f ca="1"/>
        <v>91282CLQ2</v>
      </c>
      <c r="C189" s="61" t="str">
        <f ca="1"/>
        <v>N/A</v>
      </c>
      <c r="D189" s="60" t="str">
        <f ca="1"/>
        <v>UNITED STATES TREAS SER AT-2027         3.87500% 10/15/2027 NTS NOTE</v>
      </c>
      <c r="E189" s="61" t="str">
        <f ca="1"/>
        <v>Tres</v>
      </c>
      <c r="F189" s="62">
        <f ca="1"/>
        <v>3.875</v>
      </c>
      <c r="G189" s="63">
        <f ca="1"/>
        <v>46675</v>
      </c>
      <c r="H189" s="61" t="str">
        <f ca="1"/>
        <v>AAA</v>
      </c>
      <c r="I189" s="61" t="str">
        <f ca="1"/>
        <v>--</v>
      </c>
      <c r="J189" s="64">
        <f ca="1"/>
        <v>99.028000000000006</v>
      </c>
      <c r="K189" s="17">
        <f ca="1"/>
        <v>4.2640000000000002</v>
      </c>
      <c r="L189" s="18" t="str">
        <f ca="1"/>
        <v>65,000(400)</v>
      </c>
      <c r="M189" s="83"/>
      <c r="N189" s="84" t="str">
        <f t="shared" si="37"/>
        <v/>
      </c>
      <c r="O189" s="20" t="str">
        <f t="shared" si="38"/>
        <v/>
      </c>
      <c r="P189" s="64" t="str">
        <f t="shared" si="39"/>
        <v/>
      </c>
      <c r="Q189" s="85" t="str">
        <f t="shared" ca="1" si="40"/>
        <v/>
      </c>
      <c r="R189" s="86" t="str">
        <f t="shared" si="41"/>
        <v/>
      </c>
      <c r="S189" s="86" t="str">
        <f t="shared" si="42"/>
        <v/>
      </c>
      <c r="T189" s="104" t="str">
        <f t="shared" si="43"/>
        <v/>
      </c>
      <c r="U189" s="19" t="str">
        <f>IF(AND(M189&lt;&gt;"",M189&lt;&gt;0), IF(E189 = "Muni", T189, IF(E189="Corp", T189*(1 -'Investor Input'!$C$4-'Investor Input'!$C$5), T189*(1 -'Investor Input'!$C$4))), T189)</f>
        <v/>
      </c>
      <c r="V189" s="84" t="str">
        <f t="shared" si="44"/>
        <v/>
      </c>
      <c r="W189" s="84" t="str">
        <f t="shared" si="30"/>
        <v/>
      </c>
      <c r="X189" s="21" t="str">
        <f t="shared" si="31"/>
        <v/>
      </c>
      <c r="Y189" s="60" t="str">
        <f t="shared" si="32"/>
        <v/>
      </c>
      <c r="Z189" s="60" t="str">
        <f t="shared" si="33"/>
        <v/>
      </c>
      <c r="AA189" s="64" t="str">
        <f t="shared" si="34"/>
        <v/>
      </c>
      <c r="AB189" s="64" t="str">
        <f>IF(AND(AA189&lt;&gt;"",AA189&lt;&gt;0), IF(E189="Muni", AA189, IF(E189 = "Corp", (1-'Investor Input'!$C$4-'Investor Input'!$C$5)*AA189, (1-'Investor Input'!$C$4)*AA189)), AA189)</f>
        <v/>
      </c>
      <c r="AC189" s="94" t="str">
        <f t="shared" si="35"/>
        <v/>
      </c>
      <c r="AD189" s="60" t="str">
        <f>IF(AND(M189&lt;&gt;"", M189&lt;&gt;0), N189/$N$505*MATCH(AC189,'Misc Lists'!$K$2:$K$25,0), "")</f>
        <v/>
      </c>
      <c r="AE189" s="90" t="str">
        <f t="shared" si="36"/>
        <v/>
      </c>
      <c r="AF189" s="99" t="str">
        <f>IF(AND(M189&lt;&gt;"", M189&lt;&gt;0), N189/$N$505*MATCH(AE189,'Misc Lists'!$L$2:$L$25,0), "")</f>
        <v/>
      </c>
    </row>
    <row r="190" spans="2:32" hidden="1" outlineLevel="1" x14ac:dyDescent="0.5">
      <c r="B190" s="60" t="str">
        <f ca="1"/>
        <v>91282CJS1</v>
      </c>
      <c r="C190" s="61" t="str">
        <f ca="1"/>
        <v>N/A</v>
      </c>
      <c r="D190" s="60" t="str">
        <f ca="1"/>
        <v>UNITED STATES TREAS SER BM-2025         4.25000% 12/31/2025 NTS NOTE</v>
      </c>
      <c r="E190" s="61" t="str">
        <f ca="1"/>
        <v>Tres</v>
      </c>
      <c r="F190" s="62">
        <f ca="1"/>
        <v>4.25</v>
      </c>
      <c r="G190" s="63">
        <f ca="1"/>
        <v>46022</v>
      </c>
      <c r="H190" s="61" t="str">
        <f ca="1"/>
        <v>AAA</v>
      </c>
      <c r="I190" s="61" t="str">
        <f ca="1"/>
        <v>--</v>
      </c>
      <c r="J190" s="64">
        <f ca="1"/>
        <v>99.984999999999999</v>
      </c>
      <c r="K190" s="17">
        <f ca="1"/>
        <v>4.2629999999999999</v>
      </c>
      <c r="L190" s="18" t="str">
        <f ca="1"/>
        <v>30,000(400)</v>
      </c>
      <c r="M190" s="83"/>
      <c r="N190" s="84" t="str">
        <f t="shared" si="37"/>
        <v/>
      </c>
      <c r="O190" s="20" t="str">
        <f t="shared" si="38"/>
        <v/>
      </c>
      <c r="P190" s="64" t="str">
        <f t="shared" si="39"/>
        <v/>
      </c>
      <c r="Q190" s="85" t="str">
        <f t="shared" ca="1" si="40"/>
        <v/>
      </c>
      <c r="R190" s="86" t="str">
        <f t="shared" si="41"/>
        <v/>
      </c>
      <c r="S190" s="86" t="str">
        <f t="shared" si="42"/>
        <v/>
      </c>
      <c r="T190" s="104" t="str">
        <f t="shared" si="43"/>
        <v/>
      </c>
      <c r="U190" s="19" t="str">
        <f>IF(AND(M190&lt;&gt;"",M190&lt;&gt;0), IF(E190 = "Muni", T190, IF(E190="Corp", T190*(1 -'Investor Input'!$C$4-'Investor Input'!$C$5), T190*(1 -'Investor Input'!$C$4))), T190)</f>
        <v/>
      </c>
      <c r="V190" s="84" t="str">
        <f t="shared" si="44"/>
        <v/>
      </c>
      <c r="W190" s="84" t="str">
        <f t="shared" si="30"/>
        <v/>
      </c>
      <c r="X190" s="21" t="str">
        <f t="shared" si="31"/>
        <v/>
      </c>
      <c r="Y190" s="60" t="str">
        <f t="shared" si="32"/>
        <v/>
      </c>
      <c r="Z190" s="60" t="str">
        <f t="shared" si="33"/>
        <v/>
      </c>
      <c r="AA190" s="64" t="str">
        <f t="shared" si="34"/>
        <v/>
      </c>
      <c r="AB190" s="64" t="str">
        <f>IF(AND(AA190&lt;&gt;"",AA190&lt;&gt;0), IF(E190="Muni", AA190, IF(E190 = "Corp", (1-'Investor Input'!$C$4-'Investor Input'!$C$5)*AA190, (1-'Investor Input'!$C$4)*AA190)), AA190)</f>
        <v/>
      </c>
      <c r="AC190" s="94" t="str">
        <f t="shared" si="35"/>
        <v/>
      </c>
      <c r="AD190" s="60" t="str">
        <f>IF(AND(M190&lt;&gt;"", M190&lt;&gt;0), N190/$N$505*MATCH(AC190,'Misc Lists'!$K$2:$K$25,0), "")</f>
        <v/>
      </c>
      <c r="AE190" s="90" t="str">
        <f t="shared" si="36"/>
        <v/>
      </c>
      <c r="AF190" s="99" t="str">
        <f>IF(AND(M190&lt;&gt;"", M190&lt;&gt;0), N190/$N$505*MATCH(AE190,'Misc Lists'!$L$2:$L$25,0), "")</f>
        <v/>
      </c>
    </row>
    <row r="191" spans="2:32" hidden="1" outlineLevel="1" x14ac:dyDescent="0.5">
      <c r="B191" s="60" t="str">
        <f ca="1"/>
        <v>91282CAB7</v>
      </c>
      <c r="C191" s="61" t="str">
        <f ca="1"/>
        <v>N/A</v>
      </c>
      <c r="D191" s="60" t="str">
        <f ca="1"/>
        <v>UNITED STATES TREAS SER AB-2025         0.25000% 07/31/2025 NTS</v>
      </c>
      <c r="E191" s="61" t="str">
        <f ca="1"/>
        <v>Tres</v>
      </c>
      <c r="F191" s="62">
        <f ca="1"/>
        <v>0.25</v>
      </c>
      <c r="G191" s="63">
        <f ca="1"/>
        <v>45869</v>
      </c>
      <c r="H191" s="61" t="str">
        <f ca="1"/>
        <v>AAA</v>
      </c>
      <c r="I191" s="61" t="str">
        <f ca="1"/>
        <v>--</v>
      </c>
      <c r="J191" s="64">
        <f ca="1"/>
        <v>98.227999999999994</v>
      </c>
      <c r="K191" s="17">
        <f ca="1"/>
        <v>4.2619999999999996</v>
      </c>
      <c r="L191" s="18" t="str">
        <f ca="1"/>
        <v>8,000(200)</v>
      </c>
      <c r="M191" s="83"/>
      <c r="N191" s="84" t="str">
        <f t="shared" si="37"/>
        <v/>
      </c>
      <c r="O191" s="20" t="str">
        <f t="shared" si="38"/>
        <v/>
      </c>
      <c r="P191" s="64" t="str">
        <f t="shared" si="39"/>
        <v/>
      </c>
      <c r="Q191" s="85" t="str">
        <f t="shared" ca="1" si="40"/>
        <v/>
      </c>
      <c r="R191" s="86" t="str">
        <f t="shared" si="41"/>
        <v/>
      </c>
      <c r="S191" s="86" t="str">
        <f t="shared" si="42"/>
        <v/>
      </c>
      <c r="T191" s="104" t="str">
        <f t="shared" si="43"/>
        <v/>
      </c>
      <c r="U191" s="19" t="str">
        <f>IF(AND(M191&lt;&gt;"",M191&lt;&gt;0), IF(E191 = "Muni", T191, IF(E191="Corp", T191*(1 -'Investor Input'!$C$4-'Investor Input'!$C$5), T191*(1 -'Investor Input'!$C$4))), T191)</f>
        <v/>
      </c>
      <c r="V191" s="84" t="str">
        <f t="shared" si="44"/>
        <v/>
      </c>
      <c r="W191" s="84" t="str">
        <f t="shared" si="30"/>
        <v/>
      </c>
      <c r="X191" s="21" t="str">
        <f t="shared" si="31"/>
        <v/>
      </c>
      <c r="Y191" s="60" t="str">
        <f t="shared" si="32"/>
        <v/>
      </c>
      <c r="Z191" s="60" t="str">
        <f t="shared" si="33"/>
        <v/>
      </c>
      <c r="AA191" s="64" t="str">
        <f t="shared" si="34"/>
        <v/>
      </c>
      <c r="AB191" s="64" t="str">
        <f>IF(AND(AA191&lt;&gt;"",AA191&lt;&gt;0), IF(E191="Muni", AA191, IF(E191 = "Corp", (1-'Investor Input'!$C$4-'Investor Input'!$C$5)*AA191, (1-'Investor Input'!$C$4)*AA191)), AA191)</f>
        <v/>
      </c>
      <c r="AC191" s="94" t="str">
        <f t="shared" si="35"/>
        <v/>
      </c>
      <c r="AD191" s="60" t="str">
        <f>IF(AND(M191&lt;&gt;"", M191&lt;&gt;0), N191/$N$505*MATCH(AC191,'Misc Lists'!$K$2:$K$25,0), "")</f>
        <v/>
      </c>
      <c r="AE191" s="90" t="str">
        <f t="shared" si="36"/>
        <v/>
      </c>
      <c r="AF191" s="99" t="str">
        <f>IF(AND(M191&lt;&gt;"", M191&lt;&gt;0), N191/$N$505*MATCH(AE191,'Misc Lists'!$L$2:$L$25,0), "")</f>
        <v/>
      </c>
    </row>
    <row r="192" spans="2:32" hidden="1" outlineLevel="1" x14ac:dyDescent="0.5">
      <c r="B192" s="60" t="str">
        <f ca="1"/>
        <v>91282CCJ8</v>
      </c>
      <c r="C192" s="61" t="str">
        <f ca="1"/>
        <v>N/A</v>
      </c>
      <c r="D192" s="60" t="str">
        <f ca="1"/>
        <v>UNITED STATES TREAS SER AA-2026         0.87500% 06/30/2026 NTS NOTE</v>
      </c>
      <c r="E192" s="61" t="str">
        <f ca="1"/>
        <v>Tres</v>
      </c>
      <c r="F192" s="62">
        <f ca="1"/>
        <v>0.875</v>
      </c>
      <c r="G192" s="63">
        <f ca="1"/>
        <v>46203</v>
      </c>
      <c r="H192" s="61" t="str">
        <f ca="1"/>
        <v>AAA</v>
      </c>
      <c r="I192" s="61" t="str">
        <f ca="1"/>
        <v>--</v>
      </c>
      <c r="J192" s="64">
        <f ca="1"/>
        <v>95.555000000000007</v>
      </c>
      <c r="K192" s="17">
        <f ca="1"/>
        <v>4.2619999999999996</v>
      </c>
      <c r="L192" s="18" t="str">
        <f ca="1"/>
        <v>80,000(400)</v>
      </c>
      <c r="M192" s="83"/>
      <c r="N192" s="84" t="str">
        <f t="shared" si="37"/>
        <v/>
      </c>
      <c r="O192" s="20" t="str">
        <f t="shared" si="38"/>
        <v/>
      </c>
      <c r="P192" s="64" t="str">
        <f t="shared" si="39"/>
        <v/>
      </c>
      <c r="Q192" s="85" t="str">
        <f t="shared" ca="1" si="40"/>
        <v/>
      </c>
      <c r="R192" s="86" t="str">
        <f t="shared" si="41"/>
        <v/>
      </c>
      <c r="S192" s="86" t="str">
        <f t="shared" si="42"/>
        <v/>
      </c>
      <c r="T192" s="104" t="str">
        <f t="shared" si="43"/>
        <v/>
      </c>
      <c r="U192" s="19" t="str">
        <f>IF(AND(M192&lt;&gt;"",M192&lt;&gt;0), IF(E192 = "Muni", T192, IF(E192="Corp", T192*(1 -'Investor Input'!$C$4-'Investor Input'!$C$5), T192*(1 -'Investor Input'!$C$4))), T192)</f>
        <v/>
      </c>
      <c r="V192" s="84" t="str">
        <f t="shared" si="44"/>
        <v/>
      </c>
      <c r="W192" s="84" t="str">
        <f t="shared" si="30"/>
        <v/>
      </c>
      <c r="X192" s="21" t="str">
        <f t="shared" si="31"/>
        <v/>
      </c>
      <c r="Y192" s="60" t="str">
        <f t="shared" si="32"/>
        <v/>
      </c>
      <c r="Z192" s="60" t="str">
        <f t="shared" si="33"/>
        <v/>
      </c>
      <c r="AA192" s="64" t="str">
        <f t="shared" si="34"/>
        <v/>
      </c>
      <c r="AB192" s="64" t="str">
        <f>IF(AND(AA192&lt;&gt;"",AA192&lt;&gt;0), IF(E192="Muni", AA192, IF(E192 = "Corp", (1-'Investor Input'!$C$4-'Investor Input'!$C$5)*AA192, (1-'Investor Input'!$C$4)*AA192)), AA192)</f>
        <v/>
      </c>
      <c r="AC192" s="94" t="str">
        <f t="shared" si="35"/>
        <v/>
      </c>
      <c r="AD192" s="60" t="str">
        <f>IF(AND(M192&lt;&gt;"", M192&lt;&gt;0), N192/$N$505*MATCH(AC192,'Misc Lists'!$K$2:$K$25,0), "")</f>
        <v/>
      </c>
      <c r="AE192" s="90" t="str">
        <f t="shared" si="36"/>
        <v/>
      </c>
      <c r="AF192" s="99" t="str">
        <f>IF(AND(M192&lt;&gt;"", M192&lt;&gt;0), N192/$N$505*MATCH(AE192,'Misc Lists'!$L$2:$L$25,0), "")</f>
        <v/>
      </c>
    </row>
    <row r="193" spans="2:32" hidden="1" outlineLevel="1" x14ac:dyDescent="0.5">
      <c r="B193" s="60" t="str">
        <f ca="1"/>
        <v>91282CDG3</v>
      </c>
      <c r="C193" s="61" t="str">
        <f ca="1"/>
        <v>N/A</v>
      </c>
      <c r="D193" s="60" t="str">
        <f ca="1"/>
        <v>UNITED STATES TREAS SER AF-2026         1.12500% 10/31/2026 NTS NOTE</v>
      </c>
      <c r="E193" s="61" t="str">
        <f ca="1"/>
        <v>Tres</v>
      </c>
      <c r="F193" s="62">
        <f ca="1"/>
        <v>1.125</v>
      </c>
      <c r="G193" s="63">
        <f ca="1"/>
        <v>46326</v>
      </c>
      <c r="H193" s="61" t="str">
        <f ca="1"/>
        <v>--</v>
      </c>
      <c r="I193" s="61" t="str">
        <f ca="1"/>
        <v>--</v>
      </c>
      <c r="J193" s="64">
        <f ca="1"/>
        <v>94.917000000000002</v>
      </c>
      <c r="K193" s="17">
        <f ca="1"/>
        <v>4.2619999999999996</v>
      </c>
      <c r="L193" s="18" t="str">
        <f ca="1"/>
        <v>1,000(200)</v>
      </c>
      <c r="M193" s="83"/>
      <c r="N193" s="84" t="str">
        <f t="shared" si="37"/>
        <v/>
      </c>
      <c r="O193" s="20" t="str">
        <f t="shared" si="38"/>
        <v/>
      </c>
      <c r="P193" s="64" t="str">
        <f t="shared" si="39"/>
        <v/>
      </c>
      <c r="Q193" s="85" t="str">
        <f t="shared" ca="1" si="40"/>
        <v/>
      </c>
      <c r="R193" s="86" t="str">
        <f t="shared" si="41"/>
        <v/>
      </c>
      <c r="S193" s="86" t="str">
        <f t="shared" si="42"/>
        <v/>
      </c>
      <c r="T193" s="104" t="str">
        <f t="shared" si="43"/>
        <v/>
      </c>
      <c r="U193" s="19" t="str">
        <f>IF(AND(M193&lt;&gt;"",M193&lt;&gt;0), IF(E193 = "Muni", T193, IF(E193="Corp", T193*(1 -'Investor Input'!$C$4-'Investor Input'!$C$5), T193*(1 -'Investor Input'!$C$4))), T193)</f>
        <v/>
      </c>
      <c r="V193" s="84" t="str">
        <f t="shared" si="44"/>
        <v/>
      </c>
      <c r="W193" s="84" t="str">
        <f t="shared" si="30"/>
        <v/>
      </c>
      <c r="X193" s="21" t="str">
        <f t="shared" si="31"/>
        <v/>
      </c>
      <c r="Y193" s="60" t="str">
        <f t="shared" si="32"/>
        <v/>
      </c>
      <c r="Z193" s="60" t="str">
        <f t="shared" si="33"/>
        <v/>
      </c>
      <c r="AA193" s="64" t="str">
        <f t="shared" si="34"/>
        <v/>
      </c>
      <c r="AB193" s="64" t="str">
        <f>IF(AND(AA193&lt;&gt;"",AA193&lt;&gt;0), IF(E193="Muni", AA193, IF(E193 = "Corp", (1-'Investor Input'!$C$4-'Investor Input'!$C$5)*AA193, (1-'Investor Input'!$C$4)*AA193)), AA193)</f>
        <v/>
      </c>
      <c r="AC193" s="94" t="str">
        <f t="shared" si="35"/>
        <v/>
      </c>
      <c r="AD193" s="60" t="str">
        <f>IF(AND(M193&lt;&gt;"", M193&lt;&gt;0), N193/$N$505*MATCH(AC193,'Misc Lists'!$K$2:$K$25,0), "")</f>
        <v/>
      </c>
      <c r="AE193" s="90" t="str">
        <f t="shared" si="36"/>
        <v/>
      </c>
      <c r="AF193" s="99" t="str">
        <f>IF(AND(M193&lt;&gt;"", M193&lt;&gt;0), N193/$N$505*MATCH(AE193,'Misc Lists'!$L$2:$L$25,0), "")</f>
        <v/>
      </c>
    </row>
    <row r="194" spans="2:32" hidden="1" outlineLevel="1" x14ac:dyDescent="0.5">
      <c r="B194" s="60" t="str">
        <f ca="1"/>
        <v>91282CAH4</v>
      </c>
      <c r="C194" s="61" t="str">
        <f ca="1"/>
        <v>N/A</v>
      </c>
      <c r="D194" s="60" t="str">
        <f ca="1"/>
        <v>UNITED STATES TREAS SER P-2027          0.50000% 08/31/2027 NTS NOTE</v>
      </c>
      <c r="E194" s="61" t="str">
        <f ca="1"/>
        <v>Tres</v>
      </c>
      <c r="F194" s="62">
        <f ca="1"/>
        <v>0.5</v>
      </c>
      <c r="G194" s="63">
        <f ca="1"/>
        <v>46630</v>
      </c>
      <c r="H194" s="61" t="str">
        <f ca="1"/>
        <v>AAA</v>
      </c>
      <c r="I194" s="61" t="str">
        <f ca="1"/>
        <v>--</v>
      </c>
      <c r="J194" s="64">
        <f ca="1"/>
        <v>91.073999999999998</v>
      </c>
      <c r="K194" s="17">
        <f ca="1"/>
        <v>4.2619999999999996</v>
      </c>
      <c r="L194" s="18" t="str">
        <f ca="1"/>
        <v>1,000(200)</v>
      </c>
      <c r="M194" s="83"/>
      <c r="N194" s="84" t="str">
        <f t="shared" si="37"/>
        <v/>
      </c>
      <c r="O194" s="20" t="str">
        <f t="shared" si="38"/>
        <v/>
      </c>
      <c r="P194" s="64" t="str">
        <f t="shared" si="39"/>
        <v/>
      </c>
      <c r="Q194" s="85" t="str">
        <f t="shared" ca="1" si="40"/>
        <v/>
      </c>
      <c r="R194" s="86" t="str">
        <f t="shared" si="41"/>
        <v/>
      </c>
      <c r="S194" s="86" t="str">
        <f t="shared" si="42"/>
        <v/>
      </c>
      <c r="T194" s="104" t="str">
        <f t="shared" si="43"/>
        <v/>
      </c>
      <c r="U194" s="19" t="str">
        <f>IF(AND(M194&lt;&gt;"",M194&lt;&gt;0), IF(E194 = "Muni", T194, IF(E194="Corp", T194*(1 -'Investor Input'!$C$4-'Investor Input'!$C$5), T194*(1 -'Investor Input'!$C$4))), T194)</f>
        <v/>
      </c>
      <c r="V194" s="84" t="str">
        <f t="shared" si="44"/>
        <v/>
      </c>
      <c r="W194" s="84" t="str">
        <f t="shared" si="30"/>
        <v/>
      </c>
      <c r="X194" s="21" t="str">
        <f t="shared" si="31"/>
        <v/>
      </c>
      <c r="Y194" s="60" t="str">
        <f t="shared" si="32"/>
        <v/>
      </c>
      <c r="Z194" s="60" t="str">
        <f t="shared" si="33"/>
        <v/>
      </c>
      <c r="AA194" s="64" t="str">
        <f t="shared" si="34"/>
        <v/>
      </c>
      <c r="AB194" s="64" t="str">
        <f>IF(AND(AA194&lt;&gt;"",AA194&lt;&gt;0), IF(E194="Muni", AA194, IF(E194 = "Corp", (1-'Investor Input'!$C$4-'Investor Input'!$C$5)*AA194, (1-'Investor Input'!$C$4)*AA194)), AA194)</f>
        <v/>
      </c>
      <c r="AC194" s="94" t="str">
        <f t="shared" si="35"/>
        <v/>
      </c>
      <c r="AD194" s="60" t="str">
        <f>IF(AND(M194&lt;&gt;"", M194&lt;&gt;0), N194/$N$505*MATCH(AC194,'Misc Lists'!$K$2:$K$25,0), "")</f>
        <v/>
      </c>
      <c r="AE194" s="90" t="str">
        <f t="shared" si="36"/>
        <v/>
      </c>
      <c r="AF194" s="99" t="str">
        <f>IF(AND(M194&lt;&gt;"", M194&lt;&gt;0), N194/$N$505*MATCH(AE194,'Misc Lists'!$L$2:$L$25,0), "")</f>
        <v/>
      </c>
    </row>
    <row r="195" spans="2:32" hidden="1" outlineLevel="1" x14ac:dyDescent="0.5">
      <c r="B195" s="60" t="str">
        <f ca="1"/>
        <v>91282CLL3</v>
      </c>
      <c r="C195" s="61" t="str">
        <f ca="1"/>
        <v>N/A</v>
      </c>
      <c r="D195" s="60" t="str">
        <f ca="1"/>
        <v>UNITED STATES TREAS SER AS-2027         3.37500% 09/15/2027 NTS NOTE</v>
      </c>
      <c r="E195" s="61" t="str">
        <f ca="1"/>
        <v>Tres</v>
      </c>
      <c r="F195" s="62">
        <f ca="1"/>
        <v>3.375</v>
      </c>
      <c r="G195" s="63">
        <f ca="1"/>
        <v>46645</v>
      </c>
      <c r="H195" s="61" t="str">
        <f ca="1"/>
        <v>AAA</v>
      </c>
      <c r="I195" s="61" t="str">
        <f ca="1"/>
        <v>--</v>
      </c>
      <c r="J195" s="64">
        <f ca="1"/>
        <v>97.86</v>
      </c>
      <c r="K195" s="17">
        <f ca="1"/>
        <v>4.2619999999999996</v>
      </c>
      <c r="L195" s="18" t="str">
        <f ca="1"/>
        <v>65,000(400)</v>
      </c>
      <c r="M195" s="83"/>
      <c r="N195" s="84" t="str">
        <f t="shared" si="37"/>
        <v/>
      </c>
      <c r="O195" s="20" t="str">
        <f t="shared" si="38"/>
        <v/>
      </c>
      <c r="P195" s="64" t="str">
        <f t="shared" si="39"/>
        <v/>
      </c>
      <c r="Q195" s="85" t="str">
        <f t="shared" ca="1" si="40"/>
        <v/>
      </c>
      <c r="R195" s="86" t="str">
        <f t="shared" si="41"/>
        <v/>
      </c>
      <c r="S195" s="86" t="str">
        <f t="shared" si="42"/>
        <v/>
      </c>
      <c r="T195" s="104" t="str">
        <f t="shared" si="43"/>
        <v/>
      </c>
      <c r="U195" s="19" t="str">
        <f>IF(AND(M195&lt;&gt;"",M195&lt;&gt;0), IF(E195 = "Muni", T195, IF(E195="Corp", T195*(1 -'Investor Input'!$C$4-'Investor Input'!$C$5), T195*(1 -'Investor Input'!$C$4))), T195)</f>
        <v/>
      </c>
      <c r="V195" s="84" t="str">
        <f t="shared" si="44"/>
        <v/>
      </c>
      <c r="W195" s="84" t="str">
        <f t="shared" si="30"/>
        <v/>
      </c>
      <c r="X195" s="21" t="str">
        <f t="shared" si="31"/>
        <v/>
      </c>
      <c r="Y195" s="60" t="str">
        <f t="shared" si="32"/>
        <v/>
      </c>
      <c r="Z195" s="60" t="str">
        <f t="shared" si="33"/>
        <v/>
      </c>
      <c r="AA195" s="64" t="str">
        <f t="shared" si="34"/>
        <v/>
      </c>
      <c r="AB195" s="64" t="str">
        <f>IF(AND(AA195&lt;&gt;"",AA195&lt;&gt;0), IF(E195="Muni", AA195, IF(E195 = "Corp", (1-'Investor Input'!$C$4-'Investor Input'!$C$5)*AA195, (1-'Investor Input'!$C$4)*AA195)), AA195)</f>
        <v/>
      </c>
      <c r="AC195" s="94" t="str">
        <f t="shared" si="35"/>
        <v/>
      </c>
      <c r="AD195" s="60" t="str">
        <f>IF(AND(M195&lt;&gt;"", M195&lt;&gt;0), N195/$N$505*MATCH(AC195,'Misc Lists'!$K$2:$K$25,0), "")</f>
        <v/>
      </c>
      <c r="AE195" s="90" t="str">
        <f t="shared" si="36"/>
        <v/>
      </c>
      <c r="AF195" s="99" t="str">
        <f>IF(AND(M195&lt;&gt;"", M195&lt;&gt;0), N195/$N$505*MATCH(AE195,'Misc Lists'!$L$2:$L$25,0), "")</f>
        <v/>
      </c>
    </row>
    <row r="196" spans="2:32" hidden="1" outlineLevel="1" x14ac:dyDescent="0.5">
      <c r="B196" s="60" t="str">
        <f ca="1"/>
        <v>912810FJ2</v>
      </c>
      <c r="C196" s="61" t="str">
        <f ca="1"/>
        <v>N/A</v>
      </c>
      <c r="D196" s="60" t="str">
        <f ca="1"/>
        <v>UNITED STATES TREAS BDS                 6.12500% 08/15/2029</v>
      </c>
      <c r="E196" s="61" t="str">
        <f ca="1"/>
        <v>Tres</v>
      </c>
      <c r="F196" s="62">
        <f ca="1"/>
        <v>6.125</v>
      </c>
      <c r="G196" s="63">
        <f ca="1"/>
        <v>47345</v>
      </c>
      <c r="H196" s="61" t="str">
        <f ca="1"/>
        <v>AAA</v>
      </c>
      <c r="I196" s="61" t="str">
        <f ca="1"/>
        <v>--</v>
      </c>
      <c r="J196" s="64">
        <f ca="1"/>
        <v>107.54</v>
      </c>
      <c r="K196" s="17">
        <f ca="1"/>
        <v>4.2619999999999996</v>
      </c>
      <c r="L196" s="18" t="str">
        <f ca="1"/>
        <v>10,000(200)</v>
      </c>
      <c r="M196" s="83"/>
      <c r="N196" s="84" t="str">
        <f t="shared" si="37"/>
        <v/>
      </c>
      <c r="O196" s="20" t="str">
        <f t="shared" si="38"/>
        <v/>
      </c>
      <c r="P196" s="64" t="str">
        <f t="shared" si="39"/>
        <v/>
      </c>
      <c r="Q196" s="85" t="str">
        <f t="shared" ca="1" si="40"/>
        <v/>
      </c>
      <c r="R196" s="86" t="str">
        <f t="shared" si="41"/>
        <v/>
      </c>
      <c r="S196" s="86" t="str">
        <f t="shared" si="42"/>
        <v/>
      </c>
      <c r="T196" s="104" t="str">
        <f t="shared" si="43"/>
        <v/>
      </c>
      <c r="U196" s="19" t="str">
        <f>IF(AND(M196&lt;&gt;"",M196&lt;&gt;0), IF(E196 = "Muni", T196, IF(E196="Corp", T196*(1 -'Investor Input'!$C$4-'Investor Input'!$C$5), T196*(1 -'Investor Input'!$C$4))), T196)</f>
        <v/>
      </c>
      <c r="V196" s="84" t="str">
        <f t="shared" si="44"/>
        <v/>
      </c>
      <c r="W196" s="84" t="str">
        <f t="shared" ref="W196:W259" si="45">IF(AND(M196&lt;&gt;"",M196&lt;&gt;0),V196-N196,"")</f>
        <v/>
      </c>
      <c r="X196" s="21" t="str">
        <f t="shared" ref="X196:X259" si="46">IF(AND(M196&lt;&gt;"",M196&lt;&gt;0),W196/N196,"")</f>
        <v/>
      </c>
      <c r="Y196" s="60" t="str">
        <f t="shared" ref="Y196:Y259" si="47">IF(AND(M196&lt;&gt;"", M196&lt;&gt;0), MONTH(G196), "")</f>
        <v/>
      </c>
      <c r="Z196" s="60" t="str">
        <f t="shared" ref="Z196:Z259" si="48">IF(AND(M196&lt;&gt;"", M196&lt;&gt;0), MONTH(EDATE(G196, 6)), "")</f>
        <v/>
      </c>
      <c r="AA196" s="64" t="str">
        <f t="shared" ref="AA196:AA259" si="49">IF(AND(M196&lt;&gt;"", M196&lt;&gt;0), F196*1000*M196/(100*2), "")</f>
        <v/>
      </c>
      <c r="AB196" s="64" t="str">
        <f>IF(AND(AA196&lt;&gt;"",AA196&lt;&gt;0), IF(E196="Muni", AA196, IF(E196 = "Corp", (1-'Investor Input'!$C$4-'Investor Input'!$C$5)*AA196, (1-'Investor Input'!$C$4)*AA196)), AA196)</f>
        <v/>
      </c>
      <c r="AC196" s="94" t="str">
        <f t="shared" ref="AC196:AC259" si="50">IF(AND(M196&lt;&gt;"", M196&lt;&gt;0), H196, "")</f>
        <v/>
      </c>
      <c r="AD196" s="60" t="str">
        <f>IF(AND(M196&lt;&gt;"", M196&lt;&gt;0), N196/$N$505*MATCH(AC196,'Misc Lists'!$K$2:$K$25,0), "")</f>
        <v/>
      </c>
      <c r="AE196" s="90" t="str">
        <f t="shared" ref="AE196:AE259" si="51">IF(AND(M196&lt;&gt;"", M196&lt;&gt;0), I196, "")</f>
        <v/>
      </c>
      <c r="AF196" s="99" t="str">
        <f>IF(AND(M196&lt;&gt;"", M196&lt;&gt;0), N196/$N$505*MATCH(AE196,'Misc Lists'!$L$2:$L$25,0), "")</f>
        <v/>
      </c>
    </row>
    <row r="197" spans="2:32" hidden="1" outlineLevel="1" x14ac:dyDescent="0.5">
      <c r="B197" s="60" t="str">
        <f ca="1"/>
        <v>91282CHL8</v>
      </c>
      <c r="C197" s="61" t="str">
        <f ca="1"/>
        <v>N/A</v>
      </c>
      <c r="D197" s="60" t="str">
        <f ca="1"/>
        <v>UNITED STATES TREAS SER BD-2025         4.62500% 06/30/2025 NTS NOTE</v>
      </c>
      <c r="E197" s="61" t="str">
        <f ca="1"/>
        <v>Tres</v>
      </c>
      <c r="F197" s="62">
        <f ca="1"/>
        <v>4.625</v>
      </c>
      <c r="G197" s="63">
        <f ca="1"/>
        <v>45838</v>
      </c>
      <c r="H197" s="61" t="str">
        <f ca="1"/>
        <v>AAA</v>
      </c>
      <c r="I197" s="61" t="str">
        <f ca="1"/>
        <v>--</v>
      </c>
      <c r="J197" s="64">
        <f ca="1"/>
        <v>100.122</v>
      </c>
      <c r="K197" s="17">
        <f ca="1"/>
        <v>4.2610000000000001</v>
      </c>
      <c r="L197" s="18" t="str">
        <f ca="1"/>
        <v>30,000(600)</v>
      </c>
      <c r="M197" s="83"/>
      <c r="N197" s="84" t="str">
        <f t="shared" ref="N197:N260" si="52">IF(AND(M197&lt;&gt;"", M197&lt;&gt;0), IF(L197 &lt;&gt; "N/A", IF(M197&gt;=VALUE(LEFT(L197, FIND("(", L197)-1)), J197*10*M197, 1000*M197), 1000*M197), "")</f>
        <v/>
      </c>
      <c r="O197" s="20" t="str">
        <f t="shared" ref="O197:O260" si="53">IF(AND(M197&lt;&gt;"",M197&lt;&gt;0),N197/$N$505, "")</f>
        <v/>
      </c>
      <c r="P197" s="64" t="str">
        <f t="shared" ref="P197:P260" si="54">IF(AND(M197&lt;&gt;"", M197&lt;&gt;0), F197*1000/100, "")</f>
        <v/>
      </c>
      <c r="Q197" s="85" t="str">
        <f t="shared" ref="Q197:Q260" ca="1" si="55">IF(AND(M197&lt;&gt;"", M197&lt;&gt;0), NOW(), "")</f>
        <v/>
      </c>
      <c r="R197" s="86" t="str">
        <f t="shared" ref="R197:R260" si="56">IF(AND(M197&lt;&gt;"", M197&lt;&gt;0), ROUND((G197 - Q197)/365, 0), "")</f>
        <v/>
      </c>
      <c r="S197" s="86" t="str">
        <f t="shared" ref="S197:S260" si="57">IF(AND(M197&lt;&gt;"",M197&lt;&gt;0),MDURATION(Q197,G197,F197/100,K197/100,2), "")</f>
        <v/>
      </c>
      <c r="T197" s="104" t="str">
        <f t="shared" ref="T197:T260" si="58">IF(AND(M197&lt;&gt;"",M197&lt;&gt;0),YIELD(Q197,G197,F197/100,N197/(M197*10),100,2),"")</f>
        <v/>
      </c>
      <c r="U197" s="19" t="str">
        <f>IF(AND(M197&lt;&gt;"",M197&lt;&gt;0), IF(E197 = "Muni", T197, IF(E197="Corp", T197*(1 -'Investor Input'!$C$4-'Investor Input'!$C$5), T197*(1 -'Investor Input'!$C$4))), T197)</f>
        <v/>
      </c>
      <c r="V197" s="84" t="str">
        <f t="shared" ref="V197:V260" si="59">IF(AND(M197&lt;&gt;"",M197&lt;&gt;0),(FV(K197/(2*100),(G197-Q197)*2/365, F197*1000/(2*100), -N197/M197))*M197, "")</f>
        <v/>
      </c>
      <c r="W197" s="84" t="str">
        <f t="shared" si="45"/>
        <v/>
      </c>
      <c r="X197" s="21" t="str">
        <f t="shared" si="46"/>
        <v/>
      </c>
      <c r="Y197" s="60" t="str">
        <f t="shared" si="47"/>
        <v/>
      </c>
      <c r="Z197" s="60" t="str">
        <f t="shared" si="48"/>
        <v/>
      </c>
      <c r="AA197" s="64" t="str">
        <f t="shared" si="49"/>
        <v/>
      </c>
      <c r="AB197" s="64" t="str">
        <f>IF(AND(AA197&lt;&gt;"",AA197&lt;&gt;0), IF(E197="Muni", AA197, IF(E197 = "Corp", (1-'Investor Input'!$C$4-'Investor Input'!$C$5)*AA197, (1-'Investor Input'!$C$4)*AA197)), AA197)</f>
        <v/>
      </c>
      <c r="AC197" s="94" t="str">
        <f t="shared" si="50"/>
        <v/>
      </c>
      <c r="AD197" s="60" t="str">
        <f>IF(AND(M197&lt;&gt;"", M197&lt;&gt;0), N197/$N$505*MATCH(AC197,'Misc Lists'!$K$2:$K$25,0), "")</f>
        <v/>
      </c>
      <c r="AE197" s="90" t="str">
        <f t="shared" si="51"/>
        <v/>
      </c>
      <c r="AF197" s="99" t="str">
        <f>IF(AND(M197&lt;&gt;"", M197&lt;&gt;0), N197/$N$505*MATCH(AE197,'Misc Lists'!$L$2:$L$25,0), "")</f>
        <v/>
      </c>
    </row>
    <row r="198" spans="2:32" hidden="1" outlineLevel="1" x14ac:dyDescent="0.5">
      <c r="B198" s="60" t="str">
        <f ca="1"/>
        <v>91282CGV7</v>
      </c>
      <c r="C198" s="61" t="str">
        <f ca="1"/>
        <v>N/A</v>
      </c>
      <c r="D198" s="60" t="str">
        <f ca="1"/>
        <v>UNITED STATES TREAS SER AM-2026         3.75000% 04/15/2026 NTS NOTE</v>
      </c>
      <c r="E198" s="61" t="str">
        <f ca="1"/>
        <v>Tres</v>
      </c>
      <c r="F198" s="62">
        <f ca="1"/>
        <v>3.75</v>
      </c>
      <c r="G198" s="63">
        <f ca="1"/>
        <v>46127</v>
      </c>
      <c r="H198" s="61" t="str">
        <f ca="1"/>
        <v>AAA</v>
      </c>
      <c r="I198" s="61" t="str">
        <f ca="1"/>
        <v>--</v>
      </c>
      <c r="J198" s="64">
        <f ca="1"/>
        <v>99.426000000000002</v>
      </c>
      <c r="K198" s="17">
        <f ca="1"/>
        <v>4.2610000000000001</v>
      </c>
      <c r="L198" s="18" t="str">
        <f ca="1"/>
        <v>30,000(400)</v>
      </c>
      <c r="M198" s="83"/>
      <c r="N198" s="84" t="str">
        <f t="shared" si="52"/>
        <v/>
      </c>
      <c r="O198" s="20" t="str">
        <f t="shared" si="53"/>
        <v/>
      </c>
      <c r="P198" s="64" t="str">
        <f t="shared" si="54"/>
        <v/>
      </c>
      <c r="Q198" s="85" t="str">
        <f t="shared" ca="1" si="55"/>
        <v/>
      </c>
      <c r="R198" s="86" t="str">
        <f t="shared" si="56"/>
        <v/>
      </c>
      <c r="S198" s="86" t="str">
        <f t="shared" si="57"/>
        <v/>
      </c>
      <c r="T198" s="104" t="str">
        <f t="shared" si="58"/>
        <v/>
      </c>
      <c r="U198" s="19" t="str">
        <f>IF(AND(M198&lt;&gt;"",M198&lt;&gt;0), IF(E198 = "Muni", T198, IF(E198="Corp", T198*(1 -'Investor Input'!$C$4-'Investor Input'!$C$5), T198*(1 -'Investor Input'!$C$4))), T198)</f>
        <v/>
      </c>
      <c r="V198" s="84" t="str">
        <f t="shared" si="59"/>
        <v/>
      </c>
      <c r="W198" s="84" t="str">
        <f t="shared" si="45"/>
        <v/>
      </c>
      <c r="X198" s="21" t="str">
        <f t="shared" si="46"/>
        <v/>
      </c>
      <c r="Y198" s="60" t="str">
        <f t="shared" si="47"/>
        <v/>
      </c>
      <c r="Z198" s="60" t="str">
        <f t="shared" si="48"/>
        <v/>
      </c>
      <c r="AA198" s="64" t="str">
        <f t="shared" si="49"/>
        <v/>
      </c>
      <c r="AB198" s="64" t="str">
        <f>IF(AND(AA198&lt;&gt;"",AA198&lt;&gt;0), IF(E198="Muni", AA198, IF(E198 = "Corp", (1-'Investor Input'!$C$4-'Investor Input'!$C$5)*AA198, (1-'Investor Input'!$C$4)*AA198)), AA198)</f>
        <v/>
      </c>
      <c r="AC198" s="94" t="str">
        <f t="shared" si="50"/>
        <v/>
      </c>
      <c r="AD198" s="60" t="str">
        <f>IF(AND(M198&lt;&gt;"", M198&lt;&gt;0), N198/$N$505*MATCH(AC198,'Misc Lists'!$K$2:$K$25,0), "")</f>
        <v/>
      </c>
      <c r="AE198" s="90" t="str">
        <f t="shared" si="51"/>
        <v/>
      </c>
      <c r="AF198" s="99" t="str">
        <f>IF(AND(M198&lt;&gt;"", M198&lt;&gt;0), N198/$N$505*MATCH(AE198,'Misc Lists'!$L$2:$L$25,0), "")</f>
        <v/>
      </c>
    </row>
    <row r="199" spans="2:32" hidden="1" outlineLevel="1" x14ac:dyDescent="0.5">
      <c r="B199" s="60" t="str">
        <f ca="1"/>
        <v>91282CMH1</v>
      </c>
      <c r="C199" s="61" t="str">
        <f ca="1"/>
        <v>N/A</v>
      </c>
      <c r="D199" s="60" t="str">
        <f ca="1"/>
        <v>UNITED STATES TREAS SER AW-2027         4.12500% 01/31/2027 NTS NOTE</v>
      </c>
      <c r="E199" s="61" t="str">
        <f ca="1"/>
        <v>Tres</v>
      </c>
      <c r="F199" s="62">
        <f ca="1"/>
        <v>4.125</v>
      </c>
      <c r="G199" s="63">
        <f ca="1"/>
        <v>46418</v>
      </c>
      <c r="H199" s="61" t="str">
        <f ca="1"/>
        <v>AAA</v>
      </c>
      <c r="I199" s="61" t="str">
        <f ca="1"/>
        <v>--</v>
      </c>
      <c r="J199" s="64">
        <f ca="1"/>
        <v>99.747</v>
      </c>
      <c r="K199" s="17">
        <f ca="1"/>
        <v>4.2610000000000001</v>
      </c>
      <c r="L199" s="18" t="str">
        <f ca="1"/>
        <v>150,000(400)</v>
      </c>
      <c r="M199" s="83"/>
      <c r="N199" s="84" t="str">
        <f t="shared" si="52"/>
        <v/>
      </c>
      <c r="O199" s="20" t="str">
        <f t="shared" si="53"/>
        <v/>
      </c>
      <c r="P199" s="64" t="str">
        <f t="shared" si="54"/>
        <v/>
      </c>
      <c r="Q199" s="85" t="str">
        <f t="shared" ca="1" si="55"/>
        <v/>
      </c>
      <c r="R199" s="86" t="str">
        <f t="shared" si="56"/>
        <v/>
      </c>
      <c r="S199" s="86" t="str">
        <f t="shared" si="57"/>
        <v/>
      </c>
      <c r="T199" s="104" t="str">
        <f t="shared" si="58"/>
        <v/>
      </c>
      <c r="U199" s="19" t="str">
        <f>IF(AND(M199&lt;&gt;"",M199&lt;&gt;0), IF(E199 = "Muni", T199, IF(E199="Corp", T199*(1 -'Investor Input'!$C$4-'Investor Input'!$C$5), T199*(1 -'Investor Input'!$C$4))), T199)</f>
        <v/>
      </c>
      <c r="V199" s="84" t="str">
        <f t="shared" si="59"/>
        <v/>
      </c>
      <c r="W199" s="84" t="str">
        <f t="shared" si="45"/>
        <v/>
      </c>
      <c r="X199" s="21" t="str">
        <f t="shared" si="46"/>
        <v/>
      </c>
      <c r="Y199" s="60" t="str">
        <f t="shared" si="47"/>
        <v/>
      </c>
      <c r="Z199" s="60" t="str">
        <f t="shared" si="48"/>
        <v/>
      </c>
      <c r="AA199" s="64" t="str">
        <f t="shared" si="49"/>
        <v/>
      </c>
      <c r="AB199" s="64" t="str">
        <f>IF(AND(AA199&lt;&gt;"",AA199&lt;&gt;0), IF(E199="Muni", AA199, IF(E199 = "Corp", (1-'Investor Input'!$C$4-'Investor Input'!$C$5)*AA199, (1-'Investor Input'!$C$4)*AA199)), AA199)</f>
        <v/>
      </c>
      <c r="AC199" s="94" t="str">
        <f t="shared" si="50"/>
        <v/>
      </c>
      <c r="AD199" s="60" t="str">
        <f>IF(AND(M199&lt;&gt;"", M199&lt;&gt;0), N199/$N$505*MATCH(AC199,'Misc Lists'!$K$2:$K$25,0), "")</f>
        <v/>
      </c>
      <c r="AE199" s="90" t="str">
        <f t="shared" si="51"/>
        <v/>
      </c>
      <c r="AF199" s="99" t="str">
        <f>IF(AND(M199&lt;&gt;"", M199&lt;&gt;0), N199/$N$505*MATCH(AE199,'Misc Lists'!$L$2:$L$25,0), "")</f>
        <v/>
      </c>
    </row>
    <row r="200" spans="2:32" hidden="1" outlineLevel="1" x14ac:dyDescent="0.5">
      <c r="B200" s="60" t="str">
        <f ca="1"/>
        <v>912828Z78</v>
      </c>
      <c r="C200" s="61" t="str">
        <f ca="1"/>
        <v>N/A</v>
      </c>
      <c r="D200" s="60" t="str">
        <f ca="1"/>
        <v>UNITED STATES TREAS SER G-2027          1.50000% 01/31/2027 NTS NOTE</v>
      </c>
      <c r="E200" s="61" t="str">
        <f ca="1"/>
        <v>Tres</v>
      </c>
      <c r="F200" s="62">
        <f ca="1"/>
        <v>1.5</v>
      </c>
      <c r="G200" s="63">
        <f ca="1"/>
        <v>46418</v>
      </c>
      <c r="H200" s="61" t="str">
        <f ca="1"/>
        <v>AAA</v>
      </c>
      <c r="I200" s="61" t="str">
        <f ca="1"/>
        <v>--</v>
      </c>
      <c r="J200" s="64">
        <f ca="1"/>
        <v>94.882999999999996</v>
      </c>
      <c r="K200" s="17">
        <f ca="1"/>
        <v>4.2610000000000001</v>
      </c>
      <c r="L200" s="18" t="str">
        <f ca="1"/>
        <v>12,000(275)</v>
      </c>
      <c r="M200" s="83"/>
      <c r="N200" s="84" t="str">
        <f t="shared" si="52"/>
        <v/>
      </c>
      <c r="O200" s="20" t="str">
        <f t="shared" si="53"/>
        <v/>
      </c>
      <c r="P200" s="64" t="str">
        <f t="shared" si="54"/>
        <v/>
      </c>
      <c r="Q200" s="85" t="str">
        <f t="shared" ca="1" si="55"/>
        <v/>
      </c>
      <c r="R200" s="86" t="str">
        <f t="shared" si="56"/>
        <v/>
      </c>
      <c r="S200" s="86" t="str">
        <f t="shared" si="57"/>
        <v/>
      </c>
      <c r="T200" s="104" t="str">
        <f t="shared" si="58"/>
        <v/>
      </c>
      <c r="U200" s="19" t="str">
        <f>IF(AND(M200&lt;&gt;"",M200&lt;&gt;0), IF(E200 = "Muni", T200, IF(E200="Corp", T200*(1 -'Investor Input'!$C$4-'Investor Input'!$C$5), T200*(1 -'Investor Input'!$C$4))), T200)</f>
        <v/>
      </c>
      <c r="V200" s="84" t="str">
        <f t="shared" si="59"/>
        <v/>
      </c>
      <c r="W200" s="84" t="str">
        <f t="shared" si="45"/>
        <v/>
      </c>
      <c r="X200" s="21" t="str">
        <f t="shared" si="46"/>
        <v/>
      </c>
      <c r="Y200" s="60" t="str">
        <f t="shared" si="47"/>
        <v/>
      </c>
      <c r="Z200" s="60" t="str">
        <f t="shared" si="48"/>
        <v/>
      </c>
      <c r="AA200" s="64" t="str">
        <f t="shared" si="49"/>
        <v/>
      </c>
      <c r="AB200" s="64" t="str">
        <f>IF(AND(AA200&lt;&gt;"",AA200&lt;&gt;0), IF(E200="Muni", AA200, IF(E200 = "Corp", (1-'Investor Input'!$C$4-'Investor Input'!$C$5)*AA200, (1-'Investor Input'!$C$4)*AA200)), AA200)</f>
        <v/>
      </c>
      <c r="AC200" s="94" t="str">
        <f t="shared" si="50"/>
        <v/>
      </c>
      <c r="AD200" s="60" t="str">
        <f>IF(AND(M200&lt;&gt;"", M200&lt;&gt;0), N200/$N$505*MATCH(AC200,'Misc Lists'!$K$2:$K$25,0), "")</f>
        <v/>
      </c>
      <c r="AE200" s="90" t="str">
        <f t="shared" si="51"/>
        <v/>
      </c>
      <c r="AF200" s="99" t="str">
        <f>IF(AND(M200&lt;&gt;"", M200&lt;&gt;0), N200/$N$505*MATCH(AE200,'Misc Lists'!$L$2:$L$25,0), "")</f>
        <v/>
      </c>
    </row>
    <row r="201" spans="2:32" hidden="1" outlineLevel="1" x14ac:dyDescent="0.5">
      <c r="B201" s="60" t="str">
        <f ca="1"/>
        <v>91282CJK8</v>
      </c>
      <c r="C201" s="61" t="str">
        <f ca="1"/>
        <v>N/A</v>
      </c>
      <c r="D201" s="60" t="str">
        <f ca="1"/>
        <v>UNITED STATES TREAS SER AU-2026         4.62500% 11/15/2026 NTS NOTE</v>
      </c>
      <c r="E201" s="61" t="str">
        <f ca="1"/>
        <v>Tres</v>
      </c>
      <c r="F201" s="62">
        <f ca="1"/>
        <v>4.625</v>
      </c>
      <c r="G201" s="63">
        <f ca="1"/>
        <v>46341</v>
      </c>
      <c r="H201" s="61" t="str">
        <f ca="1"/>
        <v>AAA</v>
      </c>
      <c r="I201" s="61" t="str">
        <f ca="1"/>
        <v>--</v>
      </c>
      <c r="J201" s="64">
        <f ca="1"/>
        <v>100.598</v>
      </c>
      <c r="K201" s="17">
        <f ca="1"/>
        <v>4.26</v>
      </c>
      <c r="L201" s="17" t="str">
        <f ca="1"/>
        <v>70,000(400)</v>
      </c>
      <c r="M201" s="83"/>
      <c r="N201" s="84" t="str">
        <f t="shared" si="52"/>
        <v/>
      </c>
      <c r="O201" s="20" t="str">
        <f t="shared" si="53"/>
        <v/>
      </c>
      <c r="P201" s="64" t="str">
        <f t="shared" si="54"/>
        <v/>
      </c>
      <c r="Q201" s="85" t="str">
        <f t="shared" ca="1" si="55"/>
        <v/>
      </c>
      <c r="R201" s="86" t="str">
        <f t="shared" si="56"/>
        <v/>
      </c>
      <c r="S201" s="86" t="str">
        <f t="shared" si="57"/>
        <v/>
      </c>
      <c r="T201" s="104" t="str">
        <f t="shared" si="58"/>
        <v/>
      </c>
      <c r="U201" s="19" t="str">
        <f>IF(AND(M201&lt;&gt;"",M201&lt;&gt;0), IF(E201 = "Muni", T201, IF(E201="Corp", T201*(1 -'Investor Input'!$C$4-'Investor Input'!$C$5), T201*(1 -'Investor Input'!$C$4))), T201)</f>
        <v/>
      </c>
      <c r="V201" s="84" t="str">
        <f t="shared" si="59"/>
        <v/>
      </c>
      <c r="W201" s="84" t="str">
        <f t="shared" si="45"/>
        <v/>
      </c>
      <c r="X201" s="21" t="str">
        <f t="shared" si="46"/>
        <v/>
      </c>
      <c r="Y201" s="60" t="str">
        <f t="shared" si="47"/>
        <v/>
      </c>
      <c r="Z201" s="60" t="str">
        <f t="shared" si="48"/>
        <v/>
      </c>
      <c r="AA201" s="64" t="str">
        <f t="shared" si="49"/>
        <v/>
      </c>
      <c r="AB201" s="64" t="str">
        <f>IF(AND(AA201&lt;&gt;"",AA201&lt;&gt;0), IF(E201="Muni", AA201, IF(E201 = "Corp", (1-'Investor Input'!$C$4-'Investor Input'!$C$5)*AA201, (1-'Investor Input'!$C$4)*AA201)), AA201)</f>
        <v/>
      </c>
      <c r="AC201" s="94" t="str">
        <f t="shared" si="50"/>
        <v/>
      </c>
      <c r="AD201" s="60" t="str">
        <f>IF(AND(M201&lt;&gt;"", M201&lt;&gt;0), N201/$N$505*MATCH(AC201,'Misc Lists'!$K$2:$K$25,0), "")</f>
        <v/>
      </c>
      <c r="AE201" s="90" t="str">
        <f t="shared" si="51"/>
        <v/>
      </c>
      <c r="AF201" s="99" t="str">
        <f>IF(AND(M201&lt;&gt;"", M201&lt;&gt;0), N201/$N$505*MATCH(AE201,'Misc Lists'!$L$2:$L$25,0), "")</f>
        <v/>
      </c>
    </row>
    <row r="202" spans="2:32" hidden="1" outlineLevel="1" x14ac:dyDescent="0.5">
      <c r="B202" s="60" t="str">
        <f ca="1"/>
        <v>91282CDQ1</v>
      </c>
      <c r="C202" s="61" t="str">
        <f ca="1"/>
        <v>N/A</v>
      </c>
      <c r="D202" s="60" t="str">
        <f ca="1"/>
        <v>UNITED STATES TREAS SER AH-2026         1.25000% 12/31/2026 NTS NOTE</v>
      </c>
      <c r="E202" s="61" t="str">
        <f ca="1"/>
        <v>Tres</v>
      </c>
      <c r="F202" s="62">
        <f ca="1"/>
        <v>1.25</v>
      </c>
      <c r="G202" s="63">
        <f ca="1"/>
        <v>46387</v>
      </c>
      <c r="H202" s="61" t="str">
        <f ca="1"/>
        <v>AAA</v>
      </c>
      <c r="I202" s="61" t="str">
        <f ca="1"/>
        <v>--</v>
      </c>
      <c r="J202" s="64">
        <f ca="1"/>
        <v>94.656999999999996</v>
      </c>
      <c r="K202" s="17">
        <f ca="1"/>
        <v>4.26</v>
      </c>
      <c r="L202" s="17" t="str">
        <f ca="1"/>
        <v>70,000(400)</v>
      </c>
      <c r="M202" s="83"/>
      <c r="N202" s="84" t="str">
        <f t="shared" si="52"/>
        <v/>
      </c>
      <c r="O202" s="20" t="str">
        <f t="shared" si="53"/>
        <v/>
      </c>
      <c r="P202" s="64" t="str">
        <f t="shared" si="54"/>
        <v/>
      </c>
      <c r="Q202" s="85" t="str">
        <f t="shared" ca="1" si="55"/>
        <v/>
      </c>
      <c r="R202" s="86" t="str">
        <f t="shared" si="56"/>
        <v/>
      </c>
      <c r="S202" s="86" t="str">
        <f t="shared" si="57"/>
        <v/>
      </c>
      <c r="T202" s="104" t="str">
        <f t="shared" si="58"/>
        <v/>
      </c>
      <c r="U202" s="19" t="str">
        <f>IF(AND(M202&lt;&gt;"",M202&lt;&gt;0), IF(E202 = "Muni", T202, IF(E202="Corp", T202*(1 -'Investor Input'!$C$4-'Investor Input'!$C$5), T202*(1 -'Investor Input'!$C$4))), T202)</f>
        <v/>
      </c>
      <c r="V202" s="84" t="str">
        <f t="shared" si="59"/>
        <v/>
      </c>
      <c r="W202" s="84" t="str">
        <f t="shared" si="45"/>
        <v/>
      </c>
      <c r="X202" s="21" t="str">
        <f t="shared" si="46"/>
        <v/>
      </c>
      <c r="Y202" s="60" t="str">
        <f t="shared" si="47"/>
        <v/>
      </c>
      <c r="Z202" s="60" t="str">
        <f t="shared" si="48"/>
        <v/>
      </c>
      <c r="AA202" s="64" t="str">
        <f t="shared" si="49"/>
        <v/>
      </c>
      <c r="AB202" s="64" t="str">
        <f>IF(AND(AA202&lt;&gt;"",AA202&lt;&gt;0), IF(E202="Muni", AA202, IF(E202 = "Corp", (1-'Investor Input'!$C$4-'Investor Input'!$C$5)*AA202, (1-'Investor Input'!$C$4)*AA202)), AA202)</f>
        <v/>
      </c>
      <c r="AC202" s="94" t="str">
        <f t="shared" si="50"/>
        <v/>
      </c>
      <c r="AD202" s="60" t="str">
        <f>IF(AND(M202&lt;&gt;"", M202&lt;&gt;0), N202/$N$505*MATCH(AC202,'Misc Lists'!$K$2:$K$25,0), "")</f>
        <v/>
      </c>
      <c r="AE202" s="90" t="str">
        <f t="shared" si="51"/>
        <v/>
      </c>
      <c r="AF202" s="99" t="str">
        <f>IF(AND(M202&lt;&gt;"", M202&lt;&gt;0), N202/$N$505*MATCH(AE202,'Misc Lists'!$L$2:$L$25,0), "")</f>
        <v/>
      </c>
    </row>
    <row r="203" spans="2:32" hidden="1" outlineLevel="1" x14ac:dyDescent="0.5">
      <c r="B203" s="60" t="str">
        <f ca="1"/>
        <v>91282CKR1</v>
      </c>
      <c r="C203" s="61" t="str">
        <f ca="1"/>
        <v>N/A</v>
      </c>
      <c r="D203" s="60" t="str">
        <f ca="1"/>
        <v>UNITED STATES TREAS SER AN-2027         4.50000% 05/15/2027 NTS NOTE</v>
      </c>
      <c r="E203" s="61" t="str">
        <f ca="1"/>
        <v>Tres</v>
      </c>
      <c r="F203" s="62">
        <f ca="1"/>
        <v>4.5</v>
      </c>
      <c r="G203" s="63">
        <f ca="1"/>
        <v>46522</v>
      </c>
      <c r="H203" s="61" t="str">
        <f ca="1"/>
        <v>AAA</v>
      </c>
      <c r="I203" s="61" t="str">
        <f ca="1"/>
        <v>--</v>
      </c>
      <c r="J203" s="64">
        <f ca="1"/>
        <v>100.501</v>
      </c>
      <c r="K203" s="17">
        <f ca="1"/>
        <v>4.26</v>
      </c>
      <c r="L203" s="17" t="str">
        <f ca="1"/>
        <v>70,000(400)</v>
      </c>
      <c r="M203" s="83"/>
      <c r="N203" s="84" t="str">
        <f t="shared" si="52"/>
        <v/>
      </c>
      <c r="O203" s="20" t="str">
        <f t="shared" si="53"/>
        <v/>
      </c>
      <c r="P203" s="64" t="str">
        <f t="shared" si="54"/>
        <v/>
      </c>
      <c r="Q203" s="85" t="str">
        <f t="shared" ca="1" si="55"/>
        <v/>
      </c>
      <c r="R203" s="86" t="str">
        <f t="shared" si="56"/>
        <v/>
      </c>
      <c r="S203" s="86" t="str">
        <f t="shared" si="57"/>
        <v/>
      </c>
      <c r="T203" s="104" t="str">
        <f t="shared" si="58"/>
        <v/>
      </c>
      <c r="U203" s="19" t="str">
        <f>IF(AND(M203&lt;&gt;"",M203&lt;&gt;0), IF(E203 = "Muni", T203, IF(E203="Corp", T203*(1 -'Investor Input'!$C$4-'Investor Input'!$C$5), T203*(1 -'Investor Input'!$C$4))), T203)</f>
        <v/>
      </c>
      <c r="V203" s="84" t="str">
        <f t="shared" si="59"/>
        <v/>
      </c>
      <c r="W203" s="84" t="str">
        <f t="shared" si="45"/>
        <v/>
      </c>
      <c r="X203" s="21" t="str">
        <f t="shared" si="46"/>
        <v/>
      </c>
      <c r="Y203" s="60" t="str">
        <f t="shared" si="47"/>
        <v/>
      </c>
      <c r="Z203" s="60" t="str">
        <f t="shared" si="48"/>
        <v/>
      </c>
      <c r="AA203" s="64" t="str">
        <f t="shared" si="49"/>
        <v/>
      </c>
      <c r="AB203" s="64" t="str">
        <f>IF(AND(AA203&lt;&gt;"",AA203&lt;&gt;0), IF(E203="Muni", AA203, IF(E203 = "Corp", (1-'Investor Input'!$C$4-'Investor Input'!$C$5)*AA203, (1-'Investor Input'!$C$4)*AA203)), AA203)</f>
        <v/>
      </c>
      <c r="AC203" s="94" t="str">
        <f t="shared" si="50"/>
        <v/>
      </c>
      <c r="AD203" s="60" t="str">
        <f>IF(AND(M203&lt;&gt;"", M203&lt;&gt;0), N203/$N$505*MATCH(AC203,'Misc Lists'!$K$2:$K$25,0), "")</f>
        <v/>
      </c>
      <c r="AE203" s="90" t="str">
        <f t="shared" si="51"/>
        <v/>
      </c>
      <c r="AF203" s="99" t="str">
        <f>IF(AND(M203&lt;&gt;"", M203&lt;&gt;0), N203/$N$505*MATCH(AE203,'Misc Lists'!$L$2:$L$25,0), "")</f>
        <v/>
      </c>
    </row>
    <row r="204" spans="2:32" hidden="1" outlineLevel="1" x14ac:dyDescent="0.5">
      <c r="B204" s="60" t="str">
        <f ca="1"/>
        <v>912828X88</v>
      </c>
      <c r="C204" s="61" t="str">
        <f ca="1"/>
        <v>N/A</v>
      </c>
      <c r="D204" s="60" t="str">
        <f ca="1"/>
        <v>UNITED STATES TREAS SER C-2027          2.37500% 05/15/2027 NTS NOTE</v>
      </c>
      <c r="E204" s="61" t="str">
        <f ca="1"/>
        <v>Tres</v>
      </c>
      <c r="F204" s="62">
        <f ca="1"/>
        <v>2.375</v>
      </c>
      <c r="G204" s="63">
        <f ca="1"/>
        <v>46522</v>
      </c>
      <c r="H204" s="61" t="str">
        <f ca="1"/>
        <v>AAA</v>
      </c>
      <c r="I204" s="61" t="str">
        <f ca="1"/>
        <v>--</v>
      </c>
      <c r="J204" s="64">
        <f ca="1"/>
        <v>96.013000000000005</v>
      </c>
      <c r="K204" s="17">
        <f ca="1"/>
        <v>4.26</v>
      </c>
      <c r="L204" s="17" t="str">
        <f ca="1"/>
        <v>1,000(200)</v>
      </c>
      <c r="M204" s="83"/>
      <c r="N204" s="84" t="str">
        <f t="shared" si="52"/>
        <v/>
      </c>
      <c r="O204" s="20" t="str">
        <f t="shared" si="53"/>
        <v/>
      </c>
      <c r="P204" s="64" t="str">
        <f t="shared" si="54"/>
        <v/>
      </c>
      <c r="Q204" s="85" t="str">
        <f t="shared" ca="1" si="55"/>
        <v/>
      </c>
      <c r="R204" s="86" t="str">
        <f t="shared" si="56"/>
        <v/>
      </c>
      <c r="S204" s="86" t="str">
        <f t="shared" si="57"/>
        <v/>
      </c>
      <c r="T204" s="104" t="str">
        <f t="shared" si="58"/>
        <v/>
      </c>
      <c r="U204" s="19" t="str">
        <f>IF(AND(M204&lt;&gt;"",M204&lt;&gt;0), IF(E204 = "Muni", T204, IF(E204="Corp", T204*(1 -'Investor Input'!$C$4-'Investor Input'!$C$5), T204*(1 -'Investor Input'!$C$4))), T204)</f>
        <v/>
      </c>
      <c r="V204" s="84" t="str">
        <f t="shared" si="59"/>
        <v/>
      </c>
      <c r="W204" s="84" t="str">
        <f t="shared" si="45"/>
        <v/>
      </c>
      <c r="X204" s="21" t="str">
        <f t="shared" si="46"/>
        <v/>
      </c>
      <c r="Y204" s="60" t="str">
        <f t="shared" si="47"/>
        <v/>
      </c>
      <c r="Z204" s="60" t="str">
        <f t="shared" si="48"/>
        <v/>
      </c>
      <c r="AA204" s="64" t="str">
        <f t="shared" si="49"/>
        <v/>
      </c>
      <c r="AB204" s="64" t="str">
        <f>IF(AND(AA204&lt;&gt;"",AA204&lt;&gt;0), IF(E204="Muni", AA204, IF(E204 = "Corp", (1-'Investor Input'!$C$4-'Investor Input'!$C$5)*AA204, (1-'Investor Input'!$C$4)*AA204)), AA204)</f>
        <v/>
      </c>
      <c r="AC204" s="94" t="str">
        <f t="shared" si="50"/>
        <v/>
      </c>
      <c r="AD204" s="60" t="str">
        <f>IF(AND(M204&lt;&gt;"", M204&lt;&gt;0), N204/$N$505*MATCH(AC204,'Misc Lists'!$K$2:$K$25,0), "")</f>
        <v/>
      </c>
      <c r="AE204" s="90" t="str">
        <f t="shared" si="51"/>
        <v/>
      </c>
      <c r="AF204" s="99" t="str">
        <f>IF(AND(M204&lt;&gt;"", M204&lt;&gt;0), N204/$N$505*MATCH(AE204,'Misc Lists'!$L$2:$L$25,0), "")</f>
        <v/>
      </c>
    </row>
    <row r="205" spans="2:32" hidden="1" outlineLevel="1" x14ac:dyDescent="0.5">
      <c r="B205" s="60" t="str">
        <f ca="1"/>
        <v>91282CAD3</v>
      </c>
      <c r="C205" s="61" t="str">
        <f ca="1"/>
        <v>N/A</v>
      </c>
      <c r="D205" s="60" t="str">
        <f ca="1"/>
        <v>UNITED STATES TREAS SER N-2027          0.37500% 07/31/2027 NTS</v>
      </c>
      <c r="E205" s="61" t="str">
        <f ca="1"/>
        <v>Tres</v>
      </c>
      <c r="F205" s="62">
        <f ca="1"/>
        <v>0.375</v>
      </c>
      <c r="G205" s="63">
        <f ca="1"/>
        <v>46599</v>
      </c>
      <c r="H205" s="61" t="str">
        <f ca="1"/>
        <v>AAA</v>
      </c>
      <c r="I205" s="61" t="str">
        <f ca="1"/>
        <v>--</v>
      </c>
      <c r="J205" s="64">
        <f ca="1"/>
        <v>91.051000000000002</v>
      </c>
      <c r="K205" s="17">
        <f ca="1"/>
        <v>4.26</v>
      </c>
      <c r="L205" s="17" t="str">
        <f ca="1"/>
        <v>1,000(200)</v>
      </c>
      <c r="M205" s="83"/>
      <c r="N205" s="84" t="str">
        <f t="shared" si="52"/>
        <v/>
      </c>
      <c r="O205" s="20" t="str">
        <f t="shared" si="53"/>
        <v/>
      </c>
      <c r="P205" s="64" t="str">
        <f t="shared" si="54"/>
        <v/>
      </c>
      <c r="Q205" s="85" t="str">
        <f t="shared" ca="1" si="55"/>
        <v/>
      </c>
      <c r="R205" s="86" t="str">
        <f t="shared" si="56"/>
        <v/>
      </c>
      <c r="S205" s="86" t="str">
        <f t="shared" si="57"/>
        <v/>
      </c>
      <c r="T205" s="104" t="str">
        <f t="shared" si="58"/>
        <v/>
      </c>
      <c r="U205" s="19" t="str">
        <f>IF(AND(M205&lt;&gt;"",M205&lt;&gt;0), IF(E205 = "Muni", T205, IF(E205="Corp", T205*(1 -'Investor Input'!$C$4-'Investor Input'!$C$5), T205*(1 -'Investor Input'!$C$4))), T205)</f>
        <v/>
      </c>
      <c r="V205" s="84" t="str">
        <f t="shared" si="59"/>
        <v/>
      </c>
      <c r="W205" s="84" t="str">
        <f t="shared" si="45"/>
        <v/>
      </c>
      <c r="X205" s="21" t="str">
        <f t="shared" si="46"/>
        <v/>
      </c>
      <c r="Y205" s="60" t="str">
        <f t="shared" si="47"/>
        <v/>
      </c>
      <c r="Z205" s="60" t="str">
        <f t="shared" si="48"/>
        <v/>
      </c>
      <c r="AA205" s="64" t="str">
        <f t="shared" si="49"/>
        <v/>
      </c>
      <c r="AB205" s="64" t="str">
        <f>IF(AND(AA205&lt;&gt;"",AA205&lt;&gt;0), IF(E205="Muni", AA205, IF(E205 = "Corp", (1-'Investor Input'!$C$4-'Investor Input'!$C$5)*AA205, (1-'Investor Input'!$C$4)*AA205)), AA205)</f>
        <v/>
      </c>
      <c r="AC205" s="94" t="str">
        <f t="shared" si="50"/>
        <v/>
      </c>
      <c r="AD205" s="60" t="str">
        <f>IF(AND(M205&lt;&gt;"", M205&lt;&gt;0), N205/$N$505*MATCH(AC205,'Misc Lists'!$K$2:$K$25,0), "")</f>
        <v/>
      </c>
      <c r="AE205" s="90" t="str">
        <f t="shared" si="51"/>
        <v/>
      </c>
      <c r="AF205" s="99" t="str">
        <f>IF(AND(M205&lt;&gt;"", M205&lt;&gt;0), N205/$N$505*MATCH(AE205,'Misc Lists'!$L$2:$L$25,0), "")</f>
        <v/>
      </c>
    </row>
    <row r="206" spans="2:32" hidden="1" outlineLevel="1" x14ac:dyDescent="0.5">
      <c r="B206" s="60" t="str">
        <f ca="1"/>
        <v>91282CFB2</v>
      </c>
      <c r="C206" s="61" t="str">
        <f ca="1"/>
        <v>N/A</v>
      </c>
      <c r="D206" s="60" t="str">
        <f ca="1"/>
        <v>UNITED STATES TREAS SER AB-2027         2.75000% 07/31/2027 NTS NOTE</v>
      </c>
      <c r="E206" s="61" t="str">
        <f ca="1"/>
        <v>Tres</v>
      </c>
      <c r="F206" s="62">
        <f ca="1"/>
        <v>2.75</v>
      </c>
      <c r="G206" s="63">
        <f ca="1"/>
        <v>46599</v>
      </c>
      <c r="H206" s="61" t="str">
        <f ca="1"/>
        <v>AAA</v>
      </c>
      <c r="I206" s="61" t="str">
        <f ca="1"/>
        <v>--</v>
      </c>
      <c r="J206" s="64">
        <f ca="1"/>
        <v>96.52</v>
      </c>
      <c r="K206" s="17">
        <f ca="1"/>
        <v>4.26</v>
      </c>
      <c r="L206" s="17" t="str">
        <f ca="1"/>
        <v>65,000(400)</v>
      </c>
      <c r="M206" s="83"/>
      <c r="N206" s="84" t="str">
        <f t="shared" si="52"/>
        <v/>
      </c>
      <c r="O206" s="20" t="str">
        <f t="shared" si="53"/>
        <v/>
      </c>
      <c r="P206" s="64" t="str">
        <f t="shared" si="54"/>
        <v/>
      </c>
      <c r="Q206" s="85" t="str">
        <f t="shared" ca="1" si="55"/>
        <v/>
      </c>
      <c r="R206" s="86" t="str">
        <f t="shared" si="56"/>
        <v/>
      </c>
      <c r="S206" s="86" t="str">
        <f t="shared" si="57"/>
        <v/>
      </c>
      <c r="T206" s="104" t="str">
        <f t="shared" si="58"/>
        <v/>
      </c>
      <c r="U206" s="19" t="str">
        <f>IF(AND(M206&lt;&gt;"",M206&lt;&gt;0), IF(E206 = "Muni", T206, IF(E206="Corp", T206*(1 -'Investor Input'!$C$4-'Investor Input'!$C$5), T206*(1 -'Investor Input'!$C$4))), T206)</f>
        <v/>
      </c>
      <c r="V206" s="84" t="str">
        <f t="shared" si="59"/>
        <v/>
      </c>
      <c r="W206" s="84" t="str">
        <f t="shared" si="45"/>
        <v/>
      </c>
      <c r="X206" s="21" t="str">
        <f t="shared" si="46"/>
        <v/>
      </c>
      <c r="Y206" s="60" t="str">
        <f t="shared" si="47"/>
        <v/>
      </c>
      <c r="Z206" s="60" t="str">
        <f t="shared" si="48"/>
        <v/>
      </c>
      <c r="AA206" s="64" t="str">
        <f t="shared" si="49"/>
        <v/>
      </c>
      <c r="AB206" s="64" t="str">
        <f>IF(AND(AA206&lt;&gt;"",AA206&lt;&gt;0), IF(E206="Muni", AA206, IF(E206 = "Corp", (1-'Investor Input'!$C$4-'Investor Input'!$C$5)*AA206, (1-'Investor Input'!$C$4)*AA206)), AA206)</f>
        <v/>
      </c>
      <c r="AC206" s="94" t="str">
        <f t="shared" si="50"/>
        <v/>
      </c>
      <c r="AD206" s="60" t="str">
        <f>IF(AND(M206&lt;&gt;"", M206&lt;&gt;0), N206/$N$505*MATCH(AC206,'Misc Lists'!$K$2:$K$25,0), "")</f>
        <v/>
      </c>
      <c r="AE206" s="90" t="str">
        <f t="shared" si="51"/>
        <v/>
      </c>
      <c r="AF206" s="99" t="str">
        <f>IF(AND(M206&lt;&gt;"", M206&lt;&gt;0), N206/$N$505*MATCH(AE206,'Misc Lists'!$L$2:$L$25,0), "")</f>
        <v/>
      </c>
    </row>
    <row r="207" spans="2:32" hidden="1" outlineLevel="1" x14ac:dyDescent="0.5">
      <c r="B207" s="60" t="str">
        <f ca="1"/>
        <v>91282CGR6</v>
      </c>
      <c r="C207" s="61" t="str">
        <f ca="1"/>
        <v>N/A</v>
      </c>
      <c r="D207" s="60" t="str">
        <f ca="1"/>
        <v>UNITED STATES TREAS SER AL-2026         4.62500% 03/15/2026 NTS NOTE</v>
      </c>
      <c r="E207" s="61" t="str">
        <f ca="1"/>
        <v>Tres</v>
      </c>
      <c r="F207" s="62">
        <f ca="1"/>
        <v>4.625</v>
      </c>
      <c r="G207" s="63">
        <f ca="1"/>
        <v>46096</v>
      </c>
      <c r="H207" s="61" t="str">
        <f ca="1"/>
        <v>AAA</v>
      </c>
      <c r="I207" s="61" t="str">
        <f ca="1"/>
        <v>--</v>
      </c>
      <c r="J207" s="64">
        <f ca="1"/>
        <v>100.376</v>
      </c>
      <c r="K207" s="17">
        <f ca="1"/>
        <v>4.2590000000000003</v>
      </c>
      <c r="L207" s="17" t="str">
        <f ca="1"/>
        <v>30,000(400)</v>
      </c>
      <c r="M207" s="83"/>
      <c r="N207" s="84" t="str">
        <f t="shared" si="52"/>
        <v/>
      </c>
      <c r="O207" s="20" t="str">
        <f t="shared" si="53"/>
        <v/>
      </c>
      <c r="P207" s="64" t="str">
        <f t="shared" si="54"/>
        <v/>
      </c>
      <c r="Q207" s="85" t="str">
        <f t="shared" ca="1" si="55"/>
        <v/>
      </c>
      <c r="R207" s="86" t="str">
        <f t="shared" si="56"/>
        <v/>
      </c>
      <c r="S207" s="86" t="str">
        <f t="shared" si="57"/>
        <v/>
      </c>
      <c r="T207" s="104" t="str">
        <f t="shared" si="58"/>
        <v/>
      </c>
      <c r="U207" s="19" t="str">
        <f>IF(AND(M207&lt;&gt;"",M207&lt;&gt;0), IF(E207 = "Muni", T207, IF(E207="Corp", T207*(1 -'Investor Input'!$C$4-'Investor Input'!$C$5), T207*(1 -'Investor Input'!$C$4))), T207)</f>
        <v/>
      </c>
      <c r="V207" s="84" t="str">
        <f t="shared" si="59"/>
        <v/>
      </c>
      <c r="W207" s="84" t="str">
        <f t="shared" si="45"/>
        <v/>
      </c>
      <c r="X207" s="21" t="str">
        <f t="shared" si="46"/>
        <v/>
      </c>
      <c r="Y207" s="60" t="str">
        <f t="shared" si="47"/>
        <v/>
      </c>
      <c r="Z207" s="60" t="str">
        <f t="shared" si="48"/>
        <v/>
      </c>
      <c r="AA207" s="64" t="str">
        <f t="shared" si="49"/>
        <v/>
      </c>
      <c r="AB207" s="64" t="str">
        <f>IF(AND(AA207&lt;&gt;"",AA207&lt;&gt;0), IF(E207="Muni", AA207, IF(E207 = "Corp", (1-'Investor Input'!$C$4-'Investor Input'!$C$5)*AA207, (1-'Investor Input'!$C$4)*AA207)), AA207)</f>
        <v/>
      </c>
      <c r="AC207" s="94" t="str">
        <f t="shared" si="50"/>
        <v/>
      </c>
      <c r="AD207" s="60" t="str">
        <f>IF(AND(M207&lt;&gt;"", M207&lt;&gt;0), N207/$N$505*MATCH(AC207,'Misc Lists'!$K$2:$K$25,0), "")</f>
        <v/>
      </c>
      <c r="AE207" s="90" t="str">
        <f t="shared" si="51"/>
        <v/>
      </c>
      <c r="AF207" s="99" t="str">
        <f>IF(AND(M207&lt;&gt;"", M207&lt;&gt;0), N207/$N$505*MATCH(AE207,'Misc Lists'!$L$2:$L$25,0), "")</f>
        <v/>
      </c>
    </row>
    <row r="208" spans="2:32" hidden="1" outlineLevel="1" x14ac:dyDescent="0.5">
      <c r="B208" s="60" t="str">
        <f ca="1"/>
        <v>91282CKJ9</v>
      </c>
      <c r="C208" s="61" t="str">
        <f ca="1"/>
        <v>N/A</v>
      </c>
      <c r="D208" s="60" t="str">
        <f ca="1"/>
        <v>UNITED STATES TREAS SER AM-2027         4.50000% 04/15/2027 NTS NOTE</v>
      </c>
      <c r="E208" s="61" t="str">
        <f ca="1"/>
        <v>Tres</v>
      </c>
      <c r="F208" s="62">
        <f ca="1"/>
        <v>4.5</v>
      </c>
      <c r="G208" s="63">
        <f ca="1"/>
        <v>46492</v>
      </c>
      <c r="H208" s="61" t="str">
        <f ca="1"/>
        <v>AAA</v>
      </c>
      <c r="I208" s="61" t="str">
        <f ca="1"/>
        <v>--</v>
      </c>
      <c r="J208" s="64">
        <f ca="1"/>
        <v>100.485</v>
      </c>
      <c r="K208" s="17">
        <f ca="1"/>
        <v>4.2590000000000003</v>
      </c>
      <c r="L208" s="17" t="str">
        <f ca="1"/>
        <v>1,000(200)</v>
      </c>
      <c r="M208" s="83"/>
      <c r="N208" s="84" t="str">
        <f t="shared" si="52"/>
        <v/>
      </c>
      <c r="O208" s="20" t="str">
        <f t="shared" si="53"/>
        <v/>
      </c>
      <c r="P208" s="64" t="str">
        <f t="shared" si="54"/>
        <v/>
      </c>
      <c r="Q208" s="85" t="str">
        <f t="shared" ca="1" si="55"/>
        <v/>
      </c>
      <c r="R208" s="86" t="str">
        <f t="shared" si="56"/>
        <v/>
      </c>
      <c r="S208" s="86" t="str">
        <f t="shared" si="57"/>
        <v/>
      </c>
      <c r="T208" s="104" t="str">
        <f t="shared" si="58"/>
        <v/>
      </c>
      <c r="U208" s="19" t="str">
        <f>IF(AND(M208&lt;&gt;"",M208&lt;&gt;0), IF(E208 = "Muni", T208, IF(E208="Corp", T208*(1 -'Investor Input'!$C$4-'Investor Input'!$C$5), T208*(1 -'Investor Input'!$C$4))), T208)</f>
        <v/>
      </c>
      <c r="V208" s="84" t="str">
        <f t="shared" si="59"/>
        <v/>
      </c>
      <c r="W208" s="84" t="str">
        <f t="shared" si="45"/>
        <v/>
      </c>
      <c r="X208" s="21" t="str">
        <f t="shared" si="46"/>
        <v/>
      </c>
      <c r="Y208" s="60" t="str">
        <f t="shared" si="47"/>
        <v/>
      </c>
      <c r="Z208" s="60" t="str">
        <f t="shared" si="48"/>
        <v/>
      </c>
      <c r="AA208" s="64" t="str">
        <f t="shared" si="49"/>
        <v/>
      </c>
      <c r="AB208" s="64" t="str">
        <f>IF(AND(AA208&lt;&gt;"",AA208&lt;&gt;0), IF(E208="Muni", AA208, IF(E208 = "Corp", (1-'Investor Input'!$C$4-'Investor Input'!$C$5)*AA208, (1-'Investor Input'!$C$4)*AA208)), AA208)</f>
        <v/>
      </c>
      <c r="AC208" s="94" t="str">
        <f t="shared" si="50"/>
        <v/>
      </c>
      <c r="AD208" s="60" t="str">
        <f>IF(AND(M208&lt;&gt;"", M208&lt;&gt;0), N208/$N$505*MATCH(AC208,'Misc Lists'!$K$2:$K$25,0), "")</f>
        <v/>
      </c>
      <c r="AE208" s="90" t="str">
        <f t="shared" si="51"/>
        <v/>
      </c>
      <c r="AF208" s="99" t="str">
        <f>IF(AND(M208&lt;&gt;"", M208&lt;&gt;0), N208/$N$505*MATCH(AE208,'Misc Lists'!$L$2:$L$25,0), "")</f>
        <v/>
      </c>
    </row>
    <row r="209" spans="2:32" hidden="1" outlineLevel="1" x14ac:dyDescent="0.5">
      <c r="B209" s="60" t="str">
        <f ca="1"/>
        <v>91282CGC9</v>
      </c>
      <c r="C209" s="61" t="str">
        <f ca="1"/>
        <v>N/A</v>
      </c>
      <c r="D209" s="60" t="str">
        <f ca="1"/>
        <v>UNITED STATES TREAS SER AH-2027         3.87500% 12/31/2027 NTS NOTE</v>
      </c>
      <c r="E209" s="61" t="str">
        <f ca="1"/>
        <v>Tres</v>
      </c>
      <c r="F209" s="62">
        <f ca="1"/>
        <v>3.875</v>
      </c>
      <c r="G209" s="63">
        <f ca="1"/>
        <v>46752</v>
      </c>
      <c r="H209" s="61" t="str">
        <f ca="1"/>
        <v>AAA</v>
      </c>
      <c r="I209" s="61" t="str">
        <f ca="1"/>
        <v>--</v>
      </c>
      <c r="J209" s="64">
        <f ca="1"/>
        <v>98.968999999999994</v>
      </c>
      <c r="K209" s="17">
        <f ca="1"/>
        <v>4.2590000000000003</v>
      </c>
      <c r="L209" s="17" t="str">
        <f ca="1"/>
        <v>65,000(400)</v>
      </c>
      <c r="M209" s="83"/>
      <c r="N209" s="84" t="str">
        <f t="shared" si="52"/>
        <v/>
      </c>
      <c r="O209" s="20" t="str">
        <f t="shared" si="53"/>
        <v/>
      </c>
      <c r="P209" s="64" t="str">
        <f t="shared" si="54"/>
        <v/>
      </c>
      <c r="Q209" s="85" t="str">
        <f t="shared" ca="1" si="55"/>
        <v/>
      </c>
      <c r="R209" s="86" t="str">
        <f t="shared" si="56"/>
        <v/>
      </c>
      <c r="S209" s="86" t="str">
        <f t="shared" si="57"/>
        <v/>
      </c>
      <c r="T209" s="104" t="str">
        <f t="shared" si="58"/>
        <v/>
      </c>
      <c r="U209" s="19" t="str">
        <f>IF(AND(M209&lt;&gt;"",M209&lt;&gt;0), IF(E209 = "Muni", T209, IF(E209="Corp", T209*(1 -'Investor Input'!$C$4-'Investor Input'!$C$5), T209*(1 -'Investor Input'!$C$4))), T209)</f>
        <v/>
      </c>
      <c r="V209" s="84" t="str">
        <f t="shared" si="59"/>
        <v/>
      </c>
      <c r="W209" s="84" t="str">
        <f t="shared" si="45"/>
        <v/>
      </c>
      <c r="X209" s="21" t="str">
        <f t="shared" si="46"/>
        <v/>
      </c>
      <c r="Y209" s="60" t="str">
        <f t="shared" si="47"/>
        <v/>
      </c>
      <c r="Z209" s="60" t="str">
        <f t="shared" si="48"/>
        <v/>
      </c>
      <c r="AA209" s="64" t="str">
        <f t="shared" si="49"/>
        <v/>
      </c>
      <c r="AB209" s="64" t="str">
        <f>IF(AND(AA209&lt;&gt;"",AA209&lt;&gt;0), IF(E209="Muni", AA209, IF(E209 = "Corp", (1-'Investor Input'!$C$4-'Investor Input'!$C$5)*AA209, (1-'Investor Input'!$C$4)*AA209)), AA209)</f>
        <v/>
      </c>
      <c r="AC209" s="94" t="str">
        <f t="shared" si="50"/>
        <v/>
      </c>
      <c r="AD209" s="60" t="str">
        <f>IF(AND(M209&lt;&gt;"", M209&lt;&gt;0), N209/$N$505*MATCH(AC209,'Misc Lists'!$K$2:$K$25,0), "")</f>
        <v/>
      </c>
      <c r="AE209" s="90" t="str">
        <f t="shared" si="51"/>
        <v/>
      </c>
      <c r="AF209" s="99" t="str">
        <f>IF(AND(M209&lt;&gt;"", M209&lt;&gt;0), N209/$N$505*MATCH(AE209,'Misc Lists'!$L$2:$L$25,0), "")</f>
        <v/>
      </c>
    </row>
    <row r="210" spans="2:32" hidden="1" outlineLevel="1" x14ac:dyDescent="0.5">
      <c r="B210" s="60" t="str">
        <f ca="1"/>
        <v>912828R36</v>
      </c>
      <c r="C210" s="61" t="str">
        <f ca="1"/>
        <v>N/A</v>
      </c>
      <c r="D210" s="60" t="str">
        <f ca="1"/>
        <v>UNITED STATES TREAS SER C-2026          1.62500% 05/15/2026 NTS NOTE</v>
      </c>
      <c r="E210" s="61" t="str">
        <f ca="1"/>
        <v>Tres</v>
      </c>
      <c r="F210" s="62">
        <f ca="1"/>
        <v>1.625</v>
      </c>
      <c r="G210" s="63">
        <f ca="1"/>
        <v>46157</v>
      </c>
      <c r="H210" s="61" t="str">
        <f ca="1"/>
        <v>AAA</v>
      </c>
      <c r="I210" s="61" t="str">
        <f ca="1"/>
        <v>--</v>
      </c>
      <c r="J210" s="64">
        <f ca="1"/>
        <v>96.855999999999995</v>
      </c>
      <c r="K210" s="17">
        <f ca="1"/>
        <v>4.258</v>
      </c>
      <c r="L210" s="17" t="str">
        <f ca="1"/>
        <v>30,000(400)</v>
      </c>
      <c r="M210" s="83"/>
      <c r="N210" s="84" t="str">
        <f t="shared" si="52"/>
        <v/>
      </c>
      <c r="O210" s="20" t="str">
        <f t="shared" si="53"/>
        <v/>
      </c>
      <c r="P210" s="64" t="str">
        <f t="shared" si="54"/>
        <v/>
      </c>
      <c r="Q210" s="85" t="str">
        <f t="shared" ca="1" si="55"/>
        <v/>
      </c>
      <c r="R210" s="86" t="str">
        <f t="shared" si="56"/>
        <v/>
      </c>
      <c r="S210" s="86" t="str">
        <f t="shared" si="57"/>
        <v/>
      </c>
      <c r="T210" s="104" t="str">
        <f t="shared" si="58"/>
        <v/>
      </c>
      <c r="U210" s="19" t="str">
        <f>IF(AND(M210&lt;&gt;"",M210&lt;&gt;0), IF(E210 = "Muni", T210, IF(E210="Corp", T210*(1 -'Investor Input'!$C$4-'Investor Input'!$C$5), T210*(1 -'Investor Input'!$C$4))), T210)</f>
        <v/>
      </c>
      <c r="V210" s="84" t="str">
        <f t="shared" si="59"/>
        <v/>
      </c>
      <c r="W210" s="84" t="str">
        <f t="shared" si="45"/>
        <v/>
      </c>
      <c r="X210" s="21" t="str">
        <f t="shared" si="46"/>
        <v/>
      </c>
      <c r="Y210" s="60" t="str">
        <f t="shared" si="47"/>
        <v/>
      </c>
      <c r="Z210" s="60" t="str">
        <f t="shared" si="48"/>
        <v/>
      </c>
      <c r="AA210" s="64" t="str">
        <f t="shared" si="49"/>
        <v/>
      </c>
      <c r="AB210" s="64" t="str">
        <f>IF(AND(AA210&lt;&gt;"",AA210&lt;&gt;0), IF(E210="Muni", AA210, IF(E210 = "Corp", (1-'Investor Input'!$C$4-'Investor Input'!$C$5)*AA210, (1-'Investor Input'!$C$4)*AA210)), AA210)</f>
        <v/>
      </c>
      <c r="AC210" s="94" t="str">
        <f t="shared" si="50"/>
        <v/>
      </c>
      <c r="AD210" s="60" t="str">
        <f>IF(AND(M210&lt;&gt;"", M210&lt;&gt;0), N210/$N$505*MATCH(AC210,'Misc Lists'!$K$2:$K$25,0), "")</f>
        <v/>
      </c>
      <c r="AE210" s="90" t="str">
        <f t="shared" si="51"/>
        <v/>
      </c>
      <c r="AF210" s="99" t="str">
        <f>IF(AND(M210&lt;&gt;"", M210&lt;&gt;0), N210/$N$505*MATCH(AE210,'Misc Lists'!$L$2:$L$25,0), "")</f>
        <v/>
      </c>
    </row>
    <row r="211" spans="2:32" hidden="1" outlineLevel="1" x14ac:dyDescent="0.5">
      <c r="B211" s="60" t="str">
        <f ca="1"/>
        <v>91282CKY6</v>
      </c>
      <c r="C211" s="61" t="str">
        <f ca="1"/>
        <v>N/A</v>
      </c>
      <c r="D211" s="60" t="str">
        <f ca="1"/>
        <v>UNITED STATES TREAS SER BD-2026         4.62500% 06/30/2026 NTS NOTE</v>
      </c>
      <c r="E211" s="61" t="str">
        <f ca="1"/>
        <v>Tres</v>
      </c>
      <c r="F211" s="62">
        <f ca="1"/>
        <v>4.625</v>
      </c>
      <c r="G211" s="63">
        <f ca="1"/>
        <v>46203</v>
      </c>
      <c r="H211" s="61" t="str">
        <f ca="1"/>
        <v>--</v>
      </c>
      <c r="I211" s="61" t="str">
        <f ca="1"/>
        <v>--</v>
      </c>
      <c r="J211" s="64">
        <f ca="1"/>
        <v>100.477</v>
      </c>
      <c r="K211" s="17">
        <f ca="1"/>
        <v>4.258</v>
      </c>
      <c r="L211" s="17" t="str">
        <f ca="1"/>
        <v>80,000(400)</v>
      </c>
      <c r="M211" s="83"/>
      <c r="N211" s="84" t="str">
        <f t="shared" si="52"/>
        <v/>
      </c>
      <c r="O211" s="20" t="str">
        <f t="shared" si="53"/>
        <v/>
      </c>
      <c r="P211" s="64" t="str">
        <f t="shared" si="54"/>
        <v/>
      </c>
      <c r="Q211" s="85" t="str">
        <f t="shared" ca="1" si="55"/>
        <v/>
      </c>
      <c r="R211" s="86" t="str">
        <f t="shared" si="56"/>
        <v/>
      </c>
      <c r="S211" s="86" t="str">
        <f t="shared" si="57"/>
        <v/>
      </c>
      <c r="T211" s="104" t="str">
        <f t="shared" si="58"/>
        <v/>
      </c>
      <c r="U211" s="19" t="str">
        <f>IF(AND(M211&lt;&gt;"",M211&lt;&gt;0), IF(E211 = "Muni", T211, IF(E211="Corp", T211*(1 -'Investor Input'!$C$4-'Investor Input'!$C$5), T211*(1 -'Investor Input'!$C$4))), T211)</f>
        <v/>
      </c>
      <c r="V211" s="84" t="str">
        <f t="shared" si="59"/>
        <v/>
      </c>
      <c r="W211" s="84" t="str">
        <f t="shared" si="45"/>
        <v/>
      </c>
      <c r="X211" s="21" t="str">
        <f t="shared" si="46"/>
        <v/>
      </c>
      <c r="Y211" s="60" t="str">
        <f t="shared" si="47"/>
        <v/>
      </c>
      <c r="Z211" s="60" t="str">
        <f t="shared" si="48"/>
        <v/>
      </c>
      <c r="AA211" s="64" t="str">
        <f t="shared" si="49"/>
        <v/>
      </c>
      <c r="AB211" s="64" t="str">
        <f>IF(AND(AA211&lt;&gt;"",AA211&lt;&gt;0), IF(E211="Muni", AA211, IF(E211 = "Corp", (1-'Investor Input'!$C$4-'Investor Input'!$C$5)*AA211, (1-'Investor Input'!$C$4)*AA211)), AA211)</f>
        <v/>
      </c>
      <c r="AC211" s="94" t="str">
        <f t="shared" si="50"/>
        <v/>
      </c>
      <c r="AD211" s="60" t="str">
        <f>IF(AND(M211&lt;&gt;"", M211&lt;&gt;0), N211/$N$505*MATCH(AC211,'Misc Lists'!$K$2:$K$25,0), "")</f>
        <v/>
      </c>
      <c r="AE211" s="90" t="str">
        <f t="shared" si="51"/>
        <v/>
      </c>
      <c r="AF211" s="99" t="str">
        <f>IF(AND(M211&lt;&gt;"", M211&lt;&gt;0), N211/$N$505*MATCH(AE211,'Misc Lists'!$L$2:$L$25,0), "")</f>
        <v/>
      </c>
    </row>
    <row r="212" spans="2:32" hidden="1" outlineLevel="1" x14ac:dyDescent="0.5">
      <c r="B212" s="60" t="str">
        <f ca="1"/>
        <v>91282CCP4</v>
      </c>
      <c r="C212" s="61" t="str">
        <f ca="1"/>
        <v>N/A</v>
      </c>
      <c r="D212" s="60" t="str">
        <f ca="1"/>
        <v>UNITED STATES TREAS SER AB-2026         0.62500% 07/31/2026 NTS NOTE</v>
      </c>
      <c r="E212" s="61" t="str">
        <f ca="1"/>
        <v>Tres</v>
      </c>
      <c r="F212" s="62">
        <f ca="1"/>
        <v>0.625</v>
      </c>
      <c r="G212" s="63">
        <f ca="1"/>
        <v>46234</v>
      </c>
      <c r="H212" s="61" t="str">
        <f ca="1"/>
        <v>AAA</v>
      </c>
      <c r="I212" s="61" t="str">
        <f ca="1"/>
        <v>--</v>
      </c>
      <c r="J212" s="64">
        <f ca="1"/>
        <v>94.941999999999993</v>
      </c>
      <c r="K212" s="17">
        <f ca="1"/>
        <v>4.258</v>
      </c>
      <c r="L212" s="17" t="str">
        <f ca="1"/>
        <v>70,000(400)</v>
      </c>
      <c r="M212" s="83"/>
      <c r="N212" s="84" t="str">
        <f t="shared" si="52"/>
        <v/>
      </c>
      <c r="O212" s="20" t="str">
        <f t="shared" si="53"/>
        <v/>
      </c>
      <c r="P212" s="64" t="str">
        <f t="shared" si="54"/>
        <v/>
      </c>
      <c r="Q212" s="85" t="str">
        <f t="shared" ca="1" si="55"/>
        <v/>
      </c>
      <c r="R212" s="86" t="str">
        <f t="shared" si="56"/>
        <v/>
      </c>
      <c r="S212" s="86" t="str">
        <f t="shared" si="57"/>
        <v/>
      </c>
      <c r="T212" s="104" t="str">
        <f t="shared" si="58"/>
        <v/>
      </c>
      <c r="U212" s="19" t="str">
        <f>IF(AND(M212&lt;&gt;"",M212&lt;&gt;0), IF(E212 = "Muni", T212, IF(E212="Corp", T212*(1 -'Investor Input'!$C$4-'Investor Input'!$C$5), T212*(1 -'Investor Input'!$C$4))), T212)</f>
        <v/>
      </c>
      <c r="V212" s="84" t="str">
        <f t="shared" si="59"/>
        <v/>
      </c>
      <c r="W212" s="84" t="str">
        <f t="shared" si="45"/>
        <v/>
      </c>
      <c r="X212" s="21" t="str">
        <f t="shared" si="46"/>
        <v/>
      </c>
      <c r="Y212" s="60" t="str">
        <f t="shared" si="47"/>
        <v/>
      </c>
      <c r="Z212" s="60" t="str">
        <f t="shared" si="48"/>
        <v/>
      </c>
      <c r="AA212" s="64" t="str">
        <f t="shared" si="49"/>
        <v/>
      </c>
      <c r="AB212" s="64" t="str">
        <f>IF(AND(AA212&lt;&gt;"",AA212&lt;&gt;0), IF(E212="Muni", AA212, IF(E212 = "Corp", (1-'Investor Input'!$C$4-'Investor Input'!$C$5)*AA212, (1-'Investor Input'!$C$4)*AA212)), AA212)</f>
        <v/>
      </c>
      <c r="AC212" s="94" t="str">
        <f t="shared" si="50"/>
        <v/>
      </c>
      <c r="AD212" s="60" t="str">
        <f>IF(AND(M212&lt;&gt;"", M212&lt;&gt;0), N212/$N$505*MATCH(AC212,'Misc Lists'!$K$2:$K$25,0), "")</f>
        <v/>
      </c>
      <c r="AE212" s="90" t="str">
        <f t="shared" si="51"/>
        <v/>
      </c>
      <c r="AF212" s="99" t="str">
        <f>IF(AND(M212&lt;&gt;"", M212&lt;&gt;0), N212/$N$505*MATCH(AE212,'Misc Lists'!$L$2:$L$25,0), "")</f>
        <v/>
      </c>
    </row>
    <row r="213" spans="2:32" hidden="1" outlineLevel="1" x14ac:dyDescent="0.5">
      <c r="B213" s="60" t="str">
        <f ca="1"/>
        <v>91282CJC6</v>
      </c>
      <c r="C213" s="61" t="str">
        <f ca="1"/>
        <v>N/A</v>
      </c>
      <c r="D213" s="60" t="str">
        <f ca="1"/>
        <v>UNITED STATES TREAS SER AT-2026         4.62500% 10/15/2026 NTS NOTE</v>
      </c>
      <c r="E213" s="61" t="str">
        <f ca="1"/>
        <v>Tres</v>
      </c>
      <c r="F213" s="62">
        <f ca="1"/>
        <v>4.625</v>
      </c>
      <c r="G213" s="63">
        <f ca="1"/>
        <v>46310</v>
      </c>
      <c r="H213" s="61" t="str">
        <f ca="1"/>
        <v>AAA</v>
      </c>
      <c r="I213" s="61" t="str">
        <f ca="1"/>
        <v>--</v>
      </c>
      <c r="J213" s="64">
        <f ca="1"/>
        <v>100.575</v>
      </c>
      <c r="K213" s="17">
        <f ca="1"/>
        <v>4.258</v>
      </c>
      <c r="L213" s="17" t="str">
        <f ca="1"/>
        <v>70,000(400)</v>
      </c>
      <c r="M213" s="83"/>
      <c r="N213" s="84" t="str">
        <f t="shared" si="52"/>
        <v/>
      </c>
      <c r="O213" s="20" t="str">
        <f t="shared" si="53"/>
        <v/>
      </c>
      <c r="P213" s="64" t="str">
        <f t="shared" si="54"/>
        <v/>
      </c>
      <c r="Q213" s="85" t="str">
        <f t="shared" ca="1" si="55"/>
        <v/>
      </c>
      <c r="R213" s="86" t="str">
        <f t="shared" si="56"/>
        <v/>
      </c>
      <c r="S213" s="86" t="str">
        <f t="shared" si="57"/>
        <v/>
      </c>
      <c r="T213" s="104" t="str">
        <f t="shared" si="58"/>
        <v/>
      </c>
      <c r="U213" s="19" t="str">
        <f>IF(AND(M213&lt;&gt;"",M213&lt;&gt;0), IF(E213 = "Muni", T213, IF(E213="Corp", T213*(1 -'Investor Input'!$C$4-'Investor Input'!$C$5), T213*(1 -'Investor Input'!$C$4))), T213)</f>
        <v/>
      </c>
      <c r="V213" s="84" t="str">
        <f t="shared" si="59"/>
        <v/>
      </c>
      <c r="W213" s="84" t="str">
        <f t="shared" si="45"/>
        <v/>
      </c>
      <c r="X213" s="21" t="str">
        <f t="shared" si="46"/>
        <v/>
      </c>
      <c r="Y213" s="60" t="str">
        <f t="shared" si="47"/>
        <v/>
      </c>
      <c r="Z213" s="60" t="str">
        <f t="shared" si="48"/>
        <v/>
      </c>
      <c r="AA213" s="64" t="str">
        <f t="shared" si="49"/>
        <v/>
      </c>
      <c r="AB213" s="64" t="str">
        <f>IF(AND(AA213&lt;&gt;"",AA213&lt;&gt;0), IF(E213="Muni", AA213, IF(E213 = "Corp", (1-'Investor Input'!$C$4-'Investor Input'!$C$5)*AA213, (1-'Investor Input'!$C$4)*AA213)), AA213)</f>
        <v/>
      </c>
      <c r="AC213" s="94" t="str">
        <f t="shared" si="50"/>
        <v/>
      </c>
      <c r="AD213" s="60" t="str">
        <f>IF(AND(M213&lt;&gt;"", M213&lt;&gt;0), N213/$N$505*MATCH(AC213,'Misc Lists'!$K$2:$K$25,0), "")</f>
        <v/>
      </c>
      <c r="AE213" s="90" t="str">
        <f t="shared" si="51"/>
        <v/>
      </c>
      <c r="AF213" s="99" t="str">
        <f>IF(AND(M213&lt;&gt;"", M213&lt;&gt;0), N213/$N$505*MATCH(AE213,'Misc Lists'!$L$2:$L$25,0), "")</f>
        <v/>
      </c>
    </row>
    <row r="214" spans="2:32" hidden="1" outlineLevel="1" x14ac:dyDescent="0.5">
      <c r="B214" s="60" t="str">
        <f ca="1"/>
        <v>91282CLG4</v>
      </c>
      <c r="C214" s="61" t="str">
        <f ca="1"/>
        <v>N/A</v>
      </c>
      <c r="D214" s="60" t="str">
        <f ca="1"/>
        <v>UNITED STATES TREAS SER AR-2027         3.75000% 08/15/2027 NTS NOTE</v>
      </c>
      <c r="E214" s="61" t="str">
        <f ca="1"/>
        <v>Tres</v>
      </c>
      <c r="F214" s="62">
        <f ca="1"/>
        <v>3.75</v>
      </c>
      <c r="G214" s="63">
        <f ca="1"/>
        <v>46614</v>
      </c>
      <c r="H214" s="61" t="str">
        <f ca="1"/>
        <v>AAA</v>
      </c>
      <c r="I214" s="61" t="str">
        <f ca="1"/>
        <v>--</v>
      </c>
      <c r="J214" s="64">
        <f ca="1"/>
        <v>98.808999999999997</v>
      </c>
      <c r="K214" s="17">
        <f ca="1"/>
        <v>4.258</v>
      </c>
      <c r="L214" s="17" t="str">
        <f ca="1"/>
        <v>1,000(200)</v>
      </c>
      <c r="M214" s="83"/>
      <c r="N214" s="84" t="str">
        <f t="shared" si="52"/>
        <v/>
      </c>
      <c r="O214" s="20" t="str">
        <f t="shared" si="53"/>
        <v/>
      </c>
      <c r="P214" s="64" t="str">
        <f t="shared" si="54"/>
        <v/>
      </c>
      <c r="Q214" s="85" t="str">
        <f t="shared" ca="1" si="55"/>
        <v/>
      </c>
      <c r="R214" s="86" t="str">
        <f t="shared" si="56"/>
        <v/>
      </c>
      <c r="S214" s="86" t="str">
        <f t="shared" si="57"/>
        <v/>
      </c>
      <c r="T214" s="104" t="str">
        <f t="shared" si="58"/>
        <v/>
      </c>
      <c r="U214" s="19" t="str">
        <f>IF(AND(M214&lt;&gt;"",M214&lt;&gt;0), IF(E214 = "Muni", T214, IF(E214="Corp", T214*(1 -'Investor Input'!$C$4-'Investor Input'!$C$5), T214*(1 -'Investor Input'!$C$4))), T214)</f>
        <v/>
      </c>
      <c r="V214" s="84" t="str">
        <f t="shared" si="59"/>
        <v/>
      </c>
      <c r="W214" s="84" t="str">
        <f t="shared" si="45"/>
        <v/>
      </c>
      <c r="X214" s="21" t="str">
        <f t="shared" si="46"/>
        <v/>
      </c>
      <c r="Y214" s="60" t="str">
        <f t="shared" si="47"/>
        <v/>
      </c>
      <c r="Z214" s="60" t="str">
        <f t="shared" si="48"/>
        <v/>
      </c>
      <c r="AA214" s="64" t="str">
        <f t="shared" si="49"/>
        <v/>
      </c>
      <c r="AB214" s="64" t="str">
        <f>IF(AND(AA214&lt;&gt;"",AA214&lt;&gt;0), IF(E214="Muni", AA214, IF(E214 = "Corp", (1-'Investor Input'!$C$4-'Investor Input'!$C$5)*AA214, (1-'Investor Input'!$C$4)*AA214)), AA214)</f>
        <v/>
      </c>
      <c r="AC214" s="94" t="str">
        <f t="shared" si="50"/>
        <v/>
      </c>
      <c r="AD214" s="60" t="str">
        <f>IF(AND(M214&lt;&gt;"", M214&lt;&gt;0), N214/$N$505*MATCH(AC214,'Misc Lists'!$K$2:$K$25,0), "")</f>
        <v/>
      </c>
      <c r="AE214" s="90" t="str">
        <f t="shared" si="51"/>
        <v/>
      </c>
      <c r="AF214" s="99" t="str">
        <f>IF(AND(M214&lt;&gt;"", M214&lt;&gt;0), N214/$N$505*MATCH(AE214,'Misc Lists'!$L$2:$L$25,0), "")</f>
        <v/>
      </c>
    </row>
    <row r="215" spans="2:32" hidden="1" outlineLevel="1" x14ac:dyDescent="0.5">
      <c r="B215" s="60" t="str">
        <f ca="1"/>
        <v>9128286S4</v>
      </c>
      <c r="C215" s="61" t="str">
        <f ca="1"/>
        <v>N/A</v>
      </c>
      <c r="D215" s="60" t="str">
        <f ca="1"/>
        <v>UNITED STATES TREAS SER K-2026          2.37500% 04/30/2026 NTS NOTE</v>
      </c>
      <c r="E215" s="61" t="str">
        <f ca="1"/>
        <v>Tres</v>
      </c>
      <c r="F215" s="62">
        <f ca="1"/>
        <v>2.375</v>
      </c>
      <c r="G215" s="63">
        <f ca="1"/>
        <v>46142</v>
      </c>
      <c r="H215" s="61" t="str">
        <f ca="1"/>
        <v>AAA</v>
      </c>
      <c r="I215" s="61" t="str">
        <f ca="1"/>
        <v>--</v>
      </c>
      <c r="J215" s="64">
        <f ca="1"/>
        <v>97.825000000000003</v>
      </c>
      <c r="K215" s="17">
        <f ca="1"/>
        <v>4.2569999999999997</v>
      </c>
      <c r="L215" s="17" t="str">
        <f ca="1"/>
        <v>30,000(400)</v>
      </c>
      <c r="M215" s="83"/>
      <c r="N215" s="84" t="str">
        <f t="shared" si="52"/>
        <v/>
      </c>
      <c r="O215" s="20" t="str">
        <f t="shared" si="53"/>
        <v/>
      </c>
      <c r="P215" s="64" t="str">
        <f t="shared" si="54"/>
        <v/>
      </c>
      <c r="Q215" s="85" t="str">
        <f t="shared" ca="1" si="55"/>
        <v/>
      </c>
      <c r="R215" s="86" t="str">
        <f t="shared" si="56"/>
        <v/>
      </c>
      <c r="S215" s="86" t="str">
        <f t="shared" si="57"/>
        <v/>
      </c>
      <c r="T215" s="104" t="str">
        <f t="shared" si="58"/>
        <v/>
      </c>
      <c r="U215" s="19" t="str">
        <f>IF(AND(M215&lt;&gt;"",M215&lt;&gt;0), IF(E215 = "Muni", T215, IF(E215="Corp", T215*(1 -'Investor Input'!$C$4-'Investor Input'!$C$5), T215*(1 -'Investor Input'!$C$4))), T215)</f>
        <v/>
      </c>
      <c r="V215" s="84" t="str">
        <f t="shared" si="59"/>
        <v/>
      </c>
      <c r="W215" s="84" t="str">
        <f t="shared" si="45"/>
        <v/>
      </c>
      <c r="X215" s="21" t="str">
        <f t="shared" si="46"/>
        <v/>
      </c>
      <c r="Y215" s="60" t="str">
        <f t="shared" si="47"/>
        <v/>
      </c>
      <c r="Z215" s="60" t="str">
        <f t="shared" si="48"/>
        <v/>
      </c>
      <c r="AA215" s="64" t="str">
        <f t="shared" si="49"/>
        <v/>
      </c>
      <c r="AB215" s="64" t="str">
        <f>IF(AND(AA215&lt;&gt;"",AA215&lt;&gt;0), IF(E215="Muni", AA215, IF(E215 = "Corp", (1-'Investor Input'!$C$4-'Investor Input'!$C$5)*AA215, (1-'Investor Input'!$C$4)*AA215)), AA215)</f>
        <v/>
      </c>
      <c r="AC215" s="94" t="str">
        <f t="shared" si="50"/>
        <v/>
      </c>
      <c r="AD215" s="60" t="str">
        <f>IF(AND(M215&lt;&gt;"", M215&lt;&gt;0), N215/$N$505*MATCH(AC215,'Misc Lists'!$K$2:$K$25,0), "")</f>
        <v/>
      </c>
      <c r="AE215" s="90" t="str">
        <f t="shared" si="51"/>
        <v/>
      </c>
      <c r="AF215" s="99" t="str">
        <f>IF(AND(M215&lt;&gt;"", M215&lt;&gt;0), N215/$N$505*MATCH(AE215,'Misc Lists'!$L$2:$L$25,0), "")</f>
        <v/>
      </c>
    </row>
    <row r="216" spans="2:32" hidden="1" outlineLevel="1" x14ac:dyDescent="0.5">
      <c r="B216" s="60" t="str">
        <f ca="1"/>
        <v>91282CEC1</v>
      </c>
      <c r="C216" s="61" t="str">
        <f ca="1"/>
        <v>N/A</v>
      </c>
      <c r="D216" s="60" t="str">
        <f ca="1"/>
        <v>UNITED STATES TREAS SER V-2027          1.87500% 02/28/2027 NTS NOTE</v>
      </c>
      <c r="E216" s="61" t="str">
        <f ca="1"/>
        <v>Tres</v>
      </c>
      <c r="F216" s="62">
        <f ca="1"/>
        <v>1.875</v>
      </c>
      <c r="G216" s="63">
        <f ca="1"/>
        <v>46446</v>
      </c>
      <c r="H216" s="61" t="str">
        <f ca="1"/>
        <v>AAA</v>
      </c>
      <c r="I216" s="61" t="str">
        <f ca="1"/>
        <v>--</v>
      </c>
      <c r="J216" s="64">
        <f ca="1"/>
        <v>95.418000000000006</v>
      </c>
      <c r="K216" s="17">
        <f ca="1"/>
        <v>4.2569999999999997</v>
      </c>
      <c r="L216" s="17" t="str">
        <f ca="1"/>
        <v>1,000(200)</v>
      </c>
      <c r="M216" s="83"/>
      <c r="N216" s="84" t="str">
        <f t="shared" si="52"/>
        <v/>
      </c>
      <c r="O216" s="20" t="str">
        <f t="shared" si="53"/>
        <v/>
      </c>
      <c r="P216" s="64" t="str">
        <f t="shared" si="54"/>
        <v/>
      </c>
      <c r="Q216" s="85" t="str">
        <f t="shared" ca="1" si="55"/>
        <v/>
      </c>
      <c r="R216" s="86" t="str">
        <f t="shared" si="56"/>
        <v/>
      </c>
      <c r="S216" s="86" t="str">
        <f t="shared" si="57"/>
        <v/>
      </c>
      <c r="T216" s="104" t="str">
        <f t="shared" si="58"/>
        <v/>
      </c>
      <c r="U216" s="19" t="str">
        <f>IF(AND(M216&lt;&gt;"",M216&lt;&gt;0), IF(E216 = "Muni", T216, IF(E216="Corp", T216*(1 -'Investor Input'!$C$4-'Investor Input'!$C$5), T216*(1 -'Investor Input'!$C$4))), T216)</f>
        <v/>
      </c>
      <c r="V216" s="84" t="str">
        <f t="shared" si="59"/>
        <v/>
      </c>
      <c r="W216" s="84" t="str">
        <f t="shared" si="45"/>
        <v/>
      </c>
      <c r="X216" s="21" t="str">
        <f t="shared" si="46"/>
        <v/>
      </c>
      <c r="Y216" s="60" t="str">
        <f t="shared" si="47"/>
        <v/>
      </c>
      <c r="Z216" s="60" t="str">
        <f t="shared" si="48"/>
        <v/>
      </c>
      <c r="AA216" s="64" t="str">
        <f t="shared" si="49"/>
        <v/>
      </c>
      <c r="AB216" s="64" t="str">
        <f>IF(AND(AA216&lt;&gt;"",AA216&lt;&gt;0), IF(E216="Muni", AA216, IF(E216 = "Corp", (1-'Investor Input'!$C$4-'Investor Input'!$C$5)*AA216, (1-'Investor Input'!$C$4)*AA216)), AA216)</f>
        <v/>
      </c>
      <c r="AC216" s="94" t="str">
        <f t="shared" si="50"/>
        <v/>
      </c>
      <c r="AD216" s="60" t="str">
        <f>IF(AND(M216&lt;&gt;"", M216&lt;&gt;0), N216/$N$505*MATCH(AC216,'Misc Lists'!$K$2:$K$25,0), "")</f>
        <v/>
      </c>
      <c r="AE216" s="90" t="str">
        <f t="shared" si="51"/>
        <v/>
      </c>
      <c r="AF216" s="99" t="str">
        <f>IF(AND(M216&lt;&gt;"", M216&lt;&gt;0), N216/$N$505*MATCH(AE216,'Misc Lists'!$L$2:$L$25,0), "")</f>
        <v/>
      </c>
    </row>
    <row r="217" spans="2:32" hidden="1" outlineLevel="1" x14ac:dyDescent="0.5">
      <c r="B217" s="60" t="str">
        <f ca="1"/>
        <v>9128286L9</v>
      </c>
      <c r="C217" s="61" t="str">
        <f ca="1"/>
        <v>N/A</v>
      </c>
      <c r="D217" s="60" t="str">
        <f ca="1"/>
        <v>UNITED STATES TREAS SER J-2026          2.25000% 03/31/2026 NTS NOTE</v>
      </c>
      <c r="E217" s="61" t="str">
        <f ca="1"/>
        <v>Tres</v>
      </c>
      <c r="F217" s="62">
        <f ca="1"/>
        <v>2.25</v>
      </c>
      <c r="G217" s="63">
        <f ca="1"/>
        <v>46112</v>
      </c>
      <c r="H217" s="61" t="str">
        <f ca="1"/>
        <v>AAA</v>
      </c>
      <c r="I217" s="61" t="str">
        <f ca="1"/>
        <v>--</v>
      </c>
      <c r="J217" s="64">
        <f ca="1"/>
        <v>97.84</v>
      </c>
      <c r="K217" s="17">
        <f ca="1"/>
        <v>4.2560000000000002</v>
      </c>
      <c r="L217" s="17" t="str">
        <f ca="1"/>
        <v>2,800(200)</v>
      </c>
      <c r="M217" s="83"/>
      <c r="N217" s="84" t="str">
        <f t="shared" si="52"/>
        <v/>
      </c>
      <c r="O217" s="20" t="str">
        <f t="shared" si="53"/>
        <v/>
      </c>
      <c r="P217" s="64" t="str">
        <f t="shared" si="54"/>
        <v/>
      </c>
      <c r="Q217" s="85" t="str">
        <f t="shared" ca="1" si="55"/>
        <v/>
      </c>
      <c r="R217" s="86" t="str">
        <f t="shared" si="56"/>
        <v/>
      </c>
      <c r="S217" s="86" t="str">
        <f t="shared" si="57"/>
        <v/>
      </c>
      <c r="T217" s="104" t="str">
        <f t="shared" si="58"/>
        <v/>
      </c>
      <c r="U217" s="19" t="str">
        <f>IF(AND(M217&lt;&gt;"",M217&lt;&gt;0), IF(E217 = "Muni", T217, IF(E217="Corp", T217*(1 -'Investor Input'!$C$4-'Investor Input'!$C$5), T217*(1 -'Investor Input'!$C$4))), T217)</f>
        <v/>
      </c>
      <c r="V217" s="84" t="str">
        <f t="shared" si="59"/>
        <v/>
      </c>
      <c r="W217" s="84" t="str">
        <f t="shared" si="45"/>
        <v/>
      </c>
      <c r="X217" s="21" t="str">
        <f t="shared" si="46"/>
        <v/>
      </c>
      <c r="Y217" s="60" t="str">
        <f t="shared" si="47"/>
        <v/>
      </c>
      <c r="Z217" s="60" t="str">
        <f t="shared" si="48"/>
        <v/>
      </c>
      <c r="AA217" s="64" t="str">
        <f t="shared" si="49"/>
        <v/>
      </c>
      <c r="AB217" s="64" t="str">
        <f>IF(AND(AA217&lt;&gt;"",AA217&lt;&gt;0), IF(E217="Muni", AA217, IF(E217 = "Corp", (1-'Investor Input'!$C$4-'Investor Input'!$C$5)*AA217, (1-'Investor Input'!$C$4)*AA217)), AA217)</f>
        <v/>
      </c>
      <c r="AC217" s="94" t="str">
        <f t="shared" si="50"/>
        <v/>
      </c>
      <c r="AD217" s="60" t="str">
        <f>IF(AND(M217&lt;&gt;"", M217&lt;&gt;0), N217/$N$505*MATCH(AC217,'Misc Lists'!$K$2:$K$25,0), "")</f>
        <v/>
      </c>
      <c r="AE217" s="90" t="str">
        <f t="shared" si="51"/>
        <v/>
      </c>
      <c r="AF217" s="99" t="str">
        <f>IF(AND(M217&lt;&gt;"", M217&lt;&gt;0), N217/$N$505*MATCH(AE217,'Misc Lists'!$L$2:$L$25,0), "")</f>
        <v/>
      </c>
    </row>
    <row r="218" spans="2:32" hidden="1" outlineLevel="1" x14ac:dyDescent="0.5">
      <c r="B218" s="60" t="str">
        <f ca="1"/>
        <v>91282CKE0</v>
      </c>
      <c r="C218" s="61" t="str">
        <f ca="1"/>
        <v>N/A</v>
      </c>
      <c r="D218" s="60" t="str">
        <f ca="1"/>
        <v>UNITED STATES TREAS SER AL-2027         4.25000% 03/15/2027 NTS NOTE</v>
      </c>
      <c r="E218" s="61" t="str">
        <f ca="1"/>
        <v>Tres</v>
      </c>
      <c r="F218" s="62">
        <f ca="1"/>
        <v>4.25</v>
      </c>
      <c r="G218" s="63">
        <f ca="1"/>
        <v>46461</v>
      </c>
      <c r="H218" s="61" t="str">
        <f ca="1"/>
        <v>AAA</v>
      </c>
      <c r="I218" s="61" t="str">
        <f ca="1"/>
        <v>--</v>
      </c>
      <c r="J218" s="64">
        <f ca="1"/>
        <v>99.984999999999999</v>
      </c>
      <c r="K218" s="17">
        <f ca="1"/>
        <v>4.2560000000000002</v>
      </c>
      <c r="L218" s="17" t="str">
        <f ca="1"/>
        <v>15,000(475)</v>
      </c>
      <c r="M218" s="83"/>
      <c r="N218" s="84" t="str">
        <f t="shared" si="52"/>
        <v/>
      </c>
      <c r="O218" s="20" t="str">
        <f t="shared" si="53"/>
        <v/>
      </c>
      <c r="P218" s="64" t="str">
        <f t="shared" si="54"/>
        <v/>
      </c>
      <c r="Q218" s="85" t="str">
        <f t="shared" ca="1" si="55"/>
        <v/>
      </c>
      <c r="R218" s="86" t="str">
        <f t="shared" si="56"/>
        <v/>
      </c>
      <c r="S218" s="86" t="str">
        <f t="shared" si="57"/>
        <v/>
      </c>
      <c r="T218" s="104" t="str">
        <f t="shared" si="58"/>
        <v/>
      </c>
      <c r="U218" s="19" t="str">
        <f>IF(AND(M218&lt;&gt;"",M218&lt;&gt;0), IF(E218 = "Muni", T218, IF(E218="Corp", T218*(1 -'Investor Input'!$C$4-'Investor Input'!$C$5), T218*(1 -'Investor Input'!$C$4))), T218)</f>
        <v/>
      </c>
      <c r="V218" s="84" t="str">
        <f t="shared" si="59"/>
        <v/>
      </c>
      <c r="W218" s="84" t="str">
        <f t="shared" si="45"/>
        <v/>
      </c>
      <c r="X218" s="21" t="str">
        <f t="shared" si="46"/>
        <v/>
      </c>
      <c r="Y218" s="60" t="str">
        <f t="shared" si="47"/>
        <v/>
      </c>
      <c r="Z218" s="60" t="str">
        <f t="shared" si="48"/>
        <v/>
      </c>
      <c r="AA218" s="64" t="str">
        <f t="shared" si="49"/>
        <v/>
      </c>
      <c r="AB218" s="64" t="str">
        <f>IF(AND(AA218&lt;&gt;"",AA218&lt;&gt;0), IF(E218="Muni", AA218, IF(E218 = "Corp", (1-'Investor Input'!$C$4-'Investor Input'!$C$5)*AA218, (1-'Investor Input'!$C$4)*AA218)), AA218)</f>
        <v/>
      </c>
      <c r="AC218" s="94" t="str">
        <f t="shared" si="50"/>
        <v/>
      </c>
      <c r="AD218" s="60" t="str">
        <f>IF(AND(M218&lt;&gt;"", M218&lt;&gt;0), N218/$N$505*MATCH(AC218,'Misc Lists'!$K$2:$K$25,0), "")</f>
        <v/>
      </c>
      <c r="AE218" s="90" t="str">
        <f t="shared" si="51"/>
        <v/>
      </c>
      <c r="AF218" s="99" t="str">
        <f>IF(AND(M218&lt;&gt;"", M218&lt;&gt;0), N218/$N$505*MATCH(AE218,'Misc Lists'!$L$2:$L$25,0), "")</f>
        <v/>
      </c>
    </row>
    <row r="219" spans="2:32" hidden="1" outlineLevel="1" x14ac:dyDescent="0.5">
      <c r="B219" s="60" t="str">
        <f ca="1"/>
        <v>91282CDK4</v>
      </c>
      <c r="C219" s="61" t="str">
        <f ca="1"/>
        <v>N/A</v>
      </c>
      <c r="D219" s="60" t="str">
        <f ca="1"/>
        <v>UNITED STATES TREAS SER AG-2026         1.25000% 11/30/2026 NTS NOTE</v>
      </c>
      <c r="E219" s="61" t="str">
        <f ca="1"/>
        <v>Tres</v>
      </c>
      <c r="F219" s="62">
        <f ca="1"/>
        <v>1.25</v>
      </c>
      <c r="G219" s="63">
        <f ca="1"/>
        <v>46356</v>
      </c>
      <c r="H219" s="61" t="str">
        <f ca="1"/>
        <v>AAA</v>
      </c>
      <c r="I219" s="61" t="str">
        <f ca="1"/>
        <v>--</v>
      </c>
      <c r="J219" s="64">
        <f ca="1"/>
        <v>94.897999999999996</v>
      </c>
      <c r="K219" s="17">
        <f ca="1"/>
        <v>4.2549999999999999</v>
      </c>
      <c r="L219" s="17" t="str">
        <f ca="1"/>
        <v>1,000(200)</v>
      </c>
      <c r="M219" s="83"/>
      <c r="N219" s="84" t="str">
        <f t="shared" si="52"/>
        <v/>
      </c>
      <c r="O219" s="20" t="str">
        <f t="shared" si="53"/>
        <v/>
      </c>
      <c r="P219" s="64" t="str">
        <f t="shared" si="54"/>
        <v/>
      </c>
      <c r="Q219" s="85" t="str">
        <f t="shared" ca="1" si="55"/>
        <v/>
      </c>
      <c r="R219" s="86" t="str">
        <f t="shared" si="56"/>
        <v/>
      </c>
      <c r="S219" s="86" t="str">
        <f t="shared" si="57"/>
        <v/>
      </c>
      <c r="T219" s="104" t="str">
        <f t="shared" si="58"/>
        <v/>
      </c>
      <c r="U219" s="19" t="str">
        <f>IF(AND(M219&lt;&gt;"",M219&lt;&gt;0), IF(E219 = "Muni", T219, IF(E219="Corp", T219*(1 -'Investor Input'!$C$4-'Investor Input'!$C$5), T219*(1 -'Investor Input'!$C$4))), T219)</f>
        <v/>
      </c>
      <c r="V219" s="84" t="str">
        <f t="shared" si="59"/>
        <v/>
      </c>
      <c r="W219" s="84" t="str">
        <f t="shared" si="45"/>
        <v/>
      </c>
      <c r="X219" s="21" t="str">
        <f t="shared" si="46"/>
        <v/>
      </c>
      <c r="Y219" s="60" t="str">
        <f t="shared" si="47"/>
        <v/>
      </c>
      <c r="Z219" s="60" t="str">
        <f t="shared" si="48"/>
        <v/>
      </c>
      <c r="AA219" s="64" t="str">
        <f t="shared" si="49"/>
        <v/>
      </c>
      <c r="AB219" s="64" t="str">
        <f>IF(AND(AA219&lt;&gt;"",AA219&lt;&gt;0), IF(E219="Muni", AA219, IF(E219 = "Corp", (1-'Investor Input'!$C$4-'Investor Input'!$C$5)*AA219, (1-'Investor Input'!$C$4)*AA219)), AA219)</f>
        <v/>
      </c>
      <c r="AC219" s="94" t="str">
        <f t="shared" si="50"/>
        <v/>
      </c>
      <c r="AD219" s="60" t="str">
        <f>IF(AND(M219&lt;&gt;"", M219&lt;&gt;0), N219/$N$505*MATCH(AC219,'Misc Lists'!$K$2:$K$25,0), "")</f>
        <v/>
      </c>
      <c r="AE219" s="90" t="str">
        <f t="shared" si="51"/>
        <v/>
      </c>
      <c r="AF219" s="99" t="str">
        <f>IF(AND(M219&lt;&gt;"", M219&lt;&gt;0), N219/$N$505*MATCH(AE219,'Misc Lists'!$L$2:$L$25,0), "")</f>
        <v/>
      </c>
    </row>
    <row r="220" spans="2:32" hidden="1" outlineLevel="1" x14ac:dyDescent="0.5">
      <c r="B220" s="60" t="str">
        <f ca="1"/>
        <v>912828ZS2</v>
      </c>
      <c r="C220" s="61" t="str">
        <f ca="1"/>
        <v>N/A</v>
      </c>
      <c r="D220" s="60" t="str">
        <f ca="1"/>
        <v>UNITED STATES TREAS SER L-2027          0.50000% 05/31/2027 NTS NOTE</v>
      </c>
      <c r="E220" s="61" t="str">
        <f ca="1"/>
        <v>Tres</v>
      </c>
      <c r="F220" s="62">
        <f ca="1"/>
        <v>0.5</v>
      </c>
      <c r="G220" s="63">
        <f ca="1"/>
        <v>46538</v>
      </c>
      <c r="H220" s="61" t="str">
        <f ca="1"/>
        <v>AAA</v>
      </c>
      <c r="I220" s="61" t="str">
        <f ca="1"/>
        <v>--</v>
      </c>
      <c r="J220" s="64">
        <f ca="1"/>
        <v>91.921000000000006</v>
      </c>
      <c r="K220" s="17">
        <f ca="1"/>
        <v>4.2549999999999999</v>
      </c>
      <c r="L220" s="17" t="str">
        <f ca="1"/>
        <v>1,000(200)</v>
      </c>
      <c r="M220" s="83"/>
      <c r="N220" s="84" t="str">
        <f t="shared" si="52"/>
        <v/>
      </c>
      <c r="O220" s="20" t="str">
        <f t="shared" si="53"/>
        <v/>
      </c>
      <c r="P220" s="64" t="str">
        <f t="shared" si="54"/>
        <v/>
      </c>
      <c r="Q220" s="85" t="str">
        <f t="shared" ca="1" si="55"/>
        <v/>
      </c>
      <c r="R220" s="86" t="str">
        <f t="shared" si="56"/>
        <v/>
      </c>
      <c r="S220" s="86" t="str">
        <f t="shared" si="57"/>
        <v/>
      </c>
      <c r="T220" s="104" t="str">
        <f t="shared" si="58"/>
        <v/>
      </c>
      <c r="U220" s="19" t="str">
        <f>IF(AND(M220&lt;&gt;"",M220&lt;&gt;0), IF(E220 = "Muni", T220, IF(E220="Corp", T220*(1 -'Investor Input'!$C$4-'Investor Input'!$C$5), T220*(1 -'Investor Input'!$C$4))), T220)</f>
        <v/>
      </c>
      <c r="V220" s="84" t="str">
        <f t="shared" si="59"/>
        <v/>
      </c>
      <c r="W220" s="84" t="str">
        <f t="shared" si="45"/>
        <v/>
      </c>
      <c r="X220" s="21" t="str">
        <f t="shared" si="46"/>
        <v/>
      </c>
      <c r="Y220" s="60" t="str">
        <f t="shared" si="47"/>
        <v/>
      </c>
      <c r="Z220" s="60" t="str">
        <f t="shared" si="48"/>
        <v/>
      </c>
      <c r="AA220" s="64" t="str">
        <f t="shared" si="49"/>
        <v/>
      </c>
      <c r="AB220" s="64" t="str">
        <f>IF(AND(AA220&lt;&gt;"",AA220&lt;&gt;0), IF(E220="Muni", AA220, IF(E220 = "Corp", (1-'Investor Input'!$C$4-'Investor Input'!$C$5)*AA220, (1-'Investor Input'!$C$4)*AA220)), AA220)</f>
        <v/>
      </c>
      <c r="AC220" s="94" t="str">
        <f t="shared" si="50"/>
        <v/>
      </c>
      <c r="AD220" s="60" t="str">
        <f>IF(AND(M220&lt;&gt;"", M220&lt;&gt;0), N220/$N$505*MATCH(AC220,'Misc Lists'!$K$2:$K$25,0), "")</f>
        <v/>
      </c>
      <c r="AE220" s="90" t="str">
        <f t="shared" si="51"/>
        <v/>
      </c>
      <c r="AF220" s="99" t="str">
        <f>IF(AND(M220&lt;&gt;"", M220&lt;&gt;0), N220/$N$505*MATCH(AE220,'Misc Lists'!$L$2:$L$25,0), "")</f>
        <v/>
      </c>
    </row>
    <row r="221" spans="2:32" hidden="1" outlineLevel="1" x14ac:dyDescent="0.5">
      <c r="B221" s="60" t="str">
        <f ca="1"/>
        <v>91282CAL5</v>
      </c>
      <c r="C221" s="61" t="str">
        <f ca="1"/>
        <v>N/A</v>
      </c>
      <c r="D221" s="60" t="str">
        <f ca="1"/>
        <v>UNITED STATES TREAS SER Q-2027          0.37500% 09/30/2027 NTS NOTE</v>
      </c>
      <c r="E221" s="61" t="str">
        <f ca="1"/>
        <v>Tres</v>
      </c>
      <c r="F221" s="62">
        <f ca="1"/>
        <v>0.375</v>
      </c>
      <c r="G221" s="63">
        <f ca="1"/>
        <v>46660</v>
      </c>
      <c r="H221" s="61" t="str">
        <f ca="1"/>
        <v>AAA</v>
      </c>
      <c r="I221" s="61" t="str">
        <f ca="1"/>
        <v>--</v>
      </c>
      <c r="J221" s="64">
        <f ca="1"/>
        <v>90.5</v>
      </c>
      <c r="K221" s="17">
        <f ca="1"/>
        <v>4.2549999999999999</v>
      </c>
      <c r="L221" s="17" t="str">
        <f ca="1"/>
        <v>1,000(200)</v>
      </c>
      <c r="M221" s="83"/>
      <c r="N221" s="84" t="str">
        <f t="shared" si="52"/>
        <v/>
      </c>
      <c r="O221" s="20" t="str">
        <f t="shared" si="53"/>
        <v/>
      </c>
      <c r="P221" s="64" t="str">
        <f t="shared" si="54"/>
        <v/>
      </c>
      <c r="Q221" s="85" t="str">
        <f t="shared" ca="1" si="55"/>
        <v/>
      </c>
      <c r="R221" s="86" t="str">
        <f t="shared" si="56"/>
        <v/>
      </c>
      <c r="S221" s="86" t="str">
        <f t="shared" si="57"/>
        <v/>
      </c>
      <c r="T221" s="104" t="str">
        <f t="shared" si="58"/>
        <v/>
      </c>
      <c r="U221" s="19" t="str">
        <f>IF(AND(M221&lt;&gt;"",M221&lt;&gt;0), IF(E221 = "Muni", T221, IF(E221="Corp", T221*(1 -'Investor Input'!$C$4-'Investor Input'!$C$5), T221*(1 -'Investor Input'!$C$4))), T221)</f>
        <v/>
      </c>
      <c r="V221" s="84" t="str">
        <f t="shared" si="59"/>
        <v/>
      </c>
      <c r="W221" s="84" t="str">
        <f t="shared" si="45"/>
        <v/>
      </c>
      <c r="X221" s="21" t="str">
        <f t="shared" si="46"/>
        <v/>
      </c>
      <c r="Y221" s="60" t="str">
        <f t="shared" si="47"/>
        <v/>
      </c>
      <c r="Z221" s="60" t="str">
        <f t="shared" si="48"/>
        <v/>
      </c>
      <c r="AA221" s="64" t="str">
        <f t="shared" si="49"/>
        <v/>
      </c>
      <c r="AB221" s="64" t="str">
        <f>IF(AND(AA221&lt;&gt;"",AA221&lt;&gt;0), IF(E221="Muni", AA221, IF(E221 = "Corp", (1-'Investor Input'!$C$4-'Investor Input'!$C$5)*AA221, (1-'Investor Input'!$C$4)*AA221)), AA221)</f>
        <v/>
      </c>
      <c r="AC221" s="94" t="str">
        <f t="shared" si="50"/>
        <v/>
      </c>
      <c r="AD221" s="60" t="str">
        <f>IF(AND(M221&lt;&gt;"", M221&lt;&gt;0), N221/$N$505*MATCH(AC221,'Misc Lists'!$K$2:$K$25,0), "")</f>
        <v/>
      </c>
      <c r="AE221" s="90" t="str">
        <f t="shared" si="51"/>
        <v/>
      </c>
      <c r="AF221" s="99" t="str">
        <f>IF(AND(M221&lt;&gt;"", M221&lt;&gt;0), N221/$N$505*MATCH(AE221,'Misc Lists'!$L$2:$L$25,0), "")</f>
        <v/>
      </c>
    </row>
    <row r="222" spans="2:32" hidden="1" outlineLevel="1" x14ac:dyDescent="0.5">
      <c r="B222" s="60" t="str">
        <f ca="1"/>
        <v>91282CHU8</v>
      </c>
      <c r="C222" s="61" t="str">
        <f ca="1"/>
        <v>N/A</v>
      </c>
      <c r="D222" s="60" t="str">
        <f ca="1"/>
        <v>UNITED STATES TREAS SER AR-2026         4.37500% 08/15/2026 NTS NOTE</v>
      </c>
      <c r="E222" s="61" t="str">
        <f ca="1"/>
        <v>Tres</v>
      </c>
      <c r="F222" s="62">
        <f ca="1"/>
        <v>4.375</v>
      </c>
      <c r="G222" s="63">
        <f ca="1"/>
        <v>46249</v>
      </c>
      <c r="H222" s="61" t="str">
        <f ca="1"/>
        <v>AAA</v>
      </c>
      <c r="I222" s="61" t="str">
        <f ca="1"/>
        <v>--</v>
      </c>
      <c r="J222" s="64">
        <f ca="1"/>
        <v>100.172</v>
      </c>
      <c r="K222" s="17">
        <f ca="1"/>
        <v>4.2539999999999996</v>
      </c>
      <c r="L222" s="17" t="str">
        <f ca="1"/>
        <v>70,000(400)</v>
      </c>
      <c r="M222" s="83"/>
      <c r="N222" s="84" t="str">
        <f t="shared" si="52"/>
        <v/>
      </c>
      <c r="O222" s="20" t="str">
        <f t="shared" si="53"/>
        <v/>
      </c>
      <c r="P222" s="64" t="str">
        <f t="shared" si="54"/>
        <v/>
      </c>
      <c r="Q222" s="85" t="str">
        <f t="shared" ca="1" si="55"/>
        <v/>
      </c>
      <c r="R222" s="86" t="str">
        <f t="shared" si="56"/>
        <v/>
      </c>
      <c r="S222" s="86" t="str">
        <f t="shared" si="57"/>
        <v/>
      </c>
      <c r="T222" s="104" t="str">
        <f t="shared" si="58"/>
        <v/>
      </c>
      <c r="U222" s="19" t="str">
        <f>IF(AND(M222&lt;&gt;"",M222&lt;&gt;0), IF(E222 = "Muni", T222, IF(E222="Corp", T222*(1 -'Investor Input'!$C$4-'Investor Input'!$C$5), T222*(1 -'Investor Input'!$C$4))), T222)</f>
        <v/>
      </c>
      <c r="V222" s="84" t="str">
        <f t="shared" si="59"/>
        <v/>
      </c>
      <c r="W222" s="84" t="str">
        <f t="shared" si="45"/>
        <v/>
      </c>
      <c r="X222" s="21" t="str">
        <f t="shared" si="46"/>
        <v/>
      </c>
      <c r="Y222" s="60" t="str">
        <f t="shared" si="47"/>
        <v/>
      </c>
      <c r="Z222" s="60" t="str">
        <f t="shared" si="48"/>
        <v/>
      </c>
      <c r="AA222" s="64" t="str">
        <f t="shared" si="49"/>
        <v/>
      </c>
      <c r="AB222" s="64" t="str">
        <f>IF(AND(AA222&lt;&gt;"",AA222&lt;&gt;0), IF(E222="Muni", AA222, IF(E222 = "Corp", (1-'Investor Input'!$C$4-'Investor Input'!$C$5)*AA222, (1-'Investor Input'!$C$4)*AA222)), AA222)</f>
        <v/>
      </c>
      <c r="AC222" s="94" t="str">
        <f t="shared" si="50"/>
        <v/>
      </c>
      <c r="AD222" s="60" t="str">
        <f>IF(AND(M222&lt;&gt;"", M222&lt;&gt;0), N222/$N$505*MATCH(AC222,'Misc Lists'!$K$2:$K$25,0), "")</f>
        <v/>
      </c>
      <c r="AE222" s="90" t="str">
        <f t="shared" si="51"/>
        <v/>
      </c>
      <c r="AF222" s="99" t="str">
        <f>IF(AND(M222&lt;&gt;"", M222&lt;&gt;0), N222/$N$505*MATCH(AE222,'Misc Lists'!$L$2:$L$25,0), "")</f>
        <v/>
      </c>
    </row>
    <row r="223" spans="2:32" hidden="1" outlineLevel="1" x14ac:dyDescent="0.5">
      <c r="B223" s="60" t="str">
        <f ca="1"/>
        <v>91282CJT9</v>
      </c>
      <c r="C223" s="61" t="str">
        <f ca="1"/>
        <v>N/A</v>
      </c>
      <c r="D223" s="60" t="str">
        <f ca="1"/>
        <v>UNITED STATES TREAS SER AJ-2027         4.00000% 01/15/2027 NTS NOTE</v>
      </c>
      <c r="E223" s="61" t="str">
        <f ca="1"/>
        <v>Tres</v>
      </c>
      <c r="F223" s="62">
        <f ca="1"/>
        <v>4</v>
      </c>
      <c r="G223" s="63">
        <f ca="1"/>
        <v>46402</v>
      </c>
      <c r="H223" s="61" t="str">
        <f ca="1"/>
        <v>AAA</v>
      </c>
      <c r="I223" s="61" t="str">
        <f ca="1"/>
        <v>--</v>
      </c>
      <c r="J223" s="64">
        <f ca="1"/>
        <v>99.536000000000001</v>
      </c>
      <c r="K223" s="17">
        <f ca="1"/>
        <v>4.2539999999999996</v>
      </c>
      <c r="L223" s="17" t="str">
        <f ca="1"/>
        <v>70,000(400)</v>
      </c>
      <c r="M223" s="83"/>
      <c r="N223" s="84" t="str">
        <f t="shared" si="52"/>
        <v/>
      </c>
      <c r="O223" s="20" t="str">
        <f t="shared" si="53"/>
        <v/>
      </c>
      <c r="P223" s="64" t="str">
        <f t="shared" si="54"/>
        <v/>
      </c>
      <c r="Q223" s="85" t="str">
        <f t="shared" ca="1" si="55"/>
        <v/>
      </c>
      <c r="R223" s="86" t="str">
        <f t="shared" si="56"/>
        <v/>
      </c>
      <c r="S223" s="86" t="str">
        <f t="shared" si="57"/>
        <v/>
      </c>
      <c r="T223" s="104" t="str">
        <f t="shared" si="58"/>
        <v/>
      </c>
      <c r="U223" s="19" t="str">
        <f>IF(AND(M223&lt;&gt;"",M223&lt;&gt;0), IF(E223 = "Muni", T223, IF(E223="Corp", T223*(1 -'Investor Input'!$C$4-'Investor Input'!$C$5), T223*(1 -'Investor Input'!$C$4))), T223)</f>
        <v/>
      </c>
      <c r="V223" s="84" t="str">
        <f t="shared" si="59"/>
        <v/>
      </c>
      <c r="W223" s="84" t="str">
        <f t="shared" si="45"/>
        <v/>
      </c>
      <c r="X223" s="21" t="str">
        <f t="shared" si="46"/>
        <v/>
      </c>
      <c r="Y223" s="60" t="str">
        <f t="shared" si="47"/>
        <v/>
      </c>
      <c r="Z223" s="60" t="str">
        <f t="shared" si="48"/>
        <v/>
      </c>
      <c r="AA223" s="64" t="str">
        <f t="shared" si="49"/>
        <v/>
      </c>
      <c r="AB223" s="64" t="str">
        <f>IF(AND(AA223&lt;&gt;"",AA223&lt;&gt;0), IF(E223="Muni", AA223, IF(E223 = "Corp", (1-'Investor Input'!$C$4-'Investor Input'!$C$5)*AA223, (1-'Investor Input'!$C$4)*AA223)), AA223)</f>
        <v/>
      </c>
      <c r="AC223" s="94" t="str">
        <f t="shared" si="50"/>
        <v/>
      </c>
      <c r="AD223" s="60" t="str">
        <f>IF(AND(M223&lt;&gt;"", M223&lt;&gt;0), N223/$N$505*MATCH(AC223,'Misc Lists'!$K$2:$K$25,0), "")</f>
        <v/>
      </c>
      <c r="AE223" s="90" t="str">
        <f t="shared" si="51"/>
        <v/>
      </c>
      <c r="AF223" s="99" t="str">
        <f>IF(AND(M223&lt;&gt;"", M223&lt;&gt;0), N223/$N$505*MATCH(AE223,'Misc Lists'!$L$2:$L$25,0), "")</f>
        <v/>
      </c>
    </row>
    <row r="224" spans="2:32" hidden="1" outlineLevel="1" x14ac:dyDescent="0.5">
      <c r="B224" s="60" t="str">
        <f ca="1"/>
        <v>912828V98</v>
      </c>
      <c r="C224" s="61" t="str">
        <f ca="1"/>
        <v>N/A</v>
      </c>
      <c r="D224" s="60" t="str">
        <f ca="1"/>
        <v>UNITED STATES TREAS SER B-2027          2.25000% 02/15/2027 NTS NOTE</v>
      </c>
      <c r="E224" s="61" t="str">
        <f ca="1"/>
        <v>Tres</v>
      </c>
      <c r="F224" s="62">
        <f ca="1"/>
        <v>2.25</v>
      </c>
      <c r="G224" s="63">
        <f ca="1"/>
        <v>46433</v>
      </c>
      <c r="H224" s="61" t="str">
        <f ca="1"/>
        <v>AAA</v>
      </c>
      <c r="I224" s="61" t="str">
        <f ca="1"/>
        <v>--</v>
      </c>
      <c r="J224" s="64">
        <f ca="1"/>
        <v>96.21</v>
      </c>
      <c r="K224" s="17">
        <f ca="1"/>
        <v>4.2539999999999996</v>
      </c>
      <c r="L224" s="17" t="str">
        <f ca="1"/>
        <v>1,000(200)</v>
      </c>
      <c r="M224" s="83"/>
      <c r="N224" s="84" t="str">
        <f t="shared" si="52"/>
        <v/>
      </c>
      <c r="O224" s="20" t="str">
        <f t="shared" si="53"/>
        <v/>
      </c>
      <c r="P224" s="64" t="str">
        <f t="shared" si="54"/>
        <v/>
      </c>
      <c r="Q224" s="85" t="str">
        <f t="shared" ca="1" si="55"/>
        <v/>
      </c>
      <c r="R224" s="86" t="str">
        <f t="shared" si="56"/>
        <v/>
      </c>
      <c r="S224" s="86" t="str">
        <f t="shared" si="57"/>
        <v/>
      </c>
      <c r="T224" s="104" t="str">
        <f t="shared" si="58"/>
        <v/>
      </c>
      <c r="U224" s="19" t="str">
        <f>IF(AND(M224&lt;&gt;"",M224&lt;&gt;0), IF(E224 = "Muni", T224, IF(E224="Corp", T224*(1 -'Investor Input'!$C$4-'Investor Input'!$C$5), T224*(1 -'Investor Input'!$C$4))), T224)</f>
        <v/>
      </c>
      <c r="V224" s="84" t="str">
        <f t="shared" si="59"/>
        <v/>
      </c>
      <c r="W224" s="84" t="str">
        <f t="shared" si="45"/>
        <v/>
      </c>
      <c r="X224" s="21" t="str">
        <f t="shared" si="46"/>
        <v/>
      </c>
      <c r="Y224" s="60" t="str">
        <f t="shared" si="47"/>
        <v/>
      </c>
      <c r="Z224" s="60" t="str">
        <f t="shared" si="48"/>
        <v/>
      </c>
      <c r="AA224" s="64" t="str">
        <f t="shared" si="49"/>
        <v/>
      </c>
      <c r="AB224" s="64" t="str">
        <f>IF(AND(AA224&lt;&gt;"",AA224&lt;&gt;0), IF(E224="Muni", AA224, IF(E224 = "Corp", (1-'Investor Input'!$C$4-'Investor Input'!$C$5)*AA224, (1-'Investor Input'!$C$4)*AA224)), AA224)</f>
        <v/>
      </c>
      <c r="AC224" s="94" t="str">
        <f t="shared" si="50"/>
        <v/>
      </c>
      <c r="AD224" s="60" t="str">
        <f>IF(AND(M224&lt;&gt;"", M224&lt;&gt;0), N224/$N$505*MATCH(AC224,'Misc Lists'!$K$2:$K$25,0), "")</f>
        <v/>
      </c>
      <c r="AE224" s="90" t="str">
        <f t="shared" si="51"/>
        <v/>
      </c>
      <c r="AF224" s="99" t="str">
        <f>IF(AND(M224&lt;&gt;"", M224&lt;&gt;0), N224/$N$505*MATCH(AE224,'Misc Lists'!$L$2:$L$25,0), "")</f>
        <v/>
      </c>
    </row>
    <row r="225" spans="2:32" hidden="1" outlineLevel="1" x14ac:dyDescent="0.5">
      <c r="B225" s="60" t="str">
        <f ca="1"/>
        <v>912828ZN3</v>
      </c>
      <c r="C225" s="61" t="str">
        <f ca="1"/>
        <v>N/A</v>
      </c>
      <c r="D225" s="60" t="str">
        <f ca="1"/>
        <v>UNITED STATES TREAS NOTE                0.50000% 04/30/2027</v>
      </c>
      <c r="E225" s="61" t="str">
        <f ca="1"/>
        <v>Tres</v>
      </c>
      <c r="F225" s="62">
        <f ca="1"/>
        <v>0.5</v>
      </c>
      <c r="G225" s="63">
        <f ca="1"/>
        <v>46507</v>
      </c>
      <c r="H225" s="61" t="str">
        <f ca="1"/>
        <v>AAA</v>
      </c>
      <c r="I225" s="61" t="str">
        <f ca="1"/>
        <v>--</v>
      </c>
      <c r="J225" s="64">
        <f ca="1"/>
        <v>92.206000000000003</v>
      </c>
      <c r="K225" s="17">
        <f ca="1"/>
        <v>4.2539999999999996</v>
      </c>
      <c r="L225" s="17" t="str">
        <f ca="1"/>
        <v>1,000(200)</v>
      </c>
      <c r="M225" s="83"/>
      <c r="N225" s="84" t="str">
        <f t="shared" si="52"/>
        <v/>
      </c>
      <c r="O225" s="20" t="str">
        <f t="shared" si="53"/>
        <v/>
      </c>
      <c r="P225" s="64" t="str">
        <f t="shared" si="54"/>
        <v/>
      </c>
      <c r="Q225" s="85" t="str">
        <f t="shared" ca="1" si="55"/>
        <v/>
      </c>
      <c r="R225" s="86" t="str">
        <f t="shared" si="56"/>
        <v/>
      </c>
      <c r="S225" s="86" t="str">
        <f t="shared" si="57"/>
        <v/>
      </c>
      <c r="T225" s="104" t="str">
        <f t="shared" si="58"/>
        <v/>
      </c>
      <c r="U225" s="19" t="str">
        <f>IF(AND(M225&lt;&gt;"",M225&lt;&gt;0), IF(E225 = "Muni", T225, IF(E225="Corp", T225*(1 -'Investor Input'!$C$4-'Investor Input'!$C$5), T225*(1 -'Investor Input'!$C$4))), T225)</f>
        <v/>
      </c>
      <c r="V225" s="84" t="str">
        <f t="shared" si="59"/>
        <v/>
      </c>
      <c r="W225" s="84" t="str">
        <f t="shared" si="45"/>
        <v/>
      </c>
      <c r="X225" s="21" t="str">
        <f t="shared" si="46"/>
        <v/>
      </c>
      <c r="Y225" s="60" t="str">
        <f t="shared" si="47"/>
        <v/>
      </c>
      <c r="Z225" s="60" t="str">
        <f t="shared" si="48"/>
        <v/>
      </c>
      <c r="AA225" s="64" t="str">
        <f t="shared" si="49"/>
        <v/>
      </c>
      <c r="AB225" s="64" t="str">
        <f>IF(AND(AA225&lt;&gt;"",AA225&lt;&gt;0), IF(E225="Muni", AA225, IF(E225 = "Corp", (1-'Investor Input'!$C$4-'Investor Input'!$C$5)*AA225, (1-'Investor Input'!$C$4)*AA225)), AA225)</f>
        <v/>
      </c>
      <c r="AC225" s="94" t="str">
        <f t="shared" si="50"/>
        <v/>
      </c>
      <c r="AD225" s="60" t="str">
        <f>IF(AND(M225&lt;&gt;"", M225&lt;&gt;0), N225/$N$505*MATCH(AC225,'Misc Lists'!$K$2:$K$25,0), "")</f>
        <v/>
      </c>
      <c r="AE225" s="90" t="str">
        <f t="shared" si="51"/>
        <v/>
      </c>
      <c r="AF225" s="99" t="str">
        <f>IF(AND(M225&lt;&gt;"", M225&lt;&gt;0), N225/$N$505*MATCH(AE225,'Misc Lists'!$L$2:$L$25,0), "")</f>
        <v/>
      </c>
    </row>
    <row r="226" spans="2:32" hidden="1" outlineLevel="1" x14ac:dyDescent="0.5">
      <c r="B226" s="60" t="str">
        <f ca="1"/>
        <v>91282CKZ3</v>
      </c>
      <c r="C226" s="61" t="str">
        <f ca="1"/>
        <v>N/A</v>
      </c>
      <c r="D226" s="60" t="str">
        <f ca="1"/>
        <v>UNITED STATES TREAS SER AQ-2027         4.37500% 07/15/2027 NTS NOTE</v>
      </c>
      <c r="E226" s="61" t="str">
        <f ca="1"/>
        <v>Tres</v>
      </c>
      <c r="F226" s="62">
        <f ca="1"/>
        <v>4.375</v>
      </c>
      <c r="G226" s="63">
        <f ca="1"/>
        <v>46583</v>
      </c>
      <c r="H226" s="61" t="str">
        <f ca="1"/>
        <v>AAA</v>
      </c>
      <c r="I226" s="61" t="str">
        <f ca="1"/>
        <v>--</v>
      </c>
      <c r="J226" s="64">
        <f ca="1"/>
        <v>100.27</v>
      </c>
      <c r="K226" s="17">
        <f ca="1"/>
        <v>4.2539999999999996</v>
      </c>
      <c r="L226" s="17" t="str">
        <f ca="1"/>
        <v>1,000(200)</v>
      </c>
      <c r="M226" s="83"/>
      <c r="N226" s="84" t="str">
        <f t="shared" si="52"/>
        <v/>
      </c>
      <c r="O226" s="20" t="str">
        <f t="shared" si="53"/>
        <v/>
      </c>
      <c r="P226" s="64" t="str">
        <f t="shared" si="54"/>
        <v/>
      </c>
      <c r="Q226" s="85" t="str">
        <f t="shared" ca="1" si="55"/>
        <v/>
      </c>
      <c r="R226" s="86" t="str">
        <f t="shared" si="56"/>
        <v/>
      </c>
      <c r="S226" s="86" t="str">
        <f t="shared" si="57"/>
        <v/>
      </c>
      <c r="T226" s="104" t="str">
        <f t="shared" si="58"/>
        <v/>
      </c>
      <c r="U226" s="19" t="str">
        <f>IF(AND(M226&lt;&gt;"",M226&lt;&gt;0), IF(E226 = "Muni", T226, IF(E226="Corp", T226*(1 -'Investor Input'!$C$4-'Investor Input'!$C$5), T226*(1 -'Investor Input'!$C$4))), T226)</f>
        <v/>
      </c>
      <c r="V226" s="84" t="str">
        <f t="shared" si="59"/>
        <v/>
      </c>
      <c r="W226" s="84" t="str">
        <f t="shared" si="45"/>
        <v/>
      </c>
      <c r="X226" s="21" t="str">
        <f t="shared" si="46"/>
        <v/>
      </c>
      <c r="Y226" s="60" t="str">
        <f t="shared" si="47"/>
        <v/>
      </c>
      <c r="Z226" s="60" t="str">
        <f t="shared" si="48"/>
        <v/>
      </c>
      <c r="AA226" s="64" t="str">
        <f t="shared" si="49"/>
        <v/>
      </c>
      <c r="AB226" s="64" t="str">
        <f>IF(AND(AA226&lt;&gt;"",AA226&lt;&gt;0), IF(E226="Muni", AA226, IF(E226 = "Corp", (1-'Investor Input'!$C$4-'Investor Input'!$C$5)*AA226, (1-'Investor Input'!$C$4)*AA226)), AA226)</f>
        <v/>
      </c>
      <c r="AC226" s="94" t="str">
        <f t="shared" si="50"/>
        <v/>
      </c>
      <c r="AD226" s="60" t="str">
        <f>IF(AND(M226&lt;&gt;"", M226&lt;&gt;0), N226/$N$505*MATCH(AC226,'Misc Lists'!$K$2:$K$25,0), "")</f>
        <v/>
      </c>
      <c r="AE226" s="90" t="str">
        <f t="shared" si="51"/>
        <v/>
      </c>
      <c r="AF226" s="99" t="str">
        <f>IF(AND(M226&lt;&gt;"", M226&lt;&gt;0), N226/$N$505*MATCH(AE226,'Misc Lists'!$L$2:$L$25,0), "")</f>
        <v/>
      </c>
    </row>
    <row r="227" spans="2:32" hidden="1" outlineLevel="1" x14ac:dyDescent="0.5">
      <c r="B227" s="60" t="str">
        <f ca="1"/>
        <v>91282CFU0</v>
      </c>
      <c r="C227" s="61" t="str">
        <f ca="1"/>
        <v>N/A</v>
      </c>
      <c r="D227" s="60" t="str">
        <f ca="1"/>
        <v>UNITED STATES TREAS SER AF-2027         4.12500% 10/31/2027 NTS NOTE</v>
      </c>
      <c r="E227" s="61" t="str">
        <f ca="1"/>
        <v>Tres</v>
      </c>
      <c r="F227" s="62">
        <f ca="1"/>
        <v>4.125</v>
      </c>
      <c r="G227" s="63">
        <f ca="1"/>
        <v>46691</v>
      </c>
      <c r="H227" s="61" t="str">
        <f ca="1"/>
        <v>AAA</v>
      </c>
      <c r="I227" s="61" t="str">
        <f ca="1"/>
        <v>--</v>
      </c>
      <c r="J227" s="64">
        <f ca="1"/>
        <v>99.668000000000006</v>
      </c>
      <c r="K227" s="17">
        <f ca="1"/>
        <v>4.2539999999999996</v>
      </c>
      <c r="L227" s="17" t="str">
        <f ca="1"/>
        <v>1,000(200)</v>
      </c>
      <c r="M227" s="83"/>
      <c r="N227" s="84" t="str">
        <f t="shared" si="52"/>
        <v/>
      </c>
      <c r="O227" s="20" t="str">
        <f t="shared" si="53"/>
        <v/>
      </c>
      <c r="P227" s="64" t="str">
        <f t="shared" si="54"/>
        <v/>
      </c>
      <c r="Q227" s="85" t="str">
        <f t="shared" ca="1" si="55"/>
        <v/>
      </c>
      <c r="R227" s="86" t="str">
        <f t="shared" si="56"/>
        <v/>
      </c>
      <c r="S227" s="86" t="str">
        <f t="shared" si="57"/>
        <v/>
      </c>
      <c r="T227" s="104" t="str">
        <f t="shared" si="58"/>
        <v/>
      </c>
      <c r="U227" s="19" t="str">
        <f>IF(AND(M227&lt;&gt;"",M227&lt;&gt;0), IF(E227 = "Muni", T227, IF(E227="Corp", T227*(1 -'Investor Input'!$C$4-'Investor Input'!$C$5), T227*(1 -'Investor Input'!$C$4))), T227)</f>
        <v/>
      </c>
      <c r="V227" s="84" t="str">
        <f t="shared" si="59"/>
        <v/>
      </c>
      <c r="W227" s="84" t="str">
        <f t="shared" si="45"/>
        <v/>
      </c>
      <c r="X227" s="21" t="str">
        <f t="shared" si="46"/>
        <v/>
      </c>
      <c r="Y227" s="60" t="str">
        <f t="shared" si="47"/>
        <v/>
      </c>
      <c r="Z227" s="60" t="str">
        <f t="shared" si="48"/>
        <v/>
      </c>
      <c r="AA227" s="64" t="str">
        <f t="shared" si="49"/>
        <v/>
      </c>
      <c r="AB227" s="64" t="str">
        <f>IF(AND(AA227&lt;&gt;"",AA227&lt;&gt;0), IF(E227="Muni", AA227, IF(E227 = "Corp", (1-'Investor Input'!$C$4-'Investor Input'!$C$5)*AA227, (1-'Investor Input'!$C$4)*AA227)), AA227)</f>
        <v/>
      </c>
      <c r="AC227" s="94" t="str">
        <f t="shared" si="50"/>
        <v/>
      </c>
      <c r="AD227" s="60" t="str">
        <f>IF(AND(M227&lt;&gt;"", M227&lt;&gt;0), N227/$N$505*MATCH(AC227,'Misc Lists'!$K$2:$K$25,0), "")</f>
        <v/>
      </c>
      <c r="AE227" s="90" t="str">
        <f t="shared" si="51"/>
        <v/>
      </c>
      <c r="AF227" s="99" t="str">
        <f>IF(AND(M227&lt;&gt;"", M227&lt;&gt;0), N227/$N$505*MATCH(AE227,'Misc Lists'!$L$2:$L$25,0), "")</f>
        <v/>
      </c>
    </row>
    <row r="228" spans="2:32" hidden="1" outlineLevel="1" x14ac:dyDescent="0.5">
      <c r="B228" s="60" t="str">
        <f ca="1"/>
        <v>91282CBC4</v>
      </c>
      <c r="C228" s="61" t="str">
        <f ca="1"/>
        <v>N/A</v>
      </c>
      <c r="D228" s="60" t="str">
        <f ca="1"/>
        <v>UNITED STATES TREAS SER AH-2025         0.37500% 12/31/2025 NTS NOTE</v>
      </c>
      <c r="E228" s="61" t="str">
        <f ca="1"/>
        <v>Tres</v>
      </c>
      <c r="F228" s="62">
        <f ca="1"/>
        <v>0.375</v>
      </c>
      <c r="G228" s="63">
        <f ca="1"/>
        <v>46022</v>
      </c>
      <c r="H228" s="61" t="str">
        <f ca="1"/>
        <v>AAA</v>
      </c>
      <c r="I228" s="61" t="str">
        <f ca="1"/>
        <v>--</v>
      </c>
      <c r="J228" s="64">
        <f ca="1"/>
        <v>96.741</v>
      </c>
      <c r="K228" s="17">
        <f ca="1"/>
        <v>4.2530000000000001</v>
      </c>
      <c r="L228" s="17" t="str">
        <f ca="1"/>
        <v>8,000(200)</v>
      </c>
      <c r="M228" s="83"/>
      <c r="N228" s="84" t="str">
        <f t="shared" si="52"/>
        <v/>
      </c>
      <c r="O228" s="20" t="str">
        <f t="shared" si="53"/>
        <v/>
      </c>
      <c r="P228" s="64" t="str">
        <f t="shared" si="54"/>
        <v/>
      </c>
      <c r="Q228" s="85" t="str">
        <f t="shared" ca="1" si="55"/>
        <v/>
      </c>
      <c r="R228" s="86" t="str">
        <f t="shared" si="56"/>
        <v/>
      </c>
      <c r="S228" s="86" t="str">
        <f t="shared" si="57"/>
        <v/>
      </c>
      <c r="T228" s="104" t="str">
        <f t="shared" si="58"/>
        <v/>
      </c>
      <c r="U228" s="19" t="str">
        <f>IF(AND(M228&lt;&gt;"",M228&lt;&gt;0), IF(E228 = "Muni", T228, IF(E228="Corp", T228*(1 -'Investor Input'!$C$4-'Investor Input'!$C$5), T228*(1 -'Investor Input'!$C$4))), T228)</f>
        <v/>
      </c>
      <c r="V228" s="84" t="str">
        <f t="shared" si="59"/>
        <v/>
      </c>
      <c r="W228" s="84" t="str">
        <f t="shared" si="45"/>
        <v/>
      </c>
      <c r="X228" s="21" t="str">
        <f t="shared" si="46"/>
        <v/>
      </c>
      <c r="Y228" s="60" t="str">
        <f t="shared" si="47"/>
        <v/>
      </c>
      <c r="Z228" s="60" t="str">
        <f t="shared" si="48"/>
        <v/>
      </c>
      <c r="AA228" s="64" t="str">
        <f t="shared" si="49"/>
        <v/>
      </c>
      <c r="AB228" s="64" t="str">
        <f>IF(AND(AA228&lt;&gt;"",AA228&lt;&gt;0), IF(E228="Muni", AA228, IF(E228 = "Corp", (1-'Investor Input'!$C$4-'Investor Input'!$C$5)*AA228, (1-'Investor Input'!$C$4)*AA228)), AA228)</f>
        <v/>
      </c>
      <c r="AC228" s="94" t="str">
        <f t="shared" si="50"/>
        <v/>
      </c>
      <c r="AD228" s="60" t="str">
        <f>IF(AND(M228&lt;&gt;"", M228&lt;&gt;0), N228/$N$505*MATCH(AC228,'Misc Lists'!$K$2:$K$25,0), "")</f>
        <v/>
      </c>
      <c r="AE228" s="90" t="str">
        <f t="shared" si="51"/>
        <v/>
      </c>
      <c r="AF228" s="99" t="str">
        <f>IF(AND(M228&lt;&gt;"", M228&lt;&gt;0), N228/$N$505*MATCH(AE228,'Misc Lists'!$L$2:$L$25,0), "")</f>
        <v/>
      </c>
    </row>
    <row r="229" spans="2:32" hidden="1" outlineLevel="1" x14ac:dyDescent="0.5">
      <c r="B229" s="60" t="str">
        <f ca="1"/>
        <v>91282CHH7</v>
      </c>
      <c r="C229" s="61" t="str">
        <f ca="1"/>
        <v>N/A</v>
      </c>
      <c r="D229" s="60" t="str">
        <f ca="1"/>
        <v>UNITED STATES TREAS SER AP-2026         4.12500% 06/15/2026 NTS NOTE</v>
      </c>
      <c r="E229" s="61" t="str">
        <f ca="1"/>
        <v>Tres</v>
      </c>
      <c r="F229" s="62">
        <f ca="1"/>
        <v>4.125</v>
      </c>
      <c r="G229" s="63">
        <f ca="1"/>
        <v>46188</v>
      </c>
      <c r="H229" s="61" t="str">
        <f ca="1"/>
        <v>AAA</v>
      </c>
      <c r="I229" s="61" t="str">
        <f ca="1"/>
        <v>--</v>
      </c>
      <c r="J229" s="64">
        <f ca="1"/>
        <v>99.832999999999998</v>
      </c>
      <c r="K229" s="17">
        <f ca="1"/>
        <v>4.2530000000000001</v>
      </c>
      <c r="L229" s="17" t="str">
        <f ca="1"/>
        <v>80,000(400)</v>
      </c>
      <c r="M229" s="83"/>
      <c r="N229" s="84" t="str">
        <f t="shared" si="52"/>
        <v/>
      </c>
      <c r="O229" s="20" t="str">
        <f t="shared" si="53"/>
        <v/>
      </c>
      <c r="P229" s="64" t="str">
        <f t="shared" si="54"/>
        <v/>
      </c>
      <c r="Q229" s="85" t="str">
        <f t="shared" ca="1" si="55"/>
        <v/>
      </c>
      <c r="R229" s="86" t="str">
        <f t="shared" si="56"/>
        <v/>
      </c>
      <c r="S229" s="86" t="str">
        <f t="shared" si="57"/>
        <v/>
      </c>
      <c r="T229" s="104" t="str">
        <f t="shared" si="58"/>
        <v/>
      </c>
      <c r="U229" s="19" t="str">
        <f>IF(AND(M229&lt;&gt;"",M229&lt;&gt;0), IF(E229 = "Muni", T229, IF(E229="Corp", T229*(1 -'Investor Input'!$C$4-'Investor Input'!$C$5), T229*(1 -'Investor Input'!$C$4))), T229)</f>
        <v/>
      </c>
      <c r="V229" s="84" t="str">
        <f t="shared" si="59"/>
        <v/>
      </c>
      <c r="W229" s="84" t="str">
        <f t="shared" si="45"/>
        <v/>
      </c>
      <c r="X229" s="21" t="str">
        <f t="shared" si="46"/>
        <v/>
      </c>
      <c r="Y229" s="60" t="str">
        <f t="shared" si="47"/>
        <v/>
      </c>
      <c r="Z229" s="60" t="str">
        <f t="shared" si="48"/>
        <v/>
      </c>
      <c r="AA229" s="64" t="str">
        <f t="shared" si="49"/>
        <v/>
      </c>
      <c r="AB229" s="64" t="str">
        <f>IF(AND(AA229&lt;&gt;"",AA229&lt;&gt;0), IF(E229="Muni", AA229, IF(E229 = "Corp", (1-'Investor Input'!$C$4-'Investor Input'!$C$5)*AA229, (1-'Investor Input'!$C$4)*AA229)), AA229)</f>
        <v/>
      </c>
      <c r="AC229" s="94" t="str">
        <f t="shared" si="50"/>
        <v/>
      </c>
      <c r="AD229" s="60" t="str">
        <f>IF(AND(M229&lt;&gt;"", M229&lt;&gt;0), N229/$N$505*MATCH(AC229,'Misc Lists'!$K$2:$K$25,0), "")</f>
        <v/>
      </c>
      <c r="AE229" s="90" t="str">
        <f t="shared" si="51"/>
        <v/>
      </c>
      <c r="AF229" s="99" t="str">
        <f>IF(AND(M229&lt;&gt;"", M229&lt;&gt;0), N229/$N$505*MATCH(AE229,'Misc Lists'!$L$2:$L$25,0), "")</f>
        <v/>
      </c>
    </row>
    <row r="230" spans="2:32" hidden="1" outlineLevel="1" x14ac:dyDescent="0.5">
      <c r="B230" s="60" t="str">
        <f ca="1"/>
        <v>91282CHY0</v>
      </c>
      <c r="C230" s="61" t="str">
        <f ca="1"/>
        <v>N/A</v>
      </c>
      <c r="D230" s="60" t="str">
        <f ca="1"/>
        <v>UNITED STATES TREAS SER AS-2026         4.62500% 09/15/2026 NTS NOTE</v>
      </c>
      <c r="E230" s="61" t="str">
        <f ca="1"/>
        <v>Tres</v>
      </c>
      <c r="F230" s="62">
        <f ca="1"/>
        <v>4.625</v>
      </c>
      <c r="G230" s="63">
        <f ca="1"/>
        <v>46280</v>
      </c>
      <c r="H230" s="61" t="str">
        <f ca="1"/>
        <v>AAA</v>
      </c>
      <c r="I230" s="61" t="str">
        <f ca="1"/>
        <v>--</v>
      </c>
      <c r="J230" s="64">
        <f ca="1"/>
        <v>100.55500000000001</v>
      </c>
      <c r="K230" s="17">
        <f ca="1"/>
        <v>4.2530000000000001</v>
      </c>
      <c r="L230" s="17" t="str">
        <f ca="1"/>
        <v>70,000(400)</v>
      </c>
      <c r="M230" s="83"/>
      <c r="N230" s="84" t="str">
        <f t="shared" si="52"/>
        <v/>
      </c>
      <c r="O230" s="20" t="str">
        <f t="shared" si="53"/>
        <v/>
      </c>
      <c r="P230" s="64" t="str">
        <f t="shared" si="54"/>
        <v/>
      </c>
      <c r="Q230" s="85" t="str">
        <f t="shared" ca="1" si="55"/>
        <v/>
      </c>
      <c r="R230" s="86" t="str">
        <f t="shared" si="56"/>
        <v/>
      </c>
      <c r="S230" s="86" t="str">
        <f t="shared" si="57"/>
        <v/>
      </c>
      <c r="T230" s="104" t="str">
        <f t="shared" si="58"/>
        <v/>
      </c>
      <c r="U230" s="19" t="str">
        <f>IF(AND(M230&lt;&gt;"",M230&lt;&gt;0), IF(E230 = "Muni", T230, IF(E230="Corp", T230*(1 -'Investor Input'!$C$4-'Investor Input'!$C$5), T230*(1 -'Investor Input'!$C$4))), T230)</f>
        <v/>
      </c>
      <c r="V230" s="84" t="str">
        <f t="shared" si="59"/>
        <v/>
      </c>
      <c r="W230" s="84" t="str">
        <f t="shared" si="45"/>
        <v/>
      </c>
      <c r="X230" s="21" t="str">
        <f t="shared" si="46"/>
        <v/>
      </c>
      <c r="Y230" s="60" t="str">
        <f t="shared" si="47"/>
        <v/>
      </c>
      <c r="Z230" s="60" t="str">
        <f t="shared" si="48"/>
        <v/>
      </c>
      <c r="AA230" s="64" t="str">
        <f t="shared" si="49"/>
        <v/>
      </c>
      <c r="AB230" s="64" t="str">
        <f>IF(AND(AA230&lt;&gt;"",AA230&lt;&gt;0), IF(E230="Muni", AA230, IF(E230 = "Corp", (1-'Investor Input'!$C$4-'Investor Input'!$C$5)*AA230, (1-'Investor Input'!$C$4)*AA230)), AA230)</f>
        <v/>
      </c>
      <c r="AC230" s="94" t="str">
        <f t="shared" si="50"/>
        <v/>
      </c>
      <c r="AD230" s="60" t="str">
        <f>IF(AND(M230&lt;&gt;"", M230&lt;&gt;0), N230/$N$505*MATCH(AC230,'Misc Lists'!$K$2:$K$25,0), "")</f>
        <v/>
      </c>
      <c r="AE230" s="90" t="str">
        <f t="shared" si="51"/>
        <v/>
      </c>
      <c r="AF230" s="99" t="str">
        <f>IF(AND(M230&lt;&gt;"", M230&lt;&gt;0), N230/$N$505*MATCH(AE230,'Misc Lists'!$L$2:$L$25,0), "")</f>
        <v/>
      </c>
    </row>
    <row r="231" spans="2:32" hidden="1" outlineLevel="1" x14ac:dyDescent="0.5">
      <c r="B231" s="60" t="str">
        <f ca="1"/>
        <v>91282CEN7</v>
      </c>
      <c r="C231" s="61" t="str">
        <f ca="1"/>
        <v>N/A</v>
      </c>
      <c r="D231" s="60" t="str">
        <f ca="1"/>
        <v>UNITED STATES TREAS SER Y-2027          2.75000% 04/30/2027 NTS NOTE</v>
      </c>
      <c r="E231" s="61" t="str">
        <f ca="1"/>
        <v>Tres</v>
      </c>
      <c r="F231" s="62">
        <f ca="1"/>
        <v>2.75</v>
      </c>
      <c r="G231" s="63">
        <f ca="1"/>
        <v>46507</v>
      </c>
      <c r="H231" s="61" t="str">
        <f ca="1"/>
        <v>AAA</v>
      </c>
      <c r="I231" s="61" t="str">
        <f ca="1"/>
        <v>--</v>
      </c>
      <c r="J231" s="64">
        <f ca="1"/>
        <v>96.876000000000005</v>
      </c>
      <c r="K231" s="17">
        <f ca="1"/>
        <v>4.2530000000000001</v>
      </c>
      <c r="L231" s="17" t="str">
        <f ca="1"/>
        <v>1,000(200)</v>
      </c>
      <c r="M231" s="83"/>
      <c r="N231" s="84" t="str">
        <f t="shared" si="52"/>
        <v/>
      </c>
      <c r="O231" s="20" t="str">
        <f t="shared" si="53"/>
        <v/>
      </c>
      <c r="P231" s="64" t="str">
        <f t="shared" si="54"/>
        <v/>
      </c>
      <c r="Q231" s="85" t="str">
        <f t="shared" ca="1" si="55"/>
        <v/>
      </c>
      <c r="R231" s="86" t="str">
        <f t="shared" si="56"/>
        <v/>
      </c>
      <c r="S231" s="86" t="str">
        <f t="shared" si="57"/>
        <v/>
      </c>
      <c r="T231" s="104" t="str">
        <f t="shared" si="58"/>
        <v/>
      </c>
      <c r="U231" s="19" t="str">
        <f>IF(AND(M231&lt;&gt;"",M231&lt;&gt;0), IF(E231 = "Muni", T231, IF(E231="Corp", T231*(1 -'Investor Input'!$C$4-'Investor Input'!$C$5), T231*(1 -'Investor Input'!$C$4))), T231)</f>
        <v/>
      </c>
      <c r="V231" s="84" t="str">
        <f t="shared" si="59"/>
        <v/>
      </c>
      <c r="W231" s="84" t="str">
        <f t="shared" si="45"/>
        <v/>
      </c>
      <c r="X231" s="21" t="str">
        <f t="shared" si="46"/>
        <v/>
      </c>
      <c r="Y231" s="60" t="str">
        <f t="shared" si="47"/>
        <v/>
      </c>
      <c r="Z231" s="60" t="str">
        <f t="shared" si="48"/>
        <v/>
      </c>
      <c r="AA231" s="64" t="str">
        <f t="shared" si="49"/>
        <v/>
      </c>
      <c r="AB231" s="64" t="str">
        <f>IF(AND(AA231&lt;&gt;"",AA231&lt;&gt;0), IF(E231="Muni", AA231, IF(E231 = "Corp", (1-'Investor Input'!$C$4-'Investor Input'!$C$5)*AA231, (1-'Investor Input'!$C$4)*AA231)), AA231)</f>
        <v/>
      </c>
      <c r="AC231" s="94" t="str">
        <f t="shared" si="50"/>
        <v/>
      </c>
      <c r="AD231" s="60" t="str">
        <f>IF(AND(M231&lt;&gt;"", M231&lt;&gt;0), N231/$N$505*MATCH(AC231,'Misc Lists'!$K$2:$K$25,0), "")</f>
        <v/>
      </c>
      <c r="AE231" s="90" t="str">
        <f t="shared" si="51"/>
        <v/>
      </c>
      <c r="AF231" s="99" t="str">
        <f>IF(AND(M231&lt;&gt;"", M231&lt;&gt;0), N231/$N$505*MATCH(AE231,'Misc Lists'!$L$2:$L$25,0), "")</f>
        <v/>
      </c>
    </row>
    <row r="232" spans="2:32" hidden="1" outlineLevel="1" x14ac:dyDescent="0.5">
      <c r="B232" s="60" t="str">
        <f ca="1"/>
        <v>912828ZV5</v>
      </c>
      <c r="C232" s="61" t="str">
        <f ca="1"/>
        <v>N/A</v>
      </c>
      <c r="D232" s="60" t="str">
        <f ca="1"/>
        <v>UNITED STATES TREAS SER M-2027          0.50000% 06/30/2027 NTS NOTE</v>
      </c>
      <c r="E232" s="61" t="str">
        <f ca="1"/>
        <v>Tres</v>
      </c>
      <c r="F232" s="62">
        <f ca="1"/>
        <v>0.5</v>
      </c>
      <c r="G232" s="63">
        <f ca="1"/>
        <v>46568</v>
      </c>
      <c r="H232" s="61" t="str">
        <f ca="1"/>
        <v>AAA</v>
      </c>
      <c r="I232" s="61" t="str">
        <f ca="1"/>
        <v>NR</v>
      </c>
      <c r="J232" s="64">
        <f ca="1"/>
        <v>91.641000000000005</v>
      </c>
      <c r="K232" s="17">
        <f ca="1"/>
        <v>4.2530000000000001</v>
      </c>
      <c r="L232" s="17" t="str">
        <f ca="1"/>
        <v>65,000(400)</v>
      </c>
      <c r="M232" s="83"/>
      <c r="N232" s="84" t="str">
        <f t="shared" si="52"/>
        <v/>
      </c>
      <c r="O232" s="20" t="str">
        <f t="shared" si="53"/>
        <v/>
      </c>
      <c r="P232" s="64" t="str">
        <f t="shared" si="54"/>
        <v/>
      </c>
      <c r="Q232" s="85" t="str">
        <f t="shared" ca="1" si="55"/>
        <v/>
      </c>
      <c r="R232" s="86" t="str">
        <f t="shared" si="56"/>
        <v/>
      </c>
      <c r="S232" s="86" t="str">
        <f t="shared" si="57"/>
        <v/>
      </c>
      <c r="T232" s="104" t="str">
        <f t="shared" si="58"/>
        <v/>
      </c>
      <c r="U232" s="19" t="str">
        <f>IF(AND(M232&lt;&gt;"",M232&lt;&gt;0), IF(E232 = "Muni", T232, IF(E232="Corp", T232*(1 -'Investor Input'!$C$4-'Investor Input'!$C$5), T232*(1 -'Investor Input'!$C$4))), T232)</f>
        <v/>
      </c>
      <c r="V232" s="84" t="str">
        <f t="shared" si="59"/>
        <v/>
      </c>
      <c r="W232" s="84" t="str">
        <f t="shared" si="45"/>
        <v/>
      </c>
      <c r="X232" s="21" t="str">
        <f t="shared" si="46"/>
        <v/>
      </c>
      <c r="Y232" s="60" t="str">
        <f t="shared" si="47"/>
        <v/>
      </c>
      <c r="Z232" s="60" t="str">
        <f t="shared" si="48"/>
        <v/>
      </c>
      <c r="AA232" s="64" t="str">
        <f t="shared" si="49"/>
        <v/>
      </c>
      <c r="AB232" s="64" t="str">
        <f>IF(AND(AA232&lt;&gt;"",AA232&lt;&gt;0), IF(E232="Muni", AA232, IF(E232 = "Corp", (1-'Investor Input'!$C$4-'Investor Input'!$C$5)*AA232, (1-'Investor Input'!$C$4)*AA232)), AA232)</f>
        <v/>
      </c>
      <c r="AC232" s="94" t="str">
        <f t="shared" si="50"/>
        <v/>
      </c>
      <c r="AD232" s="60" t="str">
        <f>IF(AND(M232&lt;&gt;"", M232&lt;&gt;0), N232/$N$505*MATCH(AC232,'Misc Lists'!$K$2:$K$25,0), "")</f>
        <v/>
      </c>
      <c r="AE232" s="90" t="str">
        <f t="shared" si="51"/>
        <v/>
      </c>
      <c r="AF232" s="99" t="str">
        <f>IF(AND(M232&lt;&gt;"", M232&lt;&gt;0), N232/$N$505*MATCH(AE232,'Misc Lists'!$L$2:$L$25,0), "")</f>
        <v/>
      </c>
    </row>
    <row r="233" spans="2:32" hidden="1" outlineLevel="1" x14ac:dyDescent="0.5">
      <c r="B233" s="60" t="str">
        <f ca="1"/>
        <v>912828YQ7</v>
      </c>
      <c r="C233" s="61" t="str">
        <f ca="1"/>
        <v>N/A</v>
      </c>
      <c r="D233" s="60" t="str">
        <f ca="1"/>
        <v>UNITED STATES TREAS SER R-2026          1.62500% 10/31/2026 NTS NOTE</v>
      </c>
      <c r="E233" s="61" t="str">
        <f ca="1"/>
        <v>Tres</v>
      </c>
      <c r="F233" s="62">
        <f ca="1"/>
        <v>1.625</v>
      </c>
      <c r="G233" s="63">
        <f ca="1"/>
        <v>46326</v>
      </c>
      <c r="H233" s="61" t="str">
        <f ca="1"/>
        <v>AAA</v>
      </c>
      <c r="I233" s="61" t="str">
        <f ca="1"/>
        <v>--</v>
      </c>
      <c r="J233" s="64">
        <f ca="1"/>
        <v>95.742999999999995</v>
      </c>
      <c r="K233" s="17">
        <f ca="1"/>
        <v>4.2519999999999998</v>
      </c>
      <c r="L233" s="17" t="str">
        <f ca="1"/>
        <v>1,000(200)</v>
      </c>
      <c r="M233" s="83"/>
      <c r="N233" s="84" t="str">
        <f t="shared" si="52"/>
        <v/>
      </c>
      <c r="O233" s="20" t="str">
        <f t="shared" si="53"/>
        <v/>
      </c>
      <c r="P233" s="64" t="str">
        <f t="shared" si="54"/>
        <v/>
      </c>
      <c r="Q233" s="85" t="str">
        <f t="shared" ca="1" si="55"/>
        <v/>
      </c>
      <c r="R233" s="86" t="str">
        <f t="shared" si="56"/>
        <v/>
      </c>
      <c r="S233" s="86" t="str">
        <f t="shared" si="57"/>
        <v/>
      </c>
      <c r="T233" s="104" t="str">
        <f t="shared" si="58"/>
        <v/>
      </c>
      <c r="U233" s="19" t="str">
        <f>IF(AND(M233&lt;&gt;"",M233&lt;&gt;0), IF(E233 = "Muni", T233, IF(E233="Corp", T233*(1 -'Investor Input'!$C$4-'Investor Input'!$C$5), T233*(1 -'Investor Input'!$C$4))), T233)</f>
        <v/>
      </c>
      <c r="V233" s="84" t="str">
        <f t="shared" si="59"/>
        <v/>
      </c>
      <c r="W233" s="84" t="str">
        <f t="shared" si="45"/>
        <v/>
      </c>
      <c r="X233" s="21" t="str">
        <f t="shared" si="46"/>
        <v/>
      </c>
      <c r="Y233" s="60" t="str">
        <f t="shared" si="47"/>
        <v/>
      </c>
      <c r="Z233" s="60" t="str">
        <f t="shared" si="48"/>
        <v/>
      </c>
      <c r="AA233" s="64" t="str">
        <f t="shared" si="49"/>
        <v/>
      </c>
      <c r="AB233" s="64" t="str">
        <f>IF(AND(AA233&lt;&gt;"",AA233&lt;&gt;0), IF(E233="Muni", AA233, IF(E233 = "Corp", (1-'Investor Input'!$C$4-'Investor Input'!$C$5)*AA233, (1-'Investor Input'!$C$4)*AA233)), AA233)</f>
        <v/>
      </c>
      <c r="AC233" s="94" t="str">
        <f t="shared" si="50"/>
        <v/>
      </c>
      <c r="AD233" s="60" t="str">
        <f>IF(AND(M233&lt;&gt;"", M233&lt;&gt;0), N233/$N$505*MATCH(AC233,'Misc Lists'!$K$2:$K$25,0), "")</f>
        <v/>
      </c>
      <c r="AE233" s="90" t="str">
        <f t="shared" si="51"/>
        <v/>
      </c>
      <c r="AF233" s="99" t="str">
        <f>IF(AND(M233&lt;&gt;"", M233&lt;&gt;0), N233/$N$505*MATCH(AE233,'Misc Lists'!$L$2:$L$25,0), "")</f>
        <v/>
      </c>
    </row>
    <row r="234" spans="2:32" hidden="1" outlineLevel="1" x14ac:dyDescent="0.5">
      <c r="B234" s="60" t="str">
        <f ca="1"/>
        <v>912828ZE3</v>
      </c>
      <c r="C234" s="61" t="str">
        <f ca="1"/>
        <v>N/A</v>
      </c>
      <c r="D234" s="60" t="str">
        <f ca="1"/>
        <v>UNITED STATES TREAS NOTE                0.62500% 03/31/2027</v>
      </c>
      <c r="E234" s="61" t="str">
        <f ca="1"/>
        <v>Tres</v>
      </c>
      <c r="F234" s="62">
        <f ca="1"/>
        <v>0.625</v>
      </c>
      <c r="G234" s="63">
        <f ca="1"/>
        <v>46477</v>
      </c>
      <c r="H234" s="61" t="str">
        <f ca="1"/>
        <v>AAA</v>
      </c>
      <c r="I234" s="61" t="str">
        <f ca="1"/>
        <v>--</v>
      </c>
      <c r="J234" s="64">
        <f ca="1"/>
        <v>92.742999999999995</v>
      </c>
      <c r="K234" s="17">
        <f ca="1"/>
        <v>4.2519999999999998</v>
      </c>
      <c r="L234" s="17" t="str">
        <f ca="1"/>
        <v>1,000(200)</v>
      </c>
      <c r="M234" s="83"/>
      <c r="N234" s="84" t="str">
        <f t="shared" si="52"/>
        <v/>
      </c>
      <c r="O234" s="20" t="str">
        <f t="shared" si="53"/>
        <v/>
      </c>
      <c r="P234" s="64" t="str">
        <f t="shared" si="54"/>
        <v/>
      </c>
      <c r="Q234" s="85" t="str">
        <f t="shared" ca="1" si="55"/>
        <v/>
      </c>
      <c r="R234" s="86" t="str">
        <f t="shared" si="56"/>
        <v/>
      </c>
      <c r="S234" s="86" t="str">
        <f t="shared" si="57"/>
        <v/>
      </c>
      <c r="T234" s="104" t="str">
        <f t="shared" si="58"/>
        <v/>
      </c>
      <c r="U234" s="19" t="str">
        <f>IF(AND(M234&lt;&gt;"",M234&lt;&gt;0), IF(E234 = "Muni", T234, IF(E234="Corp", T234*(1 -'Investor Input'!$C$4-'Investor Input'!$C$5), T234*(1 -'Investor Input'!$C$4))), T234)</f>
        <v/>
      </c>
      <c r="V234" s="84" t="str">
        <f t="shared" si="59"/>
        <v/>
      </c>
      <c r="W234" s="84" t="str">
        <f t="shared" si="45"/>
        <v/>
      </c>
      <c r="X234" s="21" t="str">
        <f t="shared" si="46"/>
        <v/>
      </c>
      <c r="Y234" s="60" t="str">
        <f t="shared" si="47"/>
        <v/>
      </c>
      <c r="Z234" s="60" t="str">
        <f t="shared" si="48"/>
        <v/>
      </c>
      <c r="AA234" s="64" t="str">
        <f t="shared" si="49"/>
        <v/>
      </c>
      <c r="AB234" s="64" t="str">
        <f>IF(AND(AA234&lt;&gt;"",AA234&lt;&gt;0), IF(E234="Muni", AA234, IF(E234 = "Corp", (1-'Investor Input'!$C$4-'Investor Input'!$C$5)*AA234, (1-'Investor Input'!$C$4)*AA234)), AA234)</f>
        <v/>
      </c>
      <c r="AC234" s="94" t="str">
        <f t="shared" si="50"/>
        <v/>
      </c>
      <c r="AD234" s="60" t="str">
        <f>IF(AND(M234&lt;&gt;"", M234&lt;&gt;0), N234/$N$505*MATCH(AC234,'Misc Lists'!$K$2:$K$25,0), "")</f>
        <v/>
      </c>
      <c r="AE234" s="90" t="str">
        <f t="shared" si="51"/>
        <v/>
      </c>
      <c r="AF234" s="99" t="str">
        <f>IF(AND(M234&lt;&gt;"", M234&lt;&gt;0), N234/$N$505*MATCH(AE234,'Misc Lists'!$L$2:$L$25,0), "")</f>
        <v/>
      </c>
    </row>
    <row r="235" spans="2:32" hidden="1" outlineLevel="1" x14ac:dyDescent="0.5">
      <c r="B235" s="60" t="str">
        <f ca="1"/>
        <v>91282CKV2</v>
      </c>
      <c r="C235" s="61" t="str">
        <f ca="1"/>
        <v>N/A</v>
      </c>
      <c r="D235" s="60" t="str">
        <f ca="1"/>
        <v>UNITED STATES TREAS SER AP-2027         4.62500% 06/15/2027 NTS NOTE</v>
      </c>
      <c r="E235" s="61" t="str">
        <f ca="1"/>
        <v>Tres</v>
      </c>
      <c r="F235" s="62">
        <f ca="1"/>
        <v>4.625</v>
      </c>
      <c r="G235" s="63">
        <f ca="1"/>
        <v>46553</v>
      </c>
      <c r="H235" s="61" t="str">
        <f ca="1"/>
        <v>AAA</v>
      </c>
      <c r="I235" s="61" t="str">
        <f ca="1"/>
        <v>--</v>
      </c>
      <c r="J235" s="64">
        <f ca="1"/>
        <v>100.809</v>
      </c>
      <c r="K235" s="17">
        <f ca="1"/>
        <v>4.2519999999999998</v>
      </c>
      <c r="L235" s="17" t="str">
        <f ca="1"/>
        <v>70,000(400)</v>
      </c>
      <c r="M235" s="83"/>
      <c r="N235" s="84" t="str">
        <f t="shared" si="52"/>
        <v/>
      </c>
      <c r="O235" s="20" t="str">
        <f t="shared" si="53"/>
        <v/>
      </c>
      <c r="P235" s="64" t="str">
        <f t="shared" si="54"/>
        <v/>
      </c>
      <c r="Q235" s="85" t="str">
        <f t="shared" ca="1" si="55"/>
        <v/>
      </c>
      <c r="R235" s="86" t="str">
        <f t="shared" si="56"/>
        <v/>
      </c>
      <c r="S235" s="86" t="str">
        <f t="shared" si="57"/>
        <v/>
      </c>
      <c r="T235" s="104" t="str">
        <f t="shared" si="58"/>
        <v/>
      </c>
      <c r="U235" s="19" t="str">
        <f>IF(AND(M235&lt;&gt;"",M235&lt;&gt;0), IF(E235 = "Muni", T235, IF(E235="Corp", T235*(1 -'Investor Input'!$C$4-'Investor Input'!$C$5), T235*(1 -'Investor Input'!$C$4))), T235)</f>
        <v/>
      </c>
      <c r="V235" s="84" t="str">
        <f t="shared" si="59"/>
        <v/>
      </c>
      <c r="W235" s="84" t="str">
        <f t="shared" si="45"/>
        <v/>
      </c>
      <c r="X235" s="21" t="str">
        <f t="shared" si="46"/>
        <v/>
      </c>
      <c r="Y235" s="60" t="str">
        <f t="shared" si="47"/>
        <v/>
      </c>
      <c r="Z235" s="60" t="str">
        <f t="shared" si="48"/>
        <v/>
      </c>
      <c r="AA235" s="64" t="str">
        <f t="shared" si="49"/>
        <v/>
      </c>
      <c r="AB235" s="64" t="str">
        <f>IF(AND(AA235&lt;&gt;"",AA235&lt;&gt;0), IF(E235="Muni", AA235, IF(E235 = "Corp", (1-'Investor Input'!$C$4-'Investor Input'!$C$5)*AA235, (1-'Investor Input'!$C$4)*AA235)), AA235)</f>
        <v/>
      </c>
      <c r="AC235" s="94" t="str">
        <f t="shared" si="50"/>
        <v/>
      </c>
      <c r="AD235" s="60" t="str">
        <f>IF(AND(M235&lt;&gt;"", M235&lt;&gt;0), N235/$N$505*MATCH(AC235,'Misc Lists'!$K$2:$K$25,0), "")</f>
        <v/>
      </c>
      <c r="AE235" s="90" t="str">
        <f t="shared" si="51"/>
        <v/>
      </c>
      <c r="AF235" s="99" t="str">
        <f>IF(AND(M235&lt;&gt;"", M235&lt;&gt;0), N235/$N$505*MATCH(AE235,'Misc Lists'!$L$2:$L$25,0), "")</f>
        <v/>
      </c>
    </row>
    <row r="236" spans="2:32" hidden="1" outlineLevel="1" x14ac:dyDescent="0.5">
      <c r="B236" s="60" t="str">
        <f ca="1"/>
        <v>9128282R0</v>
      </c>
      <c r="C236" s="61" t="str">
        <f ca="1"/>
        <v>N/A</v>
      </c>
      <c r="D236" s="60" t="str">
        <f ca="1"/>
        <v>UNITED STATES TREAS SER E-2027          2.25000% 08/15/2027 NTS NOTE</v>
      </c>
      <c r="E236" s="61" t="str">
        <f ca="1"/>
        <v>Tres</v>
      </c>
      <c r="F236" s="62">
        <f ca="1"/>
        <v>2.25</v>
      </c>
      <c r="G236" s="63">
        <f ca="1"/>
        <v>46614</v>
      </c>
      <c r="H236" s="61" t="str">
        <f ca="1"/>
        <v>AAA</v>
      </c>
      <c r="I236" s="61" t="str">
        <f ca="1"/>
        <v>--</v>
      </c>
      <c r="J236" s="64">
        <f ca="1"/>
        <v>95.313000000000002</v>
      </c>
      <c r="K236" s="17">
        <f ca="1"/>
        <v>4.2519999999999998</v>
      </c>
      <c r="L236" s="17" t="str">
        <f ca="1"/>
        <v>1,000(200)</v>
      </c>
      <c r="M236" s="83"/>
      <c r="N236" s="84" t="str">
        <f t="shared" si="52"/>
        <v/>
      </c>
      <c r="O236" s="20" t="str">
        <f t="shared" si="53"/>
        <v/>
      </c>
      <c r="P236" s="64" t="str">
        <f t="shared" si="54"/>
        <v/>
      </c>
      <c r="Q236" s="85" t="str">
        <f t="shared" ca="1" si="55"/>
        <v/>
      </c>
      <c r="R236" s="86" t="str">
        <f t="shared" si="56"/>
        <v/>
      </c>
      <c r="S236" s="86" t="str">
        <f t="shared" si="57"/>
        <v/>
      </c>
      <c r="T236" s="104" t="str">
        <f t="shared" si="58"/>
        <v/>
      </c>
      <c r="U236" s="19" t="str">
        <f>IF(AND(M236&lt;&gt;"",M236&lt;&gt;0), IF(E236 = "Muni", T236, IF(E236="Corp", T236*(1 -'Investor Input'!$C$4-'Investor Input'!$C$5), T236*(1 -'Investor Input'!$C$4))), T236)</f>
        <v/>
      </c>
      <c r="V236" s="84" t="str">
        <f t="shared" si="59"/>
        <v/>
      </c>
      <c r="W236" s="84" t="str">
        <f t="shared" si="45"/>
        <v/>
      </c>
      <c r="X236" s="21" t="str">
        <f t="shared" si="46"/>
        <v/>
      </c>
      <c r="Y236" s="60" t="str">
        <f t="shared" si="47"/>
        <v/>
      </c>
      <c r="Z236" s="60" t="str">
        <f t="shared" si="48"/>
        <v/>
      </c>
      <c r="AA236" s="64" t="str">
        <f t="shared" si="49"/>
        <v/>
      </c>
      <c r="AB236" s="64" t="str">
        <f>IF(AND(AA236&lt;&gt;"",AA236&lt;&gt;0), IF(E236="Muni", AA236, IF(E236 = "Corp", (1-'Investor Input'!$C$4-'Investor Input'!$C$5)*AA236, (1-'Investor Input'!$C$4)*AA236)), AA236)</f>
        <v/>
      </c>
      <c r="AC236" s="94" t="str">
        <f t="shared" si="50"/>
        <v/>
      </c>
      <c r="AD236" s="60" t="str">
        <f>IF(AND(M236&lt;&gt;"", M236&lt;&gt;0), N236/$N$505*MATCH(AC236,'Misc Lists'!$K$2:$K$25,0), "")</f>
        <v/>
      </c>
      <c r="AE236" s="90" t="str">
        <f t="shared" si="51"/>
        <v/>
      </c>
      <c r="AF236" s="99" t="str">
        <f>IF(AND(M236&lt;&gt;"", M236&lt;&gt;0), N236/$N$505*MATCH(AE236,'Misc Lists'!$L$2:$L$25,0), "")</f>
        <v/>
      </c>
    </row>
    <row r="237" spans="2:32" hidden="1" outlineLevel="1" x14ac:dyDescent="0.5">
      <c r="B237" s="60" t="str">
        <f ca="1"/>
        <v>91282CHM6</v>
      </c>
      <c r="C237" s="61" t="str">
        <f ca="1"/>
        <v>N/A</v>
      </c>
      <c r="D237" s="60" t="str">
        <f ca="1"/>
        <v>UNITED STATES TREAS SER AQ-2026         4.50000% 07/15/2026 NTS NOTE</v>
      </c>
      <c r="E237" s="61" t="str">
        <f ca="1"/>
        <v>Tres</v>
      </c>
      <c r="F237" s="62">
        <f ca="1"/>
        <v>4.5</v>
      </c>
      <c r="G237" s="63">
        <f ca="1"/>
        <v>46218</v>
      </c>
      <c r="H237" s="61" t="str">
        <f ca="1"/>
        <v>AAA</v>
      </c>
      <c r="I237" s="61" t="str">
        <f ca="1"/>
        <v>--</v>
      </c>
      <c r="J237" s="64">
        <f ca="1"/>
        <v>100.333</v>
      </c>
      <c r="K237" s="17">
        <f ca="1"/>
        <v>4.2510000000000003</v>
      </c>
      <c r="L237" s="17" t="str">
        <f ca="1"/>
        <v>70,000(400)</v>
      </c>
      <c r="M237" s="83"/>
      <c r="N237" s="84" t="str">
        <f t="shared" si="52"/>
        <v/>
      </c>
      <c r="O237" s="20" t="str">
        <f t="shared" si="53"/>
        <v/>
      </c>
      <c r="P237" s="64" t="str">
        <f t="shared" si="54"/>
        <v/>
      </c>
      <c r="Q237" s="85" t="str">
        <f t="shared" ca="1" si="55"/>
        <v/>
      </c>
      <c r="R237" s="86" t="str">
        <f t="shared" si="56"/>
        <v/>
      </c>
      <c r="S237" s="86" t="str">
        <f t="shared" si="57"/>
        <v/>
      </c>
      <c r="T237" s="104" t="str">
        <f t="shared" si="58"/>
        <v/>
      </c>
      <c r="U237" s="19" t="str">
        <f>IF(AND(M237&lt;&gt;"",M237&lt;&gt;0), IF(E237 = "Muni", T237, IF(E237="Corp", T237*(1 -'Investor Input'!$C$4-'Investor Input'!$C$5), T237*(1 -'Investor Input'!$C$4))), T237)</f>
        <v/>
      </c>
      <c r="V237" s="84" t="str">
        <f t="shared" si="59"/>
        <v/>
      </c>
      <c r="W237" s="84" t="str">
        <f t="shared" si="45"/>
        <v/>
      </c>
      <c r="X237" s="21" t="str">
        <f t="shared" si="46"/>
        <v/>
      </c>
      <c r="Y237" s="60" t="str">
        <f t="shared" si="47"/>
        <v/>
      </c>
      <c r="Z237" s="60" t="str">
        <f t="shared" si="48"/>
        <v/>
      </c>
      <c r="AA237" s="64" t="str">
        <f t="shared" si="49"/>
        <v/>
      </c>
      <c r="AB237" s="64" t="str">
        <f>IF(AND(AA237&lt;&gt;"",AA237&lt;&gt;0), IF(E237="Muni", AA237, IF(E237 = "Corp", (1-'Investor Input'!$C$4-'Investor Input'!$C$5)*AA237, (1-'Investor Input'!$C$4)*AA237)), AA237)</f>
        <v/>
      </c>
      <c r="AC237" s="94" t="str">
        <f t="shared" si="50"/>
        <v/>
      </c>
      <c r="AD237" s="60" t="str">
        <f>IF(AND(M237&lt;&gt;"", M237&lt;&gt;0), N237/$N$505*MATCH(AC237,'Misc Lists'!$K$2:$K$25,0), "")</f>
        <v/>
      </c>
      <c r="AE237" s="90" t="str">
        <f t="shared" si="51"/>
        <v/>
      </c>
      <c r="AF237" s="99" t="str">
        <f>IF(AND(M237&lt;&gt;"", M237&lt;&gt;0), N237/$N$505*MATCH(AE237,'Misc Lists'!$L$2:$L$25,0), "")</f>
        <v/>
      </c>
    </row>
    <row r="238" spans="2:32" hidden="1" outlineLevel="1" x14ac:dyDescent="0.5">
      <c r="B238" s="60" t="str">
        <f ca="1"/>
        <v>912828YD6</v>
      </c>
      <c r="C238" s="61" t="str">
        <f ca="1"/>
        <v>N/A</v>
      </c>
      <c r="D238" s="60" t="str">
        <f ca="1"/>
        <v>UNITED STATES TREAS SER P-2026          1.37500% 08/31/2026 NTS NOTE</v>
      </c>
      <c r="E238" s="61" t="str">
        <f ca="1"/>
        <v>Tres</v>
      </c>
      <c r="F238" s="62">
        <f ca="1"/>
        <v>1.375</v>
      </c>
      <c r="G238" s="63">
        <f ca="1"/>
        <v>46265</v>
      </c>
      <c r="H238" s="61" t="str">
        <f ca="1"/>
        <v>--</v>
      </c>
      <c r="I238" s="61" t="str">
        <f ca="1"/>
        <v>--</v>
      </c>
      <c r="J238" s="64">
        <f ca="1"/>
        <v>95.787999999999997</v>
      </c>
      <c r="K238" s="17">
        <f ca="1"/>
        <v>4.2510000000000003</v>
      </c>
      <c r="L238" s="17" t="str">
        <f ca="1"/>
        <v>1,000(200)</v>
      </c>
      <c r="M238" s="83"/>
      <c r="N238" s="84" t="str">
        <f t="shared" si="52"/>
        <v/>
      </c>
      <c r="O238" s="20" t="str">
        <f t="shared" si="53"/>
        <v/>
      </c>
      <c r="P238" s="64" t="str">
        <f t="shared" si="54"/>
        <v/>
      </c>
      <c r="Q238" s="85" t="str">
        <f t="shared" ca="1" si="55"/>
        <v/>
      </c>
      <c r="R238" s="86" t="str">
        <f t="shared" si="56"/>
        <v/>
      </c>
      <c r="S238" s="86" t="str">
        <f t="shared" si="57"/>
        <v/>
      </c>
      <c r="T238" s="104" t="str">
        <f t="shared" si="58"/>
        <v/>
      </c>
      <c r="U238" s="19" t="str">
        <f>IF(AND(M238&lt;&gt;"",M238&lt;&gt;0), IF(E238 = "Muni", T238, IF(E238="Corp", T238*(1 -'Investor Input'!$C$4-'Investor Input'!$C$5), T238*(1 -'Investor Input'!$C$4))), T238)</f>
        <v/>
      </c>
      <c r="V238" s="84" t="str">
        <f t="shared" si="59"/>
        <v/>
      </c>
      <c r="W238" s="84" t="str">
        <f t="shared" si="45"/>
        <v/>
      </c>
      <c r="X238" s="21" t="str">
        <f t="shared" si="46"/>
        <v/>
      </c>
      <c r="Y238" s="60" t="str">
        <f t="shared" si="47"/>
        <v/>
      </c>
      <c r="Z238" s="60" t="str">
        <f t="shared" si="48"/>
        <v/>
      </c>
      <c r="AA238" s="64" t="str">
        <f t="shared" si="49"/>
        <v/>
      </c>
      <c r="AB238" s="64" t="str">
        <f>IF(AND(AA238&lt;&gt;"",AA238&lt;&gt;0), IF(E238="Muni", AA238, IF(E238 = "Corp", (1-'Investor Input'!$C$4-'Investor Input'!$C$5)*AA238, (1-'Investor Input'!$C$4)*AA238)), AA238)</f>
        <v/>
      </c>
      <c r="AC238" s="94" t="str">
        <f t="shared" si="50"/>
        <v/>
      </c>
      <c r="AD238" s="60" t="str">
        <f>IF(AND(M238&lt;&gt;"", M238&lt;&gt;0), N238/$N$505*MATCH(AC238,'Misc Lists'!$K$2:$K$25,0), "")</f>
        <v/>
      </c>
      <c r="AE238" s="90" t="str">
        <f t="shared" si="51"/>
        <v/>
      </c>
      <c r="AF238" s="99" t="str">
        <f>IF(AND(M238&lt;&gt;"", M238&lt;&gt;0), N238/$N$505*MATCH(AE238,'Misc Lists'!$L$2:$L$25,0), "")</f>
        <v/>
      </c>
    </row>
    <row r="239" spans="2:32" hidden="1" outlineLevel="1" x14ac:dyDescent="0.5">
      <c r="B239" s="60" t="str">
        <f ca="1"/>
        <v>91282CKA8</v>
      </c>
      <c r="C239" s="61" t="str">
        <f ca="1"/>
        <v>N/A</v>
      </c>
      <c r="D239" s="60" t="str">
        <f ca="1"/>
        <v>UNITED STATES TREAS SER AK-2027         4.12500% 02/15/2027 NTS NOTE</v>
      </c>
      <c r="E239" s="61" t="str">
        <f ca="1"/>
        <v>Tres</v>
      </c>
      <c r="F239" s="62">
        <f ca="1"/>
        <v>4.125</v>
      </c>
      <c r="G239" s="63">
        <f ca="1"/>
        <v>46433</v>
      </c>
      <c r="H239" s="61" t="str">
        <f ca="1"/>
        <v>AAA</v>
      </c>
      <c r="I239" s="61" t="str">
        <f ca="1"/>
        <v>--</v>
      </c>
      <c r="J239" s="64">
        <f ca="1"/>
        <v>99.760999999999996</v>
      </c>
      <c r="K239" s="17">
        <f ca="1"/>
        <v>4.2510000000000003</v>
      </c>
      <c r="L239" s="17" t="str">
        <f ca="1"/>
        <v>1,000(200)</v>
      </c>
      <c r="M239" s="83"/>
      <c r="N239" s="84" t="str">
        <f t="shared" si="52"/>
        <v/>
      </c>
      <c r="O239" s="20" t="str">
        <f t="shared" si="53"/>
        <v/>
      </c>
      <c r="P239" s="64" t="str">
        <f t="shared" si="54"/>
        <v/>
      </c>
      <c r="Q239" s="85" t="str">
        <f t="shared" ca="1" si="55"/>
        <v/>
      </c>
      <c r="R239" s="86" t="str">
        <f t="shared" si="56"/>
        <v/>
      </c>
      <c r="S239" s="86" t="str">
        <f t="shared" si="57"/>
        <v/>
      </c>
      <c r="T239" s="104" t="str">
        <f t="shared" si="58"/>
        <v/>
      </c>
      <c r="U239" s="19" t="str">
        <f>IF(AND(M239&lt;&gt;"",M239&lt;&gt;0), IF(E239 = "Muni", T239, IF(E239="Corp", T239*(1 -'Investor Input'!$C$4-'Investor Input'!$C$5), T239*(1 -'Investor Input'!$C$4))), T239)</f>
        <v/>
      </c>
      <c r="V239" s="84" t="str">
        <f t="shared" si="59"/>
        <v/>
      </c>
      <c r="W239" s="84" t="str">
        <f t="shared" si="45"/>
        <v/>
      </c>
      <c r="X239" s="21" t="str">
        <f t="shared" si="46"/>
        <v/>
      </c>
      <c r="Y239" s="60" t="str">
        <f t="shared" si="47"/>
        <v/>
      </c>
      <c r="Z239" s="60" t="str">
        <f t="shared" si="48"/>
        <v/>
      </c>
      <c r="AA239" s="64" t="str">
        <f t="shared" si="49"/>
        <v/>
      </c>
      <c r="AB239" s="64" t="str">
        <f>IF(AND(AA239&lt;&gt;"",AA239&lt;&gt;0), IF(E239="Muni", AA239, IF(E239 = "Corp", (1-'Investor Input'!$C$4-'Investor Input'!$C$5)*AA239, (1-'Investor Input'!$C$4)*AA239)), AA239)</f>
        <v/>
      </c>
      <c r="AC239" s="94" t="str">
        <f t="shared" si="50"/>
        <v/>
      </c>
      <c r="AD239" s="60" t="str">
        <f>IF(AND(M239&lt;&gt;"", M239&lt;&gt;0), N239/$N$505*MATCH(AC239,'Misc Lists'!$K$2:$K$25,0), "")</f>
        <v/>
      </c>
      <c r="AE239" s="90" t="str">
        <f t="shared" si="51"/>
        <v/>
      </c>
      <c r="AF239" s="99" t="str">
        <f>IF(AND(M239&lt;&gt;"", M239&lt;&gt;0), N239/$N$505*MATCH(AE239,'Misc Lists'!$L$2:$L$25,0), "")</f>
        <v/>
      </c>
    </row>
    <row r="240" spans="2:32" hidden="1" outlineLevel="1" x14ac:dyDescent="0.5">
      <c r="B240" s="60" t="str">
        <f ca="1"/>
        <v>91282CFM8</v>
      </c>
      <c r="C240" s="61" t="str">
        <f ca="1"/>
        <v>N/A</v>
      </c>
      <c r="D240" s="60" t="str">
        <f ca="1"/>
        <v>UNITED STATES TREAS SER AD-2027         4.12500% 09/30/2027 NTS NOTE</v>
      </c>
      <c r="E240" s="61" t="str">
        <f ca="1"/>
        <v>Tres</v>
      </c>
      <c r="F240" s="62">
        <f ca="1"/>
        <v>4.125</v>
      </c>
      <c r="G240" s="63">
        <f ca="1"/>
        <v>46660</v>
      </c>
      <c r="H240" s="61" t="str">
        <f ca="1"/>
        <v>AAA</v>
      </c>
      <c r="I240" s="61" t="str">
        <f ca="1"/>
        <v>--</v>
      </c>
      <c r="J240" s="64">
        <f ca="1"/>
        <v>99.688000000000002</v>
      </c>
      <c r="K240" s="17">
        <f ca="1"/>
        <v>4.2510000000000003</v>
      </c>
      <c r="L240" s="17" t="str">
        <f ca="1"/>
        <v>1,000(200)</v>
      </c>
      <c r="M240" s="83"/>
      <c r="N240" s="84" t="str">
        <f t="shared" si="52"/>
        <v/>
      </c>
      <c r="O240" s="20" t="str">
        <f t="shared" si="53"/>
        <v/>
      </c>
      <c r="P240" s="64" t="str">
        <f t="shared" si="54"/>
        <v/>
      </c>
      <c r="Q240" s="85" t="str">
        <f t="shared" ca="1" si="55"/>
        <v/>
      </c>
      <c r="R240" s="86" t="str">
        <f t="shared" si="56"/>
        <v/>
      </c>
      <c r="S240" s="86" t="str">
        <f t="shared" si="57"/>
        <v/>
      </c>
      <c r="T240" s="104" t="str">
        <f t="shared" si="58"/>
        <v/>
      </c>
      <c r="U240" s="19" t="str">
        <f>IF(AND(M240&lt;&gt;"",M240&lt;&gt;0), IF(E240 = "Muni", T240, IF(E240="Corp", T240*(1 -'Investor Input'!$C$4-'Investor Input'!$C$5), T240*(1 -'Investor Input'!$C$4))), T240)</f>
        <v/>
      </c>
      <c r="V240" s="84" t="str">
        <f t="shared" si="59"/>
        <v/>
      </c>
      <c r="W240" s="84" t="str">
        <f t="shared" si="45"/>
        <v/>
      </c>
      <c r="X240" s="21" t="str">
        <f t="shared" si="46"/>
        <v/>
      </c>
      <c r="Y240" s="60" t="str">
        <f t="shared" si="47"/>
        <v/>
      </c>
      <c r="Z240" s="60" t="str">
        <f t="shared" si="48"/>
        <v/>
      </c>
      <c r="AA240" s="64" t="str">
        <f t="shared" si="49"/>
        <v/>
      </c>
      <c r="AB240" s="64" t="str">
        <f>IF(AND(AA240&lt;&gt;"",AA240&lt;&gt;0), IF(E240="Muni", AA240, IF(E240 = "Corp", (1-'Investor Input'!$C$4-'Investor Input'!$C$5)*AA240, (1-'Investor Input'!$C$4)*AA240)), AA240)</f>
        <v/>
      </c>
      <c r="AC240" s="94" t="str">
        <f t="shared" si="50"/>
        <v/>
      </c>
      <c r="AD240" s="60" t="str">
        <f>IF(AND(M240&lt;&gt;"", M240&lt;&gt;0), N240/$N$505*MATCH(AC240,'Misc Lists'!$K$2:$K$25,0), "")</f>
        <v/>
      </c>
      <c r="AE240" s="90" t="str">
        <f t="shared" si="51"/>
        <v/>
      </c>
      <c r="AF240" s="99" t="str">
        <f>IF(AND(M240&lt;&gt;"", M240&lt;&gt;0), N240/$N$505*MATCH(AE240,'Misc Lists'!$L$2:$L$25,0), "")</f>
        <v/>
      </c>
    </row>
    <row r="241" spans="2:32" hidden="1" outlineLevel="1" x14ac:dyDescent="0.5">
      <c r="B241" s="60" t="str">
        <f ca="1"/>
        <v>9128285T3</v>
      </c>
      <c r="C241" s="61" t="str">
        <f ca="1"/>
        <v>N/A</v>
      </c>
      <c r="D241" s="60" t="str">
        <f ca="1"/>
        <v>UNITED STATES TREAS SER T-2025          2.62500% 12/31/2025 NTS NOTE</v>
      </c>
      <c r="E241" s="61" t="str">
        <f ca="1"/>
        <v>Tres</v>
      </c>
      <c r="F241" s="62">
        <f ca="1"/>
        <v>2.625</v>
      </c>
      <c r="G241" s="63">
        <f ca="1"/>
        <v>46022</v>
      </c>
      <c r="H241" s="61" t="str">
        <f ca="1"/>
        <v>AAA</v>
      </c>
      <c r="I241" s="61" t="str">
        <f ca="1"/>
        <v>--</v>
      </c>
      <c r="J241" s="64">
        <f ca="1"/>
        <v>98.632000000000005</v>
      </c>
      <c r="K241" s="17">
        <f ca="1"/>
        <v>4.25</v>
      </c>
      <c r="L241" s="17" t="str">
        <f ca="1"/>
        <v>2,800(200)</v>
      </c>
      <c r="M241" s="83"/>
      <c r="N241" s="84" t="str">
        <f t="shared" si="52"/>
        <v/>
      </c>
      <c r="O241" s="20" t="str">
        <f t="shared" si="53"/>
        <v/>
      </c>
      <c r="P241" s="64" t="str">
        <f t="shared" si="54"/>
        <v/>
      </c>
      <c r="Q241" s="85" t="str">
        <f t="shared" ca="1" si="55"/>
        <v/>
      </c>
      <c r="R241" s="86" t="str">
        <f t="shared" si="56"/>
        <v/>
      </c>
      <c r="S241" s="86" t="str">
        <f t="shared" si="57"/>
        <v/>
      </c>
      <c r="T241" s="104" t="str">
        <f t="shared" si="58"/>
        <v/>
      </c>
      <c r="U241" s="19" t="str">
        <f>IF(AND(M241&lt;&gt;"",M241&lt;&gt;0), IF(E241 = "Muni", T241, IF(E241="Corp", T241*(1 -'Investor Input'!$C$4-'Investor Input'!$C$5), T241*(1 -'Investor Input'!$C$4))), T241)</f>
        <v/>
      </c>
      <c r="V241" s="84" t="str">
        <f t="shared" si="59"/>
        <v/>
      </c>
      <c r="W241" s="84" t="str">
        <f t="shared" si="45"/>
        <v/>
      </c>
      <c r="X241" s="21" t="str">
        <f t="shared" si="46"/>
        <v/>
      </c>
      <c r="Y241" s="60" t="str">
        <f t="shared" si="47"/>
        <v/>
      </c>
      <c r="Z241" s="60" t="str">
        <f t="shared" si="48"/>
        <v/>
      </c>
      <c r="AA241" s="64" t="str">
        <f t="shared" si="49"/>
        <v/>
      </c>
      <c r="AB241" s="64" t="str">
        <f>IF(AND(AA241&lt;&gt;"",AA241&lt;&gt;0), IF(E241="Muni", AA241, IF(E241 = "Corp", (1-'Investor Input'!$C$4-'Investor Input'!$C$5)*AA241, (1-'Investor Input'!$C$4)*AA241)), AA241)</f>
        <v/>
      </c>
      <c r="AC241" s="94" t="str">
        <f t="shared" si="50"/>
        <v/>
      </c>
      <c r="AD241" s="60" t="str">
        <f>IF(AND(M241&lt;&gt;"", M241&lt;&gt;0), N241/$N$505*MATCH(AC241,'Misc Lists'!$K$2:$K$25,0), "")</f>
        <v/>
      </c>
      <c r="AE241" s="90" t="str">
        <f t="shared" si="51"/>
        <v/>
      </c>
      <c r="AF241" s="99" t="str">
        <f>IF(AND(M241&lt;&gt;"", M241&lt;&gt;0), N241/$N$505*MATCH(AE241,'Misc Lists'!$L$2:$L$25,0), "")</f>
        <v/>
      </c>
    </row>
    <row r="242" spans="2:32" hidden="1" outlineLevel="1" x14ac:dyDescent="0.5">
      <c r="B242" s="60" t="str">
        <f ca="1"/>
        <v>9128287B0</v>
      </c>
      <c r="C242" s="61" t="str">
        <f ca="1"/>
        <v>N/A</v>
      </c>
      <c r="D242" s="60" t="str">
        <f ca="1"/>
        <v>UNITED STATES TREAS SER M-2026          1.87500% 06/30/2026 NTS NOTE</v>
      </c>
      <c r="E242" s="61" t="str">
        <f ca="1"/>
        <v>Tres</v>
      </c>
      <c r="F242" s="62">
        <f ca="1"/>
        <v>1.875</v>
      </c>
      <c r="G242" s="63">
        <f ca="1"/>
        <v>46203</v>
      </c>
      <c r="H242" s="61" t="str">
        <f ca="1"/>
        <v>AAA</v>
      </c>
      <c r="I242" s="61" t="str">
        <f ca="1"/>
        <v>--</v>
      </c>
      <c r="J242" s="64">
        <f ca="1"/>
        <v>96.881</v>
      </c>
      <c r="K242" s="17">
        <f ca="1"/>
        <v>4.25</v>
      </c>
      <c r="L242" s="17" t="str">
        <f ca="1"/>
        <v>2,800(200)</v>
      </c>
      <c r="M242" s="83"/>
      <c r="N242" s="84" t="str">
        <f t="shared" si="52"/>
        <v/>
      </c>
      <c r="O242" s="20" t="str">
        <f t="shared" si="53"/>
        <v/>
      </c>
      <c r="P242" s="64" t="str">
        <f t="shared" si="54"/>
        <v/>
      </c>
      <c r="Q242" s="85" t="str">
        <f t="shared" ca="1" si="55"/>
        <v/>
      </c>
      <c r="R242" s="86" t="str">
        <f t="shared" si="56"/>
        <v/>
      </c>
      <c r="S242" s="86" t="str">
        <f t="shared" si="57"/>
        <v/>
      </c>
      <c r="T242" s="104" t="str">
        <f t="shared" si="58"/>
        <v/>
      </c>
      <c r="U242" s="19" t="str">
        <f>IF(AND(M242&lt;&gt;"",M242&lt;&gt;0), IF(E242 = "Muni", T242, IF(E242="Corp", T242*(1 -'Investor Input'!$C$4-'Investor Input'!$C$5), T242*(1 -'Investor Input'!$C$4))), T242)</f>
        <v/>
      </c>
      <c r="V242" s="84" t="str">
        <f t="shared" si="59"/>
        <v/>
      </c>
      <c r="W242" s="84" t="str">
        <f t="shared" si="45"/>
        <v/>
      </c>
      <c r="X242" s="21" t="str">
        <f t="shared" si="46"/>
        <v/>
      </c>
      <c r="Y242" s="60" t="str">
        <f t="shared" si="47"/>
        <v/>
      </c>
      <c r="Z242" s="60" t="str">
        <f t="shared" si="48"/>
        <v/>
      </c>
      <c r="AA242" s="64" t="str">
        <f t="shared" si="49"/>
        <v/>
      </c>
      <c r="AB242" s="64" t="str">
        <f>IF(AND(AA242&lt;&gt;"",AA242&lt;&gt;0), IF(E242="Muni", AA242, IF(E242 = "Corp", (1-'Investor Input'!$C$4-'Investor Input'!$C$5)*AA242, (1-'Investor Input'!$C$4)*AA242)), AA242)</f>
        <v/>
      </c>
      <c r="AC242" s="94" t="str">
        <f t="shared" si="50"/>
        <v/>
      </c>
      <c r="AD242" s="60" t="str">
        <f>IF(AND(M242&lt;&gt;"", M242&lt;&gt;0), N242/$N$505*MATCH(AC242,'Misc Lists'!$K$2:$K$25,0), "")</f>
        <v/>
      </c>
      <c r="AE242" s="90" t="str">
        <f t="shared" si="51"/>
        <v/>
      </c>
      <c r="AF242" s="99" t="str">
        <f>IF(AND(M242&lt;&gt;"", M242&lt;&gt;0), N242/$N$505*MATCH(AE242,'Misc Lists'!$L$2:$L$25,0), "")</f>
        <v/>
      </c>
    </row>
    <row r="243" spans="2:32" hidden="1" outlineLevel="1" x14ac:dyDescent="0.5">
      <c r="B243" s="60" t="str">
        <f ca="1"/>
        <v>912828YU8</v>
      </c>
      <c r="C243" s="61" t="str">
        <f ca="1"/>
        <v>N/A</v>
      </c>
      <c r="D243" s="60" t="str">
        <f ca="1"/>
        <v>UNITED STATES TREAS SER S-2026          1.62500% 11/30/2026 NTS NOTE</v>
      </c>
      <c r="E243" s="61" t="str">
        <f ca="1"/>
        <v>Tres</v>
      </c>
      <c r="F243" s="62">
        <f ca="1"/>
        <v>1.625</v>
      </c>
      <c r="G243" s="63">
        <f ca="1"/>
        <v>46356</v>
      </c>
      <c r="H243" s="61" t="str">
        <f ca="1"/>
        <v>AAA</v>
      </c>
      <c r="I243" s="61" t="str">
        <f ca="1"/>
        <v>--</v>
      </c>
      <c r="J243" s="64">
        <f ca="1"/>
        <v>95.546000000000006</v>
      </c>
      <c r="K243" s="17">
        <f ca="1"/>
        <v>4.2480000000000002</v>
      </c>
      <c r="L243" s="17" t="str">
        <f ca="1"/>
        <v>1,000(200)</v>
      </c>
      <c r="M243" s="83"/>
      <c r="N243" s="84" t="str">
        <f t="shared" si="52"/>
        <v/>
      </c>
      <c r="O243" s="20" t="str">
        <f t="shared" si="53"/>
        <v/>
      </c>
      <c r="P243" s="64" t="str">
        <f t="shared" si="54"/>
        <v/>
      </c>
      <c r="Q243" s="85" t="str">
        <f t="shared" ca="1" si="55"/>
        <v/>
      </c>
      <c r="R243" s="86" t="str">
        <f t="shared" si="56"/>
        <v/>
      </c>
      <c r="S243" s="86" t="str">
        <f t="shared" si="57"/>
        <v/>
      </c>
      <c r="T243" s="104" t="str">
        <f t="shared" si="58"/>
        <v/>
      </c>
      <c r="U243" s="19" t="str">
        <f>IF(AND(M243&lt;&gt;"",M243&lt;&gt;0), IF(E243 = "Muni", T243, IF(E243="Corp", T243*(1 -'Investor Input'!$C$4-'Investor Input'!$C$5), T243*(1 -'Investor Input'!$C$4))), T243)</f>
        <v/>
      </c>
      <c r="V243" s="84" t="str">
        <f t="shared" si="59"/>
        <v/>
      </c>
      <c r="W243" s="84" t="str">
        <f t="shared" si="45"/>
        <v/>
      </c>
      <c r="X243" s="21" t="str">
        <f t="shared" si="46"/>
        <v/>
      </c>
      <c r="Y243" s="60" t="str">
        <f t="shared" si="47"/>
        <v/>
      </c>
      <c r="Z243" s="60" t="str">
        <f t="shared" si="48"/>
        <v/>
      </c>
      <c r="AA243" s="64" t="str">
        <f t="shared" si="49"/>
        <v/>
      </c>
      <c r="AB243" s="64" t="str">
        <f>IF(AND(AA243&lt;&gt;"",AA243&lt;&gt;0), IF(E243="Muni", AA243, IF(E243 = "Corp", (1-'Investor Input'!$C$4-'Investor Input'!$C$5)*AA243, (1-'Investor Input'!$C$4)*AA243)), AA243)</f>
        <v/>
      </c>
      <c r="AC243" s="94" t="str">
        <f t="shared" si="50"/>
        <v/>
      </c>
      <c r="AD243" s="60" t="str">
        <f>IF(AND(M243&lt;&gt;"", M243&lt;&gt;0), N243/$N$505*MATCH(AC243,'Misc Lists'!$K$2:$K$25,0), "")</f>
        <v/>
      </c>
      <c r="AE243" s="90" t="str">
        <f t="shared" si="51"/>
        <v/>
      </c>
      <c r="AF243" s="99" t="str">
        <f>IF(AND(M243&lt;&gt;"", M243&lt;&gt;0), N243/$N$505*MATCH(AE243,'Misc Lists'!$L$2:$L$25,0), "")</f>
        <v/>
      </c>
    </row>
    <row r="244" spans="2:32" hidden="1" outlineLevel="1" x14ac:dyDescent="0.5">
      <c r="B244" s="60" t="str">
        <f ca="1"/>
        <v>91282CGA3</v>
      </c>
      <c r="C244" s="61" t="str">
        <f ca="1"/>
        <v>N/A</v>
      </c>
      <c r="D244" s="60" t="str">
        <f ca="1"/>
        <v>UNITED STATES TREAS SER AV-2025         4.00000% 12/15/2025 NTS NOTE</v>
      </c>
      <c r="E244" s="61" t="str">
        <f ca="1"/>
        <v>Tres</v>
      </c>
      <c r="F244" s="62">
        <f ca="1"/>
        <v>4</v>
      </c>
      <c r="G244" s="63">
        <f ca="1"/>
        <v>46006</v>
      </c>
      <c r="H244" s="61" t="str">
        <f ca="1"/>
        <v>AAA</v>
      </c>
      <c r="I244" s="61" t="str">
        <f ca="1"/>
        <v>--</v>
      </c>
      <c r="J244" s="64">
        <f ca="1"/>
        <v>99.8</v>
      </c>
      <c r="K244" s="17">
        <f ca="1"/>
        <v>4.2450000000000001</v>
      </c>
      <c r="L244" s="17" t="str">
        <f ca="1"/>
        <v>2,800(200)</v>
      </c>
      <c r="M244" s="83"/>
      <c r="N244" s="84" t="str">
        <f t="shared" si="52"/>
        <v/>
      </c>
      <c r="O244" s="20" t="str">
        <f t="shared" si="53"/>
        <v/>
      </c>
      <c r="P244" s="64" t="str">
        <f t="shared" si="54"/>
        <v/>
      </c>
      <c r="Q244" s="85" t="str">
        <f t="shared" ca="1" si="55"/>
        <v/>
      </c>
      <c r="R244" s="86" t="str">
        <f t="shared" si="56"/>
        <v/>
      </c>
      <c r="S244" s="86" t="str">
        <f t="shared" si="57"/>
        <v/>
      </c>
      <c r="T244" s="104" t="str">
        <f t="shared" si="58"/>
        <v/>
      </c>
      <c r="U244" s="19" t="str">
        <f>IF(AND(M244&lt;&gt;"",M244&lt;&gt;0), IF(E244 = "Muni", T244, IF(E244="Corp", T244*(1 -'Investor Input'!$C$4-'Investor Input'!$C$5), T244*(1 -'Investor Input'!$C$4))), T244)</f>
        <v/>
      </c>
      <c r="V244" s="84" t="str">
        <f t="shared" si="59"/>
        <v/>
      </c>
      <c r="W244" s="84" t="str">
        <f t="shared" si="45"/>
        <v/>
      </c>
      <c r="X244" s="21" t="str">
        <f t="shared" si="46"/>
        <v/>
      </c>
      <c r="Y244" s="60" t="str">
        <f t="shared" si="47"/>
        <v/>
      </c>
      <c r="Z244" s="60" t="str">
        <f t="shared" si="48"/>
        <v/>
      </c>
      <c r="AA244" s="64" t="str">
        <f t="shared" si="49"/>
        <v/>
      </c>
      <c r="AB244" s="64" t="str">
        <f>IF(AND(AA244&lt;&gt;"",AA244&lt;&gt;0), IF(E244="Muni", AA244, IF(E244 = "Corp", (1-'Investor Input'!$C$4-'Investor Input'!$C$5)*AA244, (1-'Investor Input'!$C$4)*AA244)), AA244)</f>
        <v/>
      </c>
      <c r="AC244" s="94" t="str">
        <f t="shared" si="50"/>
        <v/>
      </c>
      <c r="AD244" s="60" t="str">
        <f>IF(AND(M244&lt;&gt;"", M244&lt;&gt;0), N244/$N$505*MATCH(AC244,'Misc Lists'!$K$2:$K$25,0), "")</f>
        <v/>
      </c>
      <c r="AE244" s="90" t="str">
        <f t="shared" si="51"/>
        <v/>
      </c>
      <c r="AF244" s="99" t="str">
        <f>IF(AND(M244&lt;&gt;"", M244&lt;&gt;0), N244/$N$505*MATCH(AE244,'Misc Lists'!$L$2:$L$25,0), "")</f>
        <v/>
      </c>
    </row>
    <row r="245" spans="2:32" hidden="1" outlineLevel="1" x14ac:dyDescent="0.5">
      <c r="B245" s="60" t="str">
        <f ca="1"/>
        <v>9128284R8</v>
      </c>
      <c r="C245" s="61" t="str">
        <f ca="1"/>
        <v>N/A</v>
      </c>
      <c r="D245" s="60" t="str">
        <f ca="1"/>
        <v>UNITED STATES TREAS SER L-2025          2.87500% 05/31/2025 NTS NOTE</v>
      </c>
      <c r="E245" s="61" t="str">
        <f ca="1"/>
        <v>Tres</v>
      </c>
      <c r="F245" s="62">
        <f ca="1"/>
        <v>2.875</v>
      </c>
      <c r="G245" s="63">
        <f ca="1"/>
        <v>45808</v>
      </c>
      <c r="H245" s="61" t="str">
        <f ca="1"/>
        <v>AAA</v>
      </c>
      <c r="I245" s="61" t="str">
        <f ca="1"/>
        <v>--</v>
      </c>
      <c r="J245" s="64">
        <f ca="1"/>
        <v>99.614000000000004</v>
      </c>
      <c r="K245" s="17">
        <f ca="1"/>
        <v>4.2439999999999998</v>
      </c>
      <c r="L245" s="17" t="str">
        <f ca="1"/>
        <v>30,000(600)</v>
      </c>
      <c r="M245" s="83"/>
      <c r="N245" s="84" t="str">
        <f t="shared" si="52"/>
        <v/>
      </c>
      <c r="O245" s="20" t="str">
        <f t="shared" si="53"/>
        <v/>
      </c>
      <c r="P245" s="64" t="str">
        <f t="shared" si="54"/>
        <v/>
      </c>
      <c r="Q245" s="85" t="str">
        <f t="shared" ca="1" si="55"/>
        <v/>
      </c>
      <c r="R245" s="86" t="str">
        <f t="shared" si="56"/>
        <v/>
      </c>
      <c r="S245" s="86" t="str">
        <f t="shared" si="57"/>
        <v/>
      </c>
      <c r="T245" s="104" t="str">
        <f t="shared" si="58"/>
        <v/>
      </c>
      <c r="U245" s="19" t="str">
        <f>IF(AND(M245&lt;&gt;"",M245&lt;&gt;0), IF(E245 = "Muni", T245, IF(E245="Corp", T245*(1 -'Investor Input'!$C$4-'Investor Input'!$C$5), T245*(1 -'Investor Input'!$C$4))), T245)</f>
        <v/>
      </c>
      <c r="V245" s="84" t="str">
        <f t="shared" si="59"/>
        <v/>
      </c>
      <c r="W245" s="84" t="str">
        <f t="shared" si="45"/>
        <v/>
      </c>
      <c r="X245" s="21" t="str">
        <f t="shared" si="46"/>
        <v/>
      </c>
      <c r="Y245" s="60" t="str">
        <f t="shared" si="47"/>
        <v/>
      </c>
      <c r="Z245" s="60" t="str">
        <f t="shared" si="48"/>
        <v/>
      </c>
      <c r="AA245" s="64" t="str">
        <f t="shared" si="49"/>
        <v/>
      </c>
      <c r="AB245" s="64" t="str">
        <f>IF(AND(AA245&lt;&gt;"",AA245&lt;&gt;0), IF(E245="Muni", AA245, IF(E245 = "Corp", (1-'Investor Input'!$C$4-'Investor Input'!$C$5)*AA245, (1-'Investor Input'!$C$4)*AA245)), AA245)</f>
        <v/>
      </c>
      <c r="AC245" s="94" t="str">
        <f t="shared" si="50"/>
        <v/>
      </c>
      <c r="AD245" s="60" t="str">
        <f>IF(AND(M245&lt;&gt;"", M245&lt;&gt;0), N245/$N$505*MATCH(AC245,'Misc Lists'!$K$2:$K$25,0), "")</f>
        <v/>
      </c>
      <c r="AE245" s="90" t="str">
        <f t="shared" si="51"/>
        <v/>
      </c>
      <c r="AF245" s="99" t="str">
        <f>IF(AND(M245&lt;&gt;"", M245&lt;&gt;0), N245/$N$505*MATCH(AE245,'Misc Lists'!$L$2:$L$25,0), "")</f>
        <v/>
      </c>
    </row>
    <row r="246" spans="2:32" hidden="1" outlineLevel="1" x14ac:dyDescent="0.5">
      <c r="B246" s="60" t="str">
        <f ca="1"/>
        <v>9128282A7</v>
      </c>
      <c r="C246" s="61" t="str">
        <f ca="1"/>
        <v>N/A</v>
      </c>
      <c r="D246" s="60" t="str">
        <f ca="1"/>
        <v>UNITED STATES TREAS SER E-2026          1.50000% 08/15/2026 NTS NOTE</v>
      </c>
      <c r="E246" s="61" t="str">
        <f ca="1"/>
        <v>Tres</v>
      </c>
      <c r="F246" s="62">
        <f ca="1"/>
        <v>1.5</v>
      </c>
      <c r="G246" s="63">
        <f ca="1"/>
        <v>46249</v>
      </c>
      <c r="H246" s="61" t="str">
        <f ca="1"/>
        <v>AAA</v>
      </c>
      <c r="I246" s="61" t="str">
        <f ca="1"/>
        <v>--</v>
      </c>
      <c r="J246" s="64">
        <f ca="1"/>
        <v>96.073999999999998</v>
      </c>
      <c r="K246" s="17">
        <f ca="1"/>
        <v>4.2439999999999998</v>
      </c>
      <c r="L246" s="17" t="str">
        <f ca="1"/>
        <v>1,000(200)</v>
      </c>
      <c r="M246" s="83"/>
      <c r="N246" s="84" t="str">
        <f t="shared" si="52"/>
        <v/>
      </c>
      <c r="O246" s="20" t="str">
        <f t="shared" si="53"/>
        <v/>
      </c>
      <c r="P246" s="64" t="str">
        <f t="shared" si="54"/>
        <v/>
      </c>
      <c r="Q246" s="85" t="str">
        <f t="shared" ca="1" si="55"/>
        <v/>
      </c>
      <c r="R246" s="86" t="str">
        <f t="shared" si="56"/>
        <v/>
      </c>
      <c r="S246" s="86" t="str">
        <f t="shared" si="57"/>
        <v/>
      </c>
      <c r="T246" s="104" t="str">
        <f t="shared" si="58"/>
        <v/>
      </c>
      <c r="U246" s="19" t="str">
        <f>IF(AND(M246&lt;&gt;"",M246&lt;&gt;0), IF(E246 = "Muni", T246, IF(E246="Corp", T246*(1 -'Investor Input'!$C$4-'Investor Input'!$C$5), T246*(1 -'Investor Input'!$C$4))), T246)</f>
        <v/>
      </c>
      <c r="V246" s="84" t="str">
        <f t="shared" si="59"/>
        <v/>
      </c>
      <c r="W246" s="84" t="str">
        <f t="shared" si="45"/>
        <v/>
      </c>
      <c r="X246" s="21" t="str">
        <f t="shared" si="46"/>
        <v/>
      </c>
      <c r="Y246" s="60" t="str">
        <f t="shared" si="47"/>
        <v/>
      </c>
      <c r="Z246" s="60" t="str">
        <f t="shared" si="48"/>
        <v/>
      </c>
      <c r="AA246" s="64" t="str">
        <f t="shared" si="49"/>
        <v/>
      </c>
      <c r="AB246" s="64" t="str">
        <f>IF(AND(AA246&lt;&gt;"",AA246&lt;&gt;0), IF(E246="Muni", AA246, IF(E246 = "Corp", (1-'Investor Input'!$C$4-'Investor Input'!$C$5)*AA246, (1-'Investor Input'!$C$4)*AA246)), AA246)</f>
        <v/>
      </c>
      <c r="AC246" s="94" t="str">
        <f t="shared" si="50"/>
        <v/>
      </c>
      <c r="AD246" s="60" t="str">
        <f>IF(AND(M246&lt;&gt;"", M246&lt;&gt;0), N246/$N$505*MATCH(AC246,'Misc Lists'!$K$2:$K$25,0), "")</f>
        <v/>
      </c>
      <c r="AE246" s="90" t="str">
        <f t="shared" si="51"/>
        <v/>
      </c>
      <c r="AF246" s="99" t="str">
        <f>IF(AND(M246&lt;&gt;"", M246&lt;&gt;0), N246/$N$505*MATCH(AE246,'Misc Lists'!$L$2:$L$25,0), "")</f>
        <v/>
      </c>
    </row>
    <row r="247" spans="2:32" hidden="1" outlineLevel="1" x14ac:dyDescent="0.5">
      <c r="B247" s="60" t="str">
        <f ca="1"/>
        <v>91282CEF4</v>
      </c>
      <c r="C247" s="61" t="str">
        <f ca="1"/>
        <v>N/A</v>
      </c>
      <c r="D247" s="60" t="str">
        <f ca="1"/>
        <v>UNITED STATES TREAS SER W-2027          2.50000% 03/31/2027 NTS NOTE</v>
      </c>
      <c r="E247" s="61" t="str">
        <f ca="1"/>
        <v>Tres</v>
      </c>
      <c r="F247" s="62">
        <f ca="1"/>
        <v>2.5</v>
      </c>
      <c r="G247" s="63">
        <f ca="1"/>
        <v>46477</v>
      </c>
      <c r="H247" s="61" t="str">
        <f ca="1"/>
        <v>AAA</v>
      </c>
      <c r="I247" s="61" t="str">
        <f ca="1"/>
        <v>--</v>
      </c>
      <c r="J247" s="64">
        <f ca="1"/>
        <v>96.509</v>
      </c>
      <c r="K247" s="17">
        <f ca="1"/>
        <v>4.2439999999999998</v>
      </c>
      <c r="L247" s="17" t="str">
        <f ca="1"/>
        <v>1,000(200)</v>
      </c>
      <c r="M247" s="83"/>
      <c r="N247" s="84" t="str">
        <f t="shared" si="52"/>
        <v/>
      </c>
      <c r="O247" s="20" t="str">
        <f t="shared" si="53"/>
        <v/>
      </c>
      <c r="P247" s="64" t="str">
        <f t="shared" si="54"/>
        <v/>
      </c>
      <c r="Q247" s="85" t="str">
        <f t="shared" ca="1" si="55"/>
        <v/>
      </c>
      <c r="R247" s="86" t="str">
        <f t="shared" si="56"/>
        <v/>
      </c>
      <c r="S247" s="86" t="str">
        <f t="shared" si="57"/>
        <v/>
      </c>
      <c r="T247" s="104" t="str">
        <f t="shared" si="58"/>
        <v/>
      </c>
      <c r="U247" s="19" t="str">
        <f>IF(AND(M247&lt;&gt;"",M247&lt;&gt;0), IF(E247 = "Muni", T247, IF(E247="Corp", T247*(1 -'Investor Input'!$C$4-'Investor Input'!$C$5), T247*(1 -'Investor Input'!$C$4))), T247)</f>
        <v/>
      </c>
      <c r="V247" s="84" t="str">
        <f t="shared" si="59"/>
        <v/>
      </c>
      <c r="W247" s="84" t="str">
        <f t="shared" si="45"/>
        <v/>
      </c>
      <c r="X247" s="21" t="str">
        <f t="shared" si="46"/>
        <v/>
      </c>
      <c r="Y247" s="60" t="str">
        <f t="shared" si="47"/>
        <v/>
      </c>
      <c r="Z247" s="60" t="str">
        <f t="shared" si="48"/>
        <v/>
      </c>
      <c r="AA247" s="64" t="str">
        <f t="shared" si="49"/>
        <v/>
      </c>
      <c r="AB247" s="64" t="str">
        <f>IF(AND(AA247&lt;&gt;"",AA247&lt;&gt;0), IF(E247="Muni", AA247, IF(E247 = "Corp", (1-'Investor Input'!$C$4-'Investor Input'!$C$5)*AA247, (1-'Investor Input'!$C$4)*AA247)), AA247)</f>
        <v/>
      </c>
      <c r="AC247" s="94" t="str">
        <f t="shared" si="50"/>
        <v/>
      </c>
      <c r="AD247" s="60" t="str">
        <f>IF(AND(M247&lt;&gt;"", M247&lt;&gt;0), N247/$N$505*MATCH(AC247,'Misc Lists'!$K$2:$K$25,0), "")</f>
        <v/>
      </c>
      <c r="AE247" s="90" t="str">
        <f t="shared" si="51"/>
        <v/>
      </c>
      <c r="AF247" s="99" t="str">
        <f>IF(AND(M247&lt;&gt;"", M247&lt;&gt;0), N247/$N$505*MATCH(AE247,'Misc Lists'!$L$2:$L$25,0), "")</f>
        <v/>
      </c>
    </row>
    <row r="248" spans="2:32" hidden="1" outlineLevel="1" x14ac:dyDescent="0.5">
      <c r="B248" s="60" t="str">
        <f ca="1"/>
        <v>912828Y95</v>
      </c>
      <c r="C248" s="61" t="str">
        <f ca="1"/>
        <v>N/A</v>
      </c>
      <c r="D248" s="60" t="str">
        <f ca="1"/>
        <v>UNITED STATES TREAS SER N-2026          1.87500% 07/31/2026 NTS NOTE</v>
      </c>
      <c r="E248" s="61" t="str">
        <f ca="1"/>
        <v>Tres</v>
      </c>
      <c r="F248" s="62">
        <f ca="1"/>
        <v>1.875</v>
      </c>
      <c r="G248" s="63">
        <f ca="1"/>
        <v>46234</v>
      </c>
      <c r="H248" s="61" t="str">
        <f ca="1"/>
        <v>AAA</v>
      </c>
      <c r="I248" s="61" t="str">
        <f ca="1"/>
        <v>--</v>
      </c>
      <c r="J248" s="64">
        <f ca="1"/>
        <v>96.703999999999994</v>
      </c>
      <c r="K248" s="17">
        <f ca="1"/>
        <v>4.2409999999999997</v>
      </c>
      <c r="L248" s="17" t="str">
        <f ca="1"/>
        <v>1,000(200)</v>
      </c>
      <c r="M248" s="83"/>
      <c r="N248" s="84" t="str">
        <f t="shared" si="52"/>
        <v/>
      </c>
      <c r="O248" s="20" t="str">
        <f t="shared" si="53"/>
        <v/>
      </c>
      <c r="P248" s="64" t="str">
        <f t="shared" si="54"/>
        <v/>
      </c>
      <c r="Q248" s="85" t="str">
        <f t="shared" ca="1" si="55"/>
        <v/>
      </c>
      <c r="R248" s="86" t="str">
        <f t="shared" si="56"/>
        <v/>
      </c>
      <c r="S248" s="86" t="str">
        <f t="shared" si="57"/>
        <v/>
      </c>
      <c r="T248" s="104" t="str">
        <f t="shared" si="58"/>
        <v/>
      </c>
      <c r="U248" s="19" t="str">
        <f>IF(AND(M248&lt;&gt;"",M248&lt;&gt;0), IF(E248 = "Muni", T248, IF(E248="Corp", T248*(1 -'Investor Input'!$C$4-'Investor Input'!$C$5), T248*(1 -'Investor Input'!$C$4))), T248)</f>
        <v/>
      </c>
      <c r="V248" s="84" t="str">
        <f t="shared" si="59"/>
        <v/>
      </c>
      <c r="W248" s="84" t="str">
        <f t="shared" si="45"/>
        <v/>
      </c>
      <c r="X248" s="21" t="str">
        <f t="shared" si="46"/>
        <v/>
      </c>
      <c r="Y248" s="60" t="str">
        <f t="shared" si="47"/>
        <v/>
      </c>
      <c r="Z248" s="60" t="str">
        <f t="shared" si="48"/>
        <v/>
      </c>
      <c r="AA248" s="64" t="str">
        <f t="shared" si="49"/>
        <v/>
      </c>
      <c r="AB248" s="64" t="str">
        <f>IF(AND(AA248&lt;&gt;"",AA248&lt;&gt;0), IF(E248="Muni", AA248, IF(E248 = "Corp", (1-'Investor Input'!$C$4-'Investor Input'!$C$5)*AA248, (1-'Investor Input'!$C$4)*AA248)), AA248)</f>
        <v/>
      </c>
      <c r="AC248" s="94" t="str">
        <f t="shared" si="50"/>
        <v/>
      </c>
      <c r="AD248" s="60" t="str">
        <f>IF(AND(M248&lt;&gt;"", M248&lt;&gt;0), N248/$N$505*MATCH(AC248,'Misc Lists'!$K$2:$K$25,0), "")</f>
        <v/>
      </c>
      <c r="AE248" s="90" t="str">
        <f t="shared" si="51"/>
        <v/>
      </c>
      <c r="AF248" s="99" t="str">
        <f>IF(AND(M248&lt;&gt;"", M248&lt;&gt;0), N248/$N$505*MATCH(AE248,'Misc Lists'!$L$2:$L$25,0), "")</f>
        <v/>
      </c>
    </row>
    <row r="249" spans="2:32" hidden="1" outlineLevel="1" x14ac:dyDescent="0.5">
      <c r="B249" s="60" t="str">
        <f ca="1"/>
        <v>912828YG9</v>
      </c>
      <c r="C249" s="61" t="str">
        <f ca="1"/>
        <v>N/A</v>
      </c>
      <c r="D249" s="60" t="str">
        <f ca="1"/>
        <v>UNITED STATES TREAS SER Q-2026          1.62500% 09/30/2026 NTS NOTE</v>
      </c>
      <c r="E249" s="61" t="str">
        <f ca="1"/>
        <v>Tres</v>
      </c>
      <c r="F249" s="62">
        <f ca="1"/>
        <v>1.625</v>
      </c>
      <c r="G249" s="63">
        <f ca="1"/>
        <v>46295</v>
      </c>
      <c r="H249" s="61" t="str">
        <f ca="1"/>
        <v>AAA</v>
      </c>
      <c r="I249" s="61" t="str">
        <f ca="1"/>
        <v>--</v>
      </c>
      <c r="J249" s="64">
        <f ca="1"/>
        <v>95.962000000000003</v>
      </c>
      <c r="K249" s="17">
        <f ca="1"/>
        <v>4.2409999999999997</v>
      </c>
      <c r="L249" s="17" t="str">
        <f ca="1"/>
        <v>70,000(400)</v>
      </c>
      <c r="M249" s="83"/>
      <c r="N249" s="84" t="str">
        <f t="shared" si="52"/>
        <v/>
      </c>
      <c r="O249" s="20" t="str">
        <f t="shared" si="53"/>
        <v/>
      </c>
      <c r="P249" s="64" t="str">
        <f t="shared" si="54"/>
        <v/>
      </c>
      <c r="Q249" s="85" t="str">
        <f t="shared" ca="1" si="55"/>
        <v/>
      </c>
      <c r="R249" s="86" t="str">
        <f t="shared" si="56"/>
        <v/>
      </c>
      <c r="S249" s="86" t="str">
        <f t="shared" si="57"/>
        <v/>
      </c>
      <c r="T249" s="104" t="str">
        <f t="shared" si="58"/>
        <v/>
      </c>
      <c r="U249" s="19" t="str">
        <f>IF(AND(M249&lt;&gt;"",M249&lt;&gt;0), IF(E249 = "Muni", T249, IF(E249="Corp", T249*(1 -'Investor Input'!$C$4-'Investor Input'!$C$5), T249*(1 -'Investor Input'!$C$4))), T249)</f>
        <v/>
      </c>
      <c r="V249" s="84" t="str">
        <f t="shared" si="59"/>
        <v/>
      </c>
      <c r="W249" s="84" t="str">
        <f t="shared" si="45"/>
        <v/>
      </c>
      <c r="X249" s="21" t="str">
        <f t="shared" si="46"/>
        <v/>
      </c>
      <c r="Y249" s="60" t="str">
        <f t="shared" si="47"/>
        <v/>
      </c>
      <c r="Z249" s="60" t="str">
        <f t="shared" si="48"/>
        <v/>
      </c>
      <c r="AA249" s="64" t="str">
        <f t="shared" si="49"/>
        <v/>
      </c>
      <c r="AB249" s="64" t="str">
        <f>IF(AND(AA249&lt;&gt;"",AA249&lt;&gt;0), IF(E249="Muni", AA249, IF(E249 = "Corp", (1-'Investor Input'!$C$4-'Investor Input'!$C$5)*AA249, (1-'Investor Input'!$C$4)*AA249)), AA249)</f>
        <v/>
      </c>
      <c r="AC249" s="94" t="str">
        <f t="shared" si="50"/>
        <v/>
      </c>
      <c r="AD249" s="60" t="str">
        <f>IF(AND(M249&lt;&gt;"", M249&lt;&gt;0), N249/$N$505*MATCH(AC249,'Misc Lists'!$K$2:$K$25,0), "")</f>
        <v/>
      </c>
      <c r="AE249" s="90" t="str">
        <f t="shared" si="51"/>
        <v/>
      </c>
      <c r="AF249" s="99" t="str">
        <f>IF(AND(M249&lt;&gt;"", M249&lt;&gt;0), N249/$N$505*MATCH(AE249,'Misc Lists'!$L$2:$L$25,0), "")</f>
        <v/>
      </c>
    </row>
    <row r="250" spans="2:32" hidden="1" outlineLevel="1" x14ac:dyDescent="0.5">
      <c r="B250" s="60" t="str">
        <f ca="1"/>
        <v>912828ZB9</v>
      </c>
      <c r="C250" s="61" t="str">
        <f ca="1"/>
        <v>N/A</v>
      </c>
      <c r="D250" s="60" t="str">
        <f ca="1"/>
        <v>UNITED STATES TREAS NOTE                1.12500% 02/28/2027</v>
      </c>
      <c r="E250" s="61" t="str">
        <f ca="1"/>
        <v>Tres</v>
      </c>
      <c r="F250" s="62">
        <f ca="1"/>
        <v>1.125</v>
      </c>
      <c r="G250" s="63">
        <f ca="1"/>
        <v>46446</v>
      </c>
      <c r="H250" s="61" t="str">
        <f ca="1"/>
        <v>AAA</v>
      </c>
      <c r="I250" s="61" t="str">
        <f ca="1"/>
        <v>--</v>
      </c>
      <c r="J250" s="64">
        <f ca="1"/>
        <v>94.007999999999996</v>
      </c>
      <c r="K250" s="17">
        <f ca="1"/>
        <v>4.24</v>
      </c>
      <c r="L250" s="17" t="str">
        <f ca="1"/>
        <v>70,000(400)</v>
      </c>
      <c r="M250" s="83"/>
      <c r="N250" s="84" t="str">
        <f t="shared" si="52"/>
        <v/>
      </c>
      <c r="O250" s="20" t="str">
        <f t="shared" si="53"/>
        <v/>
      </c>
      <c r="P250" s="64" t="str">
        <f t="shared" si="54"/>
        <v/>
      </c>
      <c r="Q250" s="85" t="str">
        <f t="shared" ca="1" si="55"/>
        <v/>
      </c>
      <c r="R250" s="86" t="str">
        <f t="shared" si="56"/>
        <v/>
      </c>
      <c r="S250" s="86" t="str">
        <f t="shared" si="57"/>
        <v/>
      </c>
      <c r="T250" s="104" t="str">
        <f t="shared" si="58"/>
        <v/>
      </c>
      <c r="U250" s="19" t="str">
        <f>IF(AND(M250&lt;&gt;"",M250&lt;&gt;0), IF(E250 = "Muni", T250, IF(E250="Corp", T250*(1 -'Investor Input'!$C$4-'Investor Input'!$C$5), T250*(1 -'Investor Input'!$C$4))), T250)</f>
        <v/>
      </c>
      <c r="V250" s="84" t="str">
        <f t="shared" si="59"/>
        <v/>
      </c>
      <c r="W250" s="84" t="str">
        <f t="shared" si="45"/>
        <v/>
      </c>
      <c r="X250" s="21" t="str">
        <f t="shared" si="46"/>
        <v/>
      </c>
      <c r="Y250" s="60" t="str">
        <f t="shared" si="47"/>
        <v/>
      </c>
      <c r="Z250" s="60" t="str">
        <f t="shared" si="48"/>
        <v/>
      </c>
      <c r="AA250" s="64" t="str">
        <f t="shared" si="49"/>
        <v/>
      </c>
      <c r="AB250" s="64" t="str">
        <f>IF(AND(AA250&lt;&gt;"",AA250&lt;&gt;0), IF(E250="Muni", AA250, IF(E250 = "Corp", (1-'Investor Input'!$C$4-'Investor Input'!$C$5)*AA250, (1-'Investor Input'!$C$4)*AA250)), AA250)</f>
        <v/>
      </c>
      <c r="AC250" s="94" t="str">
        <f t="shared" si="50"/>
        <v/>
      </c>
      <c r="AD250" s="60" t="str">
        <f>IF(AND(M250&lt;&gt;"", M250&lt;&gt;0), N250/$N$505*MATCH(AC250,'Misc Lists'!$K$2:$K$25,0), "")</f>
        <v/>
      </c>
      <c r="AE250" s="90" t="str">
        <f t="shared" si="51"/>
        <v/>
      </c>
      <c r="AF250" s="99" t="str">
        <f>IF(AND(M250&lt;&gt;"", M250&lt;&gt;0), N250/$N$505*MATCH(AE250,'Misc Lists'!$L$2:$L$25,0), "")</f>
        <v/>
      </c>
    </row>
    <row r="251" spans="2:32" hidden="1" outlineLevel="1" x14ac:dyDescent="0.5">
      <c r="B251" s="60" t="str">
        <f ca="1"/>
        <v>912810FF0</v>
      </c>
      <c r="C251" s="61" t="str">
        <f ca="1"/>
        <v>N/A</v>
      </c>
      <c r="D251" s="60" t="str">
        <f ca="1"/>
        <v>UNITED STATES TREAS BDS                 5.25000% 11/15/2028</v>
      </c>
      <c r="E251" s="61" t="str">
        <f ca="1"/>
        <v>Tres</v>
      </c>
      <c r="F251" s="62">
        <f ca="1"/>
        <v>5.25</v>
      </c>
      <c r="G251" s="63">
        <f ca="1"/>
        <v>47072</v>
      </c>
      <c r="H251" s="61" t="str">
        <f ca="1"/>
        <v>AAA</v>
      </c>
      <c r="I251" s="61" t="str">
        <f ca="1"/>
        <v>--</v>
      </c>
      <c r="J251" s="64">
        <f ca="1"/>
        <v>103.46</v>
      </c>
      <c r="K251" s="17">
        <f ca="1"/>
        <v>4.2370000000000001</v>
      </c>
      <c r="L251" s="17" t="str">
        <f ca="1"/>
        <v>40,000(5)</v>
      </c>
      <c r="M251" s="83"/>
      <c r="N251" s="84" t="str">
        <f t="shared" si="52"/>
        <v/>
      </c>
      <c r="O251" s="20" t="str">
        <f t="shared" si="53"/>
        <v/>
      </c>
      <c r="P251" s="64" t="str">
        <f t="shared" si="54"/>
        <v/>
      </c>
      <c r="Q251" s="85" t="str">
        <f t="shared" ca="1" si="55"/>
        <v/>
      </c>
      <c r="R251" s="86" t="str">
        <f t="shared" si="56"/>
        <v/>
      </c>
      <c r="S251" s="86" t="str">
        <f t="shared" si="57"/>
        <v/>
      </c>
      <c r="T251" s="104" t="str">
        <f t="shared" si="58"/>
        <v/>
      </c>
      <c r="U251" s="19" t="str">
        <f>IF(AND(M251&lt;&gt;"",M251&lt;&gt;0), IF(E251 = "Muni", T251, IF(E251="Corp", T251*(1 -'Investor Input'!$C$4-'Investor Input'!$C$5), T251*(1 -'Investor Input'!$C$4))), T251)</f>
        <v/>
      </c>
      <c r="V251" s="84" t="str">
        <f t="shared" si="59"/>
        <v/>
      </c>
      <c r="W251" s="84" t="str">
        <f t="shared" si="45"/>
        <v/>
      </c>
      <c r="X251" s="21" t="str">
        <f t="shared" si="46"/>
        <v/>
      </c>
      <c r="Y251" s="60" t="str">
        <f t="shared" si="47"/>
        <v/>
      </c>
      <c r="Z251" s="60" t="str">
        <f t="shared" si="48"/>
        <v/>
      </c>
      <c r="AA251" s="64" t="str">
        <f t="shared" si="49"/>
        <v/>
      </c>
      <c r="AB251" s="64" t="str">
        <f>IF(AND(AA251&lt;&gt;"",AA251&lt;&gt;0), IF(E251="Muni", AA251, IF(E251 = "Corp", (1-'Investor Input'!$C$4-'Investor Input'!$C$5)*AA251, (1-'Investor Input'!$C$4)*AA251)), AA251)</f>
        <v/>
      </c>
      <c r="AC251" s="94" t="str">
        <f t="shared" si="50"/>
        <v/>
      </c>
      <c r="AD251" s="60" t="str">
        <f>IF(AND(M251&lt;&gt;"", M251&lt;&gt;0), N251/$N$505*MATCH(AC251,'Misc Lists'!$K$2:$K$25,0), "")</f>
        <v/>
      </c>
      <c r="AE251" s="90" t="str">
        <f t="shared" si="51"/>
        <v/>
      </c>
      <c r="AF251" s="99" t="str">
        <f>IF(AND(M251&lt;&gt;"", M251&lt;&gt;0), N251/$N$505*MATCH(AE251,'Misc Lists'!$L$2:$L$25,0), "")</f>
        <v/>
      </c>
    </row>
    <row r="252" spans="2:32" hidden="1" outlineLevel="1" x14ac:dyDescent="0.5">
      <c r="B252" s="60" t="str">
        <f ca="1"/>
        <v>91282CEW7</v>
      </c>
      <c r="C252" s="61" t="str">
        <f ca="1"/>
        <v>N/A</v>
      </c>
      <c r="D252" s="60" t="str">
        <f ca="1"/>
        <v>UNITED STATES TREAS SER AA-2027         3.25000% 06/30/2027 NTS NOTE</v>
      </c>
      <c r="E252" s="61" t="str">
        <f ca="1"/>
        <v>Tres</v>
      </c>
      <c r="F252" s="62">
        <f ca="1"/>
        <v>3.25</v>
      </c>
      <c r="G252" s="63">
        <f ca="1"/>
        <v>46568</v>
      </c>
      <c r="H252" s="61" t="str">
        <f ca="1"/>
        <v>AAA</v>
      </c>
      <c r="I252" s="61" t="str">
        <f ca="1"/>
        <v>--</v>
      </c>
      <c r="J252" s="64">
        <f ca="1"/>
        <v>97.801000000000002</v>
      </c>
      <c r="K252" s="17">
        <f ca="1"/>
        <v>4.2350000000000003</v>
      </c>
      <c r="L252" s="17" t="str">
        <f ca="1"/>
        <v>65,000(400)</v>
      </c>
      <c r="M252" s="83"/>
      <c r="N252" s="84" t="str">
        <f t="shared" si="52"/>
        <v/>
      </c>
      <c r="O252" s="20" t="str">
        <f t="shared" si="53"/>
        <v/>
      </c>
      <c r="P252" s="64" t="str">
        <f t="shared" si="54"/>
        <v/>
      </c>
      <c r="Q252" s="85" t="str">
        <f t="shared" ca="1" si="55"/>
        <v/>
      </c>
      <c r="R252" s="86" t="str">
        <f t="shared" si="56"/>
        <v/>
      </c>
      <c r="S252" s="86" t="str">
        <f t="shared" si="57"/>
        <v/>
      </c>
      <c r="T252" s="104" t="str">
        <f t="shared" si="58"/>
        <v/>
      </c>
      <c r="U252" s="19" t="str">
        <f>IF(AND(M252&lt;&gt;"",M252&lt;&gt;0), IF(E252 = "Muni", T252, IF(E252="Corp", T252*(1 -'Investor Input'!$C$4-'Investor Input'!$C$5), T252*(1 -'Investor Input'!$C$4))), T252)</f>
        <v/>
      </c>
      <c r="V252" s="84" t="str">
        <f t="shared" si="59"/>
        <v/>
      </c>
      <c r="W252" s="84" t="str">
        <f t="shared" si="45"/>
        <v/>
      </c>
      <c r="X252" s="21" t="str">
        <f t="shared" si="46"/>
        <v/>
      </c>
      <c r="Y252" s="60" t="str">
        <f t="shared" si="47"/>
        <v/>
      </c>
      <c r="Z252" s="60" t="str">
        <f t="shared" si="48"/>
        <v/>
      </c>
      <c r="AA252" s="64" t="str">
        <f t="shared" si="49"/>
        <v/>
      </c>
      <c r="AB252" s="64" t="str">
        <f>IF(AND(AA252&lt;&gt;"",AA252&lt;&gt;0), IF(E252="Muni", AA252, IF(E252 = "Corp", (1-'Investor Input'!$C$4-'Investor Input'!$C$5)*AA252, (1-'Investor Input'!$C$4)*AA252)), AA252)</f>
        <v/>
      </c>
      <c r="AC252" s="94" t="str">
        <f t="shared" si="50"/>
        <v/>
      </c>
      <c r="AD252" s="60" t="str">
        <f>IF(AND(M252&lt;&gt;"", M252&lt;&gt;0), N252/$N$505*MATCH(AC252,'Misc Lists'!$K$2:$K$25,0), "")</f>
        <v/>
      </c>
      <c r="AE252" s="90" t="str">
        <f t="shared" si="51"/>
        <v/>
      </c>
      <c r="AF252" s="99" t="str">
        <f>IF(AND(M252&lt;&gt;"", M252&lt;&gt;0), N252/$N$505*MATCH(AE252,'Misc Lists'!$L$2:$L$25,0), "")</f>
        <v/>
      </c>
    </row>
    <row r="253" spans="2:32" hidden="1" outlineLevel="1" x14ac:dyDescent="0.5">
      <c r="B253" s="60" t="str">
        <f ca="1"/>
        <v>91282CGE5</v>
      </c>
      <c r="C253" s="61" t="str">
        <f ca="1"/>
        <v>N/A</v>
      </c>
      <c r="D253" s="60" t="str">
        <f ca="1"/>
        <v>UNITED STATES TREAS SER AJ-2026         3.87500% 01/15/2026 NTS NOTE</v>
      </c>
      <c r="E253" s="61" t="str">
        <f ca="1"/>
        <v>Tres</v>
      </c>
      <c r="F253" s="62">
        <f ca="1"/>
        <v>3.875</v>
      </c>
      <c r="G253" s="63">
        <f ca="1"/>
        <v>46037</v>
      </c>
      <c r="H253" s="61" t="str">
        <f ca="1"/>
        <v>AAA</v>
      </c>
      <c r="I253" s="61" t="str">
        <f ca="1"/>
        <v>--</v>
      </c>
      <c r="J253" s="64">
        <f ca="1"/>
        <v>99.683000000000007</v>
      </c>
      <c r="K253" s="17">
        <f ca="1"/>
        <v>4.2320000000000002</v>
      </c>
      <c r="L253" s="17" t="str">
        <f ca="1"/>
        <v>8,000(200)</v>
      </c>
      <c r="M253" s="83"/>
      <c r="N253" s="84" t="str">
        <f t="shared" si="52"/>
        <v/>
      </c>
      <c r="O253" s="20" t="str">
        <f t="shared" si="53"/>
        <v/>
      </c>
      <c r="P253" s="64" t="str">
        <f t="shared" si="54"/>
        <v/>
      </c>
      <c r="Q253" s="85" t="str">
        <f t="shared" ca="1" si="55"/>
        <v/>
      </c>
      <c r="R253" s="86" t="str">
        <f t="shared" si="56"/>
        <v/>
      </c>
      <c r="S253" s="86" t="str">
        <f t="shared" si="57"/>
        <v/>
      </c>
      <c r="T253" s="104" t="str">
        <f t="shared" si="58"/>
        <v/>
      </c>
      <c r="U253" s="19" t="str">
        <f>IF(AND(M253&lt;&gt;"",M253&lt;&gt;0), IF(E253 = "Muni", T253, IF(E253="Corp", T253*(1 -'Investor Input'!$C$4-'Investor Input'!$C$5), T253*(1 -'Investor Input'!$C$4))), T253)</f>
        <v/>
      </c>
      <c r="V253" s="84" t="str">
        <f t="shared" si="59"/>
        <v/>
      </c>
      <c r="W253" s="84" t="str">
        <f t="shared" si="45"/>
        <v/>
      </c>
      <c r="X253" s="21" t="str">
        <f t="shared" si="46"/>
        <v/>
      </c>
      <c r="Y253" s="60" t="str">
        <f t="shared" si="47"/>
        <v/>
      </c>
      <c r="Z253" s="60" t="str">
        <f t="shared" si="48"/>
        <v/>
      </c>
      <c r="AA253" s="64" t="str">
        <f t="shared" si="49"/>
        <v/>
      </c>
      <c r="AB253" s="64" t="str">
        <f>IF(AND(AA253&lt;&gt;"",AA253&lt;&gt;0), IF(E253="Muni", AA253, IF(E253 = "Corp", (1-'Investor Input'!$C$4-'Investor Input'!$C$5)*AA253, (1-'Investor Input'!$C$4)*AA253)), AA253)</f>
        <v/>
      </c>
      <c r="AC253" s="94" t="str">
        <f t="shared" si="50"/>
        <v/>
      </c>
      <c r="AD253" s="60" t="str">
        <f>IF(AND(M253&lt;&gt;"", M253&lt;&gt;0), N253/$N$505*MATCH(AC253,'Misc Lists'!$K$2:$K$25,0), "")</f>
        <v/>
      </c>
      <c r="AE253" s="90" t="str">
        <f t="shared" si="51"/>
        <v/>
      </c>
      <c r="AF253" s="99" t="str">
        <f>IF(AND(M253&lt;&gt;"", M253&lt;&gt;0), N253/$N$505*MATCH(AE253,'Misc Lists'!$L$2:$L$25,0), "")</f>
        <v/>
      </c>
    </row>
    <row r="254" spans="2:32" hidden="1" outlineLevel="1" x14ac:dyDescent="0.5">
      <c r="B254" s="60" t="str">
        <f ca="1"/>
        <v>912828YX2</v>
      </c>
      <c r="C254" s="61" t="str">
        <f ca="1"/>
        <v>N/A</v>
      </c>
      <c r="D254" s="60" t="str">
        <f ca="1"/>
        <v>UNITED STATES TREAS SER T-2026          1.75000% 12/31/2026 NTS NOTE</v>
      </c>
      <c r="E254" s="61" t="str">
        <f ca="1"/>
        <v>Tres</v>
      </c>
      <c r="F254" s="62">
        <f ca="1"/>
        <v>1.75</v>
      </c>
      <c r="G254" s="63">
        <f ca="1"/>
        <v>46387</v>
      </c>
      <c r="H254" s="61" t="str">
        <f ca="1"/>
        <v>AAA</v>
      </c>
      <c r="I254" s="61" t="str">
        <f ca="1"/>
        <v>--</v>
      </c>
      <c r="J254" s="64">
        <f ca="1"/>
        <v>95.596000000000004</v>
      </c>
      <c r="K254" s="17">
        <f ca="1"/>
        <v>4.2300000000000004</v>
      </c>
      <c r="L254" s="17" t="str">
        <f ca="1"/>
        <v>1,000(200)</v>
      </c>
      <c r="M254" s="83"/>
      <c r="N254" s="84" t="str">
        <f t="shared" si="52"/>
        <v/>
      </c>
      <c r="O254" s="20" t="str">
        <f t="shared" si="53"/>
        <v/>
      </c>
      <c r="P254" s="64" t="str">
        <f t="shared" si="54"/>
        <v/>
      </c>
      <c r="Q254" s="85" t="str">
        <f t="shared" ca="1" si="55"/>
        <v/>
      </c>
      <c r="R254" s="86" t="str">
        <f t="shared" si="56"/>
        <v/>
      </c>
      <c r="S254" s="86" t="str">
        <f t="shared" si="57"/>
        <v/>
      </c>
      <c r="T254" s="104" t="str">
        <f t="shared" si="58"/>
        <v/>
      </c>
      <c r="U254" s="19" t="str">
        <f>IF(AND(M254&lt;&gt;"",M254&lt;&gt;0), IF(E254 = "Muni", T254, IF(E254="Corp", T254*(1 -'Investor Input'!$C$4-'Investor Input'!$C$5), T254*(1 -'Investor Input'!$C$4))), T254)</f>
        <v/>
      </c>
      <c r="V254" s="84" t="str">
        <f t="shared" si="59"/>
        <v/>
      </c>
      <c r="W254" s="84" t="str">
        <f t="shared" si="45"/>
        <v/>
      </c>
      <c r="X254" s="21" t="str">
        <f t="shared" si="46"/>
        <v/>
      </c>
      <c r="Y254" s="60" t="str">
        <f t="shared" si="47"/>
        <v/>
      </c>
      <c r="Z254" s="60" t="str">
        <f t="shared" si="48"/>
        <v/>
      </c>
      <c r="AA254" s="64" t="str">
        <f t="shared" si="49"/>
        <v/>
      </c>
      <c r="AB254" s="64" t="str">
        <f>IF(AND(AA254&lt;&gt;"",AA254&lt;&gt;0), IF(E254="Muni", AA254, IF(E254 = "Corp", (1-'Investor Input'!$C$4-'Investor Input'!$C$5)*AA254, (1-'Investor Input'!$C$4)*AA254)), AA254)</f>
        <v/>
      </c>
      <c r="AC254" s="94" t="str">
        <f t="shared" si="50"/>
        <v/>
      </c>
      <c r="AD254" s="60" t="str">
        <f>IF(AND(M254&lt;&gt;"", M254&lt;&gt;0), N254/$N$505*MATCH(AC254,'Misc Lists'!$K$2:$K$25,0), "")</f>
        <v/>
      </c>
      <c r="AE254" s="90" t="str">
        <f t="shared" si="51"/>
        <v/>
      </c>
      <c r="AF254" s="99" t="str">
        <f>IF(AND(M254&lt;&gt;"", M254&lt;&gt;0), N254/$N$505*MATCH(AE254,'Misc Lists'!$L$2:$L$25,0), "")</f>
        <v/>
      </c>
    </row>
    <row r="255" spans="2:32" hidden="1" outlineLevel="1" x14ac:dyDescent="0.5">
      <c r="B255" s="60" t="str">
        <f ca="1"/>
        <v>912828XB1</v>
      </c>
      <c r="C255" s="61" t="str">
        <f ca="1"/>
        <v>N/A</v>
      </c>
      <c r="D255" s="60" t="str">
        <f ca="1"/>
        <v>UNITED STATES TREAS NTS NOTE            2.12500% 05/15/2025</v>
      </c>
      <c r="E255" s="61" t="str">
        <f ca="1"/>
        <v>Tres</v>
      </c>
      <c r="F255" s="62">
        <f ca="1"/>
        <v>2.125</v>
      </c>
      <c r="G255" s="63">
        <f ca="1"/>
        <v>45792</v>
      </c>
      <c r="H255" s="61" t="str">
        <f ca="1"/>
        <v>AAA</v>
      </c>
      <c r="I255" s="61" t="str">
        <f ca="1"/>
        <v>--</v>
      </c>
      <c r="J255" s="64">
        <f ca="1"/>
        <v>99.501000000000005</v>
      </c>
      <c r="K255" s="17">
        <f ca="1"/>
        <v>4.2270000000000003</v>
      </c>
      <c r="L255" s="17" t="str">
        <f ca="1"/>
        <v>30,000(600)</v>
      </c>
      <c r="M255" s="83"/>
      <c r="N255" s="84" t="str">
        <f t="shared" si="52"/>
        <v/>
      </c>
      <c r="O255" s="20" t="str">
        <f t="shared" si="53"/>
        <v/>
      </c>
      <c r="P255" s="64" t="str">
        <f t="shared" si="54"/>
        <v/>
      </c>
      <c r="Q255" s="85" t="str">
        <f t="shared" ca="1" si="55"/>
        <v/>
      </c>
      <c r="R255" s="86" t="str">
        <f t="shared" si="56"/>
        <v/>
      </c>
      <c r="S255" s="86" t="str">
        <f t="shared" si="57"/>
        <v/>
      </c>
      <c r="T255" s="104" t="str">
        <f t="shared" si="58"/>
        <v/>
      </c>
      <c r="U255" s="19" t="str">
        <f>IF(AND(M255&lt;&gt;"",M255&lt;&gt;0), IF(E255 = "Muni", T255, IF(E255="Corp", T255*(1 -'Investor Input'!$C$4-'Investor Input'!$C$5), T255*(1 -'Investor Input'!$C$4))), T255)</f>
        <v/>
      </c>
      <c r="V255" s="84" t="str">
        <f t="shared" si="59"/>
        <v/>
      </c>
      <c r="W255" s="84" t="str">
        <f t="shared" si="45"/>
        <v/>
      </c>
      <c r="X255" s="21" t="str">
        <f t="shared" si="46"/>
        <v/>
      </c>
      <c r="Y255" s="60" t="str">
        <f t="shared" si="47"/>
        <v/>
      </c>
      <c r="Z255" s="60" t="str">
        <f t="shared" si="48"/>
        <v/>
      </c>
      <c r="AA255" s="64" t="str">
        <f t="shared" si="49"/>
        <v/>
      </c>
      <c r="AB255" s="64" t="str">
        <f>IF(AND(AA255&lt;&gt;"",AA255&lt;&gt;0), IF(E255="Muni", AA255, IF(E255 = "Corp", (1-'Investor Input'!$C$4-'Investor Input'!$C$5)*AA255, (1-'Investor Input'!$C$4)*AA255)), AA255)</f>
        <v/>
      </c>
      <c r="AC255" s="94" t="str">
        <f t="shared" si="50"/>
        <v/>
      </c>
      <c r="AD255" s="60" t="str">
        <f>IF(AND(M255&lt;&gt;"", M255&lt;&gt;0), N255/$N$505*MATCH(AC255,'Misc Lists'!$K$2:$K$25,0), "")</f>
        <v/>
      </c>
      <c r="AE255" s="90" t="str">
        <f t="shared" si="51"/>
        <v/>
      </c>
      <c r="AF255" s="99" t="str">
        <f>IF(AND(M255&lt;&gt;"", M255&lt;&gt;0), N255/$N$505*MATCH(AE255,'Misc Lists'!$L$2:$L$25,0), "")</f>
        <v/>
      </c>
    </row>
    <row r="256" spans="2:32" hidden="1" outlineLevel="1" x14ac:dyDescent="0.5">
      <c r="B256" s="60" t="str">
        <f ca="1"/>
        <v>912828ZL7</v>
      </c>
      <c r="C256" s="61" t="str">
        <f ca="1"/>
        <v>N/A</v>
      </c>
      <c r="D256" s="60" t="str">
        <f ca="1"/>
        <v>UNITED STATES TREAS SER Y-2025          0.37500% 04/30/2025 NTS NOTE</v>
      </c>
      <c r="E256" s="61" t="str">
        <f ca="1"/>
        <v>Tres</v>
      </c>
      <c r="F256" s="62">
        <f ca="1"/>
        <v>0.375</v>
      </c>
      <c r="G256" s="63">
        <f ca="1"/>
        <v>45777</v>
      </c>
      <c r="H256" s="61" t="str">
        <f ca="1"/>
        <v>AAA</v>
      </c>
      <c r="I256" s="61" t="str">
        <f ca="1"/>
        <v>--</v>
      </c>
      <c r="J256" s="64">
        <f ca="1"/>
        <v>99.251000000000005</v>
      </c>
      <c r="K256" s="17">
        <f ca="1"/>
        <v>4.2249999999999996</v>
      </c>
      <c r="L256" s="17" t="str">
        <f ca="1"/>
        <v>30,000(600)</v>
      </c>
      <c r="M256" s="83"/>
      <c r="N256" s="84" t="str">
        <f t="shared" si="52"/>
        <v/>
      </c>
      <c r="O256" s="20" t="str">
        <f t="shared" si="53"/>
        <v/>
      </c>
      <c r="P256" s="64" t="str">
        <f t="shared" si="54"/>
        <v/>
      </c>
      <c r="Q256" s="85" t="str">
        <f t="shared" ca="1" si="55"/>
        <v/>
      </c>
      <c r="R256" s="86" t="str">
        <f t="shared" si="56"/>
        <v/>
      </c>
      <c r="S256" s="86" t="str">
        <f t="shared" si="57"/>
        <v/>
      </c>
      <c r="T256" s="104" t="str">
        <f t="shared" si="58"/>
        <v/>
      </c>
      <c r="U256" s="19" t="str">
        <f>IF(AND(M256&lt;&gt;"",M256&lt;&gt;0), IF(E256 = "Muni", T256, IF(E256="Corp", T256*(1 -'Investor Input'!$C$4-'Investor Input'!$C$5), T256*(1 -'Investor Input'!$C$4))), T256)</f>
        <v/>
      </c>
      <c r="V256" s="84" t="str">
        <f t="shared" si="59"/>
        <v/>
      </c>
      <c r="W256" s="84" t="str">
        <f t="shared" si="45"/>
        <v/>
      </c>
      <c r="X256" s="21" t="str">
        <f t="shared" si="46"/>
        <v/>
      </c>
      <c r="Y256" s="60" t="str">
        <f t="shared" si="47"/>
        <v/>
      </c>
      <c r="Z256" s="60" t="str">
        <f t="shared" si="48"/>
        <v/>
      </c>
      <c r="AA256" s="64" t="str">
        <f t="shared" si="49"/>
        <v/>
      </c>
      <c r="AB256" s="64" t="str">
        <f>IF(AND(AA256&lt;&gt;"",AA256&lt;&gt;0), IF(E256="Muni", AA256, IF(E256 = "Corp", (1-'Investor Input'!$C$4-'Investor Input'!$C$5)*AA256, (1-'Investor Input'!$C$4)*AA256)), AA256)</f>
        <v/>
      </c>
      <c r="AC256" s="94" t="str">
        <f t="shared" si="50"/>
        <v/>
      </c>
      <c r="AD256" s="60" t="str">
        <f>IF(AND(M256&lt;&gt;"", M256&lt;&gt;0), N256/$N$505*MATCH(AC256,'Misc Lists'!$K$2:$K$25,0), "")</f>
        <v/>
      </c>
      <c r="AE256" s="90" t="str">
        <f t="shared" si="51"/>
        <v/>
      </c>
      <c r="AF256" s="99" t="str">
        <f>IF(AND(M256&lt;&gt;"", M256&lt;&gt;0), N256/$N$505*MATCH(AE256,'Misc Lists'!$L$2:$L$25,0), "")</f>
        <v/>
      </c>
    </row>
    <row r="257" spans="2:32" hidden="1" outlineLevel="1" x14ac:dyDescent="0.5">
      <c r="B257" s="60" t="str">
        <f ca="1"/>
        <v>912828XZ8</v>
      </c>
      <c r="C257" s="61" t="str">
        <f ca="1"/>
        <v>N/A</v>
      </c>
      <c r="D257" s="60" t="str">
        <f ca="1"/>
        <v>UNITED STATES TREAS SER M-2025          2.75000% 06/30/2025 NTS NOTE</v>
      </c>
      <c r="E257" s="61" t="str">
        <f ca="1"/>
        <v>Tres</v>
      </c>
      <c r="F257" s="62">
        <f ca="1"/>
        <v>2.75</v>
      </c>
      <c r="G257" s="63">
        <f ca="1"/>
        <v>45838</v>
      </c>
      <c r="H257" s="61" t="str">
        <f ca="1"/>
        <v>AAA</v>
      </c>
      <c r="I257" s="61" t="str">
        <f ca="1"/>
        <v>--</v>
      </c>
      <c r="J257" s="64">
        <f ca="1"/>
        <v>99.465000000000003</v>
      </c>
      <c r="K257" s="17">
        <f ca="1"/>
        <v>4.2240000000000002</v>
      </c>
      <c r="L257" s="17" t="str">
        <f ca="1"/>
        <v>30,000(600)</v>
      </c>
      <c r="M257" s="83"/>
      <c r="N257" s="84" t="str">
        <f t="shared" si="52"/>
        <v/>
      </c>
      <c r="O257" s="20" t="str">
        <f t="shared" si="53"/>
        <v/>
      </c>
      <c r="P257" s="64" t="str">
        <f t="shared" si="54"/>
        <v/>
      </c>
      <c r="Q257" s="85" t="str">
        <f t="shared" ca="1" si="55"/>
        <v/>
      </c>
      <c r="R257" s="86" t="str">
        <f t="shared" si="56"/>
        <v/>
      </c>
      <c r="S257" s="86" t="str">
        <f t="shared" si="57"/>
        <v/>
      </c>
      <c r="T257" s="104" t="str">
        <f t="shared" si="58"/>
        <v/>
      </c>
      <c r="U257" s="19" t="str">
        <f>IF(AND(M257&lt;&gt;"",M257&lt;&gt;0), IF(E257 = "Muni", T257, IF(E257="Corp", T257*(1 -'Investor Input'!$C$4-'Investor Input'!$C$5), T257*(1 -'Investor Input'!$C$4))), T257)</f>
        <v/>
      </c>
      <c r="V257" s="84" t="str">
        <f t="shared" si="59"/>
        <v/>
      </c>
      <c r="W257" s="84" t="str">
        <f t="shared" si="45"/>
        <v/>
      </c>
      <c r="X257" s="21" t="str">
        <f t="shared" si="46"/>
        <v/>
      </c>
      <c r="Y257" s="60" t="str">
        <f t="shared" si="47"/>
        <v/>
      </c>
      <c r="Z257" s="60" t="str">
        <f t="shared" si="48"/>
        <v/>
      </c>
      <c r="AA257" s="64" t="str">
        <f t="shared" si="49"/>
        <v/>
      </c>
      <c r="AB257" s="64" t="str">
        <f>IF(AND(AA257&lt;&gt;"",AA257&lt;&gt;0), IF(E257="Muni", AA257, IF(E257 = "Corp", (1-'Investor Input'!$C$4-'Investor Input'!$C$5)*AA257, (1-'Investor Input'!$C$4)*AA257)), AA257)</f>
        <v/>
      </c>
      <c r="AC257" s="94" t="str">
        <f t="shared" si="50"/>
        <v/>
      </c>
      <c r="AD257" s="60" t="str">
        <f>IF(AND(M257&lt;&gt;"", M257&lt;&gt;0), N257/$N$505*MATCH(AC257,'Misc Lists'!$K$2:$K$25,0), "")</f>
        <v/>
      </c>
      <c r="AE257" s="90" t="str">
        <f t="shared" si="51"/>
        <v/>
      </c>
      <c r="AF257" s="99" t="str">
        <f>IF(AND(M257&lt;&gt;"", M257&lt;&gt;0), N257/$N$505*MATCH(AE257,'Misc Lists'!$L$2:$L$25,0), "")</f>
        <v/>
      </c>
    </row>
    <row r="258" spans="2:32" hidden="1" outlineLevel="1" x14ac:dyDescent="0.5">
      <c r="B258" s="60" t="str">
        <f ca="1"/>
        <v>91282CEQ0</v>
      </c>
      <c r="C258" s="61" t="str">
        <f ca="1"/>
        <v>N/A</v>
      </c>
      <c r="D258" s="60" t="str">
        <f ca="1"/>
        <v>UNITED STATES TREAS SER AN-2025         2.75000% 05/15/2025 NTS NOTE</v>
      </c>
      <c r="E258" s="61" t="str">
        <f ca="1"/>
        <v>Tres</v>
      </c>
      <c r="F258" s="62">
        <f ca="1"/>
        <v>2.75</v>
      </c>
      <c r="G258" s="63">
        <f ca="1"/>
        <v>45792</v>
      </c>
      <c r="H258" s="61" t="str">
        <f ca="1"/>
        <v>AAA</v>
      </c>
      <c r="I258" s="61" t="str">
        <f ca="1"/>
        <v>--</v>
      </c>
      <c r="J258" s="64">
        <f ca="1"/>
        <v>99.649000000000001</v>
      </c>
      <c r="K258" s="17">
        <f ca="1"/>
        <v>4.2140000000000004</v>
      </c>
      <c r="L258" s="17" t="str">
        <f ca="1"/>
        <v>30,000(600)</v>
      </c>
      <c r="M258" s="83"/>
      <c r="N258" s="84" t="str">
        <f t="shared" si="52"/>
        <v/>
      </c>
      <c r="O258" s="20" t="str">
        <f t="shared" si="53"/>
        <v/>
      </c>
      <c r="P258" s="64" t="str">
        <f t="shared" si="54"/>
        <v/>
      </c>
      <c r="Q258" s="85" t="str">
        <f t="shared" ca="1" si="55"/>
        <v/>
      </c>
      <c r="R258" s="86" t="str">
        <f t="shared" si="56"/>
        <v/>
      </c>
      <c r="S258" s="86" t="str">
        <f t="shared" si="57"/>
        <v/>
      </c>
      <c r="T258" s="104" t="str">
        <f t="shared" si="58"/>
        <v/>
      </c>
      <c r="U258" s="19" t="str">
        <f>IF(AND(M258&lt;&gt;"",M258&lt;&gt;0), IF(E258 = "Muni", T258, IF(E258="Corp", T258*(1 -'Investor Input'!$C$4-'Investor Input'!$C$5), T258*(1 -'Investor Input'!$C$4))), T258)</f>
        <v/>
      </c>
      <c r="V258" s="84" t="str">
        <f t="shared" si="59"/>
        <v/>
      </c>
      <c r="W258" s="84" t="str">
        <f t="shared" si="45"/>
        <v/>
      </c>
      <c r="X258" s="21" t="str">
        <f t="shared" si="46"/>
        <v/>
      </c>
      <c r="Y258" s="60" t="str">
        <f t="shared" si="47"/>
        <v/>
      </c>
      <c r="Z258" s="60" t="str">
        <f t="shared" si="48"/>
        <v/>
      </c>
      <c r="AA258" s="64" t="str">
        <f t="shared" si="49"/>
        <v/>
      </c>
      <c r="AB258" s="64" t="str">
        <f>IF(AND(AA258&lt;&gt;"",AA258&lt;&gt;0), IF(E258="Muni", AA258, IF(E258 = "Corp", (1-'Investor Input'!$C$4-'Investor Input'!$C$5)*AA258, (1-'Investor Input'!$C$4)*AA258)), AA258)</f>
        <v/>
      </c>
      <c r="AC258" s="94" t="str">
        <f t="shared" si="50"/>
        <v/>
      </c>
      <c r="AD258" s="60" t="str">
        <f>IF(AND(M258&lt;&gt;"", M258&lt;&gt;0), N258/$N$505*MATCH(AC258,'Misc Lists'!$K$2:$K$25,0), "")</f>
        <v/>
      </c>
      <c r="AE258" s="90" t="str">
        <f t="shared" si="51"/>
        <v/>
      </c>
      <c r="AF258" s="99" t="str">
        <f>IF(AND(M258&lt;&gt;"", M258&lt;&gt;0), N258/$N$505*MATCH(AE258,'Misc Lists'!$L$2:$L$25,0), "")</f>
        <v/>
      </c>
    </row>
    <row r="259" spans="2:32" hidden="1" outlineLevel="1" x14ac:dyDescent="0.5">
      <c r="B259" s="60" t="str">
        <f ca="1"/>
        <v>91282CGX3</v>
      </c>
      <c r="C259" s="61" t="str">
        <f ca="1"/>
        <v>N/A</v>
      </c>
      <c r="D259" s="60" t="str">
        <f ca="1"/>
        <v>UNITED STATES TREAS SER BA-2025         3.87500% 04/30/2025 NTS NOTE</v>
      </c>
      <c r="E259" s="61" t="str">
        <f ca="1"/>
        <v>Tres</v>
      </c>
      <c r="F259" s="62">
        <f ca="1"/>
        <v>3.875</v>
      </c>
      <c r="G259" s="63">
        <f ca="1"/>
        <v>45777</v>
      </c>
      <c r="H259" s="61" t="str">
        <f ca="1"/>
        <v>AAA</v>
      </c>
      <c r="I259" s="61" t="str">
        <f ca="1"/>
        <v>--</v>
      </c>
      <c r="J259" s="64">
        <f ca="1"/>
        <v>99.926000000000002</v>
      </c>
      <c r="K259" s="17">
        <f ca="1"/>
        <v>4.2060000000000004</v>
      </c>
      <c r="L259" s="17" t="str">
        <f ca="1"/>
        <v>30,000(600)</v>
      </c>
      <c r="M259" s="83"/>
      <c r="N259" s="84" t="str">
        <f t="shared" si="52"/>
        <v/>
      </c>
      <c r="O259" s="20" t="str">
        <f t="shared" si="53"/>
        <v/>
      </c>
      <c r="P259" s="64" t="str">
        <f t="shared" si="54"/>
        <v/>
      </c>
      <c r="Q259" s="85" t="str">
        <f t="shared" ca="1" si="55"/>
        <v/>
      </c>
      <c r="R259" s="86" t="str">
        <f t="shared" si="56"/>
        <v/>
      </c>
      <c r="S259" s="86" t="str">
        <f t="shared" si="57"/>
        <v/>
      </c>
      <c r="T259" s="104" t="str">
        <f t="shared" si="58"/>
        <v/>
      </c>
      <c r="U259" s="19" t="str">
        <f>IF(AND(M259&lt;&gt;"",M259&lt;&gt;0), IF(E259 = "Muni", T259, IF(E259="Corp", T259*(1 -'Investor Input'!$C$4-'Investor Input'!$C$5), T259*(1 -'Investor Input'!$C$4))), T259)</f>
        <v/>
      </c>
      <c r="V259" s="84" t="str">
        <f t="shared" si="59"/>
        <v/>
      </c>
      <c r="W259" s="84" t="str">
        <f t="shared" si="45"/>
        <v/>
      </c>
      <c r="X259" s="21" t="str">
        <f t="shared" si="46"/>
        <v/>
      </c>
      <c r="Y259" s="60" t="str">
        <f t="shared" si="47"/>
        <v/>
      </c>
      <c r="Z259" s="60" t="str">
        <f t="shared" si="48"/>
        <v/>
      </c>
      <c r="AA259" s="64" t="str">
        <f t="shared" si="49"/>
        <v/>
      </c>
      <c r="AB259" s="64" t="str">
        <f>IF(AND(AA259&lt;&gt;"",AA259&lt;&gt;0), IF(E259="Muni", AA259, IF(E259 = "Corp", (1-'Investor Input'!$C$4-'Investor Input'!$C$5)*AA259, (1-'Investor Input'!$C$4)*AA259)), AA259)</f>
        <v/>
      </c>
      <c r="AC259" s="94" t="str">
        <f t="shared" si="50"/>
        <v/>
      </c>
      <c r="AD259" s="60" t="str">
        <f>IF(AND(M259&lt;&gt;"", M259&lt;&gt;0), N259/$N$505*MATCH(AC259,'Misc Lists'!$K$2:$K$25,0), "")</f>
        <v/>
      </c>
      <c r="AE259" s="90" t="str">
        <f t="shared" si="51"/>
        <v/>
      </c>
      <c r="AF259" s="99" t="str">
        <f>IF(AND(M259&lt;&gt;"", M259&lt;&gt;0), N259/$N$505*MATCH(AE259,'Misc Lists'!$L$2:$L$25,0), "")</f>
        <v/>
      </c>
    </row>
    <row r="260" spans="2:32" hidden="1" outlineLevel="1" x14ac:dyDescent="0.5">
      <c r="B260" s="60" t="str">
        <f ca="1"/>
        <v>912828ZW3</v>
      </c>
      <c r="C260" s="61" t="str">
        <f ca="1"/>
        <v>N/A</v>
      </c>
      <c r="D260" s="60" t="str">
        <f ca="1"/>
        <v>UNITED STATES TREAS SER AA-2025         0.25000% 06/30/2025 NTS NOTE</v>
      </c>
      <c r="E260" s="61" t="str">
        <f ca="1"/>
        <v>Tres</v>
      </c>
      <c r="F260" s="62">
        <f ca="1"/>
        <v>0.25</v>
      </c>
      <c r="G260" s="63">
        <f ca="1"/>
        <v>45838</v>
      </c>
      <c r="H260" s="61" t="str">
        <f ca="1"/>
        <v>AAA</v>
      </c>
      <c r="I260" s="61" t="str">
        <f ca="1"/>
        <v>NR</v>
      </c>
      <c r="J260" s="64">
        <f ca="1"/>
        <v>98.582999999999998</v>
      </c>
      <c r="K260" s="17">
        <f ca="1"/>
        <v>4.1959999999999997</v>
      </c>
      <c r="L260" s="17" t="str">
        <f ca="1"/>
        <v>30,000(600)</v>
      </c>
      <c r="M260" s="83"/>
      <c r="N260" s="84" t="str">
        <f t="shared" si="52"/>
        <v/>
      </c>
      <c r="O260" s="20" t="str">
        <f t="shared" si="53"/>
        <v/>
      </c>
      <c r="P260" s="64" t="str">
        <f t="shared" si="54"/>
        <v/>
      </c>
      <c r="Q260" s="85" t="str">
        <f t="shared" ca="1" si="55"/>
        <v/>
      </c>
      <c r="R260" s="86" t="str">
        <f t="shared" si="56"/>
        <v/>
      </c>
      <c r="S260" s="86" t="str">
        <f t="shared" si="57"/>
        <v/>
      </c>
      <c r="T260" s="104" t="str">
        <f t="shared" si="58"/>
        <v/>
      </c>
      <c r="U260" s="19" t="str">
        <f>IF(AND(M260&lt;&gt;"",M260&lt;&gt;0), IF(E260 = "Muni", T260, IF(E260="Corp", T260*(1 -'Investor Input'!$C$4-'Investor Input'!$C$5), T260*(1 -'Investor Input'!$C$4))), T260)</f>
        <v/>
      </c>
      <c r="V260" s="84" t="str">
        <f t="shared" si="59"/>
        <v/>
      </c>
      <c r="W260" s="84" t="str">
        <f t="shared" ref="W260:W323" si="60">IF(AND(M260&lt;&gt;"",M260&lt;&gt;0),V260-N260,"")</f>
        <v/>
      </c>
      <c r="X260" s="21" t="str">
        <f t="shared" ref="X260:X323" si="61">IF(AND(M260&lt;&gt;"",M260&lt;&gt;0),W260/N260,"")</f>
        <v/>
      </c>
      <c r="Y260" s="60" t="str">
        <f t="shared" ref="Y260:Y323" si="62">IF(AND(M260&lt;&gt;"", M260&lt;&gt;0), MONTH(G260), "")</f>
        <v/>
      </c>
      <c r="Z260" s="60" t="str">
        <f t="shared" ref="Z260:Z323" si="63">IF(AND(M260&lt;&gt;"", M260&lt;&gt;0), MONTH(EDATE(G260, 6)), "")</f>
        <v/>
      </c>
      <c r="AA260" s="64" t="str">
        <f t="shared" ref="AA260:AA323" si="64">IF(AND(M260&lt;&gt;"", M260&lt;&gt;0), F260*1000*M260/(100*2), "")</f>
        <v/>
      </c>
      <c r="AB260" s="64" t="str">
        <f>IF(AND(AA260&lt;&gt;"",AA260&lt;&gt;0), IF(E260="Muni", AA260, IF(E260 = "Corp", (1-'Investor Input'!$C$4-'Investor Input'!$C$5)*AA260, (1-'Investor Input'!$C$4)*AA260)), AA260)</f>
        <v/>
      </c>
      <c r="AC260" s="94" t="str">
        <f t="shared" ref="AC260:AC323" si="65">IF(AND(M260&lt;&gt;"", M260&lt;&gt;0), H260, "")</f>
        <v/>
      </c>
      <c r="AD260" s="60" t="str">
        <f>IF(AND(M260&lt;&gt;"", M260&lt;&gt;0), N260/$N$505*MATCH(AC260,'Misc Lists'!$K$2:$K$25,0), "")</f>
        <v/>
      </c>
      <c r="AE260" s="90" t="str">
        <f t="shared" ref="AE260:AE323" si="66">IF(AND(M260&lt;&gt;"", M260&lt;&gt;0), I260, "")</f>
        <v/>
      </c>
      <c r="AF260" s="99" t="str">
        <f>IF(AND(M260&lt;&gt;"", M260&lt;&gt;0), N260/$N$505*MATCH(AE260,'Misc Lists'!$L$2:$L$25,0), "")</f>
        <v/>
      </c>
    </row>
    <row r="261" spans="2:32" hidden="1" outlineLevel="1" x14ac:dyDescent="0.5">
      <c r="B261" s="60" t="str">
        <f ca="1"/>
        <v>9128284M9</v>
      </c>
      <c r="C261" s="61" t="str">
        <f ca="1"/>
        <v>N/A</v>
      </c>
      <c r="D261" s="60" t="str">
        <f ca="1"/>
        <v>UNITED STATES TREAS SER K-2025          2.87500% 04/30/2025 NTS NOTE</v>
      </c>
      <c r="E261" s="61" t="str">
        <f ca="1"/>
        <v>Tres</v>
      </c>
      <c r="F261" s="62">
        <f ca="1"/>
        <v>2.875</v>
      </c>
      <c r="G261" s="63">
        <f ca="1"/>
        <v>45777</v>
      </c>
      <c r="H261" s="61" t="str">
        <f ca="1"/>
        <v>AAA</v>
      </c>
      <c r="I261" s="61" t="str">
        <f ca="1"/>
        <v>--</v>
      </c>
      <c r="J261" s="64">
        <f ca="1"/>
        <v>99.739000000000004</v>
      </c>
      <c r="K261" s="17">
        <f ca="1"/>
        <v>4.1829999999999998</v>
      </c>
      <c r="L261" s="17" t="str">
        <f ca="1"/>
        <v>30,000(600)</v>
      </c>
      <c r="M261" s="83"/>
      <c r="N261" s="84" t="str">
        <f t="shared" ref="N261:N324" si="67">IF(AND(M261&lt;&gt;"", M261&lt;&gt;0), IF(L261 &lt;&gt; "N/A", IF(M261&gt;=VALUE(LEFT(L261, FIND("(", L261)-1)), J261*10*M261, 1000*M261), 1000*M261), "")</f>
        <v/>
      </c>
      <c r="O261" s="20" t="str">
        <f t="shared" ref="O261:O324" si="68">IF(AND(M261&lt;&gt;"",M261&lt;&gt;0),N261/$N$505, "")</f>
        <v/>
      </c>
      <c r="P261" s="64" t="str">
        <f t="shared" ref="P261:P324" si="69">IF(AND(M261&lt;&gt;"", M261&lt;&gt;0), F261*1000/100, "")</f>
        <v/>
      </c>
      <c r="Q261" s="85" t="str">
        <f t="shared" ref="Q261:Q324" ca="1" si="70">IF(AND(M261&lt;&gt;"", M261&lt;&gt;0), NOW(), "")</f>
        <v/>
      </c>
      <c r="R261" s="86" t="str">
        <f t="shared" ref="R261:R324" si="71">IF(AND(M261&lt;&gt;"", M261&lt;&gt;0), ROUND((G261 - Q261)/365, 0), "")</f>
        <v/>
      </c>
      <c r="S261" s="86" t="str">
        <f t="shared" ref="S261:S324" si="72">IF(AND(M261&lt;&gt;"",M261&lt;&gt;0),MDURATION(Q261,G261,F261/100,K261/100,2), "")</f>
        <v/>
      </c>
      <c r="T261" s="104" t="str">
        <f t="shared" ref="T261:T324" si="73">IF(AND(M261&lt;&gt;"",M261&lt;&gt;0),YIELD(Q261,G261,F261/100,N261/(M261*10),100,2),"")</f>
        <v/>
      </c>
      <c r="U261" s="19" t="str">
        <f>IF(AND(M261&lt;&gt;"",M261&lt;&gt;0), IF(E261 = "Muni", T261, IF(E261="Corp", T261*(1 -'Investor Input'!$C$4-'Investor Input'!$C$5), T261*(1 -'Investor Input'!$C$4))), T261)</f>
        <v/>
      </c>
      <c r="V261" s="84" t="str">
        <f t="shared" ref="V261:V324" si="74">IF(AND(M261&lt;&gt;"",M261&lt;&gt;0),(FV(K261/(2*100),(G261-Q261)*2/365, F261*1000/(2*100), -N261/M261))*M261, "")</f>
        <v/>
      </c>
      <c r="W261" s="84" t="str">
        <f t="shared" si="60"/>
        <v/>
      </c>
      <c r="X261" s="21" t="str">
        <f t="shared" si="61"/>
        <v/>
      </c>
      <c r="Y261" s="60" t="str">
        <f t="shared" si="62"/>
        <v/>
      </c>
      <c r="Z261" s="60" t="str">
        <f t="shared" si="63"/>
        <v/>
      </c>
      <c r="AA261" s="64" t="str">
        <f t="shared" si="64"/>
        <v/>
      </c>
      <c r="AB261" s="64" t="str">
        <f>IF(AND(AA261&lt;&gt;"",AA261&lt;&gt;0), IF(E261="Muni", AA261, IF(E261 = "Corp", (1-'Investor Input'!$C$4-'Investor Input'!$C$5)*AA261, (1-'Investor Input'!$C$4)*AA261)), AA261)</f>
        <v/>
      </c>
      <c r="AC261" s="94" t="str">
        <f t="shared" si="65"/>
        <v/>
      </c>
      <c r="AD261" s="60" t="str">
        <f>IF(AND(M261&lt;&gt;"", M261&lt;&gt;0), N261/$N$505*MATCH(AC261,'Misc Lists'!$K$2:$K$25,0), "")</f>
        <v/>
      </c>
      <c r="AE261" s="90" t="str">
        <f t="shared" si="66"/>
        <v/>
      </c>
      <c r="AF261" s="99" t="str">
        <f>IF(AND(M261&lt;&gt;"", M261&lt;&gt;0), N261/$N$505*MATCH(AE261,'Misc Lists'!$L$2:$L$25,0), "")</f>
        <v/>
      </c>
    </row>
    <row r="262" spans="2:32" hidden="1" outlineLevel="1" x14ac:dyDescent="0.5">
      <c r="B262" s="60" t="str">
        <f ca="1"/>
        <v>912810FG8</v>
      </c>
      <c r="C262" s="61" t="str">
        <f ca="1"/>
        <v>N/A</v>
      </c>
      <c r="D262" s="60" t="str">
        <f ca="1"/>
        <v>UNITED STATES TREAS BDS                 5.25000% 02/15/2029</v>
      </c>
      <c r="E262" s="61" t="str">
        <f ca="1"/>
        <v>Tres</v>
      </c>
      <c r="F262" s="62">
        <f ca="1"/>
        <v>5.25</v>
      </c>
      <c r="G262" s="63">
        <f ca="1"/>
        <v>47164</v>
      </c>
      <c r="H262" s="61" t="str">
        <f ca="1"/>
        <v>AAA</v>
      </c>
      <c r="I262" s="61" t="str">
        <f ca="1"/>
        <v>--</v>
      </c>
      <c r="J262" s="64">
        <f ca="1"/>
        <v>103.968</v>
      </c>
      <c r="K262" s="17">
        <f ca="1"/>
        <v>4.16</v>
      </c>
      <c r="L262" s="17" t="str">
        <f ca="1"/>
        <v>25,000(5)</v>
      </c>
      <c r="M262" s="83"/>
      <c r="N262" s="84" t="str">
        <f t="shared" si="67"/>
        <v/>
      </c>
      <c r="O262" s="20" t="str">
        <f t="shared" si="68"/>
        <v/>
      </c>
      <c r="P262" s="64" t="str">
        <f t="shared" si="69"/>
        <v/>
      </c>
      <c r="Q262" s="85" t="str">
        <f t="shared" ca="1" si="70"/>
        <v/>
      </c>
      <c r="R262" s="86" t="str">
        <f t="shared" si="71"/>
        <v/>
      </c>
      <c r="S262" s="86" t="str">
        <f t="shared" si="72"/>
        <v/>
      </c>
      <c r="T262" s="104" t="str">
        <f t="shared" si="73"/>
        <v/>
      </c>
      <c r="U262" s="19" t="str">
        <f>IF(AND(M262&lt;&gt;"",M262&lt;&gt;0), IF(E262 = "Muni", T262, IF(E262="Corp", T262*(1 -'Investor Input'!$C$4-'Investor Input'!$C$5), T262*(1 -'Investor Input'!$C$4))), T262)</f>
        <v/>
      </c>
      <c r="V262" s="84" t="str">
        <f t="shared" si="74"/>
        <v/>
      </c>
      <c r="W262" s="84" t="str">
        <f t="shared" si="60"/>
        <v/>
      </c>
      <c r="X262" s="21" t="str">
        <f t="shared" si="61"/>
        <v/>
      </c>
      <c r="Y262" s="60" t="str">
        <f t="shared" si="62"/>
        <v/>
      </c>
      <c r="Z262" s="60" t="str">
        <f t="shared" si="63"/>
        <v/>
      </c>
      <c r="AA262" s="64" t="str">
        <f t="shared" si="64"/>
        <v/>
      </c>
      <c r="AB262" s="64" t="str">
        <f>IF(AND(AA262&lt;&gt;"",AA262&lt;&gt;0), IF(E262="Muni", AA262, IF(E262 = "Corp", (1-'Investor Input'!$C$4-'Investor Input'!$C$5)*AA262, (1-'Investor Input'!$C$4)*AA262)), AA262)</f>
        <v/>
      </c>
      <c r="AC262" s="94" t="str">
        <f t="shared" si="65"/>
        <v/>
      </c>
      <c r="AD262" s="60" t="str">
        <f>IF(AND(M262&lt;&gt;"", M262&lt;&gt;0), N262/$N$505*MATCH(AC262,'Misc Lists'!$K$2:$K$25,0), "")</f>
        <v/>
      </c>
      <c r="AE262" s="90" t="str">
        <f t="shared" si="66"/>
        <v/>
      </c>
      <c r="AF262" s="99" t="str">
        <f>IF(AND(M262&lt;&gt;"", M262&lt;&gt;0), N262/$N$505*MATCH(AE262,'Misc Lists'!$L$2:$L$25,0), "")</f>
        <v/>
      </c>
    </row>
    <row r="263" spans="2:32" hidden="1" outlineLevel="1" x14ac:dyDescent="0.5">
      <c r="B263" s="60" t="str">
        <f ca="1"/>
        <v>912810FE3</v>
      </c>
      <c r="C263" s="61" t="str">
        <f ca="1"/>
        <v>N/A</v>
      </c>
      <c r="D263" s="60" t="str">
        <f ca="1"/>
        <v>UNITED STATES TREAS BDS                 5.50000% 08/15/2028</v>
      </c>
      <c r="E263" s="61" t="str">
        <f ca="1"/>
        <v>Tres</v>
      </c>
      <c r="F263" s="62">
        <f ca="1"/>
        <v>5.5</v>
      </c>
      <c r="G263" s="63">
        <f ca="1"/>
        <v>46980</v>
      </c>
      <c r="H263" s="61" t="str">
        <f ca="1"/>
        <v>AAA</v>
      </c>
      <c r="I263" s="61" t="str">
        <f ca="1"/>
        <v>--</v>
      </c>
      <c r="J263" s="64">
        <f ca="1"/>
        <v>104.398</v>
      </c>
      <c r="K263" s="17">
        <f ca="1"/>
        <v>4.1340000000000003</v>
      </c>
      <c r="L263" s="17" t="str">
        <f ca="1"/>
        <v>40,000(5)</v>
      </c>
      <c r="M263" s="83"/>
      <c r="N263" s="84" t="str">
        <f t="shared" si="67"/>
        <v/>
      </c>
      <c r="O263" s="20" t="str">
        <f t="shared" si="68"/>
        <v/>
      </c>
      <c r="P263" s="64" t="str">
        <f t="shared" si="69"/>
        <v/>
      </c>
      <c r="Q263" s="85" t="str">
        <f t="shared" ca="1" si="70"/>
        <v/>
      </c>
      <c r="R263" s="86" t="str">
        <f t="shared" si="71"/>
        <v/>
      </c>
      <c r="S263" s="86" t="str">
        <f t="shared" si="72"/>
        <v/>
      </c>
      <c r="T263" s="104" t="str">
        <f t="shared" si="73"/>
        <v/>
      </c>
      <c r="U263" s="19" t="str">
        <f>IF(AND(M263&lt;&gt;"",M263&lt;&gt;0), IF(E263 = "Muni", T263, IF(E263="Corp", T263*(1 -'Investor Input'!$C$4-'Investor Input'!$C$5), T263*(1 -'Investor Input'!$C$4))), T263)</f>
        <v/>
      </c>
      <c r="V263" s="84" t="str">
        <f t="shared" si="74"/>
        <v/>
      </c>
      <c r="W263" s="84" t="str">
        <f t="shared" si="60"/>
        <v/>
      </c>
      <c r="X263" s="21" t="str">
        <f t="shared" si="61"/>
        <v/>
      </c>
      <c r="Y263" s="60" t="str">
        <f t="shared" si="62"/>
        <v/>
      </c>
      <c r="Z263" s="60" t="str">
        <f t="shared" si="63"/>
        <v/>
      </c>
      <c r="AA263" s="64" t="str">
        <f t="shared" si="64"/>
        <v/>
      </c>
      <c r="AB263" s="64" t="str">
        <f>IF(AND(AA263&lt;&gt;"",AA263&lt;&gt;0), IF(E263="Muni", AA263, IF(E263 = "Corp", (1-'Investor Input'!$C$4-'Investor Input'!$C$5)*AA263, (1-'Investor Input'!$C$4)*AA263)), AA263)</f>
        <v/>
      </c>
      <c r="AC263" s="94" t="str">
        <f t="shared" si="65"/>
        <v/>
      </c>
      <c r="AD263" s="60" t="str">
        <f>IF(AND(M263&lt;&gt;"", M263&lt;&gt;0), N263/$N$505*MATCH(AC263,'Misc Lists'!$K$2:$K$25,0), "")</f>
        <v/>
      </c>
      <c r="AE263" s="90" t="str">
        <f t="shared" si="66"/>
        <v/>
      </c>
      <c r="AF263" s="99" t="str">
        <f>IF(AND(M263&lt;&gt;"", M263&lt;&gt;0), N263/$N$505*MATCH(AE263,'Misc Lists'!$L$2:$L$25,0), "")</f>
        <v/>
      </c>
    </row>
    <row r="264" spans="2:32" hidden="1" outlineLevel="1" x14ac:dyDescent="0.5">
      <c r="B264" s="60" t="str">
        <f ca="1"/>
        <v>912810FB9</v>
      </c>
      <c r="C264" s="61" t="str">
        <f ca="1"/>
        <v>N/A</v>
      </c>
      <c r="D264" s="60" t="str">
        <f ca="1"/>
        <v>UNITED STATES TREAS BDS                 6.12500% 11/15/2027</v>
      </c>
      <c r="E264" s="61" t="str">
        <f ca="1"/>
        <v>Tres</v>
      </c>
      <c r="F264" s="62">
        <f ca="1"/>
        <v>6.125</v>
      </c>
      <c r="G264" s="63">
        <f ca="1"/>
        <v>46706</v>
      </c>
      <c r="H264" s="61" t="str">
        <f ca="1"/>
        <v>AAA</v>
      </c>
      <c r="I264" s="61" t="str">
        <f ca="1"/>
        <v>--</v>
      </c>
      <c r="J264" s="64">
        <f ca="1"/>
        <v>105.102</v>
      </c>
      <c r="K264" s="17">
        <f ca="1"/>
        <v>4.1310000000000002</v>
      </c>
      <c r="L264" s="17" t="str">
        <f ca="1"/>
        <v>5,000(1)</v>
      </c>
      <c r="M264" s="83"/>
      <c r="N264" s="84" t="str">
        <f t="shared" si="67"/>
        <v/>
      </c>
      <c r="O264" s="20" t="str">
        <f t="shared" si="68"/>
        <v/>
      </c>
      <c r="P264" s="64" t="str">
        <f t="shared" si="69"/>
        <v/>
      </c>
      <c r="Q264" s="85" t="str">
        <f t="shared" ca="1" si="70"/>
        <v/>
      </c>
      <c r="R264" s="86" t="str">
        <f t="shared" si="71"/>
        <v/>
      </c>
      <c r="S264" s="86" t="str">
        <f t="shared" si="72"/>
        <v/>
      </c>
      <c r="T264" s="104" t="str">
        <f t="shared" si="73"/>
        <v/>
      </c>
      <c r="U264" s="19" t="str">
        <f>IF(AND(M264&lt;&gt;"",M264&lt;&gt;0), IF(E264 = "Muni", T264, IF(E264="Corp", T264*(1 -'Investor Input'!$C$4-'Investor Input'!$C$5), T264*(1 -'Investor Input'!$C$4))), T264)</f>
        <v/>
      </c>
      <c r="V264" s="84" t="str">
        <f t="shared" si="74"/>
        <v/>
      </c>
      <c r="W264" s="84" t="str">
        <f t="shared" si="60"/>
        <v/>
      </c>
      <c r="X264" s="21" t="str">
        <f t="shared" si="61"/>
        <v/>
      </c>
      <c r="Y264" s="60" t="str">
        <f t="shared" si="62"/>
        <v/>
      </c>
      <c r="Z264" s="60" t="str">
        <f t="shared" si="63"/>
        <v/>
      </c>
      <c r="AA264" s="64" t="str">
        <f t="shared" si="64"/>
        <v/>
      </c>
      <c r="AB264" s="64" t="str">
        <f>IF(AND(AA264&lt;&gt;"",AA264&lt;&gt;0), IF(E264="Muni", AA264, IF(E264 = "Corp", (1-'Investor Input'!$C$4-'Investor Input'!$C$5)*AA264, (1-'Investor Input'!$C$4)*AA264)), AA264)</f>
        <v/>
      </c>
      <c r="AC264" s="94" t="str">
        <f t="shared" si="65"/>
        <v/>
      </c>
      <c r="AD264" s="60" t="str">
        <f>IF(AND(M264&lt;&gt;"", M264&lt;&gt;0), N264/$N$505*MATCH(AC264,'Misc Lists'!$K$2:$K$25,0), "")</f>
        <v/>
      </c>
      <c r="AE264" s="90" t="str">
        <f t="shared" si="66"/>
        <v/>
      </c>
      <c r="AF264" s="99" t="str">
        <f>IF(AND(M264&lt;&gt;"", M264&lt;&gt;0), N264/$N$505*MATCH(AE264,'Misc Lists'!$L$2:$L$25,0), "")</f>
        <v/>
      </c>
    </row>
    <row r="265" spans="2:32" hidden="1" outlineLevel="1" x14ac:dyDescent="0.5">
      <c r="B265" s="60" t="str">
        <f ca="1"/>
        <v>912810FA1</v>
      </c>
      <c r="C265" s="61" t="str">
        <f ca="1"/>
        <v>N/A</v>
      </c>
      <c r="D265" s="60" t="str">
        <f ca="1"/>
        <v>UNITED STATES TREAS BDS                 6.37500% 08/15/2027</v>
      </c>
      <c r="E265" s="61" t="str">
        <f ca="1"/>
        <v>Tres</v>
      </c>
      <c r="F265" s="62">
        <f ca="1"/>
        <v>6.375</v>
      </c>
      <c r="G265" s="63">
        <f ca="1"/>
        <v>46614</v>
      </c>
      <c r="H265" s="61" t="str">
        <f ca="1"/>
        <v>AAA</v>
      </c>
      <c r="I265" s="61" t="str">
        <f ca="1"/>
        <v>--</v>
      </c>
      <c r="J265" s="64">
        <f ca="1"/>
        <v>105.282</v>
      </c>
      <c r="K265" s="17">
        <f ca="1"/>
        <v>4.1219999999999999</v>
      </c>
      <c r="L265" s="17" t="str">
        <f ca="1"/>
        <v>13,000(200)</v>
      </c>
      <c r="M265" s="83"/>
      <c r="N265" s="84" t="str">
        <f t="shared" si="67"/>
        <v/>
      </c>
      <c r="O265" s="20" t="str">
        <f t="shared" si="68"/>
        <v/>
      </c>
      <c r="P265" s="64" t="str">
        <f t="shared" si="69"/>
        <v/>
      </c>
      <c r="Q265" s="85" t="str">
        <f t="shared" ca="1" si="70"/>
        <v/>
      </c>
      <c r="R265" s="86" t="str">
        <f t="shared" si="71"/>
        <v/>
      </c>
      <c r="S265" s="86" t="str">
        <f t="shared" si="72"/>
        <v/>
      </c>
      <c r="T265" s="104" t="str">
        <f t="shared" si="73"/>
        <v/>
      </c>
      <c r="U265" s="19" t="str">
        <f>IF(AND(M265&lt;&gt;"",M265&lt;&gt;0), IF(E265 = "Muni", T265, IF(E265="Corp", T265*(1 -'Investor Input'!$C$4-'Investor Input'!$C$5), T265*(1 -'Investor Input'!$C$4))), T265)</f>
        <v/>
      </c>
      <c r="V265" s="84" t="str">
        <f t="shared" si="74"/>
        <v/>
      </c>
      <c r="W265" s="84" t="str">
        <f t="shared" si="60"/>
        <v/>
      </c>
      <c r="X265" s="21" t="str">
        <f t="shared" si="61"/>
        <v/>
      </c>
      <c r="Y265" s="60" t="str">
        <f t="shared" si="62"/>
        <v/>
      </c>
      <c r="Z265" s="60" t="str">
        <f t="shared" si="63"/>
        <v/>
      </c>
      <c r="AA265" s="64" t="str">
        <f t="shared" si="64"/>
        <v/>
      </c>
      <c r="AB265" s="64" t="str">
        <f>IF(AND(AA265&lt;&gt;"",AA265&lt;&gt;0), IF(E265="Muni", AA265, IF(E265 = "Corp", (1-'Investor Input'!$C$4-'Investor Input'!$C$5)*AA265, (1-'Investor Input'!$C$4)*AA265)), AA265)</f>
        <v/>
      </c>
      <c r="AC265" s="94" t="str">
        <f t="shared" si="65"/>
        <v/>
      </c>
      <c r="AD265" s="60" t="str">
        <f>IF(AND(M265&lt;&gt;"", M265&lt;&gt;0), N265/$N$505*MATCH(AC265,'Misc Lists'!$K$2:$K$25,0), "")</f>
        <v/>
      </c>
      <c r="AE265" s="90" t="str">
        <f t="shared" si="66"/>
        <v/>
      </c>
      <c r="AF265" s="99" t="str">
        <f>IF(AND(M265&lt;&gt;"", M265&lt;&gt;0), N265/$N$505*MATCH(AE265,'Misc Lists'!$L$2:$L$25,0), "")</f>
        <v/>
      </c>
    </row>
    <row r="266" spans="2:32" hidden="1" outlineLevel="1" x14ac:dyDescent="0.5">
      <c r="B266" s="60" t="str">
        <f ca="1"/>
        <v>91282CEH0</v>
      </c>
      <c r="C266" s="61" t="str">
        <f ca="1"/>
        <v>N/A</v>
      </c>
      <c r="D266" s="60" t="str">
        <f ca="1"/>
        <v>UNITED STATES TREAS SER AM-2025         2.62500% 04/15/2025 NTS NOTE</v>
      </c>
      <c r="E266" s="61" t="str">
        <f ca="1"/>
        <v>Tres</v>
      </c>
      <c r="F266" s="62">
        <f ca="1"/>
        <v>2.625</v>
      </c>
      <c r="G266" s="63">
        <f ca="1"/>
        <v>45762</v>
      </c>
      <c r="H266" s="61" t="str">
        <f ca="1"/>
        <v>AAA</v>
      </c>
      <c r="I266" s="61" t="str">
        <f ca="1"/>
        <v>--</v>
      </c>
      <c r="J266" s="64">
        <f ca="1"/>
        <v>99.766999999999996</v>
      </c>
      <c r="K266" s="17">
        <f ca="1"/>
        <v>4.117</v>
      </c>
      <c r="L266" s="17" t="str">
        <f ca="1"/>
        <v>5,600(200)</v>
      </c>
      <c r="M266" s="83"/>
      <c r="N266" s="84" t="str">
        <f t="shared" si="67"/>
        <v/>
      </c>
      <c r="O266" s="20" t="str">
        <f t="shared" si="68"/>
        <v/>
      </c>
      <c r="P266" s="64" t="str">
        <f t="shared" si="69"/>
        <v/>
      </c>
      <c r="Q266" s="85" t="str">
        <f t="shared" ca="1" si="70"/>
        <v/>
      </c>
      <c r="R266" s="86" t="str">
        <f t="shared" si="71"/>
        <v/>
      </c>
      <c r="S266" s="86" t="str">
        <f t="shared" si="72"/>
        <v/>
      </c>
      <c r="T266" s="104" t="str">
        <f t="shared" si="73"/>
        <v/>
      </c>
      <c r="U266" s="19" t="str">
        <f>IF(AND(M266&lt;&gt;"",M266&lt;&gt;0), IF(E266 = "Muni", T266, IF(E266="Corp", T266*(1 -'Investor Input'!$C$4-'Investor Input'!$C$5), T266*(1 -'Investor Input'!$C$4))), T266)</f>
        <v/>
      </c>
      <c r="V266" s="84" t="str">
        <f t="shared" si="74"/>
        <v/>
      </c>
      <c r="W266" s="84" t="str">
        <f t="shared" si="60"/>
        <v/>
      </c>
      <c r="X266" s="21" t="str">
        <f t="shared" si="61"/>
        <v/>
      </c>
      <c r="Y266" s="60" t="str">
        <f t="shared" si="62"/>
        <v/>
      </c>
      <c r="Z266" s="60" t="str">
        <f t="shared" si="63"/>
        <v/>
      </c>
      <c r="AA266" s="64" t="str">
        <f t="shared" si="64"/>
        <v/>
      </c>
      <c r="AB266" s="64" t="str">
        <f>IF(AND(AA266&lt;&gt;"",AA266&lt;&gt;0), IF(E266="Muni", AA266, IF(E266 = "Corp", (1-'Investor Input'!$C$4-'Investor Input'!$C$5)*AA266, (1-'Investor Input'!$C$4)*AA266)), AA266)</f>
        <v/>
      </c>
      <c r="AC266" s="94" t="str">
        <f t="shared" si="65"/>
        <v/>
      </c>
      <c r="AD266" s="60" t="str">
        <f>IF(AND(M266&lt;&gt;"", M266&lt;&gt;0), N266/$N$505*MATCH(AC266,'Misc Lists'!$K$2:$K$25,0), "")</f>
        <v/>
      </c>
      <c r="AE266" s="90" t="str">
        <f t="shared" si="66"/>
        <v/>
      </c>
      <c r="AF266" s="99" t="str">
        <f>IF(AND(M266&lt;&gt;"", M266&lt;&gt;0), N266/$N$505*MATCH(AE266,'Misc Lists'!$L$2:$L$25,0), "")</f>
        <v/>
      </c>
    </row>
    <row r="267" spans="2:32" hidden="1" outlineLevel="1" x14ac:dyDescent="0.5">
      <c r="B267" s="60" t="str">
        <f ca="1"/>
        <v>91282CGN5</v>
      </c>
      <c r="C267" s="61" t="str">
        <f ca="1"/>
        <v>N/A</v>
      </c>
      <c r="D267" s="60" t="str">
        <f ca="1"/>
        <v>UNITED STATES TREAS SER AY-2025         4.62500% 02/28/2025 NTS NOTE</v>
      </c>
      <c r="E267" s="61" t="str">
        <f ca="1"/>
        <v>Tres</v>
      </c>
      <c r="F267" s="62">
        <f ca="1"/>
        <v>4.625</v>
      </c>
      <c r="G267" s="63">
        <f ca="1"/>
        <v>45716</v>
      </c>
      <c r="H267" s="61" t="str">
        <f ca="1"/>
        <v>AAA</v>
      </c>
      <c r="I267" s="61" t="str">
        <f ca="1"/>
        <v>--</v>
      </c>
      <c r="J267" s="64">
        <f ca="1"/>
        <v>100.012</v>
      </c>
      <c r="K267" s="17">
        <f ca="1"/>
        <v>4.1100000000000003</v>
      </c>
      <c r="L267" s="17" t="str">
        <f ca="1"/>
        <v>30,000(600)</v>
      </c>
      <c r="M267" s="83"/>
      <c r="N267" s="84" t="str">
        <f t="shared" si="67"/>
        <v/>
      </c>
      <c r="O267" s="20" t="str">
        <f t="shared" si="68"/>
        <v/>
      </c>
      <c r="P267" s="64" t="str">
        <f t="shared" si="69"/>
        <v/>
      </c>
      <c r="Q267" s="85" t="str">
        <f t="shared" ca="1" si="70"/>
        <v/>
      </c>
      <c r="R267" s="86" t="str">
        <f t="shared" si="71"/>
        <v/>
      </c>
      <c r="S267" s="86" t="str">
        <f t="shared" si="72"/>
        <v/>
      </c>
      <c r="T267" s="104" t="str">
        <f t="shared" si="73"/>
        <v/>
      </c>
      <c r="U267" s="19" t="str">
        <f>IF(AND(M267&lt;&gt;"",M267&lt;&gt;0), IF(E267 = "Muni", T267, IF(E267="Corp", T267*(1 -'Investor Input'!$C$4-'Investor Input'!$C$5), T267*(1 -'Investor Input'!$C$4))), T267)</f>
        <v/>
      </c>
      <c r="V267" s="84" t="str">
        <f t="shared" si="74"/>
        <v/>
      </c>
      <c r="W267" s="84" t="str">
        <f t="shared" si="60"/>
        <v/>
      </c>
      <c r="X267" s="21" t="str">
        <f t="shared" si="61"/>
        <v/>
      </c>
      <c r="Y267" s="60" t="str">
        <f t="shared" si="62"/>
        <v/>
      </c>
      <c r="Z267" s="60" t="str">
        <f t="shared" si="63"/>
        <v/>
      </c>
      <c r="AA267" s="64" t="str">
        <f t="shared" si="64"/>
        <v/>
      </c>
      <c r="AB267" s="64" t="str">
        <f>IF(AND(AA267&lt;&gt;"",AA267&lt;&gt;0), IF(E267="Muni", AA267, IF(E267 = "Corp", (1-'Investor Input'!$C$4-'Investor Input'!$C$5)*AA267, (1-'Investor Input'!$C$4)*AA267)), AA267)</f>
        <v/>
      </c>
      <c r="AC267" s="94" t="str">
        <f t="shared" si="65"/>
        <v/>
      </c>
      <c r="AD267" s="60" t="str">
        <f>IF(AND(M267&lt;&gt;"", M267&lt;&gt;0), N267/$N$505*MATCH(AC267,'Misc Lists'!$K$2:$K$25,0), "")</f>
        <v/>
      </c>
      <c r="AE267" s="90" t="str">
        <f t="shared" si="66"/>
        <v/>
      </c>
      <c r="AF267" s="99" t="str">
        <f>IF(AND(M267&lt;&gt;"", M267&lt;&gt;0), N267/$N$505*MATCH(AE267,'Misc Lists'!$L$2:$L$25,0), "")</f>
        <v/>
      </c>
    </row>
    <row r="268" spans="2:32" hidden="1" outlineLevel="1" x14ac:dyDescent="0.5">
      <c r="B268" s="60" t="str">
        <f ca="1"/>
        <v>9128284F4</v>
      </c>
      <c r="C268" s="61" t="str">
        <f ca="1"/>
        <v>N/A</v>
      </c>
      <c r="D268" s="60" t="str">
        <f ca="1"/>
        <v>UNITED STATES TREAS SER J-2025          2.62500% 03/31/2025 NTS NOTE</v>
      </c>
      <c r="E268" s="61" t="str">
        <f ca="1"/>
        <v>Tres</v>
      </c>
      <c r="F268" s="62">
        <f ca="1"/>
        <v>2.625</v>
      </c>
      <c r="G268" s="63">
        <f ca="1"/>
        <v>45747</v>
      </c>
      <c r="H268" s="61" t="str">
        <f ca="1"/>
        <v>AAA</v>
      </c>
      <c r="I268" s="61" t="str">
        <f ca="1"/>
        <v>--</v>
      </c>
      <c r="J268" s="64">
        <f ca="1"/>
        <v>99.832999999999998</v>
      </c>
      <c r="K268" s="17">
        <f ca="1"/>
        <v>4.0810000000000004</v>
      </c>
      <c r="L268" s="17" t="str">
        <f ca="1"/>
        <v>30,000(600)</v>
      </c>
      <c r="M268" s="83"/>
      <c r="N268" s="84" t="str">
        <f t="shared" si="67"/>
        <v/>
      </c>
      <c r="O268" s="20" t="str">
        <f t="shared" si="68"/>
        <v/>
      </c>
      <c r="P268" s="64" t="str">
        <f t="shared" si="69"/>
        <v/>
      </c>
      <c r="Q268" s="85" t="str">
        <f t="shared" ca="1" si="70"/>
        <v/>
      </c>
      <c r="R268" s="86" t="str">
        <f t="shared" si="71"/>
        <v/>
      </c>
      <c r="S268" s="86" t="str">
        <f t="shared" si="72"/>
        <v/>
      </c>
      <c r="T268" s="104" t="str">
        <f t="shared" si="73"/>
        <v/>
      </c>
      <c r="U268" s="19" t="str">
        <f>IF(AND(M268&lt;&gt;"",M268&lt;&gt;0), IF(E268 = "Muni", T268, IF(E268="Corp", T268*(1 -'Investor Input'!$C$4-'Investor Input'!$C$5), T268*(1 -'Investor Input'!$C$4))), T268)</f>
        <v/>
      </c>
      <c r="V268" s="84" t="str">
        <f t="shared" si="74"/>
        <v/>
      </c>
      <c r="W268" s="84" t="str">
        <f t="shared" si="60"/>
        <v/>
      </c>
      <c r="X268" s="21" t="str">
        <f t="shared" si="61"/>
        <v/>
      </c>
      <c r="Y268" s="60" t="str">
        <f t="shared" si="62"/>
        <v/>
      </c>
      <c r="Z268" s="60" t="str">
        <f t="shared" si="63"/>
        <v/>
      </c>
      <c r="AA268" s="64" t="str">
        <f t="shared" si="64"/>
        <v/>
      </c>
      <c r="AB268" s="64" t="str">
        <f>IF(AND(AA268&lt;&gt;"",AA268&lt;&gt;0), IF(E268="Muni", AA268, IF(E268 = "Corp", (1-'Investor Input'!$C$4-'Investor Input'!$C$5)*AA268, (1-'Investor Input'!$C$4)*AA268)), AA268)</f>
        <v/>
      </c>
      <c r="AC268" s="94" t="str">
        <f t="shared" si="65"/>
        <v/>
      </c>
      <c r="AD268" s="60" t="str">
        <f>IF(AND(M268&lt;&gt;"", M268&lt;&gt;0), N268/$N$505*MATCH(AC268,'Misc Lists'!$K$2:$K$25,0), "")</f>
        <v/>
      </c>
      <c r="AE268" s="90" t="str">
        <f t="shared" si="66"/>
        <v/>
      </c>
      <c r="AF268" s="99" t="str">
        <f>IF(AND(M268&lt;&gt;"", M268&lt;&gt;0), N268/$N$505*MATCH(AE268,'Misc Lists'!$L$2:$L$25,0), "")</f>
        <v/>
      </c>
    </row>
    <row r="269" spans="2:32" hidden="1" outlineLevel="1" x14ac:dyDescent="0.5">
      <c r="B269" s="60" t="str">
        <f ca="1"/>
        <v>912828ZF0</v>
      </c>
      <c r="C269" s="61" t="str">
        <f ca="1"/>
        <v>N/A</v>
      </c>
      <c r="D269" s="60" t="str">
        <f ca="1"/>
        <v>UNITED STATES TREAS NOTE                0.50000% 03/31/2025</v>
      </c>
      <c r="E269" s="61" t="str">
        <f ca="1"/>
        <v>Tres</v>
      </c>
      <c r="F269" s="62">
        <f ca="1"/>
        <v>0.5</v>
      </c>
      <c r="G269" s="63">
        <f ca="1"/>
        <v>45747</v>
      </c>
      <c r="H269" s="61" t="str">
        <f ca="1"/>
        <v>AAA</v>
      </c>
      <c r="I269" s="61" t="str">
        <f ca="1"/>
        <v>NR</v>
      </c>
      <c r="J269" s="64">
        <f ca="1"/>
        <v>99.597999999999999</v>
      </c>
      <c r="K269" s="17">
        <f ca="1"/>
        <v>4.08</v>
      </c>
      <c r="L269" s="17" t="str">
        <f ca="1"/>
        <v>30,000(600)</v>
      </c>
      <c r="M269" s="83"/>
      <c r="N269" s="84" t="str">
        <f t="shared" si="67"/>
        <v/>
      </c>
      <c r="O269" s="20" t="str">
        <f t="shared" si="68"/>
        <v/>
      </c>
      <c r="P269" s="64" t="str">
        <f t="shared" si="69"/>
        <v/>
      </c>
      <c r="Q269" s="85" t="str">
        <f t="shared" ca="1" si="70"/>
        <v/>
      </c>
      <c r="R269" s="86" t="str">
        <f t="shared" si="71"/>
        <v/>
      </c>
      <c r="S269" s="86" t="str">
        <f t="shared" si="72"/>
        <v/>
      </c>
      <c r="T269" s="104" t="str">
        <f t="shared" si="73"/>
        <v/>
      </c>
      <c r="U269" s="19" t="str">
        <f>IF(AND(M269&lt;&gt;"",M269&lt;&gt;0), IF(E269 = "Muni", T269, IF(E269="Corp", T269*(1 -'Investor Input'!$C$4-'Investor Input'!$C$5), T269*(1 -'Investor Input'!$C$4))), T269)</f>
        <v/>
      </c>
      <c r="V269" s="84" t="str">
        <f t="shared" si="74"/>
        <v/>
      </c>
      <c r="W269" s="84" t="str">
        <f t="shared" si="60"/>
        <v/>
      </c>
      <c r="X269" s="21" t="str">
        <f t="shared" si="61"/>
        <v/>
      </c>
      <c r="Y269" s="60" t="str">
        <f t="shared" si="62"/>
        <v/>
      </c>
      <c r="Z269" s="60" t="str">
        <f t="shared" si="63"/>
        <v/>
      </c>
      <c r="AA269" s="64" t="str">
        <f t="shared" si="64"/>
        <v/>
      </c>
      <c r="AB269" s="64" t="str">
        <f>IF(AND(AA269&lt;&gt;"",AA269&lt;&gt;0), IF(E269="Muni", AA269, IF(E269 = "Corp", (1-'Investor Input'!$C$4-'Investor Input'!$C$5)*AA269, (1-'Investor Input'!$C$4)*AA269)), AA269)</f>
        <v/>
      </c>
      <c r="AC269" s="94" t="str">
        <f t="shared" si="65"/>
        <v/>
      </c>
      <c r="AD269" s="60" t="str">
        <f>IF(AND(M269&lt;&gt;"", M269&lt;&gt;0), N269/$N$505*MATCH(AC269,'Misc Lists'!$K$2:$K$25,0), "")</f>
        <v/>
      </c>
      <c r="AE269" s="90" t="str">
        <f t="shared" si="66"/>
        <v/>
      </c>
      <c r="AF269" s="99" t="str">
        <f>IF(AND(M269&lt;&gt;"", M269&lt;&gt;0), N269/$N$505*MATCH(AE269,'Misc Lists'!$L$2:$L$25,0), "")</f>
        <v/>
      </c>
    </row>
    <row r="270" spans="2:32" hidden="1" outlineLevel="1" x14ac:dyDescent="0.5">
      <c r="B270" s="60" t="str">
        <f ca="1"/>
        <v>91282CGU9</v>
      </c>
      <c r="C270" s="61" t="str">
        <f ca="1"/>
        <v>N/A</v>
      </c>
      <c r="D270" s="60" t="str">
        <f ca="1"/>
        <v>UNITED STATES TREAS SER AZ-2025         3.87500% 03/31/2025 NTS NOTE</v>
      </c>
      <c r="E270" s="61" t="str">
        <f ca="1"/>
        <v>Tres</v>
      </c>
      <c r="F270" s="62">
        <f ca="1"/>
        <v>3.875</v>
      </c>
      <c r="G270" s="63">
        <f ca="1"/>
        <v>45747</v>
      </c>
      <c r="H270" s="61" t="str">
        <f ca="1"/>
        <v>AAA</v>
      </c>
      <c r="I270" s="61" t="str">
        <f ca="1"/>
        <v>--</v>
      </c>
      <c r="J270" s="64">
        <f ca="1"/>
        <v>99.972999999999999</v>
      </c>
      <c r="K270" s="17">
        <f ca="1"/>
        <v>4.0570000000000004</v>
      </c>
      <c r="L270" s="17" t="str">
        <f ca="1"/>
        <v>30,000(600)</v>
      </c>
      <c r="M270" s="83"/>
      <c r="N270" s="84" t="str">
        <f t="shared" si="67"/>
        <v/>
      </c>
      <c r="O270" s="20" t="str">
        <f t="shared" si="68"/>
        <v/>
      </c>
      <c r="P270" s="64" t="str">
        <f t="shared" si="69"/>
        <v/>
      </c>
      <c r="Q270" s="85" t="str">
        <f t="shared" ca="1" si="70"/>
        <v/>
      </c>
      <c r="R270" s="86" t="str">
        <f t="shared" si="71"/>
        <v/>
      </c>
      <c r="S270" s="86" t="str">
        <f t="shared" si="72"/>
        <v/>
      </c>
      <c r="T270" s="104" t="str">
        <f t="shared" si="73"/>
        <v/>
      </c>
      <c r="U270" s="19" t="str">
        <f>IF(AND(M270&lt;&gt;"",M270&lt;&gt;0), IF(E270 = "Muni", T270, IF(E270="Corp", T270*(1 -'Investor Input'!$C$4-'Investor Input'!$C$5), T270*(1 -'Investor Input'!$C$4))), T270)</f>
        <v/>
      </c>
      <c r="V270" s="84" t="str">
        <f t="shared" si="74"/>
        <v/>
      </c>
      <c r="W270" s="84" t="str">
        <f t="shared" si="60"/>
        <v/>
      </c>
      <c r="X270" s="21" t="str">
        <f t="shared" si="61"/>
        <v/>
      </c>
      <c r="Y270" s="60" t="str">
        <f t="shared" si="62"/>
        <v/>
      </c>
      <c r="Z270" s="60" t="str">
        <f t="shared" si="63"/>
        <v/>
      </c>
      <c r="AA270" s="64" t="str">
        <f t="shared" si="64"/>
        <v/>
      </c>
      <c r="AB270" s="64" t="str">
        <f>IF(AND(AA270&lt;&gt;"",AA270&lt;&gt;0), IF(E270="Muni", AA270, IF(E270 = "Corp", (1-'Investor Input'!$C$4-'Investor Input'!$C$5)*AA270, (1-'Investor Input'!$C$4)*AA270)), AA270)</f>
        <v/>
      </c>
      <c r="AC270" s="94" t="str">
        <f t="shared" si="65"/>
        <v/>
      </c>
      <c r="AD270" s="60" t="str">
        <f>IF(AND(M270&lt;&gt;"", M270&lt;&gt;0), N270/$N$505*MATCH(AC270,'Misc Lists'!$K$2:$K$25,0), "")</f>
        <v/>
      </c>
      <c r="AE270" s="90" t="str">
        <f t="shared" si="66"/>
        <v/>
      </c>
      <c r="AF270" s="99" t="str">
        <f>IF(AND(M270&lt;&gt;"", M270&lt;&gt;0), N270/$N$505*MATCH(AE270,'Misc Lists'!$L$2:$L$25,0), "")</f>
        <v/>
      </c>
    </row>
    <row r="271" spans="2:32" hidden="1" outlineLevel="1" x14ac:dyDescent="0.5">
      <c r="B271" s="60" t="str">
        <f ca="1"/>
        <v>912810EX2</v>
      </c>
      <c r="C271" s="61" t="str">
        <f ca="1"/>
        <v>N/A</v>
      </c>
      <c r="D271" s="60" t="str">
        <f ca="1"/>
        <v>UNITED STATES TREAS BDS                 6.75000% 08/15/2026</v>
      </c>
      <c r="E271" s="61" t="str">
        <f ca="1"/>
        <v>Tres</v>
      </c>
      <c r="F271" s="62">
        <f ca="1"/>
        <v>6.75</v>
      </c>
      <c r="G271" s="63">
        <f ca="1"/>
        <v>46249</v>
      </c>
      <c r="H271" s="61" t="str">
        <f ca="1"/>
        <v>AAA</v>
      </c>
      <c r="I271" s="61" t="str">
        <f ca="1"/>
        <v>--</v>
      </c>
      <c r="J271" s="64">
        <f ca="1"/>
        <v>103.911</v>
      </c>
      <c r="K271" s="17">
        <f ca="1"/>
        <v>4.0220000000000002</v>
      </c>
      <c r="L271" s="17" t="str">
        <f ca="1"/>
        <v>27,000(200)</v>
      </c>
      <c r="M271" s="83"/>
      <c r="N271" s="84" t="str">
        <f t="shared" si="67"/>
        <v/>
      </c>
      <c r="O271" s="20" t="str">
        <f t="shared" si="68"/>
        <v/>
      </c>
      <c r="P271" s="64" t="str">
        <f t="shared" si="69"/>
        <v/>
      </c>
      <c r="Q271" s="85" t="str">
        <f t="shared" ca="1" si="70"/>
        <v/>
      </c>
      <c r="R271" s="86" t="str">
        <f t="shared" si="71"/>
        <v/>
      </c>
      <c r="S271" s="86" t="str">
        <f t="shared" si="72"/>
        <v/>
      </c>
      <c r="T271" s="104" t="str">
        <f t="shared" si="73"/>
        <v/>
      </c>
      <c r="U271" s="19" t="str">
        <f>IF(AND(M271&lt;&gt;"",M271&lt;&gt;0), IF(E271 = "Muni", T271, IF(E271="Corp", T271*(1 -'Investor Input'!$C$4-'Investor Input'!$C$5), T271*(1 -'Investor Input'!$C$4))), T271)</f>
        <v/>
      </c>
      <c r="V271" s="84" t="str">
        <f t="shared" si="74"/>
        <v/>
      </c>
      <c r="W271" s="84" t="str">
        <f t="shared" si="60"/>
        <v/>
      </c>
      <c r="X271" s="21" t="str">
        <f t="shared" si="61"/>
        <v/>
      </c>
      <c r="Y271" s="60" t="str">
        <f t="shared" si="62"/>
        <v/>
      </c>
      <c r="Z271" s="60" t="str">
        <f t="shared" si="63"/>
        <v/>
      </c>
      <c r="AA271" s="64" t="str">
        <f t="shared" si="64"/>
        <v/>
      </c>
      <c r="AB271" s="64" t="str">
        <f>IF(AND(AA271&lt;&gt;"",AA271&lt;&gt;0), IF(E271="Muni", AA271, IF(E271 = "Corp", (1-'Investor Input'!$C$4-'Investor Input'!$C$5)*AA271, (1-'Investor Input'!$C$4)*AA271)), AA271)</f>
        <v/>
      </c>
      <c r="AC271" s="94" t="str">
        <f t="shared" si="65"/>
        <v/>
      </c>
      <c r="AD271" s="60" t="str">
        <f>IF(AND(M271&lt;&gt;"", M271&lt;&gt;0), N271/$N$505*MATCH(AC271,'Misc Lists'!$K$2:$K$25,0), "")</f>
        <v/>
      </c>
      <c r="AE271" s="90" t="str">
        <f t="shared" si="66"/>
        <v/>
      </c>
      <c r="AF271" s="99" t="str">
        <f>IF(AND(M271&lt;&gt;"", M271&lt;&gt;0), N271/$N$505*MATCH(AE271,'Misc Lists'!$L$2:$L$25,0), "")</f>
        <v/>
      </c>
    </row>
    <row r="272" spans="2:32" hidden="1" outlineLevel="1" x14ac:dyDescent="0.5">
      <c r="B272" s="60"/>
      <c r="C272" s="61"/>
      <c r="D272" s="60"/>
      <c r="E272" s="61"/>
      <c r="F272" s="62"/>
      <c r="G272" s="63"/>
      <c r="H272" s="61"/>
      <c r="I272" s="61"/>
      <c r="J272" s="64"/>
      <c r="K272" s="17"/>
      <c r="L272" s="17"/>
      <c r="M272" s="83"/>
      <c r="N272" s="84" t="str">
        <f t="shared" si="67"/>
        <v/>
      </c>
      <c r="O272" s="20" t="str">
        <f t="shared" si="68"/>
        <v/>
      </c>
      <c r="P272" s="64" t="str">
        <f t="shared" si="69"/>
        <v/>
      </c>
      <c r="Q272" s="85" t="str">
        <f t="shared" ca="1" si="70"/>
        <v/>
      </c>
      <c r="R272" s="86" t="str">
        <f t="shared" si="71"/>
        <v/>
      </c>
      <c r="S272" s="86" t="str">
        <f t="shared" si="72"/>
        <v/>
      </c>
      <c r="T272" s="104" t="str">
        <f t="shared" si="73"/>
        <v/>
      </c>
      <c r="U272" s="19" t="str">
        <f>IF(AND(M272&lt;&gt;"",M272&lt;&gt;0), IF(E272 = "Muni", T272, IF(E272="Corp", T272*(1 -'Investor Input'!$C$4-'Investor Input'!$C$5), T272*(1 -'Investor Input'!$C$4))), T272)</f>
        <v/>
      </c>
      <c r="V272" s="84" t="str">
        <f t="shared" si="74"/>
        <v/>
      </c>
      <c r="W272" s="84" t="str">
        <f t="shared" si="60"/>
        <v/>
      </c>
      <c r="X272" s="21" t="str">
        <f t="shared" si="61"/>
        <v/>
      </c>
      <c r="Y272" s="60" t="str">
        <f t="shared" si="62"/>
        <v/>
      </c>
      <c r="Z272" s="60" t="str">
        <f t="shared" si="63"/>
        <v/>
      </c>
      <c r="AA272" s="64" t="str">
        <f t="shared" si="64"/>
        <v/>
      </c>
      <c r="AB272" s="64" t="str">
        <f>IF(AND(AA272&lt;&gt;"",AA272&lt;&gt;0), IF(E272="Muni", AA272, IF(E272 = "Corp", (1-'Investor Input'!$C$4-'Investor Input'!$C$5)*AA272, (1-'Investor Input'!$C$4)*AA272)), AA272)</f>
        <v/>
      </c>
      <c r="AC272" s="94" t="str">
        <f t="shared" si="65"/>
        <v/>
      </c>
      <c r="AD272" s="60" t="str">
        <f>IF(AND(M272&lt;&gt;"", M272&lt;&gt;0), N272/$N$505*MATCH(AC272,'Misc Lists'!$K$2:$K$25,0), "")</f>
        <v/>
      </c>
      <c r="AE272" s="90" t="str">
        <f t="shared" si="66"/>
        <v/>
      </c>
      <c r="AF272" s="99" t="str">
        <f>IF(AND(M272&lt;&gt;"", M272&lt;&gt;0), N272/$N$505*MATCH(AE272,'Misc Lists'!$L$2:$L$25,0), "")</f>
        <v/>
      </c>
    </row>
    <row r="273" spans="2:32" hidden="1" outlineLevel="1" x14ac:dyDescent="0.5">
      <c r="B273" s="60"/>
      <c r="C273" s="61"/>
      <c r="D273" s="60"/>
      <c r="E273" s="61"/>
      <c r="F273" s="62"/>
      <c r="G273" s="63"/>
      <c r="H273" s="61"/>
      <c r="I273" s="61"/>
      <c r="J273" s="64"/>
      <c r="K273" s="17"/>
      <c r="L273" s="17"/>
      <c r="M273" s="83"/>
      <c r="N273" s="84" t="str">
        <f t="shared" si="67"/>
        <v/>
      </c>
      <c r="O273" s="20" t="str">
        <f t="shared" si="68"/>
        <v/>
      </c>
      <c r="P273" s="64" t="str">
        <f t="shared" si="69"/>
        <v/>
      </c>
      <c r="Q273" s="85" t="str">
        <f t="shared" ca="1" si="70"/>
        <v/>
      </c>
      <c r="R273" s="86" t="str">
        <f t="shared" si="71"/>
        <v/>
      </c>
      <c r="S273" s="86" t="str">
        <f t="shared" si="72"/>
        <v/>
      </c>
      <c r="T273" s="104" t="str">
        <f t="shared" si="73"/>
        <v/>
      </c>
      <c r="U273" s="19" t="str">
        <f>IF(AND(M273&lt;&gt;"",M273&lt;&gt;0), IF(E273 = "Muni", T273, IF(E273="Corp", T273*(1 -'Investor Input'!$C$4-'Investor Input'!$C$5), T273*(1 -'Investor Input'!$C$4))), T273)</f>
        <v/>
      </c>
      <c r="V273" s="84" t="str">
        <f t="shared" si="74"/>
        <v/>
      </c>
      <c r="W273" s="84" t="str">
        <f t="shared" si="60"/>
        <v/>
      </c>
      <c r="X273" s="21" t="str">
        <f t="shared" si="61"/>
        <v/>
      </c>
      <c r="Y273" s="60" t="str">
        <f t="shared" si="62"/>
        <v/>
      </c>
      <c r="Z273" s="60" t="str">
        <f t="shared" si="63"/>
        <v/>
      </c>
      <c r="AA273" s="64" t="str">
        <f t="shared" si="64"/>
        <v/>
      </c>
      <c r="AB273" s="64" t="str">
        <f>IF(AND(AA273&lt;&gt;"",AA273&lt;&gt;0), IF(E273="Muni", AA273, IF(E273 = "Corp", (1-'Investor Input'!$C$4-'Investor Input'!$C$5)*AA273, (1-'Investor Input'!$C$4)*AA273)), AA273)</f>
        <v/>
      </c>
      <c r="AC273" s="94" t="str">
        <f t="shared" si="65"/>
        <v/>
      </c>
      <c r="AD273" s="60" t="str">
        <f>IF(AND(M273&lt;&gt;"", M273&lt;&gt;0), N273/$N$505*MATCH(AC273,'Misc Lists'!$K$2:$K$25,0), "")</f>
        <v/>
      </c>
      <c r="AE273" s="90" t="str">
        <f t="shared" si="66"/>
        <v/>
      </c>
      <c r="AF273" s="99" t="str">
        <f>IF(AND(M273&lt;&gt;"", M273&lt;&gt;0), N273/$N$505*MATCH(AE273,'Misc Lists'!$L$2:$L$25,0), "")</f>
        <v/>
      </c>
    </row>
    <row r="274" spans="2:32" hidden="1" outlineLevel="1" x14ac:dyDescent="0.5">
      <c r="B274" s="60"/>
      <c r="C274" s="61"/>
      <c r="D274" s="60"/>
      <c r="E274" s="61"/>
      <c r="F274" s="62"/>
      <c r="G274" s="63"/>
      <c r="H274" s="61"/>
      <c r="I274" s="61"/>
      <c r="J274" s="64"/>
      <c r="K274" s="17"/>
      <c r="L274" s="17"/>
      <c r="M274" s="83"/>
      <c r="N274" s="84" t="str">
        <f t="shared" si="67"/>
        <v/>
      </c>
      <c r="O274" s="20" t="str">
        <f t="shared" si="68"/>
        <v/>
      </c>
      <c r="P274" s="64" t="str">
        <f t="shared" si="69"/>
        <v/>
      </c>
      <c r="Q274" s="85" t="str">
        <f t="shared" ca="1" si="70"/>
        <v/>
      </c>
      <c r="R274" s="86" t="str">
        <f t="shared" si="71"/>
        <v/>
      </c>
      <c r="S274" s="86" t="str">
        <f t="shared" si="72"/>
        <v/>
      </c>
      <c r="T274" s="104" t="str">
        <f t="shared" si="73"/>
        <v/>
      </c>
      <c r="U274" s="19" t="str">
        <f>IF(AND(M274&lt;&gt;"",M274&lt;&gt;0), IF(E274 = "Muni", T274, IF(E274="Corp", T274*(1 -'Investor Input'!$C$4-'Investor Input'!$C$5), T274*(1 -'Investor Input'!$C$4))), T274)</f>
        <v/>
      </c>
      <c r="V274" s="84" t="str">
        <f t="shared" si="74"/>
        <v/>
      </c>
      <c r="W274" s="84" t="str">
        <f t="shared" si="60"/>
        <v/>
      </c>
      <c r="X274" s="21" t="str">
        <f t="shared" si="61"/>
        <v/>
      </c>
      <c r="Y274" s="60" t="str">
        <f t="shared" si="62"/>
        <v/>
      </c>
      <c r="Z274" s="60" t="str">
        <f t="shared" si="63"/>
        <v/>
      </c>
      <c r="AA274" s="64" t="str">
        <f t="shared" si="64"/>
        <v/>
      </c>
      <c r="AB274" s="64" t="str">
        <f>IF(AND(AA274&lt;&gt;"",AA274&lt;&gt;0), IF(E274="Muni", AA274, IF(E274 = "Corp", (1-'Investor Input'!$C$4-'Investor Input'!$C$5)*AA274, (1-'Investor Input'!$C$4)*AA274)), AA274)</f>
        <v/>
      </c>
      <c r="AC274" s="94" t="str">
        <f t="shared" si="65"/>
        <v/>
      </c>
      <c r="AD274" s="60" t="str">
        <f>IF(AND(M274&lt;&gt;"", M274&lt;&gt;0), N274/$N$505*MATCH(AC274,'Misc Lists'!$K$2:$K$25,0), "")</f>
        <v/>
      </c>
      <c r="AE274" s="90" t="str">
        <f t="shared" si="66"/>
        <v/>
      </c>
      <c r="AF274" s="99" t="str">
        <f>IF(AND(M274&lt;&gt;"", M274&lt;&gt;0), N274/$N$505*MATCH(AE274,'Misc Lists'!$L$2:$L$25,0), "")</f>
        <v/>
      </c>
    </row>
    <row r="275" spans="2:32" hidden="1" outlineLevel="1" x14ac:dyDescent="0.5">
      <c r="B275" s="60"/>
      <c r="C275" s="61"/>
      <c r="D275" s="60"/>
      <c r="E275" s="61"/>
      <c r="F275" s="62"/>
      <c r="G275" s="63"/>
      <c r="H275" s="61"/>
      <c r="I275" s="61"/>
      <c r="J275" s="64"/>
      <c r="K275" s="17"/>
      <c r="L275" s="17"/>
      <c r="M275" s="83"/>
      <c r="N275" s="84" t="str">
        <f t="shared" si="67"/>
        <v/>
      </c>
      <c r="O275" s="20" t="str">
        <f t="shared" si="68"/>
        <v/>
      </c>
      <c r="P275" s="64" t="str">
        <f t="shared" si="69"/>
        <v/>
      </c>
      <c r="Q275" s="85" t="str">
        <f t="shared" ca="1" si="70"/>
        <v/>
      </c>
      <c r="R275" s="86" t="str">
        <f t="shared" si="71"/>
        <v/>
      </c>
      <c r="S275" s="86" t="str">
        <f t="shared" si="72"/>
        <v/>
      </c>
      <c r="T275" s="104" t="str">
        <f t="shared" si="73"/>
        <v/>
      </c>
      <c r="U275" s="19" t="str">
        <f>IF(AND(M275&lt;&gt;"",M275&lt;&gt;0), IF(E275 = "Muni", T275, IF(E275="Corp", T275*(1 -'Investor Input'!$C$4-'Investor Input'!$C$5), T275*(1 -'Investor Input'!$C$4))), T275)</f>
        <v/>
      </c>
      <c r="V275" s="84" t="str">
        <f t="shared" si="74"/>
        <v/>
      </c>
      <c r="W275" s="84" t="str">
        <f t="shared" si="60"/>
        <v/>
      </c>
      <c r="X275" s="21" t="str">
        <f t="shared" si="61"/>
        <v/>
      </c>
      <c r="Y275" s="60" t="str">
        <f t="shared" si="62"/>
        <v/>
      </c>
      <c r="Z275" s="60" t="str">
        <f t="shared" si="63"/>
        <v/>
      </c>
      <c r="AA275" s="64" t="str">
        <f t="shared" si="64"/>
        <v/>
      </c>
      <c r="AB275" s="64" t="str">
        <f>IF(AND(AA275&lt;&gt;"",AA275&lt;&gt;0), IF(E275="Muni", AA275, IF(E275 = "Corp", (1-'Investor Input'!$C$4-'Investor Input'!$C$5)*AA275, (1-'Investor Input'!$C$4)*AA275)), AA275)</f>
        <v/>
      </c>
      <c r="AC275" s="94" t="str">
        <f t="shared" si="65"/>
        <v/>
      </c>
      <c r="AD275" s="60" t="str">
        <f>IF(AND(M275&lt;&gt;"", M275&lt;&gt;0), N275/$N$505*MATCH(AC275,'Misc Lists'!$K$2:$K$25,0), "")</f>
        <v/>
      </c>
      <c r="AE275" s="90" t="str">
        <f t="shared" si="66"/>
        <v/>
      </c>
      <c r="AF275" s="99" t="str">
        <f>IF(AND(M275&lt;&gt;"", M275&lt;&gt;0), N275/$N$505*MATCH(AE275,'Misc Lists'!$L$2:$L$25,0), "")</f>
        <v/>
      </c>
    </row>
    <row r="276" spans="2:32" hidden="1" outlineLevel="1" x14ac:dyDescent="0.5">
      <c r="B276" s="60"/>
      <c r="C276" s="61"/>
      <c r="D276" s="60"/>
      <c r="E276" s="61"/>
      <c r="F276" s="62"/>
      <c r="G276" s="63"/>
      <c r="H276" s="61"/>
      <c r="I276" s="61"/>
      <c r="J276" s="64"/>
      <c r="K276" s="17"/>
      <c r="L276" s="17"/>
      <c r="M276" s="83"/>
      <c r="N276" s="84" t="str">
        <f t="shared" si="67"/>
        <v/>
      </c>
      <c r="O276" s="20" t="str">
        <f t="shared" si="68"/>
        <v/>
      </c>
      <c r="P276" s="64" t="str">
        <f t="shared" si="69"/>
        <v/>
      </c>
      <c r="Q276" s="85" t="str">
        <f t="shared" ca="1" si="70"/>
        <v/>
      </c>
      <c r="R276" s="86" t="str">
        <f t="shared" si="71"/>
        <v/>
      </c>
      <c r="S276" s="86" t="str">
        <f t="shared" si="72"/>
        <v/>
      </c>
      <c r="T276" s="104" t="str">
        <f t="shared" si="73"/>
        <v/>
      </c>
      <c r="U276" s="19" t="str">
        <f>IF(AND(M276&lt;&gt;"",M276&lt;&gt;0), IF(E276 = "Muni", T276, IF(E276="Corp", T276*(1 -'Investor Input'!$C$4-'Investor Input'!$C$5), T276*(1 -'Investor Input'!$C$4))), T276)</f>
        <v/>
      </c>
      <c r="V276" s="84" t="str">
        <f t="shared" si="74"/>
        <v/>
      </c>
      <c r="W276" s="84" t="str">
        <f t="shared" si="60"/>
        <v/>
      </c>
      <c r="X276" s="21" t="str">
        <f t="shared" si="61"/>
        <v/>
      </c>
      <c r="Y276" s="60" t="str">
        <f t="shared" si="62"/>
        <v/>
      </c>
      <c r="Z276" s="60" t="str">
        <f t="shared" si="63"/>
        <v/>
      </c>
      <c r="AA276" s="64" t="str">
        <f t="shared" si="64"/>
        <v/>
      </c>
      <c r="AB276" s="64" t="str">
        <f>IF(AND(AA276&lt;&gt;"",AA276&lt;&gt;0), IF(E276="Muni", AA276, IF(E276 = "Corp", (1-'Investor Input'!$C$4-'Investor Input'!$C$5)*AA276, (1-'Investor Input'!$C$4)*AA276)), AA276)</f>
        <v/>
      </c>
      <c r="AC276" s="94" t="str">
        <f t="shared" si="65"/>
        <v/>
      </c>
      <c r="AD276" s="60" t="str">
        <f>IF(AND(M276&lt;&gt;"", M276&lt;&gt;0), N276/$N$505*MATCH(AC276,'Misc Lists'!$K$2:$K$25,0), "")</f>
        <v/>
      </c>
      <c r="AE276" s="90" t="str">
        <f t="shared" si="66"/>
        <v/>
      </c>
      <c r="AF276" s="99" t="str">
        <f>IF(AND(M276&lt;&gt;"", M276&lt;&gt;0), N276/$N$505*MATCH(AE276,'Misc Lists'!$L$2:$L$25,0), "")</f>
        <v/>
      </c>
    </row>
    <row r="277" spans="2:32" hidden="1" outlineLevel="1" x14ac:dyDescent="0.5">
      <c r="B277" s="60"/>
      <c r="C277" s="61"/>
      <c r="D277" s="60"/>
      <c r="E277" s="61"/>
      <c r="F277" s="62"/>
      <c r="G277" s="63"/>
      <c r="H277" s="61"/>
      <c r="I277" s="61"/>
      <c r="J277" s="64"/>
      <c r="K277" s="17"/>
      <c r="L277" s="17"/>
      <c r="M277" s="83"/>
      <c r="N277" s="84" t="str">
        <f t="shared" si="67"/>
        <v/>
      </c>
      <c r="O277" s="20" t="str">
        <f t="shared" si="68"/>
        <v/>
      </c>
      <c r="P277" s="64" t="str">
        <f t="shared" si="69"/>
        <v/>
      </c>
      <c r="Q277" s="85" t="str">
        <f t="shared" ca="1" si="70"/>
        <v/>
      </c>
      <c r="R277" s="86" t="str">
        <f t="shared" si="71"/>
        <v/>
      </c>
      <c r="S277" s="86" t="str">
        <f t="shared" si="72"/>
        <v/>
      </c>
      <c r="T277" s="104" t="str">
        <f t="shared" si="73"/>
        <v/>
      </c>
      <c r="U277" s="19" t="str">
        <f>IF(AND(M277&lt;&gt;"",M277&lt;&gt;0), IF(E277 = "Muni", T277, IF(E277="Corp", T277*(1 -'Investor Input'!$C$4-'Investor Input'!$C$5), T277*(1 -'Investor Input'!$C$4))), T277)</f>
        <v/>
      </c>
      <c r="V277" s="84" t="str">
        <f t="shared" si="74"/>
        <v/>
      </c>
      <c r="W277" s="84" t="str">
        <f t="shared" si="60"/>
        <v/>
      </c>
      <c r="X277" s="21" t="str">
        <f t="shared" si="61"/>
        <v/>
      </c>
      <c r="Y277" s="60" t="str">
        <f t="shared" si="62"/>
        <v/>
      </c>
      <c r="Z277" s="60" t="str">
        <f t="shared" si="63"/>
        <v/>
      </c>
      <c r="AA277" s="64" t="str">
        <f t="shared" si="64"/>
        <v/>
      </c>
      <c r="AB277" s="64" t="str">
        <f>IF(AND(AA277&lt;&gt;"",AA277&lt;&gt;0), IF(E277="Muni", AA277, IF(E277 = "Corp", (1-'Investor Input'!$C$4-'Investor Input'!$C$5)*AA277, (1-'Investor Input'!$C$4)*AA277)), AA277)</f>
        <v/>
      </c>
      <c r="AC277" s="94" t="str">
        <f t="shared" si="65"/>
        <v/>
      </c>
      <c r="AD277" s="60" t="str">
        <f>IF(AND(M277&lt;&gt;"", M277&lt;&gt;0), N277/$N$505*MATCH(AC277,'Misc Lists'!$K$2:$K$25,0), "")</f>
        <v/>
      </c>
      <c r="AE277" s="90" t="str">
        <f t="shared" si="66"/>
        <v/>
      </c>
      <c r="AF277" s="99" t="str">
        <f>IF(AND(M277&lt;&gt;"", M277&lt;&gt;0), N277/$N$505*MATCH(AE277,'Misc Lists'!$L$2:$L$25,0), "")</f>
        <v/>
      </c>
    </row>
    <row r="278" spans="2:32" hidden="1" outlineLevel="1" x14ac:dyDescent="0.5">
      <c r="B278" s="60"/>
      <c r="C278" s="61"/>
      <c r="D278" s="60"/>
      <c r="E278" s="61"/>
      <c r="F278" s="62"/>
      <c r="G278" s="63"/>
      <c r="H278" s="61"/>
      <c r="I278" s="61"/>
      <c r="J278" s="64"/>
      <c r="K278" s="17"/>
      <c r="L278" s="17"/>
      <c r="M278" s="83"/>
      <c r="N278" s="84" t="str">
        <f t="shared" si="67"/>
        <v/>
      </c>
      <c r="O278" s="20" t="str">
        <f t="shared" si="68"/>
        <v/>
      </c>
      <c r="P278" s="64" t="str">
        <f t="shared" si="69"/>
        <v/>
      </c>
      <c r="Q278" s="85" t="str">
        <f t="shared" ca="1" si="70"/>
        <v/>
      </c>
      <c r="R278" s="86" t="str">
        <f t="shared" si="71"/>
        <v/>
      </c>
      <c r="S278" s="86" t="str">
        <f t="shared" si="72"/>
        <v/>
      </c>
      <c r="T278" s="104" t="str">
        <f t="shared" si="73"/>
        <v/>
      </c>
      <c r="U278" s="19" t="str">
        <f>IF(AND(M278&lt;&gt;"",M278&lt;&gt;0), IF(E278 = "Muni", T278, IF(E278="Corp", T278*(1 -'Investor Input'!$C$4-'Investor Input'!$C$5), T278*(1 -'Investor Input'!$C$4))), T278)</f>
        <v/>
      </c>
      <c r="V278" s="84" t="str">
        <f t="shared" si="74"/>
        <v/>
      </c>
      <c r="W278" s="84" t="str">
        <f t="shared" si="60"/>
        <v/>
      </c>
      <c r="X278" s="21" t="str">
        <f t="shared" si="61"/>
        <v/>
      </c>
      <c r="Y278" s="60" t="str">
        <f t="shared" si="62"/>
        <v/>
      </c>
      <c r="Z278" s="60" t="str">
        <f t="shared" si="63"/>
        <v/>
      </c>
      <c r="AA278" s="64" t="str">
        <f t="shared" si="64"/>
        <v/>
      </c>
      <c r="AB278" s="64" t="str">
        <f>IF(AND(AA278&lt;&gt;"",AA278&lt;&gt;0), IF(E278="Muni", AA278, IF(E278 = "Corp", (1-'Investor Input'!$C$4-'Investor Input'!$C$5)*AA278, (1-'Investor Input'!$C$4)*AA278)), AA278)</f>
        <v/>
      </c>
      <c r="AC278" s="94" t="str">
        <f t="shared" si="65"/>
        <v/>
      </c>
      <c r="AD278" s="60" t="str">
        <f>IF(AND(M278&lt;&gt;"", M278&lt;&gt;0), N278/$N$505*MATCH(AC278,'Misc Lists'!$K$2:$K$25,0), "")</f>
        <v/>
      </c>
      <c r="AE278" s="90" t="str">
        <f t="shared" si="66"/>
        <v/>
      </c>
      <c r="AF278" s="99" t="str">
        <f>IF(AND(M278&lt;&gt;"", M278&lt;&gt;0), N278/$N$505*MATCH(AE278,'Misc Lists'!$L$2:$L$25,0), "")</f>
        <v/>
      </c>
    </row>
    <row r="279" spans="2:32" hidden="1" outlineLevel="1" x14ac:dyDescent="0.5">
      <c r="B279" s="60"/>
      <c r="C279" s="61"/>
      <c r="D279" s="60"/>
      <c r="E279" s="61"/>
      <c r="F279" s="62"/>
      <c r="G279" s="63"/>
      <c r="H279" s="61"/>
      <c r="I279" s="61"/>
      <c r="J279" s="64"/>
      <c r="K279" s="17"/>
      <c r="L279" s="17"/>
      <c r="M279" s="83"/>
      <c r="N279" s="84" t="str">
        <f t="shared" si="67"/>
        <v/>
      </c>
      <c r="O279" s="20" t="str">
        <f t="shared" si="68"/>
        <v/>
      </c>
      <c r="P279" s="64" t="str">
        <f t="shared" si="69"/>
        <v/>
      </c>
      <c r="Q279" s="85" t="str">
        <f t="shared" ca="1" si="70"/>
        <v/>
      </c>
      <c r="R279" s="86" t="str">
        <f t="shared" si="71"/>
        <v/>
      </c>
      <c r="S279" s="86" t="str">
        <f t="shared" si="72"/>
        <v/>
      </c>
      <c r="T279" s="104" t="str">
        <f t="shared" si="73"/>
        <v/>
      </c>
      <c r="U279" s="19" t="str">
        <f>IF(AND(M279&lt;&gt;"",M279&lt;&gt;0), IF(E279 = "Muni", T279, IF(E279="Corp", T279*(1 -'Investor Input'!$C$4-'Investor Input'!$C$5), T279*(1 -'Investor Input'!$C$4))), T279)</f>
        <v/>
      </c>
      <c r="V279" s="84" t="str">
        <f t="shared" si="74"/>
        <v/>
      </c>
      <c r="W279" s="84" t="str">
        <f t="shared" si="60"/>
        <v/>
      </c>
      <c r="X279" s="21" t="str">
        <f t="shared" si="61"/>
        <v/>
      </c>
      <c r="Y279" s="60" t="str">
        <f t="shared" si="62"/>
        <v/>
      </c>
      <c r="Z279" s="60" t="str">
        <f t="shared" si="63"/>
        <v/>
      </c>
      <c r="AA279" s="64" t="str">
        <f t="shared" si="64"/>
        <v/>
      </c>
      <c r="AB279" s="64" t="str">
        <f>IF(AND(AA279&lt;&gt;"",AA279&lt;&gt;0), IF(E279="Muni", AA279, IF(E279 = "Corp", (1-'Investor Input'!$C$4-'Investor Input'!$C$5)*AA279, (1-'Investor Input'!$C$4)*AA279)), AA279)</f>
        <v/>
      </c>
      <c r="AC279" s="94" t="str">
        <f t="shared" si="65"/>
        <v/>
      </c>
      <c r="AD279" s="60" t="str">
        <f>IF(AND(M279&lt;&gt;"", M279&lt;&gt;0), N279/$N$505*MATCH(AC279,'Misc Lists'!$K$2:$K$25,0), "")</f>
        <v/>
      </c>
      <c r="AE279" s="90" t="str">
        <f t="shared" si="66"/>
        <v/>
      </c>
      <c r="AF279" s="99" t="str">
        <f>IF(AND(M279&lt;&gt;"", M279&lt;&gt;0), N279/$N$505*MATCH(AE279,'Misc Lists'!$L$2:$L$25,0), "")</f>
        <v/>
      </c>
    </row>
    <row r="280" spans="2:32" hidden="1" outlineLevel="1" x14ac:dyDescent="0.5">
      <c r="B280" s="60"/>
      <c r="C280" s="61"/>
      <c r="D280" s="60"/>
      <c r="E280" s="61"/>
      <c r="F280" s="62"/>
      <c r="G280" s="63"/>
      <c r="H280" s="61"/>
      <c r="I280" s="61"/>
      <c r="J280" s="64"/>
      <c r="K280" s="17"/>
      <c r="L280" s="17"/>
      <c r="M280" s="83"/>
      <c r="N280" s="84" t="str">
        <f t="shared" si="67"/>
        <v/>
      </c>
      <c r="O280" s="20" t="str">
        <f t="shared" si="68"/>
        <v/>
      </c>
      <c r="P280" s="64" t="str">
        <f t="shared" si="69"/>
        <v/>
      </c>
      <c r="Q280" s="85" t="str">
        <f t="shared" ca="1" si="70"/>
        <v/>
      </c>
      <c r="R280" s="86" t="str">
        <f t="shared" si="71"/>
        <v/>
      </c>
      <c r="S280" s="86" t="str">
        <f t="shared" si="72"/>
        <v/>
      </c>
      <c r="T280" s="104" t="str">
        <f t="shared" si="73"/>
        <v/>
      </c>
      <c r="U280" s="19" t="str">
        <f>IF(AND(M280&lt;&gt;"",M280&lt;&gt;0), IF(E280 = "Muni", T280, IF(E280="Corp", T280*(1 -'Investor Input'!$C$4-'Investor Input'!$C$5), T280*(1 -'Investor Input'!$C$4))), T280)</f>
        <v/>
      </c>
      <c r="V280" s="84" t="str">
        <f t="shared" si="74"/>
        <v/>
      </c>
      <c r="W280" s="84" t="str">
        <f t="shared" si="60"/>
        <v/>
      </c>
      <c r="X280" s="21" t="str">
        <f t="shared" si="61"/>
        <v/>
      </c>
      <c r="Y280" s="60" t="str">
        <f t="shared" si="62"/>
        <v/>
      </c>
      <c r="Z280" s="60" t="str">
        <f t="shared" si="63"/>
        <v/>
      </c>
      <c r="AA280" s="64" t="str">
        <f t="shared" si="64"/>
        <v/>
      </c>
      <c r="AB280" s="64" t="str">
        <f>IF(AND(AA280&lt;&gt;"",AA280&lt;&gt;0), IF(E280="Muni", AA280, IF(E280 = "Corp", (1-'Investor Input'!$C$4-'Investor Input'!$C$5)*AA280, (1-'Investor Input'!$C$4)*AA280)), AA280)</f>
        <v/>
      </c>
      <c r="AC280" s="94" t="str">
        <f t="shared" si="65"/>
        <v/>
      </c>
      <c r="AD280" s="60" t="str">
        <f>IF(AND(M280&lt;&gt;"", M280&lt;&gt;0), N280/$N$505*MATCH(AC280,'Misc Lists'!$K$2:$K$25,0), "")</f>
        <v/>
      </c>
      <c r="AE280" s="90" t="str">
        <f t="shared" si="66"/>
        <v/>
      </c>
      <c r="AF280" s="99" t="str">
        <f>IF(AND(M280&lt;&gt;"", M280&lt;&gt;0), N280/$N$505*MATCH(AE280,'Misc Lists'!$L$2:$L$25,0), "")</f>
        <v/>
      </c>
    </row>
    <row r="281" spans="2:32" hidden="1" outlineLevel="1" x14ac:dyDescent="0.5">
      <c r="B281" s="60"/>
      <c r="C281" s="61"/>
      <c r="D281" s="60"/>
      <c r="E281" s="61"/>
      <c r="F281" s="62"/>
      <c r="G281" s="63"/>
      <c r="H281" s="61"/>
      <c r="I281" s="61"/>
      <c r="J281" s="64"/>
      <c r="K281" s="17"/>
      <c r="L281" s="17"/>
      <c r="M281" s="83"/>
      <c r="N281" s="84" t="str">
        <f t="shared" si="67"/>
        <v/>
      </c>
      <c r="O281" s="20" t="str">
        <f t="shared" si="68"/>
        <v/>
      </c>
      <c r="P281" s="64" t="str">
        <f t="shared" si="69"/>
        <v/>
      </c>
      <c r="Q281" s="85" t="str">
        <f t="shared" ca="1" si="70"/>
        <v/>
      </c>
      <c r="R281" s="86" t="str">
        <f t="shared" si="71"/>
        <v/>
      </c>
      <c r="S281" s="86" t="str">
        <f t="shared" si="72"/>
        <v/>
      </c>
      <c r="T281" s="104" t="str">
        <f t="shared" si="73"/>
        <v/>
      </c>
      <c r="U281" s="19" t="str">
        <f>IF(AND(M281&lt;&gt;"",M281&lt;&gt;0), IF(E281 = "Muni", T281, IF(E281="Corp", T281*(1 -'Investor Input'!$C$4-'Investor Input'!$C$5), T281*(1 -'Investor Input'!$C$4))), T281)</f>
        <v/>
      </c>
      <c r="V281" s="84" t="str">
        <f t="shared" si="74"/>
        <v/>
      </c>
      <c r="W281" s="84" t="str">
        <f t="shared" si="60"/>
        <v/>
      </c>
      <c r="X281" s="21" t="str">
        <f t="shared" si="61"/>
        <v/>
      </c>
      <c r="Y281" s="60" t="str">
        <f t="shared" si="62"/>
        <v/>
      </c>
      <c r="Z281" s="60" t="str">
        <f t="shared" si="63"/>
        <v/>
      </c>
      <c r="AA281" s="64" t="str">
        <f t="shared" si="64"/>
        <v/>
      </c>
      <c r="AB281" s="64" t="str">
        <f>IF(AND(AA281&lt;&gt;"",AA281&lt;&gt;0), IF(E281="Muni", AA281, IF(E281 = "Corp", (1-'Investor Input'!$C$4-'Investor Input'!$C$5)*AA281, (1-'Investor Input'!$C$4)*AA281)), AA281)</f>
        <v/>
      </c>
      <c r="AC281" s="94" t="str">
        <f t="shared" si="65"/>
        <v/>
      </c>
      <c r="AD281" s="60" t="str">
        <f>IF(AND(M281&lt;&gt;"", M281&lt;&gt;0), N281/$N$505*MATCH(AC281,'Misc Lists'!$K$2:$K$25,0), "")</f>
        <v/>
      </c>
      <c r="AE281" s="90" t="str">
        <f t="shared" si="66"/>
        <v/>
      </c>
      <c r="AF281" s="99" t="str">
        <f>IF(AND(M281&lt;&gt;"", M281&lt;&gt;0), N281/$N$505*MATCH(AE281,'Misc Lists'!$L$2:$L$25,0), "")</f>
        <v/>
      </c>
    </row>
    <row r="282" spans="2:32" hidden="1" outlineLevel="1" x14ac:dyDescent="0.5">
      <c r="B282" s="60"/>
      <c r="C282" s="61"/>
      <c r="D282" s="60"/>
      <c r="E282" s="61"/>
      <c r="F282" s="62"/>
      <c r="G282" s="63"/>
      <c r="H282" s="61"/>
      <c r="I282" s="61"/>
      <c r="J282" s="64"/>
      <c r="K282" s="17"/>
      <c r="L282" s="17"/>
      <c r="M282" s="83"/>
      <c r="N282" s="84" t="str">
        <f t="shared" si="67"/>
        <v/>
      </c>
      <c r="O282" s="20" t="str">
        <f t="shared" si="68"/>
        <v/>
      </c>
      <c r="P282" s="64" t="str">
        <f t="shared" si="69"/>
        <v/>
      </c>
      <c r="Q282" s="85" t="str">
        <f t="shared" ca="1" si="70"/>
        <v/>
      </c>
      <c r="R282" s="86" t="str">
        <f t="shared" si="71"/>
        <v/>
      </c>
      <c r="S282" s="86" t="str">
        <f t="shared" si="72"/>
        <v/>
      </c>
      <c r="T282" s="104" t="str">
        <f t="shared" si="73"/>
        <v/>
      </c>
      <c r="U282" s="19" t="str">
        <f>IF(AND(M282&lt;&gt;"",M282&lt;&gt;0), IF(E282 = "Muni", T282, IF(E282="Corp", T282*(1 -'Investor Input'!$C$4-'Investor Input'!$C$5), T282*(1 -'Investor Input'!$C$4))), T282)</f>
        <v/>
      </c>
      <c r="V282" s="84" t="str">
        <f t="shared" si="74"/>
        <v/>
      </c>
      <c r="W282" s="84" t="str">
        <f t="shared" si="60"/>
        <v/>
      </c>
      <c r="X282" s="21" t="str">
        <f t="shared" si="61"/>
        <v/>
      </c>
      <c r="Y282" s="60" t="str">
        <f t="shared" si="62"/>
        <v/>
      </c>
      <c r="Z282" s="60" t="str">
        <f t="shared" si="63"/>
        <v/>
      </c>
      <c r="AA282" s="64" t="str">
        <f t="shared" si="64"/>
        <v/>
      </c>
      <c r="AB282" s="64" t="str">
        <f>IF(AND(AA282&lt;&gt;"",AA282&lt;&gt;0), IF(E282="Muni", AA282, IF(E282 = "Corp", (1-'Investor Input'!$C$4-'Investor Input'!$C$5)*AA282, (1-'Investor Input'!$C$4)*AA282)), AA282)</f>
        <v/>
      </c>
      <c r="AC282" s="94" t="str">
        <f t="shared" si="65"/>
        <v/>
      </c>
      <c r="AD282" s="60" t="str">
        <f>IF(AND(M282&lt;&gt;"", M282&lt;&gt;0), N282/$N$505*MATCH(AC282,'Misc Lists'!$K$2:$K$25,0), "")</f>
        <v/>
      </c>
      <c r="AE282" s="90" t="str">
        <f t="shared" si="66"/>
        <v/>
      </c>
      <c r="AF282" s="99" t="str">
        <f>IF(AND(M282&lt;&gt;"", M282&lt;&gt;0), N282/$N$505*MATCH(AE282,'Misc Lists'!$L$2:$L$25,0), "")</f>
        <v/>
      </c>
    </row>
    <row r="283" spans="2:32" hidden="1" outlineLevel="1" x14ac:dyDescent="0.5">
      <c r="B283" s="60"/>
      <c r="C283" s="61"/>
      <c r="D283" s="60"/>
      <c r="E283" s="61"/>
      <c r="F283" s="62"/>
      <c r="G283" s="63"/>
      <c r="H283" s="61"/>
      <c r="I283" s="61"/>
      <c r="J283" s="64"/>
      <c r="K283" s="17"/>
      <c r="L283" s="17"/>
      <c r="M283" s="83"/>
      <c r="N283" s="84" t="str">
        <f t="shared" si="67"/>
        <v/>
      </c>
      <c r="O283" s="20" t="str">
        <f t="shared" si="68"/>
        <v/>
      </c>
      <c r="P283" s="64" t="str">
        <f t="shared" si="69"/>
        <v/>
      </c>
      <c r="Q283" s="85" t="str">
        <f t="shared" ca="1" si="70"/>
        <v/>
      </c>
      <c r="R283" s="86" t="str">
        <f t="shared" si="71"/>
        <v/>
      </c>
      <c r="S283" s="86" t="str">
        <f t="shared" si="72"/>
        <v/>
      </c>
      <c r="T283" s="104" t="str">
        <f t="shared" si="73"/>
        <v/>
      </c>
      <c r="U283" s="19" t="str">
        <f>IF(AND(M283&lt;&gt;"",M283&lt;&gt;0), IF(E283 = "Muni", T283, IF(E283="Corp", T283*(1 -'Investor Input'!$C$4-'Investor Input'!$C$5), T283*(1 -'Investor Input'!$C$4))), T283)</f>
        <v/>
      </c>
      <c r="V283" s="84" t="str">
        <f t="shared" si="74"/>
        <v/>
      </c>
      <c r="W283" s="84" t="str">
        <f t="shared" si="60"/>
        <v/>
      </c>
      <c r="X283" s="21" t="str">
        <f t="shared" si="61"/>
        <v/>
      </c>
      <c r="Y283" s="60" t="str">
        <f t="shared" si="62"/>
        <v/>
      </c>
      <c r="Z283" s="60" t="str">
        <f t="shared" si="63"/>
        <v/>
      </c>
      <c r="AA283" s="64" t="str">
        <f t="shared" si="64"/>
        <v/>
      </c>
      <c r="AB283" s="64" t="str">
        <f>IF(AND(AA283&lt;&gt;"",AA283&lt;&gt;0), IF(E283="Muni", AA283, IF(E283 = "Corp", (1-'Investor Input'!$C$4-'Investor Input'!$C$5)*AA283, (1-'Investor Input'!$C$4)*AA283)), AA283)</f>
        <v/>
      </c>
      <c r="AC283" s="94" t="str">
        <f t="shared" si="65"/>
        <v/>
      </c>
      <c r="AD283" s="60" t="str">
        <f>IF(AND(M283&lt;&gt;"", M283&lt;&gt;0), N283/$N$505*MATCH(AC283,'Misc Lists'!$K$2:$K$25,0), "")</f>
        <v/>
      </c>
      <c r="AE283" s="90" t="str">
        <f t="shared" si="66"/>
        <v/>
      </c>
      <c r="AF283" s="99" t="str">
        <f>IF(AND(M283&lt;&gt;"", M283&lt;&gt;0), N283/$N$505*MATCH(AE283,'Misc Lists'!$L$2:$L$25,0), "")</f>
        <v/>
      </c>
    </row>
    <row r="284" spans="2:32" hidden="1" outlineLevel="1" x14ac:dyDescent="0.5">
      <c r="B284" s="60"/>
      <c r="C284" s="61"/>
      <c r="D284" s="60"/>
      <c r="E284" s="61"/>
      <c r="F284" s="62"/>
      <c r="G284" s="63"/>
      <c r="H284" s="61"/>
      <c r="I284" s="61"/>
      <c r="J284" s="64"/>
      <c r="K284" s="17"/>
      <c r="L284" s="17"/>
      <c r="M284" s="83"/>
      <c r="N284" s="84" t="str">
        <f t="shared" si="67"/>
        <v/>
      </c>
      <c r="O284" s="20" t="str">
        <f t="shared" si="68"/>
        <v/>
      </c>
      <c r="P284" s="64" t="str">
        <f t="shared" si="69"/>
        <v/>
      </c>
      <c r="Q284" s="85" t="str">
        <f t="shared" ca="1" si="70"/>
        <v/>
      </c>
      <c r="R284" s="86" t="str">
        <f t="shared" si="71"/>
        <v/>
      </c>
      <c r="S284" s="86" t="str">
        <f t="shared" si="72"/>
        <v/>
      </c>
      <c r="T284" s="104" t="str">
        <f t="shared" si="73"/>
        <v/>
      </c>
      <c r="U284" s="19" t="str">
        <f>IF(AND(M284&lt;&gt;"",M284&lt;&gt;0), IF(E284 = "Muni", T284, IF(E284="Corp", T284*(1 -'Investor Input'!$C$4-'Investor Input'!$C$5), T284*(1 -'Investor Input'!$C$4))), T284)</f>
        <v/>
      </c>
      <c r="V284" s="84" t="str">
        <f t="shared" si="74"/>
        <v/>
      </c>
      <c r="W284" s="84" t="str">
        <f t="shared" si="60"/>
        <v/>
      </c>
      <c r="X284" s="21" t="str">
        <f t="shared" si="61"/>
        <v/>
      </c>
      <c r="Y284" s="60" t="str">
        <f t="shared" si="62"/>
        <v/>
      </c>
      <c r="Z284" s="60" t="str">
        <f t="shared" si="63"/>
        <v/>
      </c>
      <c r="AA284" s="64" t="str">
        <f t="shared" si="64"/>
        <v/>
      </c>
      <c r="AB284" s="64" t="str">
        <f>IF(AND(AA284&lt;&gt;"",AA284&lt;&gt;0), IF(E284="Muni", AA284, IF(E284 = "Corp", (1-'Investor Input'!$C$4-'Investor Input'!$C$5)*AA284, (1-'Investor Input'!$C$4)*AA284)), AA284)</f>
        <v/>
      </c>
      <c r="AC284" s="94" t="str">
        <f t="shared" si="65"/>
        <v/>
      </c>
      <c r="AD284" s="60" t="str">
        <f>IF(AND(M284&lt;&gt;"", M284&lt;&gt;0), N284/$N$505*MATCH(AC284,'Misc Lists'!$K$2:$K$25,0), "")</f>
        <v/>
      </c>
      <c r="AE284" s="90" t="str">
        <f t="shared" si="66"/>
        <v/>
      </c>
      <c r="AF284" s="99" t="str">
        <f>IF(AND(M284&lt;&gt;"", M284&lt;&gt;0), N284/$N$505*MATCH(AE284,'Misc Lists'!$L$2:$L$25,0), "")</f>
        <v/>
      </c>
    </row>
    <row r="285" spans="2:32" hidden="1" outlineLevel="1" x14ac:dyDescent="0.5">
      <c r="B285" s="60"/>
      <c r="C285" s="61"/>
      <c r="D285" s="60"/>
      <c r="E285" s="61"/>
      <c r="F285" s="62"/>
      <c r="G285" s="63"/>
      <c r="H285" s="61"/>
      <c r="I285" s="61"/>
      <c r="J285" s="64"/>
      <c r="K285" s="17"/>
      <c r="L285" s="17"/>
      <c r="M285" s="83"/>
      <c r="N285" s="84" t="str">
        <f t="shared" si="67"/>
        <v/>
      </c>
      <c r="O285" s="20" t="str">
        <f t="shared" si="68"/>
        <v/>
      </c>
      <c r="P285" s="64" t="str">
        <f t="shared" si="69"/>
        <v/>
      </c>
      <c r="Q285" s="85" t="str">
        <f t="shared" ca="1" si="70"/>
        <v/>
      </c>
      <c r="R285" s="86" t="str">
        <f t="shared" si="71"/>
        <v/>
      </c>
      <c r="S285" s="86" t="str">
        <f t="shared" si="72"/>
        <v/>
      </c>
      <c r="T285" s="104" t="str">
        <f t="shared" si="73"/>
        <v/>
      </c>
      <c r="U285" s="19" t="str">
        <f>IF(AND(M285&lt;&gt;"",M285&lt;&gt;0), IF(E285 = "Muni", T285, IF(E285="Corp", T285*(1 -'Investor Input'!$C$4-'Investor Input'!$C$5), T285*(1 -'Investor Input'!$C$4))), T285)</f>
        <v/>
      </c>
      <c r="V285" s="84" t="str">
        <f t="shared" si="74"/>
        <v/>
      </c>
      <c r="W285" s="84" t="str">
        <f t="shared" si="60"/>
        <v/>
      </c>
      <c r="X285" s="21" t="str">
        <f t="shared" si="61"/>
        <v/>
      </c>
      <c r="Y285" s="60" t="str">
        <f t="shared" si="62"/>
        <v/>
      </c>
      <c r="Z285" s="60" t="str">
        <f t="shared" si="63"/>
        <v/>
      </c>
      <c r="AA285" s="64" t="str">
        <f t="shared" si="64"/>
        <v/>
      </c>
      <c r="AB285" s="64" t="str">
        <f>IF(AND(AA285&lt;&gt;"",AA285&lt;&gt;0), IF(E285="Muni", AA285, IF(E285 = "Corp", (1-'Investor Input'!$C$4-'Investor Input'!$C$5)*AA285, (1-'Investor Input'!$C$4)*AA285)), AA285)</f>
        <v/>
      </c>
      <c r="AC285" s="94" t="str">
        <f t="shared" si="65"/>
        <v/>
      </c>
      <c r="AD285" s="60" t="str">
        <f>IF(AND(M285&lt;&gt;"", M285&lt;&gt;0), N285/$N$505*MATCH(AC285,'Misc Lists'!$K$2:$K$25,0), "")</f>
        <v/>
      </c>
      <c r="AE285" s="90" t="str">
        <f t="shared" si="66"/>
        <v/>
      </c>
      <c r="AF285" s="99" t="str">
        <f>IF(AND(M285&lt;&gt;"", M285&lt;&gt;0), N285/$N$505*MATCH(AE285,'Misc Lists'!$L$2:$L$25,0), "")</f>
        <v/>
      </c>
    </row>
    <row r="286" spans="2:32" hidden="1" outlineLevel="1" x14ac:dyDescent="0.5">
      <c r="B286" s="60"/>
      <c r="C286" s="61"/>
      <c r="D286" s="60"/>
      <c r="E286" s="61"/>
      <c r="F286" s="62"/>
      <c r="G286" s="63"/>
      <c r="H286" s="61"/>
      <c r="I286" s="61"/>
      <c r="J286" s="64"/>
      <c r="K286" s="17"/>
      <c r="L286" s="17"/>
      <c r="M286" s="83"/>
      <c r="N286" s="84" t="str">
        <f t="shared" si="67"/>
        <v/>
      </c>
      <c r="O286" s="20" t="str">
        <f t="shared" si="68"/>
        <v/>
      </c>
      <c r="P286" s="64" t="str">
        <f t="shared" si="69"/>
        <v/>
      </c>
      <c r="Q286" s="85" t="str">
        <f t="shared" ca="1" si="70"/>
        <v/>
      </c>
      <c r="R286" s="86" t="str">
        <f t="shared" si="71"/>
        <v/>
      </c>
      <c r="S286" s="86" t="str">
        <f t="shared" si="72"/>
        <v/>
      </c>
      <c r="T286" s="104" t="str">
        <f t="shared" si="73"/>
        <v/>
      </c>
      <c r="U286" s="19" t="str">
        <f>IF(AND(M286&lt;&gt;"",M286&lt;&gt;0), IF(E286 = "Muni", T286, IF(E286="Corp", T286*(1 -'Investor Input'!$C$4-'Investor Input'!$C$5), T286*(1 -'Investor Input'!$C$4))), T286)</f>
        <v/>
      </c>
      <c r="V286" s="84" t="str">
        <f t="shared" si="74"/>
        <v/>
      </c>
      <c r="W286" s="84" t="str">
        <f t="shared" si="60"/>
        <v/>
      </c>
      <c r="X286" s="21" t="str">
        <f t="shared" si="61"/>
        <v/>
      </c>
      <c r="Y286" s="60" t="str">
        <f t="shared" si="62"/>
        <v/>
      </c>
      <c r="Z286" s="60" t="str">
        <f t="shared" si="63"/>
        <v/>
      </c>
      <c r="AA286" s="64" t="str">
        <f t="shared" si="64"/>
        <v/>
      </c>
      <c r="AB286" s="64" t="str">
        <f>IF(AND(AA286&lt;&gt;"",AA286&lt;&gt;0), IF(E286="Muni", AA286, IF(E286 = "Corp", (1-'Investor Input'!$C$4-'Investor Input'!$C$5)*AA286, (1-'Investor Input'!$C$4)*AA286)), AA286)</f>
        <v/>
      </c>
      <c r="AC286" s="94" t="str">
        <f t="shared" si="65"/>
        <v/>
      </c>
      <c r="AD286" s="60" t="str">
        <f>IF(AND(M286&lt;&gt;"", M286&lt;&gt;0), N286/$N$505*MATCH(AC286,'Misc Lists'!$K$2:$K$25,0), "")</f>
        <v/>
      </c>
      <c r="AE286" s="90" t="str">
        <f t="shared" si="66"/>
        <v/>
      </c>
      <c r="AF286" s="99" t="str">
        <f>IF(AND(M286&lt;&gt;"", M286&lt;&gt;0), N286/$N$505*MATCH(AE286,'Misc Lists'!$L$2:$L$25,0), "")</f>
        <v/>
      </c>
    </row>
    <row r="287" spans="2:32" hidden="1" outlineLevel="1" x14ac:dyDescent="0.5">
      <c r="B287" s="60"/>
      <c r="C287" s="61"/>
      <c r="D287" s="60"/>
      <c r="E287" s="61"/>
      <c r="F287" s="62"/>
      <c r="G287" s="63"/>
      <c r="H287" s="61"/>
      <c r="I287" s="61"/>
      <c r="J287" s="64"/>
      <c r="K287" s="17"/>
      <c r="L287" s="17"/>
      <c r="M287" s="83"/>
      <c r="N287" s="84" t="str">
        <f t="shared" si="67"/>
        <v/>
      </c>
      <c r="O287" s="20" t="str">
        <f t="shared" si="68"/>
        <v/>
      </c>
      <c r="P287" s="64" t="str">
        <f t="shared" si="69"/>
        <v/>
      </c>
      <c r="Q287" s="85" t="str">
        <f t="shared" ca="1" si="70"/>
        <v/>
      </c>
      <c r="R287" s="86" t="str">
        <f t="shared" si="71"/>
        <v/>
      </c>
      <c r="S287" s="86" t="str">
        <f t="shared" si="72"/>
        <v/>
      </c>
      <c r="T287" s="104" t="str">
        <f t="shared" si="73"/>
        <v/>
      </c>
      <c r="U287" s="19" t="str">
        <f>IF(AND(M287&lt;&gt;"",M287&lt;&gt;0), IF(E287 = "Muni", T287, IF(E287="Corp", T287*(1 -'Investor Input'!$C$4-'Investor Input'!$C$5), T287*(1 -'Investor Input'!$C$4))), T287)</f>
        <v/>
      </c>
      <c r="V287" s="84" t="str">
        <f t="shared" si="74"/>
        <v/>
      </c>
      <c r="W287" s="84" t="str">
        <f t="shared" si="60"/>
        <v/>
      </c>
      <c r="X287" s="21" t="str">
        <f t="shared" si="61"/>
        <v/>
      </c>
      <c r="Y287" s="60" t="str">
        <f t="shared" si="62"/>
        <v/>
      </c>
      <c r="Z287" s="60" t="str">
        <f t="shared" si="63"/>
        <v/>
      </c>
      <c r="AA287" s="64" t="str">
        <f t="shared" si="64"/>
        <v/>
      </c>
      <c r="AB287" s="64" t="str">
        <f>IF(AND(AA287&lt;&gt;"",AA287&lt;&gt;0), IF(E287="Muni", AA287, IF(E287 = "Corp", (1-'Investor Input'!$C$4-'Investor Input'!$C$5)*AA287, (1-'Investor Input'!$C$4)*AA287)), AA287)</f>
        <v/>
      </c>
      <c r="AC287" s="94" t="str">
        <f t="shared" si="65"/>
        <v/>
      </c>
      <c r="AD287" s="60" t="str">
        <f>IF(AND(M287&lt;&gt;"", M287&lt;&gt;0), N287/$N$505*MATCH(AC287,'Misc Lists'!$K$2:$K$25,0), "")</f>
        <v/>
      </c>
      <c r="AE287" s="90" t="str">
        <f t="shared" si="66"/>
        <v/>
      </c>
      <c r="AF287" s="99" t="str">
        <f>IF(AND(M287&lt;&gt;"", M287&lt;&gt;0), N287/$N$505*MATCH(AE287,'Misc Lists'!$L$2:$L$25,0), "")</f>
        <v/>
      </c>
    </row>
    <row r="288" spans="2:32" hidden="1" outlineLevel="1" x14ac:dyDescent="0.5">
      <c r="B288" s="60"/>
      <c r="C288" s="61"/>
      <c r="D288" s="60"/>
      <c r="E288" s="61"/>
      <c r="F288" s="62"/>
      <c r="G288" s="63"/>
      <c r="H288" s="61"/>
      <c r="I288" s="61"/>
      <c r="J288" s="64"/>
      <c r="K288" s="17"/>
      <c r="L288" s="17"/>
      <c r="M288" s="83"/>
      <c r="N288" s="84" t="str">
        <f t="shared" si="67"/>
        <v/>
      </c>
      <c r="O288" s="20" t="str">
        <f t="shared" si="68"/>
        <v/>
      </c>
      <c r="P288" s="64" t="str">
        <f t="shared" si="69"/>
        <v/>
      </c>
      <c r="Q288" s="85" t="str">
        <f t="shared" ca="1" si="70"/>
        <v/>
      </c>
      <c r="R288" s="86" t="str">
        <f t="shared" si="71"/>
        <v/>
      </c>
      <c r="S288" s="86" t="str">
        <f t="shared" si="72"/>
        <v/>
      </c>
      <c r="T288" s="104" t="str">
        <f t="shared" si="73"/>
        <v/>
      </c>
      <c r="U288" s="19" t="str">
        <f>IF(AND(M288&lt;&gt;"",M288&lt;&gt;0), IF(E288 = "Muni", T288, IF(E288="Corp", T288*(1 -'Investor Input'!$C$4-'Investor Input'!$C$5), T288*(1 -'Investor Input'!$C$4))), T288)</f>
        <v/>
      </c>
      <c r="V288" s="84" t="str">
        <f t="shared" si="74"/>
        <v/>
      </c>
      <c r="W288" s="84" t="str">
        <f t="shared" si="60"/>
        <v/>
      </c>
      <c r="X288" s="21" t="str">
        <f t="shared" si="61"/>
        <v/>
      </c>
      <c r="Y288" s="60" t="str">
        <f t="shared" si="62"/>
        <v/>
      </c>
      <c r="Z288" s="60" t="str">
        <f t="shared" si="63"/>
        <v/>
      </c>
      <c r="AA288" s="64" t="str">
        <f t="shared" si="64"/>
        <v/>
      </c>
      <c r="AB288" s="64" t="str">
        <f>IF(AND(AA288&lt;&gt;"",AA288&lt;&gt;0), IF(E288="Muni", AA288, IF(E288 = "Corp", (1-'Investor Input'!$C$4-'Investor Input'!$C$5)*AA288, (1-'Investor Input'!$C$4)*AA288)), AA288)</f>
        <v/>
      </c>
      <c r="AC288" s="94" t="str">
        <f t="shared" si="65"/>
        <v/>
      </c>
      <c r="AD288" s="60" t="str">
        <f>IF(AND(M288&lt;&gt;"", M288&lt;&gt;0), N288/$N$505*MATCH(AC288,'Misc Lists'!$K$2:$K$25,0), "")</f>
        <v/>
      </c>
      <c r="AE288" s="90" t="str">
        <f t="shared" si="66"/>
        <v/>
      </c>
      <c r="AF288" s="99" t="str">
        <f>IF(AND(M288&lt;&gt;"", M288&lt;&gt;0), N288/$N$505*MATCH(AE288,'Misc Lists'!$L$2:$L$25,0), "")</f>
        <v/>
      </c>
    </row>
    <row r="289" spans="2:32" hidden="1" outlineLevel="1" x14ac:dyDescent="0.5">
      <c r="B289" s="60"/>
      <c r="C289" s="61"/>
      <c r="D289" s="60"/>
      <c r="E289" s="61"/>
      <c r="F289" s="62"/>
      <c r="G289" s="63"/>
      <c r="H289" s="61"/>
      <c r="I289" s="61"/>
      <c r="J289" s="64"/>
      <c r="K289" s="17"/>
      <c r="L289" s="17"/>
      <c r="M289" s="83"/>
      <c r="N289" s="84" t="str">
        <f t="shared" si="67"/>
        <v/>
      </c>
      <c r="O289" s="20" t="str">
        <f t="shared" si="68"/>
        <v/>
      </c>
      <c r="P289" s="64" t="str">
        <f t="shared" si="69"/>
        <v/>
      </c>
      <c r="Q289" s="85" t="str">
        <f t="shared" ca="1" si="70"/>
        <v/>
      </c>
      <c r="R289" s="86" t="str">
        <f t="shared" si="71"/>
        <v/>
      </c>
      <c r="S289" s="86" t="str">
        <f t="shared" si="72"/>
        <v/>
      </c>
      <c r="T289" s="104" t="str">
        <f t="shared" si="73"/>
        <v/>
      </c>
      <c r="U289" s="19" t="str">
        <f>IF(AND(M289&lt;&gt;"",M289&lt;&gt;0), IF(E289 = "Muni", T289, IF(E289="Corp", T289*(1 -'Investor Input'!$C$4-'Investor Input'!$C$5), T289*(1 -'Investor Input'!$C$4))), T289)</f>
        <v/>
      </c>
      <c r="V289" s="84" t="str">
        <f t="shared" si="74"/>
        <v/>
      </c>
      <c r="W289" s="84" t="str">
        <f t="shared" si="60"/>
        <v/>
      </c>
      <c r="X289" s="21" t="str">
        <f t="shared" si="61"/>
        <v/>
      </c>
      <c r="Y289" s="60" t="str">
        <f t="shared" si="62"/>
        <v/>
      </c>
      <c r="Z289" s="60" t="str">
        <f t="shared" si="63"/>
        <v/>
      </c>
      <c r="AA289" s="64" t="str">
        <f t="shared" si="64"/>
        <v/>
      </c>
      <c r="AB289" s="64" t="str">
        <f>IF(AND(AA289&lt;&gt;"",AA289&lt;&gt;0), IF(E289="Muni", AA289, IF(E289 = "Corp", (1-'Investor Input'!$C$4-'Investor Input'!$C$5)*AA289, (1-'Investor Input'!$C$4)*AA289)), AA289)</f>
        <v/>
      </c>
      <c r="AC289" s="94" t="str">
        <f t="shared" si="65"/>
        <v/>
      </c>
      <c r="AD289" s="60" t="str">
        <f>IF(AND(M289&lt;&gt;"", M289&lt;&gt;0), N289/$N$505*MATCH(AC289,'Misc Lists'!$K$2:$K$25,0), "")</f>
        <v/>
      </c>
      <c r="AE289" s="90" t="str">
        <f t="shared" si="66"/>
        <v/>
      </c>
      <c r="AF289" s="99" t="str">
        <f>IF(AND(M289&lt;&gt;"", M289&lt;&gt;0), N289/$N$505*MATCH(AE289,'Misc Lists'!$L$2:$L$25,0), "")</f>
        <v/>
      </c>
    </row>
    <row r="290" spans="2:32" hidden="1" outlineLevel="1" x14ac:dyDescent="0.5">
      <c r="B290" s="60"/>
      <c r="C290" s="61"/>
      <c r="D290" s="60"/>
      <c r="E290" s="61"/>
      <c r="F290" s="62"/>
      <c r="G290" s="63"/>
      <c r="H290" s="61"/>
      <c r="I290" s="61"/>
      <c r="J290" s="64"/>
      <c r="K290" s="17"/>
      <c r="L290" s="17"/>
      <c r="M290" s="83"/>
      <c r="N290" s="84" t="str">
        <f t="shared" si="67"/>
        <v/>
      </c>
      <c r="O290" s="20" t="str">
        <f t="shared" si="68"/>
        <v/>
      </c>
      <c r="P290" s="64" t="str">
        <f t="shared" si="69"/>
        <v/>
      </c>
      <c r="Q290" s="85" t="str">
        <f t="shared" ca="1" si="70"/>
        <v/>
      </c>
      <c r="R290" s="86" t="str">
        <f t="shared" si="71"/>
        <v/>
      </c>
      <c r="S290" s="86" t="str">
        <f t="shared" si="72"/>
        <v/>
      </c>
      <c r="T290" s="104" t="str">
        <f t="shared" si="73"/>
        <v/>
      </c>
      <c r="U290" s="19" t="str">
        <f>IF(AND(M290&lt;&gt;"",M290&lt;&gt;0), IF(E290 = "Muni", T290, IF(E290="Corp", T290*(1 -'Investor Input'!$C$4-'Investor Input'!$C$5), T290*(1 -'Investor Input'!$C$4))), T290)</f>
        <v/>
      </c>
      <c r="V290" s="84" t="str">
        <f t="shared" si="74"/>
        <v/>
      </c>
      <c r="W290" s="84" t="str">
        <f t="shared" si="60"/>
        <v/>
      </c>
      <c r="X290" s="21" t="str">
        <f t="shared" si="61"/>
        <v/>
      </c>
      <c r="Y290" s="60" t="str">
        <f t="shared" si="62"/>
        <v/>
      </c>
      <c r="Z290" s="60" t="str">
        <f t="shared" si="63"/>
        <v/>
      </c>
      <c r="AA290" s="64" t="str">
        <f t="shared" si="64"/>
        <v/>
      </c>
      <c r="AB290" s="64" t="str">
        <f>IF(AND(AA290&lt;&gt;"",AA290&lt;&gt;0), IF(E290="Muni", AA290, IF(E290 = "Corp", (1-'Investor Input'!$C$4-'Investor Input'!$C$5)*AA290, (1-'Investor Input'!$C$4)*AA290)), AA290)</f>
        <v/>
      </c>
      <c r="AC290" s="94" t="str">
        <f t="shared" si="65"/>
        <v/>
      </c>
      <c r="AD290" s="60" t="str">
        <f>IF(AND(M290&lt;&gt;"", M290&lt;&gt;0), N290/$N$505*MATCH(AC290,'Misc Lists'!$K$2:$K$25,0), "")</f>
        <v/>
      </c>
      <c r="AE290" s="90" t="str">
        <f t="shared" si="66"/>
        <v/>
      </c>
      <c r="AF290" s="99" t="str">
        <f>IF(AND(M290&lt;&gt;"", M290&lt;&gt;0), N290/$N$505*MATCH(AE290,'Misc Lists'!$L$2:$L$25,0), "")</f>
        <v/>
      </c>
    </row>
    <row r="291" spans="2:32" hidden="1" outlineLevel="1" x14ac:dyDescent="0.5">
      <c r="B291" s="60"/>
      <c r="C291" s="61"/>
      <c r="D291" s="60"/>
      <c r="E291" s="61"/>
      <c r="F291" s="62"/>
      <c r="G291" s="63"/>
      <c r="H291" s="61"/>
      <c r="I291" s="61"/>
      <c r="J291" s="64"/>
      <c r="K291" s="17"/>
      <c r="L291" s="17"/>
      <c r="M291" s="83"/>
      <c r="N291" s="84" t="str">
        <f t="shared" si="67"/>
        <v/>
      </c>
      <c r="O291" s="20" t="str">
        <f t="shared" si="68"/>
        <v/>
      </c>
      <c r="P291" s="64" t="str">
        <f t="shared" si="69"/>
        <v/>
      </c>
      <c r="Q291" s="85" t="str">
        <f t="shared" ca="1" si="70"/>
        <v/>
      </c>
      <c r="R291" s="86" t="str">
        <f t="shared" si="71"/>
        <v/>
      </c>
      <c r="S291" s="86" t="str">
        <f t="shared" si="72"/>
        <v/>
      </c>
      <c r="T291" s="104" t="str">
        <f t="shared" si="73"/>
        <v/>
      </c>
      <c r="U291" s="19" t="str">
        <f>IF(AND(M291&lt;&gt;"",M291&lt;&gt;0), IF(E291 = "Muni", T291, IF(E291="Corp", T291*(1 -'Investor Input'!$C$4-'Investor Input'!$C$5), T291*(1 -'Investor Input'!$C$4))), T291)</f>
        <v/>
      </c>
      <c r="V291" s="84" t="str">
        <f t="shared" si="74"/>
        <v/>
      </c>
      <c r="W291" s="84" t="str">
        <f t="shared" si="60"/>
        <v/>
      </c>
      <c r="X291" s="21" t="str">
        <f t="shared" si="61"/>
        <v/>
      </c>
      <c r="Y291" s="60" t="str">
        <f t="shared" si="62"/>
        <v/>
      </c>
      <c r="Z291" s="60" t="str">
        <f t="shared" si="63"/>
        <v/>
      </c>
      <c r="AA291" s="64" t="str">
        <f t="shared" si="64"/>
        <v/>
      </c>
      <c r="AB291" s="64" t="str">
        <f>IF(AND(AA291&lt;&gt;"",AA291&lt;&gt;0), IF(E291="Muni", AA291, IF(E291 = "Corp", (1-'Investor Input'!$C$4-'Investor Input'!$C$5)*AA291, (1-'Investor Input'!$C$4)*AA291)), AA291)</f>
        <v/>
      </c>
      <c r="AC291" s="94" t="str">
        <f t="shared" si="65"/>
        <v/>
      </c>
      <c r="AD291" s="60" t="str">
        <f>IF(AND(M291&lt;&gt;"", M291&lt;&gt;0), N291/$N$505*MATCH(AC291,'Misc Lists'!$K$2:$K$25,0), "")</f>
        <v/>
      </c>
      <c r="AE291" s="90" t="str">
        <f t="shared" si="66"/>
        <v/>
      </c>
      <c r="AF291" s="99" t="str">
        <f>IF(AND(M291&lt;&gt;"", M291&lt;&gt;0), N291/$N$505*MATCH(AE291,'Misc Lists'!$L$2:$L$25,0), "")</f>
        <v/>
      </c>
    </row>
    <row r="292" spans="2:32" hidden="1" outlineLevel="1" x14ac:dyDescent="0.5">
      <c r="B292" s="60"/>
      <c r="C292" s="61"/>
      <c r="D292" s="60"/>
      <c r="E292" s="61"/>
      <c r="F292" s="62"/>
      <c r="G292" s="63"/>
      <c r="H292" s="61"/>
      <c r="I292" s="61"/>
      <c r="J292" s="64"/>
      <c r="K292" s="17"/>
      <c r="L292" s="17"/>
      <c r="M292" s="83"/>
      <c r="N292" s="84" t="str">
        <f t="shared" si="67"/>
        <v/>
      </c>
      <c r="O292" s="20" t="str">
        <f t="shared" si="68"/>
        <v/>
      </c>
      <c r="P292" s="64" t="str">
        <f t="shared" si="69"/>
        <v/>
      </c>
      <c r="Q292" s="85" t="str">
        <f t="shared" ca="1" si="70"/>
        <v/>
      </c>
      <c r="R292" s="86" t="str">
        <f t="shared" si="71"/>
        <v/>
      </c>
      <c r="S292" s="86" t="str">
        <f t="shared" si="72"/>
        <v/>
      </c>
      <c r="T292" s="104" t="str">
        <f t="shared" si="73"/>
        <v/>
      </c>
      <c r="U292" s="19" t="str">
        <f>IF(AND(M292&lt;&gt;"",M292&lt;&gt;0), IF(E292 = "Muni", T292, IF(E292="Corp", T292*(1 -'Investor Input'!$C$4-'Investor Input'!$C$5), T292*(1 -'Investor Input'!$C$4))), T292)</f>
        <v/>
      </c>
      <c r="V292" s="84" t="str">
        <f t="shared" si="74"/>
        <v/>
      </c>
      <c r="W292" s="84" t="str">
        <f t="shared" si="60"/>
        <v/>
      </c>
      <c r="X292" s="21" t="str">
        <f t="shared" si="61"/>
        <v/>
      </c>
      <c r="Y292" s="60" t="str">
        <f t="shared" si="62"/>
        <v/>
      </c>
      <c r="Z292" s="60" t="str">
        <f t="shared" si="63"/>
        <v/>
      </c>
      <c r="AA292" s="64" t="str">
        <f t="shared" si="64"/>
        <v/>
      </c>
      <c r="AB292" s="64" t="str">
        <f>IF(AND(AA292&lt;&gt;"",AA292&lt;&gt;0), IF(E292="Muni", AA292, IF(E292 = "Corp", (1-'Investor Input'!$C$4-'Investor Input'!$C$5)*AA292, (1-'Investor Input'!$C$4)*AA292)), AA292)</f>
        <v/>
      </c>
      <c r="AC292" s="94" t="str">
        <f t="shared" si="65"/>
        <v/>
      </c>
      <c r="AD292" s="60" t="str">
        <f>IF(AND(M292&lt;&gt;"", M292&lt;&gt;0), N292/$N$505*MATCH(AC292,'Misc Lists'!$K$2:$K$25,0), "")</f>
        <v/>
      </c>
      <c r="AE292" s="90" t="str">
        <f t="shared" si="66"/>
        <v/>
      </c>
      <c r="AF292" s="99" t="str">
        <f>IF(AND(M292&lt;&gt;"", M292&lt;&gt;0), N292/$N$505*MATCH(AE292,'Misc Lists'!$L$2:$L$25,0), "")</f>
        <v/>
      </c>
    </row>
    <row r="293" spans="2:32" hidden="1" outlineLevel="1" x14ac:dyDescent="0.5">
      <c r="B293" s="60"/>
      <c r="C293" s="61"/>
      <c r="D293" s="60"/>
      <c r="E293" s="61"/>
      <c r="F293" s="62"/>
      <c r="G293" s="63"/>
      <c r="H293" s="61"/>
      <c r="I293" s="61"/>
      <c r="J293" s="64"/>
      <c r="K293" s="17"/>
      <c r="L293" s="17"/>
      <c r="M293" s="83"/>
      <c r="N293" s="84" t="str">
        <f t="shared" si="67"/>
        <v/>
      </c>
      <c r="O293" s="20" t="str">
        <f t="shared" si="68"/>
        <v/>
      </c>
      <c r="P293" s="64" t="str">
        <f t="shared" si="69"/>
        <v/>
      </c>
      <c r="Q293" s="85" t="str">
        <f t="shared" ca="1" si="70"/>
        <v/>
      </c>
      <c r="R293" s="86" t="str">
        <f t="shared" si="71"/>
        <v/>
      </c>
      <c r="S293" s="86" t="str">
        <f t="shared" si="72"/>
        <v/>
      </c>
      <c r="T293" s="104" t="str">
        <f t="shared" si="73"/>
        <v/>
      </c>
      <c r="U293" s="19" t="str">
        <f>IF(AND(M293&lt;&gt;"",M293&lt;&gt;0), IF(E293 = "Muni", T293, IF(E293="Corp", T293*(1 -'Investor Input'!$C$4-'Investor Input'!$C$5), T293*(1 -'Investor Input'!$C$4))), T293)</f>
        <v/>
      </c>
      <c r="V293" s="84" t="str">
        <f t="shared" si="74"/>
        <v/>
      </c>
      <c r="W293" s="84" t="str">
        <f t="shared" si="60"/>
        <v/>
      </c>
      <c r="X293" s="21" t="str">
        <f t="shared" si="61"/>
        <v/>
      </c>
      <c r="Y293" s="60" t="str">
        <f t="shared" si="62"/>
        <v/>
      </c>
      <c r="Z293" s="60" t="str">
        <f t="shared" si="63"/>
        <v/>
      </c>
      <c r="AA293" s="64" t="str">
        <f t="shared" si="64"/>
        <v/>
      </c>
      <c r="AB293" s="64" t="str">
        <f>IF(AND(AA293&lt;&gt;"",AA293&lt;&gt;0), IF(E293="Muni", AA293, IF(E293 = "Corp", (1-'Investor Input'!$C$4-'Investor Input'!$C$5)*AA293, (1-'Investor Input'!$C$4)*AA293)), AA293)</f>
        <v/>
      </c>
      <c r="AC293" s="94" t="str">
        <f t="shared" si="65"/>
        <v/>
      </c>
      <c r="AD293" s="60" t="str">
        <f>IF(AND(M293&lt;&gt;"", M293&lt;&gt;0), N293/$N$505*MATCH(AC293,'Misc Lists'!$K$2:$K$25,0), "")</f>
        <v/>
      </c>
      <c r="AE293" s="90" t="str">
        <f t="shared" si="66"/>
        <v/>
      </c>
      <c r="AF293" s="99" t="str">
        <f>IF(AND(M293&lt;&gt;"", M293&lt;&gt;0), N293/$N$505*MATCH(AE293,'Misc Lists'!$L$2:$L$25,0), "")</f>
        <v/>
      </c>
    </row>
    <row r="294" spans="2:32" hidden="1" outlineLevel="1" x14ac:dyDescent="0.5">
      <c r="B294" s="60"/>
      <c r="C294" s="61"/>
      <c r="D294" s="60"/>
      <c r="E294" s="61"/>
      <c r="F294" s="62"/>
      <c r="G294" s="63"/>
      <c r="H294" s="61"/>
      <c r="I294" s="61"/>
      <c r="J294" s="64"/>
      <c r="K294" s="17"/>
      <c r="L294" s="17"/>
      <c r="M294" s="83"/>
      <c r="N294" s="84" t="str">
        <f t="shared" si="67"/>
        <v/>
      </c>
      <c r="O294" s="20" t="str">
        <f t="shared" si="68"/>
        <v/>
      </c>
      <c r="P294" s="64" t="str">
        <f t="shared" si="69"/>
        <v/>
      </c>
      <c r="Q294" s="85" t="str">
        <f t="shared" ca="1" si="70"/>
        <v/>
      </c>
      <c r="R294" s="86" t="str">
        <f t="shared" si="71"/>
        <v/>
      </c>
      <c r="S294" s="86" t="str">
        <f t="shared" si="72"/>
        <v/>
      </c>
      <c r="T294" s="104" t="str">
        <f t="shared" si="73"/>
        <v/>
      </c>
      <c r="U294" s="19" t="str">
        <f>IF(AND(M294&lt;&gt;"",M294&lt;&gt;0), IF(E294 = "Muni", T294, IF(E294="Corp", T294*(1 -'Investor Input'!$C$4-'Investor Input'!$C$5), T294*(1 -'Investor Input'!$C$4))), T294)</f>
        <v/>
      </c>
      <c r="V294" s="84" t="str">
        <f t="shared" si="74"/>
        <v/>
      </c>
      <c r="W294" s="84" t="str">
        <f t="shared" si="60"/>
        <v/>
      </c>
      <c r="X294" s="21" t="str">
        <f t="shared" si="61"/>
        <v/>
      </c>
      <c r="Y294" s="60" t="str">
        <f t="shared" si="62"/>
        <v/>
      </c>
      <c r="Z294" s="60" t="str">
        <f t="shared" si="63"/>
        <v/>
      </c>
      <c r="AA294" s="64" t="str">
        <f t="shared" si="64"/>
        <v/>
      </c>
      <c r="AB294" s="64" t="str">
        <f>IF(AND(AA294&lt;&gt;"",AA294&lt;&gt;0), IF(E294="Muni", AA294, IF(E294 = "Corp", (1-'Investor Input'!$C$4-'Investor Input'!$C$5)*AA294, (1-'Investor Input'!$C$4)*AA294)), AA294)</f>
        <v/>
      </c>
      <c r="AC294" s="94" t="str">
        <f t="shared" si="65"/>
        <v/>
      </c>
      <c r="AD294" s="60" t="str">
        <f>IF(AND(M294&lt;&gt;"", M294&lt;&gt;0), N294/$N$505*MATCH(AC294,'Misc Lists'!$K$2:$K$25,0), "")</f>
        <v/>
      </c>
      <c r="AE294" s="90" t="str">
        <f t="shared" si="66"/>
        <v/>
      </c>
      <c r="AF294" s="99" t="str">
        <f>IF(AND(M294&lt;&gt;"", M294&lt;&gt;0), N294/$N$505*MATCH(AE294,'Misc Lists'!$L$2:$L$25,0), "")</f>
        <v/>
      </c>
    </row>
    <row r="295" spans="2:32" hidden="1" outlineLevel="1" x14ac:dyDescent="0.5">
      <c r="B295" s="60"/>
      <c r="C295" s="61"/>
      <c r="D295" s="60"/>
      <c r="E295" s="61"/>
      <c r="F295" s="62"/>
      <c r="G295" s="63"/>
      <c r="H295" s="61"/>
      <c r="I295" s="61"/>
      <c r="J295" s="64"/>
      <c r="K295" s="17"/>
      <c r="L295" s="17"/>
      <c r="M295" s="83"/>
      <c r="N295" s="84" t="str">
        <f t="shared" si="67"/>
        <v/>
      </c>
      <c r="O295" s="20" t="str">
        <f t="shared" si="68"/>
        <v/>
      </c>
      <c r="P295" s="64" t="str">
        <f t="shared" si="69"/>
        <v/>
      </c>
      <c r="Q295" s="85" t="str">
        <f t="shared" ca="1" si="70"/>
        <v/>
      </c>
      <c r="R295" s="86" t="str">
        <f t="shared" si="71"/>
        <v/>
      </c>
      <c r="S295" s="86" t="str">
        <f t="shared" si="72"/>
        <v/>
      </c>
      <c r="T295" s="104" t="str">
        <f t="shared" si="73"/>
        <v/>
      </c>
      <c r="U295" s="19" t="str">
        <f>IF(AND(M295&lt;&gt;"",M295&lt;&gt;0), IF(E295 = "Muni", T295, IF(E295="Corp", T295*(1 -'Investor Input'!$C$4-'Investor Input'!$C$5), T295*(1 -'Investor Input'!$C$4))), T295)</f>
        <v/>
      </c>
      <c r="V295" s="84" t="str">
        <f t="shared" si="74"/>
        <v/>
      </c>
      <c r="W295" s="84" t="str">
        <f t="shared" si="60"/>
        <v/>
      </c>
      <c r="X295" s="21" t="str">
        <f t="shared" si="61"/>
        <v/>
      </c>
      <c r="Y295" s="60" t="str">
        <f t="shared" si="62"/>
        <v/>
      </c>
      <c r="Z295" s="60" t="str">
        <f t="shared" si="63"/>
        <v/>
      </c>
      <c r="AA295" s="64" t="str">
        <f t="shared" si="64"/>
        <v/>
      </c>
      <c r="AB295" s="64" t="str">
        <f>IF(AND(AA295&lt;&gt;"",AA295&lt;&gt;0), IF(E295="Muni", AA295, IF(E295 = "Corp", (1-'Investor Input'!$C$4-'Investor Input'!$C$5)*AA295, (1-'Investor Input'!$C$4)*AA295)), AA295)</f>
        <v/>
      </c>
      <c r="AC295" s="94" t="str">
        <f t="shared" si="65"/>
        <v/>
      </c>
      <c r="AD295" s="60" t="str">
        <f>IF(AND(M295&lt;&gt;"", M295&lt;&gt;0), N295/$N$505*MATCH(AC295,'Misc Lists'!$K$2:$K$25,0), "")</f>
        <v/>
      </c>
      <c r="AE295" s="90" t="str">
        <f t="shared" si="66"/>
        <v/>
      </c>
      <c r="AF295" s="99" t="str">
        <f>IF(AND(M295&lt;&gt;"", M295&lt;&gt;0), N295/$N$505*MATCH(AE295,'Misc Lists'!$L$2:$L$25,0), "")</f>
        <v/>
      </c>
    </row>
    <row r="296" spans="2:32" hidden="1" outlineLevel="1" x14ac:dyDescent="0.5">
      <c r="B296" s="60"/>
      <c r="C296" s="61"/>
      <c r="D296" s="60"/>
      <c r="E296" s="61"/>
      <c r="F296" s="62"/>
      <c r="G296" s="63"/>
      <c r="H296" s="61"/>
      <c r="I296" s="61"/>
      <c r="J296" s="64"/>
      <c r="K296" s="17"/>
      <c r="L296" s="17"/>
      <c r="M296" s="83"/>
      <c r="N296" s="84" t="str">
        <f t="shared" si="67"/>
        <v/>
      </c>
      <c r="O296" s="20" t="str">
        <f t="shared" si="68"/>
        <v/>
      </c>
      <c r="P296" s="64" t="str">
        <f t="shared" si="69"/>
        <v/>
      </c>
      <c r="Q296" s="85" t="str">
        <f t="shared" ca="1" si="70"/>
        <v/>
      </c>
      <c r="R296" s="86" t="str">
        <f t="shared" si="71"/>
        <v/>
      </c>
      <c r="S296" s="86" t="str">
        <f t="shared" si="72"/>
        <v/>
      </c>
      <c r="T296" s="104" t="str">
        <f t="shared" si="73"/>
        <v/>
      </c>
      <c r="U296" s="19" t="str">
        <f>IF(AND(M296&lt;&gt;"",M296&lt;&gt;0), IF(E296 = "Muni", T296, IF(E296="Corp", T296*(1 -'Investor Input'!$C$4-'Investor Input'!$C$5), T296*(1 -'Investor Input'!$C$4))), T296)</f>
        <v/>
      </c>
      <c r="V296" s="84" t="str">
        <f t="shared" si="74"/>
        <v/>
      </c>
      <c r="W296" s="84" t="str">
        <f t="shared" si="60"/>
        <v/>
      </c>
      <c r="X296" s="21" t="str">
        <f t="shared" si="61"/>
        <v/>
      </c>
      <c r="Y296" s="60" t="str">
        <f t="shared" si="62"/>
        <v/>
      </c>
      <c r="Z296" s="60" t="str">
        <f t="shared" si="63"/>
        <v/>
      </c>
      <c r="AA296" s="64" t="str">
        <f t="shared" si="64"/>
        <v/>
      </c>
      <c r="AB296" s="64" t="str">
        <f>IF(AND(AA296&lt;&gt;"",AA296&lt;&gt;0), IF(E296="Muni", AA296, IF(E296 = "Corp", (1-'Investor Input'!$C$4-'Investor Input'!$C$5)*AA296, (1-'Investor Input'!$C$4)*AA296)), AA296)</f>
        <v/>
      </c>
      <c r="AC296" s="94" t="str">
        <f t="shared" si="65"/>
        <v/>
      </c>
      <c r="AD296" s="60" t="str">
        <f>IF(AND(M296&lt;&gt;"", M296&lt;&gt;0), N296/$N$505*MATCH(AC296,'Misc Lists'!$K$2:$K$25,0), "")</f>
        <v/>
      </c>
      <c r="AE296" s="90" t="str">
        <f t="shared" si="66"/>
        <v/>
      </c>
      <c r="AF296" s="99" t="str">
        <f>IF(AND(M296&lt;&gt;"", M296&lt;&gt;0), N296/$N$505*MATCH(AE296,'Misc Lists'!$L$2:$L$25,0), "")</f>
        <v/>
      </c>
    </row>
    <row r="297" spans="2:32" hidden="1" outlineLevel="1" x14ac:dyDescent="0.5">
      <c r="B297" s="60"/>
      <c r="C297" s="61"/>
      <c r="D297" s="60"/>
      <c r="E297" s="61"/>
      <c r="F297" s="62"/>
      <c r="G297" s="63"/>
      <c r="H297" s="61"/>
      <c r="I297" s="61"/>
      <c r="J297" s="64"/>
      <c r="K297" s="17"/>
      <c r="L297" s="17"/>
      <c r="M297" s="83"/>
      <c r="N297" s="84" t="str">
        <f t="shared" si="67"/>
        <v/>
      </c>
      <c r="O297" s="20" t="str">
        <f t="shared" si="68"/>
        <v/>
      </c>
      <c r="P297" s="64" t="str">
        <f t="shared" si="69"/>
        <v/>
      </c>
      <c r="Q297" s="85" t="str">
        <f t="shared" ca="1" si="70"/>
        <v/>
      </c>
      <c r="R297" s="86" t="str">
        <f t="shared" si="71"/>
        <v/>
      </c>
      <c r="S297" s="86" t="str">
        <f t="shared" si="72"/>
        <v/>
      </c>
      <c r="T297" s="104" t="str">
        <f t="shared" si="73"/>
        <v/>
      </c>
      <c r="U297" s="19" t="str">
        <f>IF(AND(M297&lt;&gt;"",M297&lt;&gt;0), IF(E297 = "Muni", T297, IF(E297="Corp", T297*(1 -'Investor Input'!$C$4-'Investor Input'!$C$5), T297*(1 -'Investor Input'!$C$4))), T297)</f>
        <v/>
      </c>
      <c r="V297" s="84" t="str">
        <f t="shared" si="74"/>
        <v/>
      </c>
      <c r="W297" s="84" t="str">
        <f t="shared" si="60"/>
        <v/>
      </c>
      <c r="X297" s="21" t="str">
        <f t="shared" si="61"/>
        <v/>
      </c>
      <c r="Y297" s="60" t="str">
        <f t="shared" si="62"/>
        <v/>
      </c>
      <c r="Z297" s="60" t="str">
        <f t="shared" si="63"/>
        <v/>
      </c>
      <c r="AA297" s="64" t="str">
        <f t="shared" si="64"/>
        <v/>
      </c>
      <c r="AB297" s="64" t="str">
        <f>IF(AND(AA297&lt;&gt;"",AA297&lt;&gt;0), IF(E297="Muni", AA297, IF(E297 = "Corp", (1-'Investor Input'!$C$4-'Investor Input'!$C$5)*AA297, (1-'Investor Input'!$C$4)*AA297)), AA297)</f>
        <v/>
      </c>
      <c r="AC297" s="94" t="str">
        <f t="shared" si="65"/>
        <v/>
      </c>
      <c r="AD297" s="60" t="str">
        <f>IF(AND(M297&lt;&gt;"", M297&lt;&gt;0), N297/$N$505*MATCH(AC297,'Misc Lists'!$K$2:$K$25,0), "")</f>
        <v/>
      </c>
      <c r="AE297" s="90" t="str">
        <f t="shared" si="66"/>
        <v/>
      </c>
      <c r="AF297" s="99" t="str">
        <f>IF(AND(M297&lt;&gt;"", M297&lt;&gt;0), N297/$N$505*MATCH(AE297,'Misc Lists'!$L$2:$L$25,0), "")</f>
        <v/>
      </c>
    </row>
    <row r="298" spans="2:32" hidden="1" outlineLevel="1" x14ac:dyDescent="0.5">
      <c r="B298" s="60"/>
      <c r="C298" s="61"/>
      <c r="D298" s="60"/>
      <c r="E298" s="61"/>
      <c r="F298" s="62"/>
      <c r="G298" s="63"/>
      <c r="H298" s="61"/>
      <c r="I298" s="61"/>
      <c r="J298" s="64"/>
      <c r="K298" s="17"/>
      <c r="L298" s="17"/>
      <c r="M298" s="83"/>
      <c r="N298" s="84" t="str">
        <f t="shared" si="67"/>
        <v/>
      </c>
      <c r="O298" s="20" t="str">
        <f t="shared" si="68"/>
        <v/>
      </c>
      <c r="P298" s="64" t="str">
        <f t="shared" si="69"/>
        <v/>
      </c>
      <c r="Q298" s="85" t="str">
        <f t="shared" ca="1" si="70"/>
        <v/>
      </c>
      <c r="R298" s="86" t="str">
        <f t="shared" si="71"/>
        <v/>
      </c>
      <c r="S298" s="86" t="str">
        <f t="shared" si="72"/>
        <v/>
      </c>
      <c r="T298" s="104" t="str">
        <f t="shared" si="73"/>
        <v/>
      </c>
      <c r="U298" s="19" t="str">
        <f>IF(AND(M298&lt;&gt;"",M298&lt;&gt;0), IF(E298 = "Muni", T298, IF(E298="Corp", T298*(1 -'Investor Input'!$C$4-'Investor Input'!$C$5), T298*(1 -'Investor Input'!$C$4))), T298)</f>
        <v/>
      </c>
      <c r="V298" s="84" t="str">
        <f t="shared" si="74"/>
        <v/>
      </c>
      <c r="W298" s="84" t="str">
        <f t="shared" si="60"/>
        <v/>
      </c>
      <c r="X298" s="21" t="str">
        <f t="shared" si="61"/>
        <v/>
      </c>
      <c r="Y298" s="60" t="str">
        <f t="shared" si="62"/>
        <v/>
      </c>
      <c r="Z298" s="60" t="str">
        <f t="shared" si="63"/>
        <v/>
      </c>
      <c r="AA298" s="64" t="str">
        <f t="shared" si="64"/>
        <v/>
      </c>
      <c r="AB298" s="64" t="str">
        <f>IF(AND(AA298&lt;&gt;"",AA298&lt;&gt;0), IF(E298="Muni", AA298, IF(E298 = "Corp", (1-'Investor Input'!$C$4-'Investor Input'!$C$5)*AA298, (1-'Investor Input'!$C$4)*AA298)), AA298)</f>
        <v/>
      </c>
      <c r="AC298" s="94" t="str">
        <f t="shared" si="65"/>
        <v/>
      </c>
      <c r="AD298" s="60" t="str">
        <f>IF(AND(M298&lt;&gt;"", M298&lt;&gt;0), N298/$N$505*MATCH(AC298,'Misc Lists'!$K$2:$K$25,0), "")</f>
        <v/>
      </c>
      <c r="AE298" s="90" t="str">
        <f t="shared" si="66"/>
        <v/>
      </c>
      <c r="AF298" s="99" t="str">
        <f>IF(AND(M298&lt;&gt;"", M298&lt;&gt;0), N298/$N$505*MATCH(AE298,'Misc Lists'!$L$2:$L$25,0), "")</f>
        <v/>
      </c>
    </row>
    <row r="299" spans="2:32" hidden="1" outlineLevel="1" x14ac:dyDescent="0.5">
      <c r="B299" s="60"/>
      <c r="C299" s="61"/>
      <c r="D299" s="60"/>
      <c r="E299" s="61"/>
      <c r="F299" s="62"/>
      <c r="G299" s="63"/>
      <c r="H299" s="61"/>
      <c r="I299" s="61"/>
      <c r="J299" s="64"/>
      <c r="K299" s="17"/>
      <c r="L299" s="17"/>
      <c r="M299" s="83"/>
      <c r="N299" s="84" t="str">
        <f t="shared" si="67"/>
        <v/>
      </c>
      <c r="O299" s="20" t="str">
        <f t="shared" si="68"/>
        <v/>
      </c>
      <c r="P299" s="64" t="str">
        <f t="shared" si="69"/>
        <v/>
      </c>
      <c r="Q299" s="85" t="str">
        <f t="shared" ca="1" si="70"/>
        <v/>
      </c>
      <c r="R299" s="86" t="str">
        <f t="shared" si="71"/>
        <v/>
      </c>
      <c r="S299" s="86" t="str">
        <f t="shared" si="72"/>
        <v/>
      </c>
      <c r="T299" s="104" t="str">
        <f t="shared" si="73"/>
        <v/>
      </c>
      <c r="U299" s="19" t="str">
        <f>IF(AND(M299&lt;&gt;"",M299&lt;&gt;0), IF(E299 = "Muni", T299, IF(E299="Corp", T299*(1 -'Investor Input'!$C$4-'Investor Input'!$C$5), T299*(1 -'Investor Input'!$C$4))), T299)</f>
        <v/>
      </c>
      <c r="V299" s="84" t="str">
        <f t="shared" si="74"/>
        <v/>
      </c>
      <c r="W299" s="84" t="str">
        <f t="shared" si="60"/>
        <v/>
      </c>
      <c r="X299" s="21" t="str">
        <f t="shared" si="61"/>
        <v/>
      </c>
      <c r="Y299" s="60" t="str">
        <f t="shared" si="62"/>
        <v/>
      </c>
      <c r="Z299" s="60" t="str">
        <f t="shared" si="63"/>
        <v/>
      </c>
      <c r="AA299" s="64" t="str">
        <f t="shared" si="64"/>
        <v/>
      </c>
      <c r="AB299" s="64" t="str">
        <f>IF(AND(AA299&lt;&gt;"",AA299&lt;&gt;0), IF(E299="Muni", AA299, IF(E299 = "Corp", (1-'Investor Input'!$C$4-'Investor Input'!$C$5)*AA299, (1-'Investor Input'!$C$4)*AA299)), AA299)</f>
        <v/>
      </c>
      <c r="AC299" s="94" t="str">
        <f t="shared" si="65"/>
        <v/>
      </c>
      <c r="AD299" s="60" t="str">
        <f>IF(AND(M299&lt;&gt;"", M299&lt;&gt;0), N299/$N$505*MATCH(AC299,'Misc Lists'!$K$2:$K$25,0), "")</f>
        <v/>
      </c>
      <c r="AE299" s="90" t="str">
        <f t="shared" si="66"/>
        <v/>
      </c>
      <c r="AF299" s="99" t="str">
        <f>IF(AND(M299&lt;&gt;"", M299&lt;&gt;0), N299/$N$505*MATCH(AE299,'Misc Lists'!$L$2:$L$25,0), "")</f>
        <v/>
      </c>
    </row>
    <row r="300" spans="2:32" hidden="1" outlineLevel="1" x14ac:dyDescent="0.5">
      <c r="B300" s="60"/>
      <c r="C300" s="61"/>
      <c r="D300" s="60"/>
      <c r="E300" s="61"/>
      <c r="F300" s="62"/>
      <c r="G300" s="63"/>
      <c r="H300" s="61"/>
      <c r="I300" s="61"/>
      <c r="J300" s="64"/>
      <c r="K300" s="17"/>
      <c r="L300" s="17"/>
      <c r="M300" s="83"/>
      <c r="N300" s="84" t="str">
        <f t="shared" si="67"/>
        <v/>
      </c>
      <c r="O300" s="20" t="str">
        <f t="shared" si="68"/>
        <v/>
      </c>
      <c r="P300" s="64" t="str">
        <f t="shared" si="69"/>
        <v/>
      </c>
      <c r="Q300" s="85" t="str">
        <f t="shared" ca="1" si="70"/>
        <v/>
      </c>
      <c r="R300" s="86" t="str">
        <f t="shared" si="71"/>
        <v/>
      </c>
      <c r="S300" s="86" t="str">
        <f t="shared" si="72"/>
        <v/>
      </c>
      <c r="T300" s="104" t="str">
        <f t="shared" si="73"/>
        <v/>
      </c>
      <c r="U300" s="19" t="str">
        <f>IF(AND(M300&lt;&gt;"",M300&lt;&gt;0), IF(E300 = "Muni", T300, IF(E300="Corp", T300*(1 -'Investor Input'!$C$4-'Investor Input'!$C$5), T300*(1 -'Investor Input'!$C$4))), T300)</f>
        <v/>
      </c>
      <c r="V300" s="84" t="str">
        <f t="shared" si="74"/>
        <v/>
      </c>
      <c r="W300" s="84" t="str">
        <f t="shared" si="60"/>
        <v/>
      </c>
      <c r="X300" s="21" t="str">
        <f t="shared" si="61"/>
        <v/>
      </c>
      <c r="Y300" s="60" t="str">
        <f t="shared" si="62"/>
        <v/>
      </c>
      <c r="Z300" s="60" t="str">
        <f t="shared" si="63"/>
        <v/>
      </c>
      <c r="AA300" s="64" t="str">
        <f t="shared" si="64"/>
        <v/>
      </c>
      <c r="AB300" s="64" t="str">
        <f>IF(AND(AA300&lt;&gt;"",AA300&lt;&gt;0), IF(E300="Muni", AA300, IF(E300 = "Corp", (1-'Investor Input'!$C$4-'Investor Input'!$C$5)*AA300, (1-'Investor Input'!$C$4)*AA300)), AA300)</f>
        <v/>
      </c>
      <c r="AC300" s="94" t="str">
        <f t="shared" si="65"/>
        <v/>
      </c>
      <c r="AD300" s="60" t="str">
        <f>IF(AND(M300&lt;&gt;"", M300&lt;&gt;0), N300/$N$505*MATCH(AC300,'Misc Lists'!$K$2:$K$25,0), "")</f>
        <v/>
      </c>
      <c r="AE300" s="90" t="str">
        <f t="shared" si="66"/>
        <v/>
      </c>
      <c r="AF300" s="99" t="str">
        <f>IF(AND(M300&lt;&gt;"", M300&lt;&gt;0), N300/$N$505*MATCH(AE300,'Misc Lists'!$L$2:$L$25,0), "")</f>
        <v/>
      </c>
    </row>
    <row r="301" spans="2:32" hidden="1" outlineLevel="1" x14ac:dyDescent="0.5">
      <c r="B301" s="60"/>
      <c r="C301" s="61"/>
      <c r="D301" s="60"/>
      <c r="E301" s="61"/>
      <c r="F301" s="62"/>
      <c r="G301" s="63"/>
      <c r="H301" s="61"/>
      <c r="I301" s="61"/>
      <c r="J301" s="64"/>
      <c r="K301" s="17"/>
      <c r="L301" s="17"/>
      <c r="M301" s="83"/>
      <c r="N301" s="84" t="str">
        <f t="shared" si="67"/>
        <v/>
      </c>
      <c r="O301" s="20" t="str">
        <f t="shared" si="68"/>
        <v/>
      </c>
      <c r="P301" s="64" t="str">
        <f t="shared" si="69"/>
        <v/>
      </c>
      <c r="Q301" s="85" t="str">
        <f t="shared" ca="1" si="70"/>
        <v/>
      </c>
      <c r="R301" s="86" t="str">
        <f t="shared" si="71"/>
        <v/>
      </c>
      <c r="S301" s="86" t="str">
        <f t="shared" si="72"/>
        <v/>
      </c>
      <c r="T301" s="104" t="str">
        <f t="shared" si="73"/>
        <v/>
      </c>
      <c r="U301" s="19" t="str">
        <f>IF(AND(M301&lt;&gt;"",M301&lt;&gt;0), IF(E301 = "Muni", T301, IF(E301="Corp", T301*(1 -'Investor Input'!$C$4-'Investor Input'!$C$5), T301*(1 -'Investor Input'!$C$4))), T301)</f>
        <v/>
      </c>
      <c r="V301" s="84" t="str">
        <f t="shared" si="74"/>
        <v/>
      </c>
      <c r="W301" s="84" t="str">
        <f t="shared" si="60"/>
        <v/>
      </c>
      <c r="X301" s="21" t="str">
        <f t="shared" si="61"/>
        <v/>
      </c>
      <c r="Y301" s="60" t="str">
        <f t="shared" si="62"/>
        <v/>
      </c>
      <c r="Z301" s="60" t="str">
        <f t="shared" si="63"/>
        <v/>
      </c>
      <c r="AA301" s="64" t="str">
        <f t="shared" si="64"/>
        <v/>
      </c>
      <c r="AB301" s="64" t="str">
        <f>IF(AND(AA301&lt;&gt;"",AA301&lt;&gt;0), IF(E301="Muni", AA301, IF(E301 = "Corp", (1-'Investor Input'!$C$4-'Investor Input'!$C$5)*AA301, (1-'Investor Input'!$C$4)*AA301)), AA301)</f>
        <v/>
      </c>
      <c r="AC301" s="94" t="str">
        <f t="shared" si="65"/>
        <v/>
      </c>
      <c r="AD301" s="60" t="str">
        <f>IF(AND(M301&lt;&gt;"", M301&lt;&gt;0), N301/$N$505*MATCH(AC301,'Misc Lists'!$K$2:$K$25,0), "")</f>
        <v/>
      </c>
      <c r="AE301" s="90" t="str">
        <f t="shared" si="66"/>
        <v/>
      </c>
      <c r="AF301" s="99" t="str">
        <f>IF(AND(M301&lt;&gt;"", M301&lt;&gt;0), N301/$N$505*MATCH(AE301,'Misc Lists'!$L$2:$L$25,0), "")</f>
        <v/>
      </c>
    </row>
    <row r="302" spans="2:32" hidden="1" outlineLevel="1" x14ac:dyDescent="0.5">
      <c r="B302" s="60"/>
      <c r="C302" s="61"/>
      <c r="D302" s="60"/>
      <c r="E302" s="61"/>
      <c r="F302" s="62"/>
      <c r="G302" s="63"/>
      <c r="H302" s="61"/>
      <c r="I302" s="61"/>
      <c r="J302" s="64"/>
      <c r="K302" s="17"/>
      <c r="L302" s="17"/>
      <c r="M302" s="83"/>
      <c r="N302" s="84" t="str">
        <f t="shared" si="67"/>
        <v/>
      </c>
      <c r="O302" s="20" t="str">
        <f t="shared" si="68"/>
        <v/>
      </c>
      <c r="P302" s="64" t="str">
        <f t="shared" si="69"/>
        <v/>
      </c>
      <c r="Q302" s="85" t="str">
        <f t="shared" ca="1" si="70"/>
        <v/>
      </c>
      <c r="R302" s="86" t="str">
        <f t="shared" si="71"/>
        <v/>
      </c>
      <c r="S302" s="86" t="str">
        <f t="shared" si="72"/>
        <v/>
      </c>
      <c r="T302" s="104" t="str">
        <f t="shared" si="73"/>
        <v/>
      </c>
      <c r="U302" s="19" t="str">
        <f>IF(AND(M302&lt;&gt;"",M302&lt;&gt;0), IF(E302 = "Muni", T302, IF(E302="Corp", T302*(1 -'Investor Input'!$C$4-'Investor Input'!$C$5), T302*(1 -'Investor Input'!$C$4))), T302)</f>
        <v/>
      </c>
      <c r="V302" s="84" t="str">
        <f t="shared" si="74"/>
        <v/>
      </c>
      <c r="W302" s="84" t="str">
        <f t="shared" si="60"/>
        <v/>
      </c>
      <c r="X302" s="21" t="str">
        <f t="shared" si="61"/>
        <v/>
      </c>
      <c r="Y302" s="60" t="str">
        <f t="shared" si="62"/>
        <v/>
      </c>
      <c r="Z302" s="60" t="str">
        <f t="shared" si="63"/>
        <v/>
      </c>
      <c r="AA302" s="64" t="str">
        <f t="shared" si="64"/>
        <v/>
      </c>
      <c r="AB302" s="64" t="str">
        <f>IF(AND(AA302&lt;&gt;"",AA302&lt;&gt;0), IF(E302="Muni", AA302, IF(E302 = "Corp", (1-'Investor Input'!$C$4-'Investor Input'!$C$5)*AA302, (1-'Investor Input'!$C$4)*AA302)), AA302)</f>
        <v/>
      </c>
      <c r="AC302" s="94" t="str">
        <f t="shared" si="65"/>
        <v/>
      </c>
      <c r="AD302" s="60" t="str">
        <f>IF(AND(M302&lt;&gt;"", M302&lt;&gt;0), N302/$N$505*MATCH(AC302,'Misc Lists'!$K$2:$K$25,0), "")</f>
        <v/>
      </c>
      <c r="AE302" s="90" t="str">
        <f t="shared" si="66"/>
        <v/>
      </c>
      <c r="AF302" s="99" t="str">
        <f>IF(AND(M302&lt;&gt;"", M302&lt;&gt;0), N302/$N$505*MATCH(AE302,'Misc Lists'!$L$2:$L$25,0), "")</f>
        <v/>
      </c>
    </row>
    <row r="303" spans="2:32" hidden="1" outlineLevel="1" x14ac:dyDescent="0.5">
      <c r="B303" s="60"/>
      <c r="C303" s="61"/>
      <c r="D303" s="60"/>
      <c r="E303" s="61"/>
      <c r="F303" s="62"/>
      <c r="G303" s="63"/>
      <c r="H303" s="61"/>
      <c r="I303" s="61"/>
      <c r="J303" s="64"/>
      <c r="K303" s="17"/>
      <c r="L303" s="17"/>
      <c r="M303" s="83"/>
      <c r="N303" s="84" t="str">
        <f t="shared" si="67"/>
        <v/>
      </c>
      <c r="O303" s="20" t="str">
        <f t="shared" si="68"/>
        <v/>
      </c>
      <c r="P303" s="64" t="str">
        <f t="shared" si="69"/>
        <v/>
      </c>
      <c r="Q303" s="85" t="str">
        <f t="shared" ca="1" si="70"/>
        <v/>
      </c>
      <c r="R303" s="86" t="str">
        <f t="shared" si="71"/>
        <v/>
      </c>
      <c r="S303" s="86" t="str">
        <f t="shared" si="72"/>
        <v/>
      </c>
      <c r="T303" s="104" t="str">
        <f t="shared" si="73"/>
        <v/>
      </c>
      <c r="U303" s="19" t="str">
        <f>IF(AND(M303&lt;&gt;"",M303&lt;&gt;0), IF(E303 = "Muni", T303, IF(E303="Corp", T303*(1 -'Investor Input'!$C$4-'Investor Input'!$C$5), T303*(1 -'Investor Input'!$C$4))), T303)</f>
        <v/>
      </c>
      <c r="V303" s="84" t="str">
        <f t="shared" si="74"/>
        <v/>
      </c>
      <c r="W303" s="84" t="str">
        <f t="shared" si="60"/>
        <v/>
      </c>
      <c r="X303" s="21" t="str">
        <f t="shared" si="61"/>
        <v/>
      </c>
      <c r="Y303" s="60" t="str">
        <f t="shared" si="62"/>
        <v/>
      </c>
      <c r="Z303" s="60" t="str">
        <f t="shared" si="63"/>
        <v/>
      </c>
      <c r="AA303" s="64" t="str">
        <f t="shared" si="64"/>
        <v/>
      </c>
      <c r="AB303" s="64" t="str">
        <f>IF(AND(AA303&lt;&gt;"",AA303&lt;&gt;0), IF(E303="Muni", AA303, IF(E303 = "Corp", (1-'Investor Input'!$C$4-'Investor Input'!$C$5)*AA303, (1-'Investor Input'!$C$4)*AA303)), AA303)</f>
        <v/>
      </c>
      <c r="AC303" s="94" t="str">
        <f t="shared" si="65"/>
        <v/>
      </c>
      <c r="AD303" s="60" t="str">
        <f>IF(AND(M303&lt;&gt;"", M303&lt;&gt;0), N303/$N$505*MATCH(AC303,'Misc Lists'!$K$2:$K$25,0), "")</f>
        <v/>
      </c>
      <c r="AE303" s="90" t="str">
        <f t="shared" si="66"/>
        <v/>
      </c>
      <c r="AF303" s="99" t="str">
        <f>IF(AND(M303&lt;&gt;"", M303&lt;&gt;0), N303/$N$505*MATCH(AE303,'Misc Lists'!$L$2:$L$25,0), "")</f>
        <v/>
      </c>
    </row>
    <row r="304" spans="2:32" hidden="1" outlineLevel="1" x14ac:dyDescent="0.5">
      <c r="B304" s="60"/>
      <c r="C304" s="61"/>
      <c r="D304" s="60"/>
      <c r="E304" s="61"/>
      <c r="F304" s="62"/>
      <c r="G304" s="63"/>
      <c r="H304" s="61"/>
      <c r="I304" s="61"/>
      <c r="J304" s="64"/>
      <c r="K304" s="17"/>
      <c r="L304" s="17"/>
      <c r="M304" s="83"/>
      <c r="N304" s="84" t="str">
        <f t="shared" si="67"/>
        <v/>
      </c>
      <c r="O304" s="20" t="str">
        <f t="shared" si="68"/>
        <v/>
      </c>
      <c r="P304" s="64" t="str">
        <f t="shared" si="69"/>
        <v/>
      </c>
      <c r="Q304" s="85" t="str">
        <f t="shared" ca="1" si="70"/>
        <v/>
      </c>
      <c r="R304" s="86" t="str">
        <f t="shared" si="71"/>
        <v/>
      </c>
      <c r="S304" s="86" t="str">
        <f t="shared" si="72"/>
        <v/>
      </c>
      <c r="T304" s="104" t="str">
        <f t="shared" si="73"/>
        <v/>
      </c>
      <c r="U304" s="19" t="str">
        <f>IF(AND(M304&lt;&gt;"",M304&lt;&gt;0), IF(E304 = "Muni", T304, IF(E304="Corp", T304*(1 -'Investor Input'!$C$4-'Investor Input'!$C$5), T304*(1 -'Investor Input'!$C$4))), T304)</f>
        <v/>
      </c>
      <c r="V304" s="84" t="str">
        <f t="shared" si="74"/>
        <v/>
      </c>
      <c r="W304" s="84" t="str">
        <f t="shared" si="60"/>
        <v/>
      </c>
      <c r="X304" s="21" t="str">
        <f t="shared" si="61"/>
        <v/>
      </c>
      <c r="Y304" s="60" t="str">
        <f t="shared" si="62"/>
        <v/>
      </c>
      <c r="Z304" s="60" t="str">
        <f t="shared" si="63"/>
        <v/>
      </c>
      <c r="AA304" s="64" t="str">
        <f t="shared" si="64"/>
        <v/>
      </c>
      <c r="AB304" s="64" t="str">
        <f>IF(AND(AA304&lt;&gt;"",AA304&lt;&gt;0), IF(E304="Muni", AA304, IF(E304 = "Corp", (1-'Investor Input'!$C$4-'Investor Input'!$C$5)*AA304, (1-'Investor Input'!$C$4)*AA304)), AA304)</f>
        <v/>
      </c>
      <c r="AC304" s="94" t="str">
        <f t="shared" si="65"/>
        <v/>
      </c>
      <c r="AD304" s="60" t="str">
        <f>IF(AND(M304&lt;&gt;"", M304&lt;&gt;0), N304/$N$505*MATCH(AC304,'Misc Lists'!$K$2:$K$25,0), "")</f>
        <v/>
      </c>
      <c r="AE304" s="90" t="str">
        <f t="shared" si="66"/>
        <v/>
      </c>
      <c r="AF304" s="99" t="str">
        <f>IF(AND(M304&lt;&gt;"", M304&lt;&gt;0), N304/$N$505*MATCH(AE304,'Misc Lists'!$L$2:$L$25,0), "")</f>
        <v/>
      </c>
    </row>
    <row r="305" spans="2:32" hidden="1" outlineLevel="1" x14ac:dyDescent="0.5">
      <c r="B305" s="60"/>
      <c r="C305" s="61"/>
      <c r="D305" s="60"/>
      <c r="E305" s="61"/>
      <c r="F305" s="62"/>
      <c r="G305" s="63"/>
      <c r="H305" s="61"/>
      <c r="I305" s="61"/>
      <c r="J305" s="64"/>
      <c r="K305" s="17"/>
      <c r="L305" s="17"/>
      <c r="M305" s="83"/>
      <c r="N305" s="84" t="str">
        <f t="shared" si="67"/>
        <v/>
      </c>
      <c r="O305" s="20" t="str">
        <f t="shared" si="68"/>
        <v/>
      </c>
      <c r="P305" s="64" t="str">
        <f t="shared" si="69"/>
        <v/>
      </c>
      <c r="Q305" s="85" t="str">
        <f t="shared" ca="1" si="70"/>
        <v/>
      </c>
      <c r="R305" s="86" t="str">
        <f t="shared" si="71"/>
        <v/>
      </c>
      <c r="S305" s="86" t="str">
        <f t="shared" si="72"/>
        <v/>
      </c>
      <c r="T305" s="104" t="str">
        <f t="shared" si="73"/>
        <v/>
      </c>
      <c r="U305" s="19" t="str">
        <f>IF(AND(M305&lt;&gt;"",M305&lt;&gt;0), IF(E305 = "Muni", T305, IF(E305="Corp", T305*(1 -'Investor Input'!$C$4-'Investor Input'!$C$5), T305*(1 -'Investor Input'!$C$4))), T305)</f>
        <v/>
      </c>
      <c r="V305" s="84" t="str">
        <f t="shared" si="74"/>
        <v/>
      </c>
      <c r="W305" s="84" t="str">
        <f t="shared" si="60"/>
        <v/>
      </c>
      <c r="X305" s="21" t="str">
        <f t="shared" si="61"/>
        <v/>
      </c>
      <c r="Y305" s="60" t="str">
        <f t="shared" si="62"/>
        <v/>
      </c>
      <c r="Z305" s="60" t="str">
        <f t="shared" si="63"/>
        <v/>
      </c>
      <c r="AA305" s="64" t="str">
        <f t="shared" si="64"/>
        <v/>
      </c>
      <c r="AB305" s="64" t="str">
        <f>IF(AND(AA305&lt;&gt;"",AA305&lt;&gt;0), IF(E305="Muni", AA305, IF(E305 = "Corp", (1-'Investor Input'!$C$4-'Investor Input'!$C$5)*AA305, (1-'Investor Input'!$C$4)*AA305)), AA305)</f>
        <v/>
      </c>
      <c r="AC305" s="94" t="str">
        <f t="shared" si="65"/>
        <v/>
      </c>
      <c r="AD305" s="60" t="str">
        <f>IF(AND(M305&lt;&gt;"", M305&lt;&gt;0), N305/$N$505*MATCH(AC305,'Misc Lists'!$K$2:$K$25,0), "")</f>
        <v/>
      </c>
      <c r="AE305" s="90" t="str">
        <f t="shared" si="66"/>
        <v/>
      </c>
      <c r="AF305" s="99" t="str">
        <f>IF(AND(M305&lt;&gt;"", M305&lt;&gt;0), N305/$N$505*MATCH(AE305,'Misc Lists'!$L$2:$L$25,0), "")</f>
        <v/>
      </c>
    </row>
    <row r="306" spans="2:32" hidden="1" outlineLevel="1" x14ac:dyDescent="0.5">
      <c r="B306" s="60"/>
      <c r="C306" s="61"/>
      <c r="D306" s="60"/>
      <c r="E306" s="61"/>
      <c r="F306" s="62"/>
      <c r="G306" s="63"/>
      <c r="H306" s="61"/>
      <c r="I306" s="61"/>
      <c r="J306" s="64"/>
      <c r="K306" s="17"/>
      <c r="L306" s="17"/>
      <c r="M306" s="83"/>
      <c r="N306" s="84" t="str">
        <f t="shared" si="67"/>
        <v/>
      </c>
      <c r="O306" s="20" t="str">
        <f t="shared" si="68"/>
        <v/>
      </c>
      <c r="P306" s="64" t="str">
        <f t="shared" si="69"/>
        <v/>
      </c>
      <c r="Q306" s="85" t="str">
        <f t="shared" ca="1" si="70"/>
        <v/>
      </c>
      <c r="R306" s="86" t="str">
        <f t="shared" si="71"/>
        <v/>
      </c>
      <c r="S306" s="86" t="str">
        <f t="shared" si="72"/>
        <v/>
      </c>
      <c r="T306" s="104" t="str">
        <f t="shared" si="73"/>
        <v/>
      </c>
      <c r="U306" s="19" t="str">
        <f>IF(AND(M306&lt;&gt;"",M306&lt;&gt;0), IF(E306 = "Muni", T306, IF(E306="Corp", T306*(1 -'Investor Input'!$C$4-'Investor Input'!$C$5), T306*(1 -'Investor Input'!$C$4))), T306)</f>
        <v/>
      </c>
      <c r="V306" s="84" t="str">
        <f t="shared" si="74"/>
        <v/>
      </c>
      <c r="W306" s="84" t="str">
        <f t="shared" si="60"/>
        <v/>
      </c>
      <c r="X306" s="21" t="str">
        <f t="shared" si="61"/>
        <v/>
      </c>
      <c r="Y306" s="60" t="str">
        <f t="shared" si="62"/>
        <v/>
      </c>
      <c r="Z306" s="60" t="str">
        <f t="shared" si="63"/>
        <v/>
      </c>
      <c r="AA306" s="64" t="str">
        <f t="shared" si="64"/>
        <v/>
      </c>
      <c r="AB306" s="64" t="str">
        <f>IF(AND(AA306&lt;&gt;"",AA306&lt;&gt;0), IF(E306="Muni", AA306, IF(E306 = "Corp", (1-'Investor Input'!$C$4-'Investor Input'!$C$5)*AA306, (1-'Investor Input'!$C$4)*AA306)), AA306)</f>
        <v/>
      </c>
      <c r="AC306" s="94" t="str">
        <f t="shared" si="65"/>
        <v/>
      </c>
      <c r="AD306" s="60" t="str">
        <f>IF(AND(M306&lt;&gt;"", M306&lt;&gt;0), N306/$N$505*MATCH(AC306,'Misc Lists'!$K$2:$K$25,0), "")</f>
        <v/>
      </c>
      <c r="AE306" s="90" t="str">
        <f t="shared" si="66"/>
        <v/>
      </c>
      <c r="AF306" s="99" t="str">
        <f>IF(AND(M306&lt;&gt;"", M306&lt;&gt;0), N306/$N$505*MATCH(AE306,'Misc Lists'!$L$2:$L$25,0), "")</f>
        <v/>
      </c>
    </row>
    <row r="307" spans="2:32" hidden="1" outlineLevel="1" x14ac:dyDescent="0.5">
      <c r="B307" s="60"/>
      <c r="C307" s="61"/>
      <c r="D307" s="60"/>
      <c r="E307" s="61"/>
      <c r="F307" s="62"/>
      <c r="G307" s="63"/>
      <c r="H307" s="61"/>
      <c r="I307" s="61"/>
      <c r="J307" s="64"/>
      <c r="K307" s="17"/>
      <c r="L307" s="17"/>
      <c r="M307" s="83"/>
      <c r="N307" s="84" t="str">
        <f t="shared" si="67"/>
        <v/>
      </c>
      <c r="O307" s="20" t="str">
        <f t="shared" si="68"/>
        <v/>
      </c>
      <c r="P307" s="64" t="str">
        <f t="shared" si="69"/>
        <v/>
      </c>
      <c r="Q307" s="85" t="str">
        <f t="shared" ca="1" si="70"/>
        <v/>
      </c>
      <c r="R307" s="86" t="str">
        <f t="shared" si="71"/>
        <v/>
      </c>
      <c r="S307" s="86" t="str">
        <f t="shared" si="72"/>
        <v/>
      </c>
      <c r="T307" s="104" t="str">
        <f t="shared" si="73"/>
        <v/>
      </c>
      <c r="U307" s="19" t="str">
        <f>IF(AND(M307&lt;&gt;"",M307&lt;&gt;0), IF(E307 = "Muni", T307, IF(E307="Corp", T307*(1 -'Investor Input'!$C$4-'Investor Input'!$C$5), T307*(1 -'Investor Input'!$C$4))), T307)</f>
        <v/>
      </c>
      <c r="V307" s="84" t="str">
        <f t="shared" si="74"/>
        <v/>
      </c>
      <c r="W307" s="84" t="str">
        <f t="shared" si="60"/>
        <v/>
      </c>
      <c r="X307" s="21" t="str">
        <f t="shared" si="61"/>
        <v/>
      </c>
      <c r="Y307" s="60" t="str">
        <f t="shared" si="62"/>
        <v/>
      </c>
      <c r="Z307" s="60" t="str">
        <f t="shared" si="63"/>
        <v/>
      </c>
      <c r="AA307" s="64" t="str">
        <f t="shared" si="64"/>
        <v/>
      </c>
      <c r="AB307" s="64" t="str">
        <f>IF(AND(AA307&lt;&gt;"",AA307&lt;&gt;0), IF(E307="Muni", AA307, IF(E307 = "Corp", (1-'Investor Input'!$C$4-'Investor Input'!$C$5)*AA307, (1-'Investor Input'!$C$4)*AA307)), AA307)</f>
        <v/>
      </c>
      <c r="AC307" s="94" t="str">
        <f t="shared" si="65"/>
        <v/>
      </c>
      <c r="AD307" s="60" t="str">
        <f>IF(AND(M307&lt;&gt;"", M307&lt;&gt;0), N307/$N$505*MATCH(AC307,'Misc Lists'!$K$2:$K$25,0), "")</f>
        <v/>
      </c>
      <c r="AE307" s="90" t="str">
        <f t="shared" si="66"/>
        <v/>
      </c>
      <c r="AF307" s="99" t="str">
        <f>IF(AND(M307&lt;&gt;"", M307&lt;&gt;0), N307/$N$505*MATCH(AE307,'Misc Lists'!$L$2:$L$25,0), "")</f>
        <v/>
      </c>
    </row>
    <row r="308" spans="2:32" hidden="1" outlineLevel="1" x14ac:dyDescent="0.5">
      <c r="B308" s="60"/>
      <c r="C308" s="61"/>
      <c r="D308" s="60"/>
      <c r="E308" s="61"/>
      <c r="F308" s="62"/>
      <c r="G308" s="63"/>
      <c r="H308" s="61"/>
      <c r="I308" s="61"/>
      <c r="J308" s="64"/>
      <c r="K308" s="17"/>
      <c r="L308" s="17"/>
      <c r="M308" s="83"/>
      <c r="N308" s="84" t="str">
        <f t="shared" si="67"/>
        <v/>
      </c>
      <c r="O308" s="20" t="str">
        <f t="shared" si="68"/>
        <v/>
      </c>
      <c r="P308" s="64" t="str">
        <f t="shared" si="69"/>
        <v/>
      </c>
      <c r="Q308" s="85" t="str">
        <f t="shared" ca="1" si="70"/>
        <v/>
      </c>
      <c r="R308" s="86" t="str">
        <f t="shared" si="71"/>
        <v/>
      </c>
      <c r="S308" s="86" t="str">
        <f t="shared" si="72"/>
        <v/>
      </c>
      <c r="T308" s="104" t="str">
        <f t="shared" si="73"/>
        <v/>
      </c>
      <c r="U308" s="19" t="str">
        <f>IF(AND(M308&lt;&gt;"",M308&lt;&gt;0), IF(E308 = "Muni", T308, IF(E308="Corp", T308*(1 -'Investor Input'!$C$4-'Investor Input'!$C$5), T308*(1 -'Investor Input'!$C$4))), T308)</f>
        <v/>
      </c>
      <c r="V308" s="84" t="str">
        <f t="shared" si="74"/>
        <v/>
      </c>
      <c r="W308" s="84" t="str">
        <f t="shared" si="60"/>
        <v/>
      </c>
      <c r="X308" s="21" t="str">
        <f t="shared" si="61"/>
        <v/>
      </c>
      <c r="Y308" s="60" t="str">
        <f t="shared" si="62"/>
        <v/>
      </c>
      <c r="Z308" s="60" t="str">
        <f t="shared" si="63"/>
        <v/>
      </c>
      <c r="AA308" s="64" t="str">
        <f t="shared" si="64"/>
        <v/>
      </c>
      <c r="AB308" s="64" t="str">
        <f>IF(AND(AA308&lt;&gt;"",AA308&lt;&gt;0), IF(E308="Muni", AA308, IF(E308 = "Corp", (1-'Investor Input'!$C$4-'Investor Input'!$C$5)*AA308, (1-'Investor Input'!$C$4)*AA308)), AA308)</f>
        <v/>
      </c>
      <c r="AC308" s="94" t="str">
        <f t="shared" si="65"/>
        <v/>
      </c>
      <c r="AD308" s="60" t="str">
        <f>IF(AND(M308&lt;&gt;"", M308&lt;&gt;0), N308/$N$505*MATCH(AC308,'Misc Lists'!$K$2:$K$25,0), "")</f>
        <v/>
      </c>
      <c r="AE308" s="90" t="str">
        <f t="shared" si="66"/>
        <v/>
      </c>
      <c r="AF308" s="99" t="str">
        <f>IF(AND(M308&lt;&gt;"", M308&lt;&gt;0), N308/$N$505*MATCH(AE308,'Misc Lists'!$L$2:$L$25,0), "")</f>
        <v/>
      </c>
    </row>
    <row r="309" spans="2:32" hidden="1" outlineLevel="1" x14ac:dyDescent="0.5">
      <c r="B309" s="60"/>
      <c r="C309" s="61"/>
      <c r="D309" s="60"/>
      <c r="E309" s="61"/>
      <c r="F309" s="62"/>
      <c r="G309" s="63"/>
      <c r="H309" s="61"/>
      <c r="I309" s="61"/>
      <c r="J309" s="64"/>
      <c r="K309" s="17"/>
      <c r="L309" s="17"/>
      <c r="M309" s="83"/>
      <c r="N309" s="84" t="str">
        <f t="shared" si="67"/>
        <v/>
      </c>
      <c r="O309" s="20" t="str">
        <f t="shared" si="68"/>
        <v/>
      </c>
      <c r="P309" s="64" t="str">
        <f t="shared" si="69"/>
        <v/>
      </c>
      <c r="Q309" s="85" t="str">
        <f t="shared" ca="1" si="70"/>
        <v/>
      </c>
      <c r="R309" s="86" t="str">
        <f t="shared" si="71"/>
        <v/>
      </c>
      <c r="S309" s="86" t="str">
        <f t="shared" si="72"/>
        <v/>
      </c>
      <c r="T309" s="104" t="str">
        <f t="shared" si="73"/>
        <v/>
      </c>
      <c r="U309" s="19" t="str">
        <f>IF(AND(M309&lt;&gt;"",M309&lt;&gt;0), IF(E309 = "Muni", T309, IF(E309="Corp", T309*(1 -'Investor Input'!$C$4-'Investor Input'!$C$5), T309*(1 -'Investor Input'!$C$4))), T309)</f>
        <v/>
      </c>
      <c r="V309" s="84" t="str">
        <f t="shared" si="74"/>
        <v/>
      </c>
      <c r="W309" s="84" t="str">
        <f t="shared" si="60"/>
        <v/>
      </c>
      <c r="X309" s="21" t="str">
        <f t="shared" si="61"/>
        <v/>
      </c>
      <c r="Y309" s="60" t="str">
        <f t="shared" si="62"/>
        <v/>
      </c>
      <c r="Z309" s="60" t="str">
        <f t="shared" si="63"/>
        <v/>
      </c>
      <c r="AA309" s="64" t="str">
        <f t="shared" si="64"/>
        <v/>
      </c>
      <c r="AB309" s="64" t="str">
        <f>IF(AND(AA309&lt;&gt;"",AA309&lt;&gt;0), IF(E309="Muni", AA309, IF(E309 = "Corp", (1-'Investor Input'!$C$4-'Investor Input'!$C$5)*AA309, (1-'Investor Input'!$C$4)*AA309)), AA309)</f>
        <v/>
      </c>
      <c r="AC309" s="94" t="str">
        <f t="shared" si="65"/>
        <v/>
      </c>
      <c r="AD309" s="60" t="str">
        <f>IF(AND(M309&lt;&gt;"", M309&lt;&gt;0), N309/$N$505*MATCH(AC309,'Misc Lists'!$K$2:$K$25,0), "")</f>
        <v/>
      </c>
      <c r="AE309" s="90" t="str">
        <f t="shared" si="66"/>
        <v/>
      </c>
      <c r="AF309" s="99" t="str">
        <f>IF(AND(M309&lt;&gt;"", M309&lt;&gt;0), N309/$N$505*MATCH(AE309,'Misc Lists'!$L$2:$L$25,0), "")</f>
        <v/>
      </c>
    </row>
    <row r="310" spans="2:32" hidden="1" outlineLevel="1" x14ac:dyDescent="0.5">
      <c r="B310" s="60"/>
      <c r="C310" s="61"/>
      <c r="D310" s="60"/>
      <c r="E310" s="61"/>
      <c r="F310" s="62"/>
      <c r="G310" s="63"/>
      <c r="H310" s="61"/>
      <c r="I310" s="61"/>
      <c r="J310" s="64"/>
      <c r="K310" s="17"/>
      <c r="L310" s="17"/>
      <c r="M310" s="83"/>
      <c r="N310" s="84" t="str">
        <f t="shared" si="67"/>
        <v/>
      </c>
      <c r="O310" s="20" t="str">
        <f t="shared" si="68"/>
        <v/>
      </c>
      <c r="P310" s="64" t="str">
        <f t="shared" si="69"/>
        <v/>
      </c>
      <c r="Q310" s="85" t="str">
        <f t="shared" ca="1" si="70"/>
        <v/>
      </c>
      <c r="R310" s="86" t="str">
        <f t="shared" si="71"/>
        <v/>
      </c>
      <c r="S310" s="86" t="str">
        <f t="shared" si="72"/>
        <v/>
      </c>
      <c r="T310" s="104" t="str">
        <f t="shared" si="73"/>
        <v/>
      </c>
      <c r="U310" s="19" t="str">
        <f>IF(AND(M310&lt;&gt;"",M310&lt;&gt;0), IF(E310 = "Muni", T310, IF(E310="Corp", T310*(1 -'Investor Input'!$C$4-'Investor Input'!$C$5), T310*(1 -'Investor Input'!$C$4))), T310)</f>
        <v/>
      </c>
      <c r="V310" s="84" t="str">
        <f t="shared" si="74"/>
        <v/>
      </c>
      <c r="W310" s="84" t="str">
        <f t="shared" si="60"/>
        <v/>
      </c>
      <c r="X310" s="21" t="str">
        <f t="shared" si="61"/>
        <v/>
      </c>
      <c r="Y310" s="60" t="str">
        <f t="shared" si="62"/>
        <v/>
      </c>
      <c r="Z310" s="60" t="str">
        <f t="shared" si="63"/>
        <v/>
      </c>
      <c r="AA310" s="64" t="str">
        <f t="shared" si="64"/>
        <v/>
      </c>
      <c r="AB310" s="64" t="str">
        <f>IF(AND(AA310&lt;&gt;"",AA310&lt;&gt;0), IF(E310="Muni", AA310, IF(E310 = "Corp", (1-'Investor Input'!$C$4-'Investor Input'!$C$5)*AA310, (1-'Investor Input'!$C$4)*AA310)), AA310)</f>
        <v/>
      </c>
      <c r="AC310" s="94" t="str">
        <f t="shared" si="65"/>
        <v/>
      </c>
      <c r="AD310" s="60" t="str">
        <f>IF(AND(M310&lt;&gt;"", M310&lt;&gt;0), N310/$N$505*MATCH(AC310,'Misc Lists'!$K$2:$K$25,0), "")</f>
        <v/>
      </c>
      <c r="AE310" s="90" t="str">
        <f t="shared" si="66"/>
        <v/>
      </c>
      <c r="AF310" s="99" t="str">
        <f>IF(AND(M310&lt;&gt;"", M310&lt;&gt;0), N310/$N$505*MATCH(AE310,'Misc Lists'!$L$2:$L$25,0), "")</f>
        <v/>
      </c>
    </row>
    <row r="311" spans="2:32" hidden="1" outlineLevel="1" x14ac:dyDescent="0.5">
      <c r="B311" s="60"/>
      <c r="C311" s="61"/>
      <c r="D311" s="60"/>
      <c r="E311" s="61"/>
      <c r="F311" s="62"/>
      <c r="G311" s="63"/>
      <c r="H311" s="61"/>
      <c r="I311" s="61"/>
      <c r="J311" s="64"/>
      <c r="K311" s="17"/>
      <c r="L311" s="17"/>
      <c r="M311" s="83"/>
      <c r="N311" s="84" t="str">
        <f t="shared" si="67"/>
        <v/>
      </c>
      <c r="O311" s="20" t="str">
        <f t="shared" si="68"/>
        <v/>
      </c>
      <c r="P311" s="64" t="str">
        <f t="shared" si="69"/>
        <v/>
      </c>
      <c r="Q311" s="85" t="str">
        <f t="shared" ca="1" si="70"/>
        <v/>
      </c>
      <c r="R311" s="86" t="str">
        <f t="shared" si="71"/>
        <v/>
      </c>
      <c r="S311" s="86" t="str">
        <f t="shared" si="72"/>
        <v/>
      </c>
      <c r="T311" s="104" t="str">
        <f t="shared" si="73"/>
        <v/>
      </c>
      <c r="U311" s="19" t="str">
        <f>IF(AND(M311&lt;&gt;"",M311&lt;&gt;0), IF(E311 = "Muni", T311, IF(E311="Corp", T311*(1 -'Investor Input'!$C$4-'Investor Input'!$C$5), T311*(1 -'Investor Input'!$C$4))), T311)</f>
        <v/>
      </c>
      <c r="V311" s="84" t="str">
        <f t="shared" si="74"/>
        <v/>
      </c>
      <c r="W311" s="84" t="str">
        <f t="shared" si="60"/>
        <v/>
      </c>
      <c r="X311" s="21" t="str">
        <f t="shared" si="61"/>
        <v/>
      </c>
      <c r="Y311" s="60" t="str">
        <f t="shared" si="62"/>
        <v/>
      </c>
      <c r="Z311" s="60" t="str">
        <f t="shared" si="63"/>
        <v/>
      </c>
      <c r="AA311" s="64" t="str">
        <f t="shared" si="64"/>
        <v/>
      </c>
      <c r="AB311" s="64" t="str">
        <f>IF(AND(AA311&lt;&gt;"",AA311&lt;&gt;0), IF(E311="Muni", AA311, IF(E311 = "Corp", (1-'Investor Input'!$C$4-'Investor Input'!$C$5)*AA311, (1-'Investor Input'!$C$4)*AA311)), AA311)</f>
        <v/>
      </c>
      <c r="AC311" s="94" t="str">
        <f t="shared" si="65"/>
        <v/>
      </c>
      <c r="AD311" s="60" t="str">
        <f>IF(AND(M311&lt;&gt;"", M311&lt;&gt;0), N311/$N$505*MATCH(AC311,'Misc Lists'!$K$2:$K$25,0), "")</f>
        <v/>
      </c>
      <c r="AE311" s="90" t="str">
        <f t="shared" si="66"/>
        <v/>
      </c>
      <c r="AF311" s="99" t="str">
        <f>IF(AND(M311&lt;&gt;"", M311&lt;&gt;0), N311/$N$505*MATCH(AE311,'Misc Lists'!$L$2:$L$25,0), "")</f>
        <v/>
      </c>
    </row>
    <row r="312" spans="2:32" hidden="1" outlineLevel="1" x14ac:dyDescent="0.5">
      <c r="B312" s="60"/>
      <c r="C312" s="61"/>
      <c r="D312" s="60"/>
      <c r="E312" s="61"/>
      <c r="F312" s="62"/>
      <c r="G312" s="63"/>
      <c r="H312" s="61"/>
      <c r="I312" s="61"/>
      <c r="J312" s="64"/>
      <c r="K312" s="17"/>
      <c r="L312" s="17"/>
      <c r="M312" s="83"/>
      <c r="N312" s="84" t="str">
        <f t="shared" si="67"/>
        <v/>
      </c>
      <c r="O312" s="20" t="str">
        <f t="shared" si="68"/>
        <v/>
      </c>
      <c r="P312" s="64" t="str">
        <f t="shared" si="69"/>
        <v/>
      </c>
      <c r="Q312" s="85" t="str">
        <f t="shared" ca="1" si="70"/>
        <v/>
      </c>
      <c r="R312" s="86" t="str">
        <f t="shared" si="71"/>
        <v/>
      </c>
      <c r="S312" s="86" t="str">
        <f t="shared" si="72"/>
        <v/>
      </c>
      <c r="T312" s="104" t="str">
        <f t="shared" si="73"/>
        <v/>
      </c>
      <c r="U312" s="19" t="str">
        <f>IF(AND(M312&lt;&gt;"",M312&lt;&gt;0), IF(E312 = "Muni", T312, IF(E312="Corp", T312*(1 -'Investor Input'!$C$4-'Investor Input'!$C$5), T312*(1 -'Investor Input'!$C$4))), T312)</f>
        <v/>
      </c>
      <c r="V312" s="84" t="str">
        <f t="shared" si="74"/>
        <v/>
      </c>
      <c r="W312" s="84" t="str">
        <f t="shared" si="60"/>
        <v/>
      </c>
      <c r="X312" s="21" t="str">
        <f t="shared" si="61"/>
        <v/>
      </c>
      <c r="Y312" s="60" t="str">
        <f t="shared" si="62"/>
        <v/>
      </c>
      <c r="Z312" s="60" t="str">
        <f t="shared" si="63"/>
        <v/>
      </c>
      <c r="AA312" s="64" t="str">
        <f t="shared" si="64"/>
        <v/>
      </c>
      <c r="AB312" s="64" t="str">
        <f>IF(AND(AA312&lt;&gt;"",AA312&lt;&gt;0), IF(E312="Muni", AA312, IF(E312 = "Corp", (1-'Investor Input'!$C$4-'Investor Input'!$C$5)*AA312, (1-'Investor Input'!$C$4)*AA312)), AA312)</f>
        <v/>
      </c>
      <c r="AC312" s="94" t="str">
        <f t="shared" si="65"/>
        <v/>
      </c>
      <c r="AD312" s="60" t="str">
        <f>IF(AND(M312&lt;&gt;"", M312&lt;&gt;0), N312/$N$505*MATCH(AC312,'Misc Lists'!$K$2:$K$25,0), "")</f>
        <v/>
      </c>
      <c r="AE312" s="90" t="str">
        <f t="shared" si="66"/>
        <v/>
      </c>
      <c r="AF312" s="99" t="str">
        <f>IF(AND(M312&lt;&gt;"", M312&lt;&gt;0), N312/$N$505*MATCH(AE312,'Misc Lists'!$L$2:$L$25,0), "")</f>
        <v/>
      </c>
    </row>
    <row r="313" spans="2:32" hidden="1" outlineLevel="1" x14ac:dyDescent="0.5">
      <c r="B313" s="60"/>
      <c r="C313" s="61"/>
      <c r="D313" s="60"/>
      <c r="E313" s="61"/>
      <c r="F313" s="62"/>
      <c r="G313" s="63"/>
      <c r="H313" s="61"/>
      <c r="I313" s="61"/>
      <c r="J313" s="64"/>
      <c r="K313" s="17"/>
      <c r="L313" s="17"/>
      <c r="M313" s="83"/>
      <c r="N313" s="84" t="str">
        <f t="shared" si="67"/>
        <v/>
      </c>
      <c r="O313" s="20" t="str">
        <f t="shared" si="68"/>
        <v/>
      </c>
      <c r="P313" s="64" t="str">
        <f t="shared" si="69"/>
        <v/>
      </c>
      <c r="Q313" s="85" t="str">
        <f t="shared" ca="1" si="70"/>
        <v/>
      </c>
      <c r="R313" s="86" t="str">
        <f t="shared" si="71"/>
        <v/>
      </c>
      <c r="S313" s="86" t="str">
        <f t="shared" si="72"/>
        <v/>
      </c>
      <c r="T313" s="104" t="str">
        <f t="shared" si="73"/>
        <v/>
      </c>
      <c r="U313" s="19" t="str">
        <f>IF(AND(M313&lt;&gt;"",M313&lt;&gt;0), IF(E313 = "Muni", T313, IF(E313="Corp", T313*(1 -'Investor Input'!$C$4-'Investor Input'!$C$5), T313*(1 -'Investor Input'!$C$4))), T313)</f>
        <v/>
      </c>
      <c r="V313" s="84" t="str">
        <f t="shared" si="74"/>
        <v/>
      </c>
      <c r="W313" s="84" t="str">
        <f t="shared" si="60"/>
        <v/>
      </c>
      <c r="X313" s="21" t="str">
        <f t="shared" si="61"/>
        <v/>
      </c>
      <c r="Y313" s="60" t="str">
        <f t="shared" si="62"/>
        <v/>
      </c>
      <c r="Z313" s="60" t="str">
        <f t="shared" si="63"/>
        <v/>
      </c>
      <c r="AA313" s="64" t="str">
        <f t="shared" si="64"/>
        <v/>
      </c>
      <c r="AB313" s="64" t="str">
        <f>IF(AND(AA313&lt;&gt;"",AA313&lt;&gt;0), IF(E313="Muni", AA313, IF(E313 = "Corp", (1-'Investor Input'!$C$4-'Investor Input'!$C$5)*AA313, (1-'Investor Input'!$C$4)*AA313)), AA313)</f>
        <v/>
      </c>
      <c r="AC313" s="94" t="str">
        <f t="shared" si="65"/>
        <v/>
      </c>
      <c r="AD313" s="60" t="str">
        <f>IF(AND(M313&lt;&gt;"", M313&lt;&gt;0), N313/$N$505*MATCH(AC313,'Misc Lists'!$K$2:$K$25,0), "")</f>
        <v/>
      </c>
      <c r="AE313" s="90" t="str">
        <f t="shared" si="66"/>
        <v/>
      </c>
      <c r="AF313" s="99" t="str">
        <f>IF(AND(M313&lt;&gt;"", M313&lt;&gt;0), N313/$N$505*MATCH(AE313,'Misc Lists'!$L$2:$L$25,0), "")</f>
        <v/>
      </c>
    </row>
    <row r="314" spans="2:32" hidden="1" outlineLevel="1" x14ac:dyDescent="0.5">
      <c r="B314" s="60"/>
      <c r="C314" s="61"/>
      <c r="D314" s="60"/>
      <c r="E314" s="61"/>
      <c r="F314" s="62"/>
      <c r="G314" s="63"/>
      <c r="H314" s="61"/>
      <c r="I314" s="61"/>
      <c r="J314" s="64"/>
      <c r="K314" s="17"/>
      <c r="L314" s="17"/>
      <c r="M314" s="83"/>
      <c r="N314" s="84" t="str">
        <f t="shared" si="67"/>
        <v/>
      </c>
      <c r="O314" s="20" t="str">
        <f t="shared" si="68"/>
        <v/>
      </c>
      <c r="P314" s="64" t="str">
        <f t="shared" si="69"/>
        <v/>
      </c>
      <c r="Q314" s="85" t="str">
        <f t="shared" ca="1" si="70"/>
        <v/>
      </c>
      <c r="R314" s="86" t="str">
        <f t="shared" si="71"/>
        <v/>
      </c>
      <c r="S314" s="86" t="str">
        <f t="shared" si="72"/>
        <v/>
      </c>
      <c r="T314" s="104" t="str">
        <f t="shared" si="73"/>
        <v/>
      </c>
      <c r="U314" s="19" t="str">
        <f>IF(AND(M314&lt;&gt;"",M314&lt;&gt;0), IF(E314 = "Muni", T314, IF(E314="Corp", T314*(1 -'Investor Input'!$C$4-'Investor Input'!$C$5), T314*(1 -'Investor Input'!$C$4))), T314)</f>
        <v/>
      </c>
      <c r="V314" s="84" t="str">
        <f t="shared" si="74"/>
        <v/>
      </c>
      <c r="W314" s="84" t="str">
        <f t="shared" si="60"/>
        <v/>
      </c>
      <c r="X314" s="21" t="str">
        <f t="shared" si="61"/>
        <v/>
      </c>
      <c r="Y314" s="60" t="str">
        <f t="shared" si="62"/>
        <v/>
      </c>
      <c r="Z314" s="60" t="str">
        <f t="shared" si="63"/>
        <v/>
      </c>
      <c r="AA314" s="64" t="str">
        <f t="shared" si="64"/>
        <v/>
      </c>
      <c r="AB314" s="64" t="str">
        <f>IF(AND(AA314&lt;&gt;"",AA314&lt;&gt;0), IF(E314="Muni", AA314, IF(E314 = "Corp", (1-'Investor Input'!$C$4-'Investor Input'!$C$5)*AA314, (1-'Investor Input'!$C$4)*AA314)), AA314)</f>
        <v/>
      </c>
      <c r="AC314" s="94" t="str">
        <f t="shared" si="65"/>
        <v/>
      </c>
      <c r="AD314" s="60" t="str">
        <f>IF(AND(M314&lt;&gt;"", M314&lt;&gt;0), N314/$N$505*MATCH(AC314,'Misc Lists'!$K$2:$K$25,0), "")</f>
        <v/>
      </c>
      <c r="AE314" s="90" t="str">
        <f t="shared" si="66"/>
        <v/>
      </c>
      <c r="AF314" s="99" t="str">
        <f>IF(AND(M314&lt;&gt;"", M314&lt;&gt;0), N314/$N$505*MATCH(AE314,'Misc Lists'!$L$2:$L$25,0), "")</f>
        <v/>
      </c>
    </row>
    <row r="315" spans="2:32" hidden="1" outlineLevel="1" x14ac:dyDescent="0.5">
      <c r="B315" s="60"/>
      <c r="C315" s="61"/>
      <c r="D315" s="60"/>
      <c r="E315" s="61"/>
      <c r="F315" s="62"/>
      <c r="G315" s="63"/>
      <c r="H315" s="61"/>
      <c r="I315" s="61"/>
      <c r="J315" s="64"/>
      <c r="K315" s="17"/>
      <c r="L315" s="17"/>
      <c r="M315" s="83"/>
      <c r="N315" s="84" t="str">
        <f t="shared" si="67"/>
        <v/>
      </c>
      <c r="O315" s="20" t="str">
        <f t="shared" si="68"/>
        <v/>
      </c>
      <c r="P315" s="64" t="str">
        <f t="shared" si="69"/>
        <v/>
      </c>
      <c r="Q315" s="85" t="str">
        <f t="shared" ca="1" si="70"/>
        <v/>
      </c>
      <c r="R315" s="86" t="str">
        <f t="shared" si="71"/>
        <v/>
      </c>
      <c r="S315" s="86" t="str">
        <f t="shared" si="72"/>
        <v/>
      </c>
      <c r="T315" s="104" t="str">
        <f t="shared" si="73"/>
        <v/>
      </c>
      <c r="U315" s="19" t="str">
        <f>IF(AND(M315&lt;&gt;"",M315&lt;&gt;0), IF(E315 = "Muni", T315, IF(E315="Corp", T315*(1 -'Investor Input'!$C$4-'Investor Input'!$C$5), T315*(1 -'Investor Input'!$C$4))), T315)</f>
        <v/>
      </c>
      <c r="V315" s="84" t="str">
        <f t="shared" si="74"/>
        <v/>
      </c>
      <c r="W315" s="84" t="str">
        <f t="shared" si="60"/>
        <v/>
      </c>
      <c r="X315" s="21" t="str">
        <f t="shared" si="61"/>
        <v/>
      </c>
      <c r="Y315" s="60" t="str">
        <f t="shared" si="62"/>
        <v/>
      </c>
      <c r="Z315" s="60" t="str">
        <f t="shared" si="63"/>
        <v/>
      </c>
      <c r="AA315" s="64" t="str">
        <f t="shared" si="64"/>
        <v/>
      </c>
      <c r="AB315" s="64" t="str">
        <f>IF(AND(AA315&lt;&gt;"",AA315&lt;&gt;0), IF(E315="Muni", AA315, IF(E315 = "Corp", (1-'Investor Input'!$C$4-'Investor Input'!$C$5)*AA315, (1-'Investor Input'!$C$4)*AA315)), AA315)</f>
        <v/>
      </c>
      <c r="AC315" s="94" t="str">
        <f t="shared" si="65"/>
        <v/>
      </c>
      <c r="AD315" s="60" t="str">
        <f>IF(AND(M315&lt;&gt;"", M315&lt;&gt;0), N315/$N$505*MATCH(AC315,'Misc Lists'!$K$2:$K$25,0), "")</f>
        <v/>
      </c>
      <c r="AE315" s="90" t="str">
        <f t="shared" si="66"/>
        <v/>
      </c>
      <c r="AF315" s="99" t="str">
        <f>IF(AND(M315&lt;&gt;"", M315&lt;&gt;0), N315/$N$505*MATCH(AE315,'Misc Lists'!$L$2:$L$25,0), "")</f>
        <v/>
      </c>
    </row>
    <row r="316" spans="2:32" hidden="1" outlineLevel="1" x14ac:dyDescent="0.5">
      <c r="B316" s="60"/>
      <c r="C316" s="61"/>
      <c r="D316" s="60"/>
      <c r="E316" s="61"/>
      <c r="F316" s="62"/>
      <c r="G316" s="63"/>
      <c r="H316" s="61"/>
      <c r="I316" s="61"/>
      <c r="J316" s="64"/>
      <c r="K316" s="17"/>
      <c r="L316" s="17"/>
      <c r="M316" s="83"/>
      <c r="N316" s="84" t="str">
        <f t="shared" si="67"/>
        <v/>
      </c>
      <c r="O316" s="20" t="str">
        <f t="shared" si="68"/>
        <v/>
      </c>
      <c r="P316" s="64" t="str">
        <f t="shared" si="69"/>
        <v/>
      </c>
      <c r="Q316" s="85" t="str">
        <f t="shared" ca="1" si="70"/>
        <v/>
      </c>
      <c r="R316" s="86" t="str">
        <f t="shared" si="71"/>
        <v/>
      </c>
      <c r="S316" s="86" t="str">
        <f t="shared" si="72"/>
        <v/>
      </c>
      <c r="T316" s="104" t="str">
        <f t="shared" si="73"/>
        <v/>
      </c>
      <c r="U316" s="19" t="str">
        <f>IF(AND(M316&lt;&gt;"",M316&lt;&gt;0), IF(E316 = "Muni", T316, IF(E316="Corp", T316*(1 -'Investor Input'!$C$4-'Investor Input'!$C$5), T316*(1 -'Investor Input'!$C$4))), T316)</f>
        <v/>
      </c>
      <c r="V316" s="84" t="str">
        <f t="shared" si="74"/>
        <v/>
      </c>
      <c r="W316" s="84" t="str">
        <f t="shared" si="60"/>
        <v/>
      </c>
      <c r="X316" s="21" t="str">
        <f t="shared" si="61"/>
        <v/>
      </c>
      <c r="Y316" s="60" t="str">
        <f t="shared" si="62"/>
        <v/>
      </c>
      <c r="Z316" s="60" t="str">
        <f t="shared" si="63"/>
        <v/>
      </c>
      <c r="AA316" s="64" t="str">
        <f t="shared" si="64"/>
        <v/>
      </c>
      <c r="AB316" s="64" t="str">
        <f>IF(AND(AA316&lt;&gt;"",AA316&lt;&gt;0), IF(E316="Muni", AA316, IF(E316 = "Corp", (1-'Investor Input'!$C$4-'Investor Input'!$C$5)*AA316, (1-'Investor Input'!$C$4)*AA316)), AA316)</f>
        <v/>
      </c>
      <c r="AC316" s="94" t="str">
        <f t="shared" si="65"/>
        <v/>
      </c>
      <c r="AD316" s="60" t="str">
        <f>IF(AND(M316&lt;&gt;"", M316&lt;&gt;0), N316/$N$505*MATCH(AC316,'Misc Lists'!$K$2:$K$25,0), "")</f>
        <v/>
      </c>
      <c r="AE316" s="90" t="str">
        <f t="shared" si="66"/>
        <v/>
      </c>
      <c r="AF316" s="99" t="str">
        <f>IF(AND(M316&lt;&gt;"", M316&lt;&gt;0), N316/$N$505*MATCH(AE316,'Misc Lists'!$L$2:$L$25,0), "")</f>
        <v/>
      </c>
    </row>
    <row r="317" spans="2:32" hidden="1" outlineLevel="1" x14ac:dyDescent="0.5">
      <c r="B317" s="60"/>
      <c r="C317" s="61"/>
      <c r="D317" s="60"/>
      <c r="E317" s="61"/>
      <c r="F317" s="62"/>
      <c r="G317" s="63"/>
      <c r="H317" s="61"/>
      <c r="I317" s="61"/>
      <c r="J317" s="64"/>
      <c r="K317" s="17"/>
      <c r="L317" s="17"/>
      <c r="M317" s="83"/>
      <c r="N317" s="84" t="str">
        <f t="shared" si="67"/>
        <v/>
      </c>
      <c r="O317" s="20" t="str">
        <f t="shared" si="68"/>
        <v/>
      </c>
      <c r="P317" s="64" t="str">
        <f t="shared" si="69"/>
        <v/>
      </c>
      <c r="Q317" s="85" t="str">
        <f t="shared" ca="1" si="70"/>
        <v/>
      </c>
      <c r="R317" s="86" t="str">
        <f t="shared" si="71"/>
        <v/>
      </c>
      <c r="S317" s="86" t="str">
        <f t="shared" si="72"/>
        <v/>
      </c>
      <c r="T317" s="104" t="str">
        <f t="shared" si="73"/>
        <v/>
      </c>
      <c r="U317" s="19" t="str">
        <f>IF(AND(M317&lt;&gt;"",M317&lt;&gt;0), IF(E317 = "Muni", T317, IF(E317="Corp", T317*(1 -'Investor Input'!$C$4-'Investor Input'!$C$5), T317*(1 -'Investor Input'!$C$4))), T317)</f>
        <v/>
      </c>
      <c r="V317" s="84" t="str">
        <f t="shared" si="74"/>
        <v/>
      </c>
      <c r="W317" s="84" t="str">
        <f t="shared" si="60"/>
        <v/>
      </c>
      <c r="X317" s="21" t="str">
        <f t="shared" si="61"/>
        <v/>
      </c>
      <c r="Y317" s="60" t="str">
        <f t="shared" si="62"/>
        <v/>
      </c>
      <c r="Z317" s="60" t="str">
        <f t="shared" si="63"/>
        <v/>
      </c>
      <c r="AA317" s="64" t="str">
        <f t="shared" si="64"/>
        <v/>
      </c>
      <c r="AB317" s="64" t="str">
        <f>IF(AND(AA317&lt;&gt;"",AA317&lt;&gt;0), IF(E317="Muni", AA317, IF(E317 = "Corp", (1-'Investor Input'!$C$4-'Investor Input'!$C$5)*AA317, (1-'Investor Input'!$C$4)*AA317)), AA317)</f>
        <v/>
      </c>
      <c r="AC317" s="94" t="str">
        <f t="shared" si="65"/>
        <v/>
      </c>
      <c r="AD317" s="60" t="str">
        <f>IF(AND(M317&lt;&gt;"", M317&lt;&gt;0), N317/$N$505*MATCH(AC317,'Misc Lists'!$K$2:$K$25,0), "")</f>
        <v/>
      </c>
      <c r="AE317" s="90" t="str">
        <f t="shared" si="66"/>
        <v/>
      </c>
      <c r="AF317" s="99" t="str">
        <f>IF(AND(M317&lt;&gt;"", M317&lt;&gt;0), N317/$N$505*MATCH(AE317,'Misc Lists'!$L$2:$L$25,0), "")</f>
        <v/>
      </c>
    </row>
    <row r="318" spans="2:32" hidden="1" outlineLevel="1" x14ac:dyDescent="0.5">
      <c r="B318" s="60"/>
      <c r="C318" s="61"/>
      <c r="D318" s="60"/>
      <c r="E318" s="61"/>
      <c r="F318" s="62"/>
      <c r="G318" s="63"/>
      <c r="H318" s="61"/>
      <c r="I318" s="61"/>
      <c r="J318" s="64"/>
      <c r="K318" s="17"/>
      <c r="L318" s="17"/>
      <c r="M318" s="83"/>
      <c r="N318" s="84" t="str">
        <f t="shared" si="67"/>
        <v/>
      </c>
      <c r="O318" s="20" t="str">
        <f t="shared" si="68"/>
        <v/>
      </c>
      <c r="P318" s="64" t="str">
        <f t="shared" si="69"/>
        <v/>
      </c>
      <c r="Q318" s="85" t="str">
        <f t="shared" ca="1" si="70"/>
        <v/>
      </c>
      <c r="R318" s="86" t="str">
        <f t="shared" si="71"/>
        <v/>
      </c>
      <c r="S318" s="86" t="str">
        <f t="shared" si="72"/>
        <v/>
      </c>
      <c r="T318" s="104" t="str">
        <f t="shared" si="73"/>
        <v/>
      </c>
      <c r="U318" s="19" t="str">
        <f>IF(AND(M318&lt;&gt;"",M318&lt;&gt;0), IF(E318 = "Muni", T318, IF(E318="Corp", T318*(1 -'Investor Input'!$C$4-'Investor Input'!$C$5), T318*(1 -'Investor Input'!$C$4))), T318)</f>
        <v/>
      </c>
      <c r="V318" s="84" t="str">
        <f t="shared" si="74"/>
        <v/>
      </c>
      <c r="W318" s="84" t="str">
        <f t="shared" si="60"/>
        <v/>
      </c>
      <c r="X318" s="21" t="str">
        <f t="shared" si="61"/>
        <v/>
      </c>
      <c r="Y318" s="60" t="str">
        <f t="shared" si="62"/>
        <v/>
      </c>
      <c r="Z318" s="60" t="str">
        <f t="shared" si="63"/>
        <v/>
      </c>
      <c r="AA318" s="64" t="str">
        <f t="shared" si="64"/>
        <v/>
      </c>
      <c r="AB318" s="64" t="str">
        <f>IF(AND(AA318&lt;&gt;"",AA318&lt;&gt;0), IF(E318="Muni", AA318, IF(E318 = "Corp", (1-'Investor Input'!$C$4-'Investor Input'!$C$5)*AA318, (1-'Investor Input'!$C$4)*AA318)), AA318)</f>
        <v/>
      </c>
      <c r="AC318" s="94" t="str">
        <f t="shared" si="65"/>
        <v/>
      </c>
      <c r="AD318" s="60" t="str">
        <f>IF(AND(M318&lt;&gt;"", M318&lt;&gt;0), N318/$N$505*MATCH(AC318,'Misc Lists'!$K$2:$K$25,0), "")</f>
        <v/>
      </c>
      <c r="AE318" s="90" t="str">
        <f t="shared" si="66"/>
        <v/>
      </c>
      <c r="AF318" s="99" t="str">
        <f>IF(AND(M318&lt;&gt;"", M318&lt;&gt;0), N318/$N$505*MATCH(AE318,'Misc Lists'!$L$2:$L$25,0), "")</f>
        <v/>
      </c>
    </row>
    <row r="319" spans="2:32" hidden="1" outlineLevel="1" x14ac:dyDescent="0.5">
      <c r="B319" s="60"/>
      <c r="C319" s="61"/>
      <c r="D319" s="60"/>
      <c r="E319" s="61"/>
      <c r="F319" s="62"/>
      <c r="G319" s="63"/>
      <c r="H319" s="61"/>
      <c r="I319" s="61"/>
      <c r="J319" s="64"/>
      <c r="K319" s="17"/>
      <c r="L319" s="17"/>
      <c r="M319" s="83"/>
      <c r="N319" s="84" t="str">
        <f t="shared" si="67"/>
        <v/>
      </c>
      <c r="O319" s="20" t="str">
        <f t="shared" si="68"/>
        <v/>
      </c>
      <c r="P319" s="64" t="str">
        <f t="shared" si="69"/>
        <v/>
      </c>
      <c r="Q319" s="85" t="str">
        <f t="shared" ca="1" si="70"/>
        <v/>
      </c>
      <c r="R319" s="86" t="str">
        <f t="shared" si="71"/>
        <v/>
      </c>
      <c r="S319" s="86" t="str">
        <f t="shared" si="72"/>
        <v/>
      </c>
      <c r="T319" s="104" t="str">
        <f t="shared" si="73"/>
        <v/>
      </c>
      <c r="U319" s="19" t="str">
        <f>IF(AND(M319&lt;&gt;"",M319&lt;&gt;0), IF(E319 = "Muni", T319, IF(E319="Corp", T319*(1 -'Investor Input'!$C$4-'Investor Input'!$C$5), T319*(1 -'Investor Input'!$C$4))), T319)</f>
        <v/>
      </c>
      <c r="V319" s="84" t="str">
        <f t="shared" si="74"/>
        <v/>
      </c>
      <c r="W319" s="84" t="str">
        <f t="shared" si="60"/>
        <v/>
      </c>
      <c r="X319" s="21" t="str">
        <f t="shared" si="61"/>
        <v/>
      </c>
      <c r="Y319" s="60" t="str">
        <f t="shared" si="62"/>
        <v/>
      </c>
      <c r="Z319" s="60" t="str">
        <f t="shared" si="63"/>
        <v/>
      </c>
      <c r="AA319" s="64" t="str">
        <f t="shared" si="64"/>
        <v/>
      </c>
      <c r="AB319" s="64" t="str">
        <f>IF(AND(AA319&lt;&gt;"",AA319&lt;&gt;0), IF(E319="Muni", AA319, IF(E319 = "Corp", (1-'Investor Input'!$C$4-'Investor Input'!$C$5)*AA319, (1-'Investor Input'!$C$4)*AA319)), AA319)</f>
        <v/>
      </c>
      <c r="AC319" s="94" t="str">
        <f t="shared" si="65"/>
        <v/>
      </c>
      <c r="AD319" s="60" t="str">
        <f>IF(AND(M319&lt;&gt;"", M319&lt;&gt;0), N319/$N$505*MATCH(AC319,'Misc Lists'!$K$2:$K$25,0), "")</f>
        <v/>
      </c>
      <c r="AE319" s="90" t="str">
        <f t="shared" si="66"/>
        <v/>
      </c>
      <c r="AF319" s="99" t="str">
        <f>IF(AND(M319&lt;&gt;"", M319&lt;&gt;0), N319/$N$505*MATCH(AE319,'Misc Lists'!$L$2:$L$25,0), "")</f>
        <v/>
      </c>
    </row>
    <row r="320" spans="2:32" hidden="1" outlineLevel="1" x14ac:dyDescent="0.5">
      <c r="B320" s="60"/>
      <c r="C320" s="61"/>
      <c r="D320" s="60"/>
      <c r="E320" s="61"/>
      <c r="F320" s="62"/>
      <c r="G320" s="63"/>
      <c r="H320" s="61"/>
      <c r="I320" s="61"/>
      <c r="J320" s="64"/>
      <c r="K320" s="17"/>
      <c r="L320" s="17"/>
      <c r="M320" s="83"/>
      <c r="N320" s="84" t="str">
        <f t="shared" si="67"/>
        <v/>
      </c>
      <c r="O320" s="20" t="str">
        <f t="shared" si="68"/>
        <v/>
      </c>
      <c r="P320" s="64" t="str">
        <f t="shared" si="69"/>
        <v/>
      </c>
      <c r="Q320" s="85" t="str">
        <f t="shared" ca="1" si="70"/>
        <v/>
      </c>
      <c r="R320" s="86" t="str">
        <f t="shared" si="71"/>
        <v/>
      </c>
      <c r="S320" s="86" t="str">
        <f t="shared" si="72"/>
        <v/>
      </c>
      <c r="T320" s="104" t="str">
        <f t="shared" si="73"/>
        <v/>
      </c>
      <c r="U320" s="19" t="str">
        <f>IF(AND(M320&lt;&gt;"",M320&lt;&gt;0), IF(E320 = "Muni", T320, IF(E320="Corp", T320*(1 -'Investor Input'!$C$4-'Investor Input'!$C$5), T320*(1 -'Investor Input'!$C$4))), T320)</f>
        <v/>
      </c>
      <c r="V320" s="84" t="str">
        <f t="shared" si="74"/>
        <v/>
      </c>
      <c r="W320" s="84" t="str">
        <f t="shared" si="60"/>
        <v/>
      </c>
      <c r="X320" s="21" t="str">
        <f t="shared" si="61"/>
        <v/>
      </c>
      <c r="Y320" s="60" t="str">
        <f t="shared" si="62"/>
        <v/>
      </c>
      <c r="Z320" s="60" t="str">
        <f t="shared" si="63"/>
        <v/>
      </c>
      <c r="AA320" s="64" t="str">
        <f t="shared" si="64"/>
        <v/>
      </c>
      <c r="AB320" s="64" t="str">
        <f>IF(AND(AA320&lt;&gt;"",AA320&lt;&gt;0), IF(E320="Muni", AA320, IF(E320 = "Corp", (1-'Investor Input'!$C$4-'Investor Input'!$C$5)*AA320, (1-'Investor Input'!$C$4)*AA320)), AA320)</f>
        <v/>
      </c>
      <c r="AC320" s="94" t="str">
        <f t="shared" si="65"/>
        <v/>
      </c>
      <c r="AD320" s="60" t="str">
        <f>IF(AND(M320&lt;&gt;"", M320&lt;&gt;0), N320/$N$505*MATCH(AC320,'Misc Lists'!$K$2:$K$25,0), "")</f>
        <v/>
      </c>
      <c r="AE320" s="90" t="str">
        <f t="shared" si="66"/>
        <v/>
      </c>
      <c r="AF320" s="99" t="str">
        <f>IF(AND(M320&lt;&gt;"", M320&lt;&gt;0), N320/$N$505*MATCH(AE320,'Misc Lists'!$L$2:$L$25,0), "")</f>
        <v/>
      </c>
    </row>
    <row r="321" spans="2:32" hidden="1" outlineLevel="1" x14ac:dyDescent="0.5">
      <c r="B321" s="60"/>
      <c r="C321" s="61"/>
      <c r="D321" s="60"/>
      <c r="E321" s="61"/>
      <c r="F321" s="62"/>
      <c r="G321" s="63"/>
      <c r="H321" s="61"/>
      <c r="I321" s="61"/>
      <c r="J321" s="64"/>
      <c r="K321" s="17"/>
      <c r="L321" s="17"/>
      <c r="M321" s="83"/>
      <c r="N321" s="84" t="str">
        <f t="shared" si="67"/>
        <v/>
      </c>
      <c r="O321" s="20" t="str">
        <f t="shared" si="68"/>
        <v/>
      </c>
      <c r="P321" s="64" t="str">
        <f t="shared" si="69"/>
        <v/>
      </c>
      <c r="Q321" s="85" t="str">
        <f t="shared" ca="1" si="70"/>
        <v/>
      </c>
      <c r="R321" s="86" t="str">
        <f t="shared" si="71"/>
        <v/>
      </c>
      <c r="S321" s="86" t="str">
        <f t="shared" si="72"/>
        <v/>
      </c>
      <c r="T321" s="104" t="str">
        <f t="shared" si="73"/>
        <v/>
      </c>
      <c r="U321" s="19" t="str">
        <f>IF(AND(M321&lt;&gt;"",M321&lt;&gt;0), IF(E321 = "Muni", T321, IF(E321="Corp", T321*(1 -'Investor Input'!$C$4-'Investor Input'!$C$5), T321*(1 -'Investor Input'!$C$4))), T321)</f>
        <v/>
      </c>
      <c r="V321" s="84" t="str">
        <f t="shared" si="74"/>
        <v/>
      </c>
      <c r="W321" s="84" t="str">
        <f t="shared" si="60"/>
        <v/>
      </c>
      <c r="X321" s="21" t="str">
        <f t="shared" si="61"/>
        <v/>
      </c>
      <c r="Y321" s="60" t="str">
        <f t="shared" si="62"/>
        <v/>
      </c>
      <c r="Z321" s="60" t="str">
        <f t="shared" si="63"/>
        <v/>
      </c>
      <c r="AA321" s="64" t="str">
        <f t="shared" si="64"/>
        <v/>
      </c>
      <c r="AB321" s="64" t="str">
        <f>IF(AND(AA321&lt;&gt;"",AA321&lt;&gt;0), IF(E321="Muni", AA321, IF(E321 = "Corp", (1-'Investor Input'!$C$4-'Investor Input'!$C$5)*AA321, (1-'Investor Input'!$C$4)*AA321)), AA321)</f>
        <v/>
      </c>
      <c r="AC321" s="94" t="str">
        <f t="shared" si="65"/>
        <v/>
      </c>
      <c r="AD321" s="60" t="str">
        <f>IF(AND(M321&lt;&gt;"", M321&lt;&gt;0), N321/$N$505*MATCH(AC321,'Misc Lists'!$K$2:$K$25,0), "")</f>
        <v/>
      </c>
      <c r="AE321" s="90" t="str">
        <f t="shared" si="66"/>
        <v/>
      </c>
      <c r="AF321" s="99" t="str">
        <f>IF(AND(M321&lt;&gt;"", M321&lt;&gt;0), N321/$N$505*MATCH(AE321,'Misc Lists'!$L$2:$L$25,0), "")</f>
        <v/>
      </c>
    </row>
    <row r="322" spans="2:32" hidden="1" outlineLevel="1" x14ac:dyDescent="0.5">
      <c r="B322" s="60"/>
      <c r="C322" s="61"/>
      <c r="D322" s="60"/>
      <c r="E322" s="61"/>
      <c r="F322" s="62"/>
      <c r="G322" s="63"/>
      <c r="H322" s="61"/>
      <c r="I322" s="61"/>
      <c r="J322" s="64"/>
      <c r="K322" s="17"/>
      <c r="L322" s="17"/>
      <c r="M322" s="83"/>
      <c r="N322" s="84" t="str">
        <f t="shared" si="67"/>
        <v/>
      </c>
      <c r="O322" s="20" t="str">
        <f t="shared" si="68"/>
        <v/>
      </c>
      <c r="P322" s="64" t="str">
        <f t="shared" si="69"/>
        <v/>
      </c>
      <c r="Q322" s="85" t="str">
        <f t="shared" ca="1" si="70"/>
        <v/>
      </c>
      <c r="R322" s="86" t="str">
        <f t="shared" si="71"/>
        <v/>
      </c>
      <c r="S322" s="86" t="str">
        <f t="shared" si="72"/>
        <v/>
      </c>
      <c r="T322" s="104" t="str">
        <f t="shared" si="73"/>
        <v/>
      </c>
      <c r="U322" s="19" t="str">
        <f>IF(AND(M322&lt;&gt;"",M322&lt;&gt;0), IF(E322 = "Muni", T322, IF(E322="Corp", T322*(1 -'Investor Input'!$C$4-'Investor Input'!$C$5), T322*(1 -'Investor Input'!$C$4))), T322)</f>
        <v/>
      </c>
      <c r="V322" s="84" t="str">
        <f t="shared" si="74"/>
        <v/>
      </c>
      <c r="W322" s="84" t="str">
        <f t="shared" si="60"/>
        <v/>
      </c>
      <c r="X322" s="21" t="str">
        <f t="shared" si="61"/>
        <v/>
      </c>
      <c r="Y322" s="60" t="str">
        <f t="shared" si="62"/>
        <v/>
      </c>
      <c r="Z322" s="60" t="str">
        <f t="shared" si="63"/>
        <v/>
      </c>
      <c r="AA322" s="64" t="str">
        <f t="shared" si="64"/>
        <v/>
      </c>
      <c r="AB322" s="64" t="str">
        <f>IF(AND(AA322&lt;&gt;"",AA322&lt;&gt;0), IF(E322="Muni", AA322, IF(E322 = "Corp", (1-'Investor Input'!$C$4-'Investor Input'!$C$5)*AA322, (1-'Investor Input'!$C$4)*AA322)), AA322)</f>
        <v/>
      </c>
      <c r="AC322" s="94" t="str">
        <f t="shared" si="65"/>
        <v/>
      </c>
      <c r="AD322" s="60" t="str">
        <f>IF(AND(M322&lt;&gt;"", M322&lt;&gt;0), N322/$N$505*MATCH(AC322,'Misc Lists'!$K$2:$K$25,0), "")</f>
        <v/>
      </c>
      <c r="AE322" s="90" t="str">
        <f t="shared" si="66"/>
        <v/>
      </c>
      <c r="AF322" s="99" t="str">
        <f>IF(AND(M322&lt;&gt;"", M322&lt;&gt;0), N322/$N$505*MATCH(AE322,'Misc Lists'!$L$2:$L$25,0), "")</f>
        <v/>
      </c>
    </row>
    <row r="323" spans="2:32" hidden="1" outlineLevel="1" x14ac:dyDescent="0.5">
      <c r="B323" s="60"/>
      <c r="C323" s="61"/>
      <c r="D323" s="60"/>
      <c r="E323" s="61"/>
      <c r="F323" s="62"/>
      <c r="G323" s="63"/>
      <c r="H323" s="61"/>
      <c r="I323" s="61"/>
      <c r="J323" s="64"/>
      <c r="K323" s="17"/>
      <c r="L323" s="17"/>
      <c r="M323" s="83"/>
      <c r="N323" s="84" t="str">
        <f t="shared" si="67"/>
        <v/>
      </c>
      <c r="O323" s="20" t="str">
        <f t="shared" si="68"/>
        <v/>
      </c>
      <c r="P323" s="64" t="str">
        <f t="shared" si="69"/>
        <v/>
      </c>
      <c r="Q323" s="85" t="str">
        <f t="shared" ca="1" si="70"/>
        <v/>
      </c>
      <c r="R323" s="86" t="str">
        <f t="shared" si="71"/>
        <v/>
      </c>
      <c r="S323" s="86" t="str">
        <f t="shared" si="72"/>
        <v/>
      </c>
      <c r="T323" s="104" t="str">
        <f t="shared" si="73"/>
        <v/>
      </c>
      <c r="U323" s="19" t="str">
        <f>IF(AND(M323&lt;&gt;"",M323&lt;&gt;0), IF(E323 = "Muni", T323, IF(E323="Corp", T323*(1 -'Investor Input'!$C$4-'Investor Input'!$C$5), T323*(1 -'Investor Input'!$C$4))), T323)</f>
        <v/>
      </c>
      <c r="V323" s="84" t="str">
        <f t="shared" si="74"/>
        <v/>
      </c>
      <c r="W323" s="84" t="str">
        <f t="shared" si="60"/>
        <v/>
      </c>
      <c r="X323" s="21" t="str">
        <f t="shared" si="61"/>
        <v/>
      </c>
      <c r="Y323" s="60" t="str">
        <f t="shared" si="62"/>
        <v/>
      </c>
      <c r="Z323" s="60" t="str">
        <f t="shared" si="63"/>
        <v/>
      </c>
      <c r="AA323" s="64" t="str">
        <f t="shared" si="64"/>
        <v/>
      </c>
      <c r="AB323" s="64" t="str">
        <f>IF(AND(AA323&lt;&gt;"",AA323&lt;&gt;0), IF(E323="Muni", AA323, IF(E323 = "Corp", (1-'Investor Input'!$C$4-'Investor Input'!$C$5)*AA323, (1-'Investor Input'!$C$4)*AA323)), AA323)</f>
        <v/>
      </c>
      <c r="AC323" s="94" t="str">
        <f t="shared" si="65"/>
        <v/>
      </c>
      <c r="AD323" s="60" t="str">
        <f>IF(AND(M323&lt;&gt;"", M323&lt;&gt;0), N323/$N$505*MATCH(AC323,'Misc Lists'!$K$2:$K$25,0), "")</f>
        <v/>
      </c>
      <c r="AE323" s="90" t="str">
        <f t="shared" si="66"/>
        <v/>
      </c>
      <c r="AF323" s="99" t="str">
        <f>IF(AND(M323&lt;&gt;"", M323&lt;&gt;0), N323/$N$505*MATCH(AE323,'Misc Lists'!$L$2:$L$25,0), "")</f>
        <v/>
      </c>
    </row>
    <row r="324" spans="2:32" hidden="1" outlineLevel="1" x14ac:dyDescent="0.5">
      <c r="B324" s="60"/>
      <c r="C324" s="61"/>
      <c r="D324" s="60"/>
      <c r="E324" s="61"/>
      <c r="F324" s="62"/>
      <c r="G324" s="63"/>
      <c r="H324" s="61"/>
      <c r="I324" s="61"/>
      <c r="J324" s="64"/>
      <c r="K324" s="17"/>
      <c r="L324" s="17"/>
      <c r="M324" s="83"/>
      <c r="N324" s="84" t="str">
        <f t="shared" si="67"/>
        <v/>
      </c>
      <c r="O324" s="20" t="str">
        <f t="shared" si="68"/>
        <v/>
      </c>
      <c r="P324" s="64" t="str">
        <f t="shared" si="69"/>
        <v/>
      </c>
      <c r="Q324" s="85" t="str">
        <f t="shared" ca="1" si="70"/>
        <v/>
      </c>
      <c r="R324" s="86" t="str">
        <f t="shared" si="71"/>
        <v/>
      </c>
      <c r="S324" s="86" t="str">
        <f t="shared" si="72"/>
        <v/>
      </c>
      <c r="T324" s="104" t="str">
        <f t="shared" si="73"/>
        <v/>
      </c>
      <c r="U324" s="19" t="str">
        <f>IF(AND(M324&lt;&gt;"",M324&lt;&gt;0), IF(E324 = "Muni", T324, IF(E324="Corp", T324*(1 -'Investor Input'!$C$4-'Investor Input'!$C$5), T324*(1 -'Investor Input'!$C$4))), T324)</f>
        <v/>
      </c>
      <c r="V324" s="84" t="str">
        <f t="shared" si="74"/>
        <v/>
      </c>
      <c r="W324" s="84" t="str">
        <f t="shared" ref="W324:W387" si="75">IF(AND(M324&lt;&gt;"",M324&lt;&gt;0),V324-N324,"")</f>
        <v/>
      </c>
      <c r="X324" s="21" t="str">
        <f t="shared" ref="X324:X387" si="76">IF(AND(M324&lt;&gt;"",M324&lt;&gt;0),W324/N324,"")</f>
        <v/>
      </c>
      <c r="Y324" s="60" t="str">
        <f t="shared" ref="Y324:Y387" si="77">IF(AND(M324&lt;&gt;"", M324&lt;&gt;0), MONTH(G324), "")</f>
        <v/>
      </c>
      <c r="Z324" s="60" t="str">
        <f t="shared" ref="Z324:Z387" si="78">IF(AND(M324&lt;&gt;"", M324&lt;&gt;0), MONTH(EDATE(G324, 6)), "")</f>
        <v/>
      </c>
      <c r="AA324" s="64" t="str">
        <f t="shared" ref="AA324:AA387" si="79">IF(AND(M324&lt;&gt;"", M324&lt;&gt;0), F324*1000*M324/(100*2), "")</f>
        <v/>
      </c>
      <c r="AB324" s="64" t="str">
        <f>IF(AND(AA324&lt;&gt;"",AA324&lt;&gt;0), IF(E324="Muni", AA324, IF(E324 = "Corp", (1-'Investor Input'!$C$4-'Investor Input'!$C$5)*AA324, (1-'Investor Input'!$C$4)*AA324)), AA324)</f>
        <v/>
      </c>
      <c r="AC324" s="94" t="str">
        <f t="shared" ref="AC324:AC387" si="80">IF(AND(M324&lt;&gt;"", M324&lt;&gt;0), H324, "")</f>
        <v/>
      </c>
      <c r="AD324" s="60" t="str">
        <f>IF(AND(M324&lt;&gt;"", M324&lt;&gt;0), N324/$N$505*MATCH(AC324,'Misc Lists'!$K$2:$K$25,0), "")</f>
        <v/>
      </c>
      <c r="AE324" s="90" t="str">
        <f t="shared" ref="AE324:AE387" si="81">IF(AND(M324&lt;&gt;"", M324&lt;&gt;0), I324, "")</f>
        <v/>
      </c>
      <c r="AF324" s="99" t="str">
        <f>IF(AND(M324&lt;&gt;"", M324&lt;&gt;0), N324/$N$505*MATCH(AE324,'Misc Lists'!$L$2:$L$25,0), "")</f>
        <v/>
      </c>
    </row>
    <row r="325" spans="2:32" hidden="1" outlineLevel="1" x14ac:dyDescent="0.5">
      <c r="B325" s="60"/>
      <c r="C325" s="61"/>
      <c r="D325" s="60"/>
      <c r="E325" s="61"/>
      <c r="F325" s="62"/>
      <c r="G325" s="63"/>
      <c r="H325" s="61"/>
      <c r="I325" s="61"/>
      <c r="J325" s="64"/>
      <c r="K325" s="17"/>
      <c r="L325" s="17"/>
      <c r="M325" s="83"/>
      <c r="N325" s="84" t="str">
        <f t="shared" ref="N325:N388" si="82">IF(AND(M325&lt;&gt;"", M325&lt;&gt;0), IF(L325 &lt;&gt; "N/A", IF(M325&gt;=VALUE(LEFT(L325, FIND("(", L325)-1)), J325*10*M325, 1000*M325), 1000*M325), "")</f>
        <v/>
      </c>
      <c r="O325" s="20" t="str">
        <f t="shared" ref="O325:O388" si="83">IF(AND(M325&lt;&gt;"",M325&lt;&gt;0),N325/$N$505, "")</f>
        <v/>
      </c>
      <c r="P325" s="64" t="str">
        <f t="shared" ref="P325:P388" si="84">IF(AND(M325&lt;&gt;"", M325&lt;&gt;0), F325*1000/100, "")</f>
        <v/>
      </c>
      <c r="Q325" s="85" t="str">
        <f t="shared" ref="Q325:Q388" ca="1" si="85">IF(AND(M325&lt;&gt;"", M325&lt;&gt;0), NOW(), "")</f>
        <v/>
      </c>
      <c r="R325" s="86" t="str">
        <f t="shared" ref="R325:R388" si="86">IF(AND(M325&lt;&gt;"", M325&lt;&gt;0), ROUND((G325 - Q325)/365, 0), "")</f>
        <v/>
      </c>
      <c r="S325" s="86" t="str">
        <f t="shared" ref="S325:S388" si="87">IF(AND(M325&lt;&gt;"",M325&lt;&gt;0),MDURATION(Q325,G325,F325/100,K325/100,2), "")</f>
        <v/>
      </c>
      <c r="T325" s="104" t="str">
        <f t="shared" ref="T325:T388" si="88">IF(AND(M325&lt;&gt;"",M325&lt;&gt;0),YIELD(Q325,G325,F325/100,N325/(M325*10),100,2),"")</f>
        <v/>
      </c>
      <c r="U325" s="19" t="str">
        <f>IF(AND(M325&lt;&gt;"",M325&lt;&gt;0), IF(E325 = "Muni", T325, IF(E325="Corp", T325*(1 -'Investor Input'!$C$4-'Investor Input'!$C$5), T325*(1 -'Investor Input'!$C$4))), T325)</f>
        <v/>
      </c>
      <c r="V325" s="84" t="str">
        <f t="shared" ref="V325:V388" si="89">IF(AND(M325&lt;&gt;"",M325&lt;&gt;0),(FV(K325/(2*100),(G325-Q325)*2/365, F325*1000/(2*100), -N325/M325))*M325, "")</f>
        <v/>
      </c>
      <c r="W325" s="84" t="str">
        <f t="shared" si="75"/>
        <v/>
      </c>
      <c r="X325" s="21" t="str">
        <f t="shared" si="76"/>
        <v/>
      </c>
      <c r="Y325" s="60" t="str">
        <f t="shared" si="77"/>
        <v/>
      </c>
      <c r="Z325" s="60" t="str">
        <f t="shared" si="78"/>
        <v/>
      </c>
      <c r="AA325" s="64" t="str">
        <f t="shared" si="79"/>
        <v/>
      </c>
      <c r="AB325" s="64" t="str">
        <f>IF(AND(AA325&lt;&gt;"",AA325&lt;&gt;0), IF(E325="Muni", AA325, IF(E325 = "Corp", (1-'Investor Input'!$C$4-'Investor Input'!$C$5)*AA325, (1-'Investor Input'!$C$4)*AA325)), AA325)</f>
        <v/>
      </c>
      <c r="AC325" s="94" t="str">
        <f t="shared" si="80"/>
        <v/>
      </c>
      <c r="AD325" s="60" t="str">
        <f>IF(AND(M325&lt;&gt;"", M325&lt;&gt;0), N325/$N$505*MATCH(AC325,'Misc Lists'!$K$2:$K$25,0), "")</f>
        <v/>
      </c>
      <c r="AE325" s="90" t="str">
        <f t="shared" si="81"/>
        <v/>
      </c>
      <c r="AF325" s="99" t="str">
        <f>IF(AND(M325&lt;&gt;"", M325&lt;&gt;0), N325/$N$505*MATCH(AE325,'Misc Lists'!$L$2:$L$25,0), "")</f>
        <v/>
      </c>
    </row>
    <row r="326" spans="2:32" hidden="1" outlineLevel="1" x14ac:dyDescent="0.5">
      <c r="B326" s="60"/>
      <c r="C326" s="61"/>
      <c r="D326" s="60"/>
      <c r="E326" s="61"/>
      <c r="F326" s="62"/>
      <c r="G326" s="63"/>
      <c r="H326" s="61"/>
      <c r="I326" s="61"/>
      <c r="J326" s="64"/>
      <c r="K326" s="17"/>
      <c r="L326" s="17"/>
      <c r="M326" s="83"/>
      <c r="N326" s="84" t="str">
        <f t="shared" si="82"/>
        <v/>
      </c>
      <c r="O326" s="20" t="str">
        <f t="shared" si="83"/>
        <v/>
      </c>
      <c r="P326" s="64" t="str">
        <f t="shared" si="84"/>
        <v/>
      </c>
      <c r="Q326" s="85" t="str">
        <f t="shared" ca="1" si="85"/>
        <v/>
      </c>
      <c r="R326" s="86" t="str">
        <f t="shared" si="86"/>
        <v/>
      </c>
      <c r="S326" s="86" t="str">
        <f t="shared" si="87"/>
        <v/>
      </c>
      <c r="T326" s="104" t="str">
        <f t="shared" si="88"/>
        <v/>
      </c>
      <c r="U326" s="19" t="str">
        <f>IF(AND(M326&lt;&gt;"",M326&lt;&gt;0), IF(E326 = "Muni", T326, IF(E326="Corp", T326*(1 -'Investor Input'!$C$4-'Investor Input'!$C$5), T326*(1 -'Investor Input'!$C$4))), T326)</f>
        <v/>
      </c>
      <c r="V326" s="84" t="str">
        <f t="shared" si="89"/>
        <v/>
      </c>
      <c r="W326" s="84" t="str">
        <f t="shared" si="75"/>
        <v/>
      </c>
      <c r="X326" s="21" t="str">
        <f t="shared" si="76"/>
        <v/>
      </c>
      <c r="Y326" s="60" t="str">
        <f t="shared" si="77"/>
        <v/>
      </c>
      <c r="Z326" s="60" t="str">
        <f t="shared" si="78"/>
        <v/>
      </c>
      <c r="AA326" s="64" t="str">
        <f t="shared" si="79"/>
        <v/>
      </c>
      <c r="AB326" s="64" t="str">
        <f>IF(AND(AA326&lt;&gt;"",AA326&lt;&gt;0), IF(E326="Muni", AA326, IF(E326 = "Corp", (1-'Investor Input'!$C$4-'Investor Input'!$C$5)*AA326, (1-'Investor Input'!$C$4)*AA326)), AA326)</f>
        <v/>
      </c>
      <c r="AC326" s="94" t="str">
        <f t="shared" si="80"/>
        <v/>
      </c>
      <c r="AD326" s="60" t="str">
        <f>IF(AND(M326&lt;&gt;"", M326&lt;&gt;0), N326/$N$505*MATCH(AC326,'Misc Lists'!$K$2:$K$25,0), "")</f>
        <v/>
      </c>
      <c r="AE326" s="90" t="str">
        <f t="shared" si="81"/>
        <v/>
      </c>
      <c r="AF326" s="99" t="str">
        <f>IF(AND(M326&lt;&gt;"", M326&lt;&gt;0), N326/$N$505*MATCH(AE326,'Misc Lists'!$L$2:$L$25,0), "")</f>
        <v/>
      </c>
    </row>
    <row r="327" spans="2:32" hidden="1" outlineLevel="1" x14ac:dyDescent="0.5">
      <c r="B327" s="60"/>
      <c r="C327" s="61"/>
      <c r="D327" s="60"/>
      <c r="E327" s="61"/>
      <c r="F327" s="62"/>
      <c r="G327" s="63"/>
      <c r="H327" s="61"/>
      <c r="I327" s="61"/>
      <c r="J327" s="64"/>
      <c r="K327" s="17"/>
      <c r="L327" s="17"/>
      <c r="M327" s="83"/>
      <c r="N327" s="84" t="str">
        <f t="shared" si="82"/>
        <v/>
      </c>
      <c r="O327" s="20" t="str">
        <f t="shared" si="83"/>
        <v/>
      </c>
      <c r="P327" s="64" t="str">
        <f t="shared" si="84"/>
        <v/>
      </c>
      <c r="Q327" s="85" t="str">
        <f t="shared" ca="1" si="85"/>
        <v/>
      </c>
      <c r="R327" s="86" t="str">
        <f t="shared" si="86"/>
        <v/>
      </c>
      <c r="S327" s="86" t="str">
        <f t="shared" si="87"/>
        <v/>
      </c>
      <c r="T327" s="104" t="str">
        <f t="shared" si="88"/>
        <v/>
      </c>
      <c r="U327" s="19" t="str">
        <f>IF(AND(M327&lt;&gt;"",M327&lt;&gt;0), IF(E327 = "Muni", T327, IF(E327="Corp", T327*(1 -'Investor Input'!$C$4-'Investor Input'!$C$5), T327*(1 -'Investor Input'!$C$4))), T327)</f>
        <v/>
      </c>
      <c r="V327" s="84" t="str">
        <f t="shared" si="89"/>
        <v/>
      </c>
      <c r="W327" s="84" t="str">
        <f t="shared" si="75"/>
        <v/>
      </c>
      <c r="X327" s="21" t="str">
        <f t="shared" si="76"/>
        <v/>
      </c>
      <c r="Y327" s="60" t="str">
        <f t="shared" si="77"/>
        <v/>
      </c>
      <c r="Z327" s="60" t="str">
        <f t="shared" si="78"/>
        <v/>
      </c>
      <c r="AA327" s="64" t="str">
        <f t="shared" si="79"/>
        <v/>
      </c>
      <c r="AB327" s="64" t="str">
        <f>IF(AND(AA327&lt;&gt;"",AA327&lt;&gt;0), IF(E327="Muni", AA327, IF(E327 = "Corp", (1-'Investor Input'!$C$4-'Investor Input'!$C$5)*AA327, (1-'Investor Input'!$C$4)*AA327)), AA327)</f>
        <v/>
      </c>
      <c r="AC327" s="94" t="str">
        <f t="shared" si="80"/>
        <v/>
      </c>
      <c r="AD327" s="60" t="str">
        <f>IF(AND(M327&lt;&gt;"", M327&lt;&gt;0), N327/$N$505*MATCH(AC327,'Misc Lists'!$K$2:$K$25,0), "")</f>
        <v/>
      </c>
      <c r="AE327" s="90" t="str">
        <f t="shared" si="81"/>
        <v/>
      </c>
      <c r="AF327" s="99" t="str">
        <f>IF(AND(M327&lt;&gt;"", M327&lt;&gt;0), N327/$N$505*MATCH(AE327,'Misc Lists'!$L$2:$L$25,0), "")</f>
        <v/>
      </c>
    </row>
    <row r="328" spans="2:32" hidden="1" outlineLevel="1" x14ac:dyDescent="0.5">
      <c r="B328" s="60"/>
      <c r="C328" s="61"/>
      <c r="D328" s="60"/>
      <c r="E328" s="61"/>
      <c r="F328" s="62"/>
      <c r="G328" s="63"/>
      <c r="H328" s="61"/>
      <c r="I328" s="61"/>
      <c r="J328" s="64"/>
      <c r="K328" s="17"/>
      <c r="L328" s="17"/>
      <c r="M328" s="83"/>
      <c r="N328" s="84" t="str">
        <f t="shared" si="82"/>
        <v/>
      </c>
      <c r="O328" s="20" t="str">
        <f t="shared" si="83"/>
        <v/>
      </c>
      <c r="P328" s="64" t="str">
        <f t="shared" si="84"/>
        <v/>
      </c>
      <c r="Q328" s="85" t="str">
        <f t="shared" ca="1" si="85"/>
        <v/>
      </c>
      <c r="R328" s="86" t="str">
        <f t="shared" si="86"/>
        <v/>
      </c>
      <c r="S328" s="86" t="str">
        <f t="shared" si="87"/>
        <v/>
      </c>
      <c r="T328" s="104" t="str">
        <f t="shared" si="88"/>
        <v/>
      </c>
      <c r="U328" s="19" t="str">
        <f>IF(AND(M328&lt;&gt;"",M328&lt;&gt;0), IF(E328 = "Muni", T328, IF(E328="Corp", T328*(1 -'Investor Input'!$C$4-'Investor Input'!$C$5), T328*(1 -'Investor Input'!$C$4))), T328)</f>
        <v/>
      </c>
      <c r="V328" s="84" t="str">
        <f t="shared" si="89"/>
        <v/>
      </c>
      <c r="W328" s="84" t="str">
        <f t="shared" si="75"/>
        <v/>
      </c>
      <c r="X328" s="21" t="str">
        <f t="shared" si="76"/>
        <v/>
      </c>
      <c r="Y328" s="60" t="str">
        <f t="shared" si="77"/>
        <v/>
      </c>
      <c r="Z328" s="60" t="str">
        <f t="shared" si="78"/>
        <v/>
      </c>
      <c r="AA328" s="64" t="str">
        <f t="shared" si="79"/>
        <v/>
      </c>
      <c r="AB328" s="64" t="str">
        <f>IF(AND(AA328&lt;&gt;"",AA328&lt;&gt;0), IF(E328="Muni", AA328, IF(E328 = "Corp", (1-'Investor Input'!$C$4-'Investor Input'!$C$5)*AA328, (1-'Investor Input'!$C$4)*AA328)), AA328)</f>
        <v/>
      </c>
      <c r="AC328" s="94" t="str">
        <f t="shared" si="80"/>
        <v/>
      </c>
      <c r="AD328" s="60" t="str">
        <f>IF(AND(M328&lt;&gt;"", M328&lt;&gt;0), N328/$N$505*MATCH(AC328,'Misc Lists'!$K$2:$K$25,0), "")</f>
        <v/>
      </c>
      <c r="AE328" s="90" t="str">
        <f t="shared" si="81"/>
        <v/>
      </c>
      <c r="AF328" s="99" t="str">
        <f>IF(AND(M328&lt;&gt;"", M328&lt;&gt;0), N328/$N$505*MATCH(AE328,'Misc Lists'!$L$2:$L$25,0), "")</f>
        <v/>
      </c>
    </row>
    <row r="329" spans="2:32" hidden="1" outlineLevel="1" x14ac:dyDescent="0.5">
      <c r="B329" s="60"/>
      <c r="C329" s="61"/>
      <c r="D329" s="60"/>
      <c r="E329" s="61"/>
      <c r="F329" s="62"/>
      <c r="G329" s="63"/>
      <c r="H329" s="61"/>
      <c r="I329" s="61"/>
      <c r="J329" s="64"/>
      <c r="K329" s="17"/>
      <c r="L329" s="17"/>
      <c r="M329" s="83"/>
      <c r="N329" s="84" t="str">
        <f t="shared" si="82"/>
        <v/>
      </c>
      <c r="O329" s="20" t="str">
        <f t="shared" si="83"/>
        <v/>
      </c>
      <c r="P329" s="64" t="str">
        <f t="shared" si="84"/>
        <v/>
      </c>
      <c r="Q329" s="85" t="str">
        <f t="shared" ca="1" si="85"/>
        <v/>
      </c>
      <c r="R329" s="86" t="str">
        <f t="shared" si="86"/>
        <v/>
      </c>
      <c r="S329" s="86" t="str">
        <f t="shared" si="87"/>
        <v/>
      </c>
      <c r="T329" s="104" t="str">
        <f t="shared" si="88"/>
        <v/>
      </c>
      <c r="U329" s="19" t="str">
        <f>IF(AND(M329&lt;&gt;"",M329&lt;&gt;0), IF(E329 = "Muni", T329, IF(E329="Corp", T329*(1 -'Investor Input'!$C$4-'Investor Input'!$C$5), T329*(1 -'Investor Input'!$C$4))), T329)</f>
        <v/>
      </c>
      <c r="V329" s="84" t="str">
        <f t="shared" si="89"/>
        <v/>
      </c>
      <c r="W329" s="84" t="str">
        <f t="shared" si="75"/>
        <v/>
      </c>
      <c r="X329" s="21" t="str">
        <f t="shared" si="76"/>
        <v/>
      </c>
      <c r="Y329" s="60" t="str">
        <f t="shared" si="77"/>
        <v/>
      </c>
      <c r="Z329" s="60" t="str">
        <f t="shared" si="78"/>
        <v/>
      </c>
      <c r="AA329" s="64" t="str">
        <f t="shared" si="79"/>
        <v/>
      </c>
      <c r="AB329" s="64" t="str">
        <f>IF(AND(AA329&lt;&gt;"",AA329&lt;&gt;0), IF(E329="Muni", AA329, IF(E329 = "Corp", (1-'Investor Input'!$C$4-'Investor Input'!$C$5)*AA329, (1-'Investor Input'!$C$4)*AA329)), AA329)</f>
        <v/>
      </c>
      <c r="AC329" s="94" t="str">
        <f t="shared" si="80"/>
        <v/>
      </c>
      <c r="AD329" s="60" t="str">
        <f>IF(AND(M329&lt;&gt;"", M329&lt;&gt;0), N329/$N$505*MATCH(AC329,'Misc Lists'!$K$2:$K$25,0), "")</f>
        <v/>
      </c>
      <c r="AE329" s="90" t="str">
        <f t="shared" si="81"/>
        <v/>
      </c>
      <c r="AF329" s="99" t="str">
        <f>IF(AND(M329&lt;&gt;"", M329&lt;&gt;0), N329/$N$505*MATCH(AE329,'Misc Lists'!$L$2:$L$25,0), "")</f>
        <v/>
      </c>
    </row>
    <row r="330" spans="2:32" hidden="1" outlineLevel="1" x14ac:dyDescent="0.5">
      <c r="B330" s="60"/>
      <c r="C330" s="61"/>
      <c r="D330" s="60"/>
      <c r="E330" s="61"/>
      <c r="F330" s="62"/>
      <c r="G330" s="63"/>
      <c r="H330" s="61"/>
      <c r="I330" s="61"/>
      <c r="J330" s="64"/>
      <c r="K330" s="17"/>
      <c r="L330" s="17"/>
      <c r="M330" s="83"/>
      <c r="N330" s="84" t="str">
        <f t="shared" si="82"/>
        <v/>
      </c>
      <c r="O330" s="20" t="str">
        <f t="shared" si="83"/>
        <v/>
      </c>
      <c r="P330" s="64" t="str">
        <f t="shared" si="84"/>
        <v/>
      </c>
      <c r="Q330" s="85" t="str">
        <f t="shared" ca="1" si="85"/>
        <v/>
      </c>
      <c r="R330" s="86" t="str">
        <f t="shared" si="86"/>
        <v/>
      </c>
      <c r="S330" s="86" t="str">
        <f t="shared" si="87"/>
        <v/>
      </c>
      <c r="T330" s="104" t="str">
        <f t="shared" si="88"/>
        <v/>
      </c>
      <c r="U330" s="19" t="str">
        <f>IF(AND(M330&lt;&gt;"",M330&lt;&gt;0), IF(E330 = "Muni", T330, IF(E330="Corp", T330*(1 -'Investor Input'!$C$4-'Investor Input'!$C$5), T330*(1 -'Investor Input'!$C$4))), T330)</f>
        <v/>
      </c>
      <c r="V330" s="84" t="str">
        <f t="shared" si="89"/>
        <v/>
      </c>
      <c r="W330" s="84" t="str">
        <f t="shared" si="75"/>
        <v/>
      </c>
      <c r="X330" s="21" t="str">
        <f t="shared" si="76"/>
        <v/>
      </c>
      <c r="Y330" s="60" t="str">
        <f t="shared" si="77"/>
        <v/>
      </c>
      <c r="Z330" s="60" t="str">
        <f t="shared" si="78"/>
        <v/>
      </c>
      <c r="AA330" s="64" t="str">
        <f t="shared" si="79"/>
        <v/>
      </c>
      <c r="AB330" s="64" t="str">
        <f>IF(AND(AA330&lt;&gt;"",AA330&lt;&gt;0), IF(E330="Muni", AA330, IF(E330 = "Corp", (1-'Investor Input'!$C$4-'Investor Input'!$C$5)*AA330, (1-'Investor Input'!$C$4)*AA330)), AA330)</f>
        <v/>
      </c>
      <c r="AC330" s="94" t="str">
        <f t="shared" si="80"/>
        <v/>
      </c>
      <c r="AD330" s="60" t="str">
        <f>IF(AND(M330&lt;&gt;"", M330&lt;&gt;0), N330/$N$505*MATCH(AC330,'Misc Lists'!$K$2:$K$25,0), "")</f>
        <v/>
      </c>
      <c r="AE330" s="90" t="str">
        <f t="shared" si="81"/>
        <v/>
      </c>
      <c r="AF330" s="99" t="str">
        <f>IF(AND(M330&lt;&gt;"", M330&lt;&gt;0), N330/$N$505*MATCH(AE330,'Misc Lists'!$L$2:$L$25,0), "")</f>
        <v/>
      </c>
    </row>
    <row r="331" spans="2:32" hidden="1" outlineLevel="1" x14ac:dyDescent="0.5">
      <c r="B331" s="60"/>
      <c r="C331" s="61"/>
      <c r="D331" s="60"/>
      <c r="E331" s="61"/>
      <c r="F331" s="62"/>
      <c r="G331" s="63"/>
      <c r="H331" s="61"/>
      <c r="I331" s="61"/>
      <c r="J331" s="64"/>
      <c r="K331" s="17"/>
      <c r="L331" s="17"/>
      <c r="M331" s="83"/>
      <c r="N331" s="84" t="str">
        <f t="shared" si="82"/>
        <v/>
      </c>
      <c r="O331" s="20" t="str">
        <f t="shared" si="83"/>
        <v/>
      </c>
      <c r="P331" s="64" t="str">
        <f t="shared" si="84"/>
        <v/>
      </c>
      <c r="Q331" s="85" t="str">
        <f t="shared" ca="1" si="85"/>
        <v/>
      </c>
      <c r="R331" s="86" t="str">
        <f t="shared" si="86"/>
        <v/>
      </c>
      <c r="S331" s="86" t="str">
        <f t="shared" si="87"/>
        <v/>
      </c>
      <c r="T331" s="104" t="str">
        <f t="shared" si="88"/>
        <v/>
      </c>
      <c r="U331" s="19" t="str">
        <f>IF(AND(M331&lt;&gt;"",M331&lt;&gt;0), IF(E331 = "Muni", T331, IF(E331="Corp", T331*(1 -'Investor Input'!$C$4-'Investor Input'!$C$5), T331*(1 -'Investor Input'!$C$4))), T331)</f>
        <v/>
      </c>
      <c r="V331" s="84" t="str">
        <f t="shared" si="89"/>
        <v/>
      </c>
      <c r="W331" s="84" t="str">
        <f t="shared" si="75"/>
        <v/>
      </c>
      <c r="X331" s="21" t="str">
        <f t="shared" si="76"/>
        <v/>
      </c>
      <c r="Y331" s="60" t="str">
        <f t="shared" si="77"/>
        <v/>
      </c>
      <c r="Z331" s="60" t="str">
        <f t="shared" si="78"/>
        <v/>
      </c>
      <c r="AA331" s="64" t="str">
        <f t="shared" si="79"/>
        <v/>
      </c>
      <c r="AB331" s="64" t="str">
        <f>IF(AND(AA331&lt;&gt;"",AA331&lt;&gt;0), IF(E331="Muni", AA331, IF(E331 = "Corp", (1-'Investor Input'!$C$4-'Investor Input'!$C$5)*AA331, (1-'Investor Input'!$C$4)*AA331)), AA331)</f>
        <v/>
      </c>
      <c r="AC331" s="94" t="str">
        <f t="shared" si="80"/>
        <v/>
      </c>
      <c r="AD331" s="60" t="str">
        <f>IF(AND(M331&lt;&gt;"", M331&lt;&gt;0), N331/$N$505*MATCH(AC331,'Misc Lists'!$K$2:$K$25,0), "")</f>
        <v/>
      </c>
      <c r="AE331" s="90" t="str">
        <f t="shared" si="81"/>
        <v/>
      </c>
      <c r="AF331" s="99" t="str">
        <f>IF(AND(M331&lt;&gt;"", M331&lt;&gt;0), N331/$N$505*MATCH(AE331,'Misc Lists'!$L$2:$L$25,0), "")</f>
        <v/>
      </c>
    </row>
    <row r="332" spans="2:32" hidden="1" outlineLevel="1" x14ac:dyDescent="0.5">
      <c r="B332" s="60"/>
      <c r="C332" s="61"/>
      <c r="D332" s="60"/>
      <c r="E332" s="61"/>
      <c r="F332" s="62"/>
      <c r="G332" s="63"/>
      <c r="H332" s="61"/>
      <c r="I332" s="61"/>
      <c r="J332" s="64"/>
      <c r="K332" s="17"/>
      <c r="L332" s="17"/>
      <c r="M332" s="83"/>
      <c r="N332" s="84" t="str">
        <f t="shared" si="82"/>
        <v/>
      </c>
      <c r="O332" s="20" t="str">
        <f t="shared" si="83"/>
        <v/>
      </c>
      <c r="P332" s="64" t="str">
        <f t="shared" si="84"/>
        <v/>
      </c>
      <c r="Q332" s="85" t="str">
        <f t="shared" ca="1" si="85"/>
        <v/>
      </c>
      <c r="R332" s="86" t="str">
        <f t="shared" si="86"/>
        <v/>
      </c>
      <c r="S332" s="86" t="str">
        <f t="shared" si="87"/>
        <v/>
      </c>
      <c r="T332" s="104" t="str">
        <f t="shared" si="88"/>
        <v/>
      </c>
      <c r="U332" s="19" t="str">
        <f>IF(AND(M332&lt;&gt;"",M332&lt;&gt;0), IF(E332 = "Muni", T332, IF(E332="Corp", T332*(1 -'Investor Input'!$C$4-'Investor Input'!$C$5), T332*(1 -'Investor Input'!$C$4))), T332)</f>
        <v/>
      </c>
      <c r="V332" s="84" t="str">
        <f t="shared" si="89"/>
        <v/>
      </c>
      <c r="W332" s="84" t="str">
        <f t="shared" si="75"/>
        <v/>
      </c>
      <c r="X332" s="21" t="str">
        <f t="shared" si="76"/>
        <v/>
      </c>
      <c r="Y332" s="60" t="str">
        <f t="shared" si="77"/>
        <v/>
      </c>
      <c r="Z332" s="60" t="str">
        <f t="shared" si="78"/>
        <v/>
      </c>
      <c r="AA332" s="64" t="str">
        <f t="shared" si="79"/>
        <v/>
      </c>
      <c r="AB332" s="64" t="str">
        <f>IF(AND(AA332&lt;&gt;"",AA332&lt;&gt;0), IF(E332="Muni", AA332, IF(E332 = "Corp", (1-'Investor Input'!$C$4-'Investor Input'!$C$5)*AA332, (1-'Investor Input'!$C$4)*AA332)), AA332)</f>
        <v/>
      </c>
      <c r="AC332" s="94" t="str">
        <f t="shared" si="80"/>
        <v/>
      </c>
      <c r="AD332" s="60" t="str">
        <f>IF(AND(M332&lt;&gt;"", M332&lt;&gt;0), N332/$N$505*MATCH(AC332,'Misc Lists'!$K$2:$K$25,0), "")</f>
        <v/>
      </c>
      <c r="AE332" s="90" t="str">
        <f t="shared" si="81"/>
        <v/>
      </c>
      <c r="AF332" s="99" t="str">
        <f>IF(AND(M332&lt;&gt;"", M332&lt;&gt;0), N332/$N$505*MATCH(AE332,'Misc Lists'!$L$2:$L$25,0), "")</f>
        <v/>
      </c>
    </row>
    <row r="333" spans="2:32" hidden="1" outlineLevel="1" x14ac:dyDescent="0.5">
      <c r="B333" s="60"/>
      <c r="C333" s="61"/>
      <c r="D333" s="60"/>
      <c r="E333" s="61"/>
      <c r="F333" s="62"/>
      <c r="G333" s="63"/>
      <c r="H333" s="61"/>
      <c r="I333" s="61"/>
      <c r="J333" s="64"/>
      <c r="K333" s="17"/>
      <c r="L333" s="17"/>
      <c r="M333" s="83"/>
      <c r="N333" s="84" t="str">
        <f t="shared" si="82"/>
        <v/>
      </c>
      <c r="O333" s="20" t="str">
        <f t="shared" si="83"/>
        <v/>
      </c>
      <c r="P333" s="64" t="str">
        <f t="shared" si="84"/>
        <v/>
      </c>
      <c r="Q333" s="85" t="str">
        <f t="shared" ca="1" si="85"/>
        <v/>
      </c>
      <c r="R333" s="86" t="str">
        <f t="shared" si="86"/>
        <v/>
      </c>
      <c r="S333" s="86" t="str">
        <f t="shared" si="87"/>
        <v/>
      </c>
      <c r="T333" s="104" t="str">
        <f t="shared" si="88"/>
        <v/>
      </c>
      <c r="U333" s="19" t="str">
        <f>IF(AND(M333&lt;&gt;"",M333&lt;&gt;0), IF(E333 = "Muni", T333, IF(E333="Corp", T333*(1 -'Investor Input'!$C$4-'Investor Input'!$C$5), T333*(1 -'Investor Input'!$C$4))), T333)</f>
        <v/>
      </c>
      <c r="V333" s="84" t="str">
        <f t="shared" si="89"/>
        <v/>
      </c>
      <c r="W333" s="84" t="str">
        <f t="shared" si="75"/>
        <v/>
      </c>
      <c r="X333" s="21" t="str">
        <f t="shared" si="76"/>
        <v/>
      </c>
      <c r="Y333" s="60" t="str">
        <f t="shared" si="77"/>
        <v/>
      </c>
      <c r="Z333" s="60" t="str">
        <f t="shared" si="78"/>
        <v/>
      </c>
      <c r="AA333" s="64" t="str">
        <f t="shared" si="79"/>
        <v/>
      </c>
      <c r="AB333" s="64" t="str">
        <f>IF(AND(AA333&lt;&gt;"",AA333&lt;&gt;0), IF(E333="Muni", AA333, IF(E333 = "Corp", (1-'Investor Input'!$C$4-'Investor Input'!$C$5)*AA333, (1-'Investor Input'!$C$4)*AA333)), AA333)</f>
        <v/>
      </c>
      <c r="AC333" s="94" t="str">
        <f t="shared" si="80"/>
        <v/>
      </c>
      <c r="AD333" s="60" t="str">
        <f>IF(AND(M333&lt;&gt;"", M333&lt;&gt;0), N333/$N$505*MATCH(AC333,'Misc Lists'!$K$2:$K$25,0), "")</f>
        <v/>
      </c>
      <c r="AE333" s="90" t="str">
        <f t="shared" si="81"/>
        <v/>
      </c>
      <c r="AF333" s="99" t="str">
        <f>IF(AND(M333&lt;&gt;"", M333&lt;&gt;0), N333/$N$505*MATCH(AE333,'Misc Lists'!$L$2:$L$25,0), "")</f>
        <v/>
      </c>
    </row>
    <row r="334" spans="2:32" hidden="1" outlineLevel="1" x14ac:dyDescent="0.5">
      <c r="B334" s="60"/>
      <c r="C334" s="61"/>
      <c r="D334" s="60"/>
      <c r="E334" s="61"/>
      <c r="F334" s="62"/>
      <c r="G334" s="63"/>
      <c r="H334" s="61"/>
      <c r="I334" s="61"/>
      <c r="J334" s="64"/>
      <c r="K334" s="17"/>
      <c r="L334" s="17"/>
      <c r="M334" s="83"/>
      <c r="N334" s="84" t="str">
        <f t="shared" si="82"/>
        <v/>
      </c>
      <c r="O334" s="20" t="str">
        <f t="shared" si="83"/>
        <v/>
      </c>
      <c r="P334" s="64" t="str">
        <f t="shared" si="84"/>
        <v/>
      </c>
      <c r="Q334" s="85" t="str">
        <f t="shared" ca="1" si="85"/>
        <v/>
      </c>
      <c r="R334" s="86" t="str">
        <f t="shared" si="86"/>
        <v/>
      </c>
      <c r="S334" s="86" t="str">
        <f t="shared" si="87"/>
        <v/>
      </c>
      <c r="T334" s="104" t="str">
        <f t="shared" si="88"/>
        <v/>
      </c>
      <c r="U334" s="19" t="str">
        <f>IF(AND(M334&lt;&gt;"",M334&lt;&gt;0), IF(E334 = "Muni", T334, IF(E334="Corp", T334*(1 -'Investor Input'!$C$4-'Investor Input'!$C$5), T334*(1 -'Investor Input'!$C$4))), T334)</f>
        <v/>
      </c>
      <c r="V334" s="84" t="str">
        <f t="shared" si="89"/>
        <v/>
      </c>
      <c r="W334" s="84" t="str">
        <f t="shared" si="75"/>
        <v/>
      </c>
      <c r="X334" s="21" t="str">
        <f t="shared" si="76"/>
        <v/>
      </c>
      <c r="Y334" s="60" t="str">
        <f t="shared" si="77"/>
        <v/>
      </c>
      <c r="Z334" s="60" t="str">
        <f t="shared" si="78"/>
        <v/>
      </c>
      <c r="AA334" s="64" t="str">
        <f t="shared" si="79"/>
        <v/>
      </c>
      <c r="AB334" s="64" t="str">
        <f>IF(AND(AA334&lt;&gt;"",AA334&lt;&gt;0), IF(E334="Muni", AA334, IF(E334 = "Corp", (1-'Investor Input'!$C$4-'Investor Input'!$C$5)*AA334, (1-'Investor Input'!$C$4)*AA334)), AA334)</f>
        <v/>
      </c>
      <c r="AC334" s="94" t="str">
        <f t="shared" si="80"/>
        <v/>
      </c>
      <c r="AD334" s="60" t="str">
        <f>IF(AND(M334&lt;&gt;"", M334&lt;&gt;0), N334/$N$505*MATCH(AC334,'Misc Lists'!$K$2:$K$25,0), "")</f>
        <v/>
      </c>
      <c r="AE334" s="90" t="str">
        <f t="shared" si="81"/>
        <v/>
      </c>
      <c r="AF334" s="99" t="str">
        <f>IF(AND(M334&lt;&gt;"", M334&lt;&gt;0), N334/$N$505*MATCH(AE334,'Misc Lists'!$L$2:$L$25,0), "")</f>
        <v/>
      </c>
    </row>
    <row r="335" spans="2:32" hidden="1" outlineLevel="1" x14ac:dyDescent="0.5">
      <c r="B335" s="60"/>
      <c r="C335" s="61"/>
      <c r="D335" s="60"/>
      <c r="E335" s="61"/>
      <c r="F335" s="62"/>
      <c r="G335" s="63"/>
      <c r="H335" s="61"/>
      <c r="I335" s="61"/>
      <c r="J335" s="64"/>
      <c r="K335" s="17"/>
      <c r="L335" s="17"/>
      <c r="M335" s="83"/>
      <c r="N335" s="84" t="str">
        <f t="shared" si="82"/>
        <v/>
      </c>
      <c r="O335" s="20" t="str">
        <f t="shared" si="83"/>
        <v/>
      </c>
      <c r="P335" s="64" t="str">
        <f t="shared" si="84"/>
        <v/>
      </c>
      <c r="Q335" s="85" t="str">
        <f t="shared" ca="1" si="85"/>
        <v/>
      </c>
      <c r="R335" s="86" t="str">
        <f t="shared" si="86"/>
        <v/>
      </c>
      <c r="S335" s="86" t="str">
        <f t="shared" si="87"/>
        <v/>
      </c>
      <c r="T335" s="104" t="str">
        <f t="shared" si="88"/>
        <v/>
      </c>
      <c r="U335" s="19" t="str">
        <f>IF(AND(M335&lt;&gt;"",M335&lt;&gt;0), IF(E335 = "Muni", T335, IF(E335="Corp", T335*(1 -'Investor Input'!$C$4-'Investor Input'!$C$5), T335*(1 -'Investor Input'!$C$4))), T335)</f>
        <v/>
      </c>
      <c r="V335" s="84" t="str">
        <f t="shared" si="89"/>
        <v/>
      </c>
      <c r="W335" s="84" t="str">
        <f t="shared" si="75"/>
        <v/>
      </c>
      <c r="X335" s="21" t="str">
        <f t="shared" si="76"/>
        <v/>
      </c>
      <c r="Y335" s="60" t="str">
        <f t="shared" si="77"/>
        <v/>
      </c>
      <c r="Z335" s="60" t="str">
        <f t="shared" si="78"/>
        <v/>
      </c>
      <c r="AA335" s="64" t="str">
        <f t="shared" si="79"/>
        <v/>
      </c>
      <c r="AB335" s="64" t="str">
        <f>IF(AND(AA335&lt;&gt;"",AA335&lt;&gt;0), IF(E335="Muni", AA335, IF(E335 = "Corp", (1-'Investor Input'!$C$4-'Investor Input'!$C$5)*AA335, (1-'Investor Input'!$C$4)*AA335)), AA335)</f>
        <v/>
      </c>
      <c r="AC335" s="94" t="str">
        <f t="shared" si="80"/>
        <v/>
      </c>
      <c r="AD335" s="60" t="str">
        <f>IF(AND(M335&lt;&gt;"", M335&lt;&gt;0), N335/$N$505*MATCH(AC335,'Misc Lists'!$K$2:$K$25,0), "")</f>
        <v/>
      </c>
      <c r="AE335" s="90" t="str">
        <f t="shared" si="81"/>
        <v/>
      </c>
      <c r="AF335" s="99" t="str">
        <f>IF(AND(M335&lt;&gt;"", M335&lt;&gt;0), N335/$N$505*MATCH(AE335,'Misc Lists'!$L$2:$L$25,0), "")</f>
        <v/>
      </c>
    </row>
    <row r="336" spans="2:32" hidden="1" outlineLevel="1" x14ac:dyDescent="0.5">
      <c r="B336" s="60"/>
      <c r="C336" s="61"/>
      <c r="D336" s="60"/>
      <c r="E336" s="61"/>
      <c r="F336" s="62"/>
      <c r="G336" s="63"/>
      <c r="H336" s="61"/>
      <c r="I336" s="61"/>
      <c r="J336" s="64"/>
      <c r="K336" s="17"/>
      <c r="L336" s="17"/>
      <c r="M336" s="83"/>
      <c r="N336" s="84" t="str">
        <f t="shared" si="82"/>
        <v/>
      </c>
      <c r="O336" s="20" t="str">
        <f t="shared" si="83"/>
        <v/>
      </c>
      <c r="P336" s="64" t="str">
        <f t="shared" si="84"/>
        <v/>
      </c>
      <c r="Q336" s="85" t="str">
        <f t="shared" ca="1" si="85"/>
        <v/>
      </c>
      <c r="R336" s="86" t="str">
        <f t="shared" si="86"/>
        <v/>
      </c>
      <c r="S336" s="86" t="str">
        <f t="shared" si="87"/>
        <v/>
      </c>
      <c r="T336" s="104" t="str">
        <f t="shared" si="88"/>
        <v/>
      </c>
      <c r="U336" s="19" t="str">
        <f>IF(AND(M336&lt;&gt;"",M336&lt;&gt;0), IF(E336 = "Muni", T336, IF(E336="Corp", T336*(1 -'Investor Input'!$C$4-'Investor Input'!$C$5), T336*(1 -'Investor Input'!$C$4))), T336)</f>
        <v/>
      </c>
      <c r="V336" s="84" t="str">
        <f t="shared" si="89"/>
        <v/>
      </c>
      <c r="W336" s="84" t="str">
        <f t="shared" si="75"/>
        <v/>
      </c>
      <c r="X336" s="21" t="str">
        <f t="shared" si="76"/>
        <v/>
      </c>
      <c r="Y336" s="60" t="str">
        <f t="shared" si="77"/>
        <v/>
      </c>
      <c r="Z336" s="60" t="str">
        <f t="shared" si="78"/>
        <v/>
      </c>
      <c r="AA336" s="64" t="str">
        <f t="shared" si="79"/>
        <v/>
      </c>
      <c r="AB336" s="64" t="str">
        <f>IF(AND(AA336&lt;&gt;"",AA336&lt;&gt;0), IF(E336="Muni", AA336, IF(E336 = "Corp", (1-'Investor Input'!$C$4-'Investor Input'!$C$5)*AA336, (1-'Investor Input'!$C$4)*AA336)), AA336)</f>
        <v/>
      </c>
      <c r="AC336" s="94" t="str">
        <f t="shared" si="80"/>
        <v/>
      </c>
      <c r="AD336" s="60" t="str">
        <f>IF(AND(M336&lt;&gt;"", M336&lt;&gt;0), N336/$N$505*MATCH(AC336,'Misc Lists'!$K$2:$K$25,0), "")</f>
        <v/>
      </c>
      <c r="AE336" s="90" t="str">
        <f t="shared" si="81"/>
        <v/>
      </c>
      <c r="AF336" s="99" t="str">
        <f>IF(AND(M336&lt;&gt;"", M336&lt;&gt;0), N336/$N$505*MATCH(AE336,'Misc Lists'!$L$2:$L$25,0), "")</f>
        <v/>
      </c>
    </row>
    <row r="337" spans="2:32" hidden="1" outlineLevel="1" x14ac:dyDescent="0.5">
      <c r="B337" s="60"/>
      <c r="C337" s="61"/>
      <c r="D337" s="60"/>
      <c r="E337" s="61"/>
      <c r="F337" s="62"/>
      <c r="G337" s="63"/>
      <c r="H337" s="61"/>
      <c r="I337" s="61"/>
      <c r="J337" s="64"/>
      <c r="K337" s="17"/>
      <c r="L337" s="17"/>
      <c r="M337" s="83"/>
      <c r="N337" s="84" t="str">
        <f t="shared" si="82"/>
        <v/>
      </c>
      <c r="O337" s="20" t="str">
        <f t="shared" si="83"/>
        <v/>
      </c>
      <c r="P337" s="64" t="str">
        <f t="shared" si="84"/>
        <v/>
      </c>
      <c r="Q337" s="85" t="str">
        <f t="shared" ca="1" si="85"/>
        <v/>
      </c>
      <c r="R337" s="86" t="str">
        <f t="shared" si="86"/>
        <v/>
      </c>
      <c r="S337" s="86" t="str">
        <f t="shared" si="87"/>
        <v/>
      </c>
      <c r="T337" s="104" t="str">
        <f t="shared" si="88"/>
        <v/>
      </c>
      <c r="U337" s="19" t="str">
        <f>IF(AND(M337&lt;&gt;"",M337&lt;&gt;0), IF(E337 = "Muni", T337, IF(E337="Corp", T337*(1 -'Investor Input'!$C$4-'Investor Input'!$C$5), T337*(1 -'Investor Input'!$C$4))), T337)</f>
        <v/>
      </c>
      <c r="V337" s="84" t="str">
        <f t="shared" si="89"/>
        <v/>
      </c>
      <c r="W337" s="84" t="str">
        <f t="shared" si="75"/>
        <v/>
      </c>
      <c r="X337" s="21" t="str">
        <f t="shared" si="76"/>
        <v/>
      </c>
      <c r="Y337" s="60" t="str">
        <f t="shared" si="77"/>
        <v/>
      </c>
      <c r="Z337" s="60" t="str">
        <f t="shared" si="78"/>
        <v/>
      </c>
      <c r="AA337" s="64" t="str">
        <f t="shared" si="79"/>
        <v/>
      </c>
      <c r="AB337" s="64" t="str">
        <f>IF(AND(AA337&lt;&gt;"",AA337&lt;&gt;0), IF(E337="Muni", AA337, IF(E337 = "Corp", (1-'Investor Input'!$C$4-'Investor Input'!$C$5)*AA337, (1-'Investor Input'!$C$4)*AA337)), AA337)</f>
        <v/>
      </c>
      <c r="AC337" s="94" t="str">
        <f t="shared" si="80"/>
        <v/>
      </c>
      <c r="AD337" s="60" t="str">
        <f>IF(AND(M337&lt;&gt;"", M337&lt;&gt;0), N337/$N$505*MATCH(AC337,'Misc Lists'!$K$2:$K$25,0), "")</f>
        <v/>
      </c>
      <c r="AE337" s="90" t="str">
        <f t="shared" si="81"/>
        <v/>
      </c>
      <c r="AF337" s="99" t="str">
        <f>IF(AND(M337&lt;&gt;"", M337&lt;&gt;0), N337/$N$505*MATCH(AE337,'Misc Lists'!$L$2:$L$25,0), "")</f>
        <v/>
      </c>
    </row>
    <row r="338" spans="2:32" hidden="1" outlineLevel="1" x14ac:dyDescent="0.5">
      <c r="B338" s="60"/>
      <c r="C338" s="61"/>
      <c r="D338" s="60"/>
      <c r="E338" s="61"/>
      <c r="F338" s="62"/>
      <c r="G338" s="63"/>
      <c r="H338" s="61"/>
      <c r="I338" s="61"/>
      <c r="J338" s="64"/>
      <c r="K338" s="17"/>
      <c r="L338" s="17"/>
      <c r="M338" s="83"/>
      <c r="N338" s="84" t="str">
        <f t="shared" si="82"/>
        <v/>
      </c>
      <c r="O338" s="20" t="str">
        <f t="shared" si="83"/>
        <v/>
      </c>
      <c r="P338" s="64" t="str">
        <f t="shared" si="84"/>
        <v/>
      </c>
      <c r="Q338" s="85" t="str">
        <f t="shared" ca="1" si="85"/>
        <v/>
      </c>
      <c r="R338" s="86" t="str">
        <f t="shared" si="86"/>
        <v/>
      </c>
      <c r="S338" s="86" t="str">
        <f t="shared" si="87"/>
        <v/>
      </c>
      <c r="T338" s="104" t="str">
        <f t="shared" si="88"/>
        <v/>
      </c>
      <c r="U338" s="19" t="str">
        <f>IF(AND(M338&lt;&gt;"",M338&lt;&gt;0), IF(E338 = "Muni", T338, IF(E338="Corp", T338*(1 -'Investor Input'!$C$4-'Investor Input'!$C$5), T338*(1 -'Investor Input'!$C$4))), T338)</f>
        <v/>
      </c>
      <c r="V338" s="84" t="str">
        <f t="shared" si="89"/>
        <v/>
      </c>
      <c r="W338" s="84" t="str">
        <f t="shared" si="75"/>
        <v/>
      </c>
      <c r="X338" s="21" t="str">
        <f t="shared" si="76"/>
        <v/>
      </c>
      <c r="Y338" s="60" t="str">
        <f t="shared" si="77"/>
        <v/>
      </c>
      <c r="Z338" s="60" t="str">
        <f t="shared" si="78"/>
        <v/>
      </c>
      <c r="AA338" s="64" t="str">
        <f t="shared" si="79"/>
        <v/>
      </c>
      <c r="AB338" s="64" t="str">
        <f>IF(AND(AA338&lt;&gt;"",AA338&lt;&gt;0), IF(E338="Muni", AA338, IF(E338 = "Corp", (1-'Investor Input'!$C$4-'Investor Input'!$C$5)*AA338, (1-'Investor Input'!$C$4)*AA338)), AA338)</f>
        <v/>
      </c>
      <c r="AC338" s="94" t="str">
        <f t="shared" si="80"/>
        <v/>
      </c>
      <c r="AD338" s="60" t="str">
        <f>IF(AND(M338&lt;&gt;"", M338&lt;&gt;0), N338/$N$505*MATCH(AC338,'Misc Lists'!$K$2:$K$25,0), "")</f>
        <v/>
      </c>
      <c r="AE338" s="90" t="str">
        <f t="shared" si="81"/>
        <v/>
      </c>
      <c r="AF338" s="99" t="str">
        <f>IF(AND(M338&lt;&gt;"", M338&lt;&gt;0), N338/$N$505*MATCH(AE338,'Misc Lists'!$L$2:$L$25,0), "")</f>
        <v/>
      </c>
    </row>
    <row r="339" spans="2:32" hidden="1" outlineLevel="1" x14ac:dyDescent="0.5">
      <c r="B339" s="60"/>
      <c r="C339" s="61"/>
      <c r="D339" s="60"/>
      <c r="E339" s="61"/>
      <c r="F339" s="62"/>
      <c r="G339" s="63"/>
      <c r="H339" s="61"/>
      <c r="I339" s="61"/>
      <c r="J339" s="64"/>
      <c r="K339" s="17"/>
      <c r="L339" s="17"/>
      <c r="M339" s="83"/>
      <c r="N339" s="84" t="str">
        <f t="shared" si="82"/>
        <v/>
      </c>
      <c r="O339" s="20" t="str">
        <f t="shared" si="83"/>
        <v/>
      </c>
      <c r="P339" s="64" t="str">
        <f t="shared" si="84"/>
        <v/>
      </c>
      <c r="Q339" s="85" t="str">
        <f t="shared" ca="1" si="85"/>
        <v/>
      </c>
      <c r="R339" s="86" t="str">
        <f t="shared" si="86"/>
        <v/>
      </c>
      <c r="S339" s="86" t="str">
        <f t="shared" si="87"/>
        <v/>
      </c>
      <c r="T339" s="104" t="str">
        <f t="shared" si="88"/>
        <v/>
      </c>
      <c r="U339" s="19" t="str">
        <f>IF(AND(M339&lt;&gt;"",M339&lt;&gt;0), IF(E339 = "Muni", T339, IF(E339="Corp", T339*(1 -'Investor Input'!$C$4-'Investor Input'!$C$5), T339*(1 -'Investor Input'!$C$4))), T339)</f>
        <v/>
      </c>
      <c r="V339" s="84" t="str">
        <f t="shared" si="89"/>
        <v/>
      </c>
      <c r="W339" s="84" t="str">
        <f t="shared" si="75"/>
        <v/>
      </c>
      <c r="X339" s="21" t="str">
        <f t="shared" si="76"/>
        <v/>
      </c>
      <c r="Y339" s="60" t="str">
        <f t="shared" si="77"/>
        <v/>
      </c>
      <c r="Z339" s="60" t="str">
        <f t="shared" si="78"/>
        <v/>
      </c>
      <c r="AA339" s="64" t="str">
        <f t="shared" si="79"/>
        <v/>
      </c>
      <c r="AB339" s="64" t="str">
        <f>IF(AND(AA339&lt;&gt;"",AA339&lt;&gt;0), IF(E339="Muni", AA339, IF(E339 = "Corp", (1-'Investor Input'!$C$4-'Investor Input'!$C$5)*AA339, (1-'Investor Input'!$C$4)*AA339)), AA339)</f>
        <v/>
      </c>
      <c r="AC339" s="94" t="str">
        <f t="shared" si="80"/>
        <v/>
      </c>
      <c r="AD339" s="60" t="str">
        <f>IF(AND(M339&lt;&gt;"", M339&lt;&gt;0), N339/$N$505*MATCH(AC339,'Misc Lists'!$K$2:$K$25,0), "")</f>
        <v/>
      </c>
      <c r="AE339" s="90" t="str">
        <f t="shared" si="81"/>
        <v/>
      </c>
      <c r="AF339" s="99" t="str">
        <f>IF(AND(M339&lt;&gt;"", M339&lt;&gt;0), N339/$N$505*MATCH(AE339,'Misc Lists'!$L$2:$L$25,0), "")</f>
        <v/>
      </c>
    </row>
    <row r="340" spans="2:32" hidden="1" outlineLevel="1" x14ac:dyDescent="0.5">
      <c r="B340" s="60"/>
      <c r="C340" s="61"/>
      <c r="D340" s="60"/>
      <c r="E340" s="61"/>
      <c r="F340" s="62"/>
      <c r="G340" s="63"/>
      <c r="H340" s="61"/>
      <c r="I340" s="61"/>
      <c r="J340" s="64"/>
      <c r="K340" s="17"/>
      <c r="L340" s="17"/>
      <c r="M340" s="83"/>
      <c r="N340" s="84" t="str">
        <f t="shared" si="82"/>
        <v/>
      </c>
      <c r="O340" s="20" t="str">
        <f t="shared" si="83"/>
        <v/>
      </c>
      <c r="P340" s="64" t="str">
        <f t="shared" si="84"/>
        <v/>
      </c>
      <c r="Q340" s="85" t="str">
        <f t="shared" ca="1" si="85"/>
        <v/>
      </c>
      <c r="R340" s="86" t="str">
        <f t="shared" si="86"/>
        <v/>
      </c>
      <c r="S340" s="86" t="str">
        <f t="shared" si="87"/>
        <v/>
      </c>
      <c r="T340" s="104" t="str">
        <f t="shared" si="88"/>
        <v/>
      </c>
      <c r="U340" s="19" t="str">
        <f>IF(AND(M340&lt;&gt;"",M340&lt;&gt;0), IF(E340 = "Muni", T340, IF(E340="Corp", T340*(1 -'Investor Input'!$C$4-'Investor Input'!$C$5), T340*(1 -'Investor Input'!$C$4))), T340)</f>
        <v/>
      </c>
      <c r="V340" s="84" t="str">
        <f t="shared" si="89"/>
        <v/>
      </c>
      <c r="W340" s="84" t="str">
        <f t="shared" si="75"/>
        <v/>
      </c>
      <c r="X340" s="21" t="str">
        <f t="shared" si="76"/>
        <v/>
      </c>
      <c r="Y340" s="60" t="str">
        <f t="shared" si="77"/>
        <v/>
      </c>
      <c r="Z340" s="60" t="str">
        <f t="shared" si="78"/>
        <v/>
      </c>
      <c r="AA340" s="64" t="str">
        <f t="shared" si="79"/>
        <v/>
      </c>
      <c r="AB340" s="64" t="str">
        <f>IF(AND(AA340&lt;&gt;"",AA340&lt;&gt;0), IF(E340="Muni", AA340, IF(E340 = "Corp", (1-'Investor Input'!$C$4-'Investor Input'!$C$5)*AA340, (1-'Investor Input'!$C$4)*AA340)), AA340)</f>
        <v/>
      </c>
      <c r="AC340" s="94" t="str">
        <f t="shared" si="80"/>
        <v/>
      </c>
      <c r="AD340" s="60" t="str">
        <f>IF(AND(M340&lt;&gt;"", M340&lt;&gt;0), N340/$N$505*MATCH(AC340,'Misc Lists'!$K$2:$K$25,0), "")</f>
        <v/>
      </c>
      <c r="AE340" s="90" t="str">
        <f t="shared" si="81"/>
        <v/>
      </c>
      <c r="AF340" s="99" t="str">
        <f>IF(AND(M340&lt;&gt;"", M340&lt;&gt;0), N340/$N$505*MATCH(AE340,'Misc Lists'!$L$2:$L$25,0), "")</f>
        <v/>
      </c>
    </row>
    <row r="341" spans="2:32" hidden="1" outlineLevel="1" x14ac:dyDescent="0.5">
      <c r="B341" s="60"/>
      <c r="C341" s="61"/>
      <c r="D341" s="60"/>
      <c r="E341" s="61"/>
      <c r="F341" s="62"/>
      <c r="G341" s="63"/>
      <c r="H341" s="61"/>
      <c r="I341" s="61"/>
      <c r="J341" s="64"/>
      <c r="K341" s="17"/>
      <c r="L341" s="17"/>
      <c r="M341" s="83"/>
      <c r="N341" s="84" t="str">
        <f t="shared" si="82"/>
        <v/>
      </c>
      <c r="O341" s="20" t="str">
        <f t="shared" si="83"/>
        <v/>
      </c>
      <c r="P341" s="64" t="str">
        <f t="shared" si="84"/>
        <v/>
      </c>
      <c r="Q341" s="85" t="str">
        <f t="shared" ca="1" si="85"/>
        <v/>
      </c>
      <c r="R341" s="86" t="str">
        <f t="shared" si="86"/>
        <v/>
      </c>
      <c r="S341" s="86" t="str">
        <f t="shared" si="87"/>
        <v/>
      </c>
      <c r="T341" s="104" t="str">
        <f t="shared" si="88"/>
        <v/>
      </c>
      <c r="U341" s="19" t="str">
        <f>IF(AND(M341&lt;&gt;"",M341&lt;&gt;0), IF(E341 = "Muni", T341, IF(E341="Corp", T341*(1 -'Investor Input'!$C$4-'Investor Input'!$C$5), T341*(1 -'Investor Input'!$C$4))), T341)</f>
        <v/>
      </c>
      <c r="V341" s="84" t="str">
        <f t="shared" si="89"/>
        <v/>
      </c>
      <c r="W341" s="84" t="str">
        <f t="shared" si="75"/>
        <v/>
      </c>
      <c r="X341" s="21" t="str">
        <f t="shared" si="76"/>
        <v/>
      </c>
      <c r="Y341" s="60" t="str">
        <f t="shared" si="77"/>
        <v/>
      </c>
      <c r="Z341" s="60" t="str">
        <f t="shared" si="78"/>
        <v/>
      </c>
      <c r="AA341" s="64" t="str">
        <f t="shared" si="79"/>
        <v/>
      </c>
      <c r="AB341" s="64" t="str">
        <f>IF(AND(AA341&lt;&gt;"",AA341&lt;&gt;0), IF(E341="Muni", AA341, IF(E341 = "Corp", (1-'Investor Input'!$C$4-'Investor Input'!$C$5)*AA341, (1-'Investor Input'!$C$4)*AA341)), AA341)</f>
        <v/>
      </c>
      <c r="AC341" s="94" t="str">
        <f t="shared" si="80"/>
        <v/>
      </c>
      <c r="AD341" s="60" t="str">
        <f>IF(AND(M341&lt;&gt;"", M341&lt;&gt;0), N341/$N$505*MATCH(AC341,'Misc Lists'!$K$2:$K$25,0), "")</f>
        <v/>
      </c>
      <c r="AE341" s="90" t="str">
        <f t="shared" si="81"/>
        <v/>
      </c>
      <c r="AF341" s="99" t="str">
        <f>IF(AND(M341&lt;&gt;"", M341&lt;&gt;0), N341/$N$505*MATCH(AE341,'Misc Lists'!$L$2:$L$25,0), "")</f>
        <v/>
      </c>
    </row>
    <row r="342" spans="2:32" hidden="1" outlineLevel="1" x14ac:dyDescent="0.5">
      <c r="B342" s="60"/>
      <c r="C342" s="61"/>
      <c r="D342" s="60"/>
      <c r="E342" s="61"/>
      <c r="F342" s="62"/>
      <c r="G342" s="63"/>
      <c r="H342" s="61"/>
      <c r="I342" s="61"/>
      <c r="J342" s="64"/>
      <c r="K342" s="17"/>
      <c r="L342" s="17"/>
      <c r="M342" s="83"/>
      <c r="N342" s="84" t="str">
        <f t="shared" si="82"/>
        <v/>
      </c>
      <c r="O342" s="20" t="str">
        <f t="shared" si="83"/>
        <v/>
      </c>
      <c r="P342" s="64" t="str">
        <f t="shared" si="84"/>
        <v/>
      </c>
      <c r="Q342" s="85" t="str">
        <f t="shared" ca="1" si="85"/>
        <v/>
      </c>
      <c r="R342" s="86" t="str">
        <f t="shared" si="86"/>
        <v/>
      </c>
      <c r="S342" s="86" t="str">
        <f t="shared" si="87"/>
        <v/>
      </c>
      <c r="T342" s="104" t="str">
        <f t="shared" si="88"/>
        <v/>
      </c>
      <c r="U342" s="19" t="str">
        <f>IF(AND(M342&lt;&gt;"",M342&lt;&gt;0), IF(E342 = "Muni", T342, IF(E342="Corp", T342*(1 -'Investor Input'!$C$4-'Investor Input'!$C$5), T342*(1 -'Investor Input'!$C$4))), T342)</f>
        <v/>
      </c>
      <c r="V342" s="84" t="str">
        <f t="shared" si="89"/>
        <v/>
      </c>
      <c r="W342" s="84" t="str">
        <f t="shared" si="75"/>
        <v/>
      </c>
      <c r="X342" s="21" t="str">
        <f t="shared" si="76"/>
        <v/>
      </c>
      <c r="Y342" s="60" t="str">
        <f t="shared" si="77"/>
        <v/>
      </c>
      <c r="Z342" s="60" t="str">
        <f t="shared" si="78"/>
        <v/>
      </c>
      <c r="AA342" s="64" t="str">
        <f t="shared" si="79"/>
        <v/>
      </c>
      <c r="AB342" s="64" t="str">
        <f>IF(AND(AA342&lt;&gt;"",AA342&lt;&gt;0), IF(E342="Muni", AA342, IF(E342 = "Corp", (1-'Investor Input'!$C$4-'Investor Input'!$C$5)*AA342, (1-'Investor Input'!$C$4)*AA342)), AA342)</f>
        <v/>
      </c>
      <c r="AC342" s="94" t="str">
        <f t="shared" si="80"/>
        <v/>
      </c>
      <c r="AD342" s="60" t="str">
        <f>IF(AND(M342&lt;&gt;"", M342&lt;&gt;0), N342/$N$505*MATCH(AC342,'Misc Lists'!$K$2:$K$25,0), "")</f>
        <v/>
      </c>
      <c r="AE342" s="90" t="str">
        <f t="shared" si="81"/>
        <v/>
      </c>
      <c r="AF342" s="99" t="str">
        <f>IF(AND(M342&lt;&gt;"", M342&lt;&gt;0), N342/$N$505*MATCH(AE342,'Misc Lists'!$L$2:$L$25,0), "")</f>
        <v/>
      </c>
    </row>
    <row r="343" spans="2:32" hidden="1" outlineLevel="1" x14ac:dyDescent="0.5">
      <c r="B343" s="60"/>
      <c r="C343" s="61"/>
      <c r="D343" s="60"/>
      <c r="E343" s="61"/>
      <c r="F343" s="62"/>
      <c r="G343" s="63"/>
      <c r="H343" s="61"/>
      <c r="I343" s="61"/>
      <c r="J343" s="64"/>
      <c r="K343" s="17"/>
      <c r="L343" s="17"/>
      <c r="M343" s="83"/>
      <c r="N343" s="84" t="str">
        <f t="shared" si="82"/>
        <v/>
      </c>
      <c r="O343" s="20" t="str">
        <f t="shared" si="83"/>
        <v/>
      </c>
      <c r="P343" s="64" t="str">
        <f t="shared" si="84"/>
        <v/>
      </c>
      <c r="Q343" s="85" t="str">
        <f t="shared" ca="1" si="85"/>
        <v/>
      </c>
      <c r="R343" s="86" t="str">
        <f t="shared" si="86"/>
        <v/>
      </c>
      <c r="S343" s="86" t="str">
        <f t="shared" si="87"/>
        <v/>
      </c>
      <c r="T343" s="104" t="str">
        <f t="shared" si="88"/>
        <v/>
      </c>
      <c r="U343" s="19" t="str">
        <f>IF(AND(M343&lt;&gt;"",M343&lt;&gt;0), IF(E343 = "Muni", T343, IF(E343="Corp", T343*(1 -'Investor Input'!$C$4-'Investor Input'!$C$5), T343*(1 -'Investor Input'!$C$4))), T343)</f>
        <v/>
      </c>
      <c r="V343" s="84" t="str">
        <f t="shared" si="89"/>
        <v/>
      </c>
      <c r="W343" s="84" t="str">
        <f t="shared" si="75"/>
        <v/>
      </c>
      <c r="X343" s="21" t="str">
        <f t="shared" si="76"/>
        <v/>
      </c>
      <c r="Y343" s="60" t="str">
        <f t="shared" si="77"/>
        <v/>
      </c>
      <c r="Z343" s="60" t="str">
        <f t="shared" si="78"/>
        <v/>
      </c>
      <c r="AA343" s="64" t="str">
        <f t="shared" si="79"/>
        <v/>
      </c>
      <c r="AB343" s="64" t="str">
        <f>IF(AND(AA343&lt;&gt;"",AA343&lt;&gt;0), IF(E343="Muni", AA343, IF(E343 = "Corp", (1-'Investor Input'!$C$4-'Investor Input'!$C$5)*AA343, (1-'Investor Input'!$C$4)*AA343)), AA343)</f>
        <v/>
      </c>
      <c r="AC343" s="94" t="str">
        <f t="shared" si="80"/>
        <v/>
      </c>
      <c r="AD343" s="60" t="str">
        <f>IF(AND(M343&lt;&gt;"", M343&lt;&gt;0), N343/$N$505*MATCH(AC343,'Misc Lists'!$K$2:$K$25,0), "")</f>
        <v/>
      </c>
      <c r="AE343" s="90" t="str">
        <f t="shared" si="81"/>
        <v/>
      </c>
      <c r="AF343" s="99" t="str">
        <f>IF(AND(M343&lt;&gt;"", M343&lt;&gt;0), N343/$N$505*MATCH(AE343,'Misc Lists'!$L$2:$L$25,0), "")</f>
        <v/>
      </c>
    </row>
    <row r="344" spans="2:32" hidden="1" outlineLevel="1" x14ac:dyDescent="0.5">
      <c r="B344" s="60"/>
      <c r="C344" s="61"/>
      <c r="D344" s="60"/>
      <c r="E344" s="61"/>
      <c r="F344" s="62"/>
      <c r="G344" s="63"/>
      <c r="H344" s="61"/>
      <c r="I344" s="61"/>
      <c r="J344" s="64"/>
      <c r="K344" s="17"/>
      <c r="L344" s="17"/>
      <c r="M344" s="83"/>
      <c r="N344" s="84" t="str">
        <f t="shared" si="82"/>
        <v/>
      </c>
      <c r="O344" s="20" t="str">
        <f t="shared" si="83"/>
        <v/>
      </c>
      <c r="P344" s="64" t="str">
        <f t="shared" si="84"/>
        <v/>
      </c>
      <c r="Q344" s="85" t="str">
        <f t="shared" ca="1" si="85"/>
        <v/>
      </c>
      <c r="R344" s="86" t="str">
        <f t="shared" si="86"/>
        <v/>
      </c>
      <c r="S344" s="86" t="str">
        <f t="shared" si="87"/>
        <v/>
      </c>
      <c r="T344" s="104" t="str">
        <f t="shared" si="88"/>
        <v/>
      </c>
      <c r="U344" s="19" t="str">
        <f>IF(AND(M344&lt;&gt;"",M344&lt;&gt;0), IF(E344 = "Muni", T344, IF(E344="Corp", T344*(1 -'Investor Input'!$C$4-'Investor Input'!$C$5), T344*(1 -'Investor Input'!$C$4))), T344)</f>
        <v/>
      </c>
      <c r="V344" s="84" t="str">
        <f t="shared" si="89"/>
        <v/>
      </c>
      <c r="W344" s="84" t="str">
        <f t="shared" si="75"/>
        <v/>
      </c>
      <c r="X344" s="21" t="str">
        <f t="shared" si="76"/>
        <v/>
      </c>
      <c r="Y344" s="60" t="str">
        <f t="shared" si="77"/>
        <v/>
      </c>
      <c r="Z344" s="60" t="str">
        <f t="shared" si="78"/>
        <v/>
      </c>
      <c r="AA344" s="64" t="str">
        <f t="shared" si="79"/>
        <v/>
      </c>
      <c r="AB344" s="64" t="str">
        <f>IF(AND(AA344&lt;&gt;"",AA344&lt;&gt;0), IF(E344="Muni", AA344, IF(E344 = "Corp", (1-'Investor Input'!$C$4-'Investor Input'!$C$5)*AA344, (1-'Investor Input'!$C$4)*AA344)), AA344)</f>
        <v/>
      </c>
      <c r="AC344" s="94" t="str">
        <f t="shared" si="80"/>
        <v/>
      </c>
      <c r="AD344" s="60" t="str">
        <f>IF(AND(M344&lt;&gt;"", M344&lt;&gt;0), N344/$N$505*MATCH(AC344,'Misc Lists'!$K$2:$K$25,0), "")</f>
        <v/>
      </c>
      <c r="AE344" s="90" t="str">
        <f t="shared" si="81"/>
        <v/>
      </c>
      <c r="AF344" s="99" t="str">
        <f>IF(AND(M344&lt;&gt;"", M344&lt;&gt;0), N344/$N$505*MATCH(AE344,'Misc Lists'!$L$2:$L$25,0), "")</f>
        <v/>
      </c>
    </row>
    <row r="345" spans="2:32" hidden="1" outlineLevel="1" x14ac:dyDescent="0.5">
      <c r="B345" s="60"/>
      <c r="C345" s="61"/>
      <c r="D345" s="60"/>
      <c r="E345" s="61"/>
      <c r="F345" s="62"/>
      <c r="G345" s="63"/>
      <c r="H345" s="61"/>
      <c r="I345" s="61"/>
      <c r="J345" s="64"/>
      <c r="K345" s="17"/>
      <c r="L345" s="17"/>
      <c r="M345" s="83"/>
      <c r="N345" s="84" t="str">
        <f t="shared" si="82"/>
        <v/>
      </c>
      <c r="O345" s="20" t="str">
        <f t="shared" si="83"/>
        <v/>
      </c>
      <c r="P345" s="64" t="str">
        <f t="shared" si="84"/>
        <v/>
      </c>
      <c r="Q345" s="85" t="str">
        <f t="shared" ca="1" si="85"/>
        <v/>
      </c>
      <c r="R345" s="86" t="str">
        <f t="shared" si="86"/>
        <v/>
      </c>
      <c r="S345" s="86" t="str">
        <f t="shared" si="87"/>
        <v/>
      </c>
      <c r="T345" s="104" t="str">
        <f t="shared" si="88"/>
        <v/>
      </c>
      <c r="U345" s="19" t="str">
        <f>IF(AND(M345&lt;&gt;"",M345&lt;&gt;0), IF(E345 = "Muni", T345, IF(E345="Corp", T345*(1 -'Investor Input'!$C$4-'Investor Input'!$C$5), T345*(1 -'Investor Input'!$C$4))), T345)</f>
        <v/>
      </c>
      <c r="V345" s="84" t="str">
        <f t="shared" si="89"/>
        <v/>
      </c>
      <c r="W345" s="84" t="str">
        <f t="shared" si="75"/>
        <v/>
      </c>
      <c r="X345" s="21" t="str">
        <f t="shared" si="76"/>
        <v/>
      </c>
      <c r="Y345" s="60" t="str">
        <f t="shared" si="77"/>
        <v/>
      </c>
      <c r="Z345" s="60" t="str">
        <f t="shared" si="78"/>
        <v/>
      </c>
      <c r="AA345" s="64" t="str">
        <f t="shared" si="79"/>
        <v/>
      </c>
      <c r="AB345" s="64" t="str">
        <f>IF(AND(AA345&lt;&gt;"",AA345&lt;&gt;0), IF(E345="Muni", AA345, IF(E345 = "Corp", (1-'Investor Input'!$C$4-'Investor Input'!$C$5)*AA345, (1-'Investor Input'!$C$4)*AA345)), AA345)</f>
        <v/>
      </c>
      <c r="AC345" s="94" t="str">
        <f t="shared" si="80"/>
        <v/>
      </c>
      <c r="AD345" s="60" t="str">
        <f>IF(AND(M345&lt;&gt;"", M345&lt;&gt;0), N345/$N$505*MATCH(AC345,'Misc Lists'!$K$2:$K$25,0), "")</f>
        <v/>
      </c>
      <c r="AE345" s="90" t="str">
        <f t="shared" si="81"/>
        <v/>
      </c>
      <c r="AF345" s="99" t="str">
        <f>IF(AND(M345&lt;&gt;"", M345&lt;&gt;0), N345/$N$505*MATCH(AE345,'Misc Lists'!$L$2:$L$25,0), "")</f>
        <v/>
      </c>
    </row>
    <row r="346" spans="2:32" hidden="1" outlineLevel="1" x14ac:dyDescent="0.5">
      <c r="B346" s="60"/>
      <c r="C346" s="61"/>
      <c r="D346" s="60"/>
      <c r="E346" s="61"/>
      <c r="F346" s="62"/>
      <c r="G346" s="63"/>
      <c r="H346" s="61"/>
      <c r="I346" s="61"/>
      <c r="J346" s="64"/>
      <c r="K346" s="17"/>
      <c r="L346" s="17"/>
      <c r="M346" s="83"/>
      <c r="N346" s="84" t="str">
        <f t="shared" si="82"/>
        <v/>
      </c>
      <c r="O346" s="20" t="str">
        <f t="shared" si="83"/>
        <v/>
      </c>
      <c r="P346" s="64" t="str">
        <f t="shared" si="84"/>
        <v/>
      </c>
      <c r="Q346" s="85" t="str">
        <f t="shared" ca="1" si="85"/>
        <v/>
      </c>
      <c r="R346" s="86" t="str">
        <f t="shared" si="86"/>
        <v/>
      </c>
      <c r="S346" s="86" t="str">
        <f t="shared" si="87"/>
        <v/>
      </c>
      <c r="T346" s="104" t="str">
        <f t="shared" si="88"/>
        <v/>
      </c>
      <c r="U346" s="19" t="str">
        <f>IF(AND(M346&lt;&gt;"",M346&lt;&gt;0), IF(E346 = "Muni", T346, IF(E346="Corp", T346*(1 -'Investor Input'!$C$4-'Investor Input'!$C$5), T346*(1 -'Investor Input'!$C$4))), T346)</f>
        <v/>
      </c>
      <c r="V346" s="84" t="str">
        <f t="shared" si="89"/>
        <v/>
      </c>
      <c r="W346" s="84" t="str">
        <f t="shared" si="75"/>
        <v/>
      </c>
      <c r="X346" s="21" t="str">
        <f t="shared" si="76"/>
        <v/>
      </c>
      <c r="Y346" s="60" t="str">
        <f t="shared" si="77"/>
        <v/>
      </c>
      <c r="Z346" s="60" t="str">
        <f t="shared" si="78"/>
        <v/>
      </c>
      <c r="AA346" s="64" t="str">
        <f t="shared" si="79"/>
        <v/>
      </c>
      <c r="AB346" s="64" t="str">
        <f>IF(AND(AA346&lt;&gt;"",AA346&lt;&gt;0), IF(E346="Muni", AA346, IF(E346 = "Corp", (1-'Investor Input'!$C$4-'Investor Input'!$C$5)*AA346, (1-'Investor Input'!$C$4)*AA346)), AA346)</f>
        <v/>
      </c>
      <c r="AC346" s="94" t="str">
        <f t="shared" si="80"/>
        <v/>
      </c>
      <c r="AD346" s="60" t="str">
        <f>IF(AND(M346&lt;&gt;"", M346&lt;&gt;0), N346/$N$505*MATCH(AC346,'Misc Lists'!$K$2:$K$25,0), "")</f>
        <v/>
      </c>
      <c r="AE346" s="90" t="str">
        <f t="shared" si="81"/>
        <v/>
      </c>
      <c r="AF346" s="99" t="str">
        <f>IF(AND(M346&lt;&gt;"", M346&lt;&gt;0), N346/$N$505*MATCH(AE346,'Misc Lists'!$L$2:$L$25,0), "")</f>
        <v/>
      </c>
    </row>
    <row r="347" spans="2:32" hidden="1" outlineLevel="1" x14ac:dyDescent="0.5">
      <c r="B347" s="60"/>
      <c r="C347" s="61"/>
      <c r="D347" s="60"/>
      <c r="E347" s="61"/>
      <c r="F347" s="62"/>
      <c r="G347" s="63"/>
      <c r="H347" s="61"/>
      <c r="I347" s="61"/>
      <c r="J347" s="64"/>
      <c r="K347" s="17"/>
      <c r="L347" s="17"/>
      <c r="M347" s="83"/>
      <c r="N347" s="84" t="str">
        <f t="shared" si="82"/>
        <v/>
      </c>
      <c r="O347" s="20" t="str">
        <f t="shared" si="83"/>
        <v/>
      </c>
      <c r="P347" s="64" t="str">
        <f t="shared" si="84"/>
        <v/>
      </c>
      <c r="Q347" s="85" t="str">
        <f t="shared" ca="1" si="85"/>
        <v/>
      </c>
      <c r="R347" s="86" t="str">
        <f t="shared" si="86"/>
        <v/>
      </c>
      <c r="S347" s="86" t="str">
        <f t="shared" si="87"/>
        <v/>
      </c>
      <c r="T347" s="104" t="str">
        <f t="shared" si="88"/>
        <v/>
      </c>
      <c r="U347" s="19" t="str">
        <f>IF(AND(M347&lt;&gt;"",M347&lt;&gt;0), IF(E347 = "Muni", T347, IF(E347="Corp", T347*(1 -'Investor Input'!$C$4-'Investor Input'!$C$5), T347*(1 -'Investor Input'!$C$4))), T347)</f>
        <v/>
      </c>
      <c r="V347" s="84" t="str">
        <f t="shared" si="89"/>
        <v/>
      </c>
      <c r="W347" s="84" t="str">
        <f t="shared" si="75"/>
        <v/>
      </c>
      <c r="X347" s="21" t="str">
        <f t="shared" si="76"/>
        <v/>
      </c>
      <c r="Y347" s="60" t="str">
        <f t="shared" si="77"/>
        <v/>
      </c>
      <c r="Z347" s="60" t="str">
        <f t="shared" si="78"/>
        <v/>
      </c>
      <c r="AA347" s="64" t="str">
        <f t="shared" si="79"/>
        <v/>
      </c>
      <c r="AB347" s="64" t="str">
        <f>IF(AND(AA347&lt;&gt;"",AA347&lt;&gt;0), IF(E347="Muni", AA347, IF(E347 = "Corp", (1-'Investor Input'!$C$4-'Investor Input'!$C$5)*AA347, (1-'Investor Input'!$C$4)*AA347)), AA347)</f>
        <v/>
      </c>
      <c r="AC347" s="94" t="str">
        <f t="shared" si="80"/>
        <v/>
      </c>
      <c r="AD347" s="60" t="str">
        <f>IF(AND(M347&lt;&gt;"", M347&lt;&gt;0), N347/$N$505*MATCH(AC347,'Misc Lists'!$K$2:$K$25,0), "")</f>
        <v/>
      </c>
      <c r="AE347" s="90" t="str">
        <f t="shared" si="81"/>
        <v/>
      </c>
      <c r="AF347" s="99" t="str">
        <f>IF(AND(M347&lt;&gt;"", M347&lt;&gt;0), N347/$N$505*MATCH(AE347,'Misc Lists'!$L$2:$L$25,0), "")</f>
        <v/>
      </c>
    </row>
    <row r="348" spans="2:32" hidden="1" outlineLevel="1" x14ac:dyDescent="0.5">
      <c r="B348" s="60"/>
      <c r="C348" s="61"/>
      <c r="D348" s="60"/>
      <c r="E348" s="61"/>
      <c r="F348" s="62"/>
      <c r="G348" s="63"/>
      <c r="H348" s="61"/>
      <c r="I348" s="61"/>
      <c r="J348" s="64"/>
      <c r="K348" s="17"/>
      <c r="L348" s="17"/>
      <c r="M348" s="83"/>
      <c r="N348" s="84" t="str">
        <f t="shared" si="82"/>
        <v/>
      </c>
      <c r="O348" s="20" t="str">
        <f t="shared" si="83"/>
        <v/>
      </c>
      <c r="P348" s="64" t="str">
        <f t="shared" si="84"/>
        <v/>
      </c>
      <c r="Q348" s="85" t="str">
        <f t="shared" ca="1" si="85"/>
        <v/>
      </c>
      <c r="R348" s="86" t="str">
        <f t="shared" si="86"/>
        <v/>
      </c>
      <c r="S348" s="86" t="str">
        <f t="shared" si="87"/>
        <v/>
      </c>
      <c r="T348" s="104" t="str">
        <f t="shared" si="88"/>
        <v/>
      </c>
      <c r="U348" s="19" t="str">
        <f>IF(AND(M348&lt;&gt;"",M348&lt;&gt;0), IF(E348 = "Muni", T348, IF(E348="Corp", T348*(1 -'Investor Input'!$C$4-'Investor Input'!$C$5), T348*(1 -'Investor Input'!$C$4))), T348)</f>
        <v/>
      </c>
      <c r="V348" s="84" t="str">
        <f t="shared" si="89"/>
        <v/>
      </c>
      <c r="W348" s="84" t="str">
        <f t="shared" si="75"/>
        <v/>
      </c>
      <c r="X348" s="21" t="str">
        <f t="shared" si="76"/>
        <v/>
      </c>
      <c r="Y348" s="60" t="str">
        <f t="shared" si="77"/>
        <v/>
      </c>
      <c r="Z348" s="60" t="str">
        <f t="shared" si="78"/>
        <v/>
      </c>
      <c r="AA348" s="64" t="str">
        <f t="shared" si="79"/>
        <v/>
      </c>
      <c r="AB348" s="64" t="str">
        <f>IF(AND(AA348&lt;&gt;"",AA348&lt;&gt;0), IF(E348="Muni", AA348, IF(E348 = "Corp", (1-'Investor Input'!$C$4-'Investor Input'!$C$5)*AA348, (1-'Investor Input'!$C$4)*AA348)), AA348)</f>
        <v/>
      </c>
      <c r="AC348" s="94" t="str">
        <f t="shared" si="80"/>
        <v/>
      </c>
      <c r="AD348" s="60" t="str">
        <f>IF(AND(M348&lt;&gt;"", M348&lt;&gt;0), N348/$N$505*MATCH(AC348,'Misc Lists'!$K$2:$K$25,0), "")</f>
        <v/>
      </c>
      <c r="AE348" s="90" t="str">
        <f t="shared" si="81"/>
        <v/>
      </c>
      <c r="AF348" s="99" t="str">
        <f>IF(AND(M348&lt;&gt;"", M348&lt;&gt;0), N348/$N$505*MATCH(AE348,'Misc Lists'!$L$2:$L$25,0), "")</f>
        <v/>
      </c>
    </row>
    <row r="349" spans="2:32" hidden="1" outlineLevel="1" x14ac:dyDescent="0.5">
      <c r="B349" s="60"/>
      <c r="C349" s="61"/>
      <c r="D349" s="60"/>
      <c r="E349" s="61"/>
      <c r="F349" s="62"/>
      <c r="G349" s="63"/>
      <c r="H349" s="61"/>
      <c r="I349" s="61"/>
      <c r="J349" s="64"/>
      <c r="K349" s="17"/>
      <c r="L349" s="17"/>
      <c r="M349" s="83"/>
      <c r="N349" s="84" t="str">
        <f t="shared" si="82"/>
        <v/>
      </c>
      <c r="O349" s="20" t="str">
        <f t="shared" si="83"/>
        <v/>
      </c>
      <c r="P349" s="64" t="str">
        <f t="shared" si="84"/>
        <v/>
      </c>
      <c r="Q349" s="85" t="str">
        <f t="shared" ca="1" si="85"/>
        <v/>
      </c>
      <c r="R349" s="86" t="str">
        <f t="shared" si="86"/>
        <v/>
      </c>
      <c r="S349" s="86" t="str">
        <f t="shared" si="87"/>
        <v/>
      </c>
      <c r="T349" s="104" t="str">
        <f t="shared" si="88"/>
        <v/>
      </c>
      <c r="U349" s="19" t="str">
        <f>IF(AND(M349&lt;&gt;"",M349&lt;&gt;0), IF(E349 = "Muni", T349, IF(E349="Corp", T349*(1 -'Investor Input'!$C$4-'Investor Input'!$C$5), T349*(1 -'Investor Input'!$C$4))), T349)</f>
        <v/>
      </c>
      <c r="V349" s="84" t="str">
        <f t="shared" si="89"/>
        <v/>
      </c>
      <c r="W349" s="84" t="str">
        <f t="shared" si="75"/>
        <v/>
      </c>
      <c r="X349" s="21" t="str">
        <f t="shared" si="76"/>
        <v/>
      </c>
      <c r="Y349" s="60" t="str">
        <f t="shared" si="77"/>
        <v/>
      </c>
      <c r="Z349" s="60" t="str">
        <f t="shared" si="78"/>
        <v/>
      </c>
      <c r="AA349" s="64" t="str">
        <f t="shared" si="79"/>
        <v/>
      </c>
      <c r="AB349" s="64" t="str">
        <f>IF(AND(AA349&lt;&gt;"",AA349&lt;&gt;0), IF(E349="Muni", AA349, IF(E349 = "Corp", (1-'Investor Input'!$C$4-'Investor Input'!$C$5)*AA349, (1-'Investor Input'!$C$4)*AA349)), AA349)</f>
        <v/>
      </c>
      <c r="AC349" s="94" t="str">
        <f t="shared" si="80"/>
        <v/>
      </c>
      <c r="AD349" s="60" t="str">
        <f>IF(AND(M349&lt;&gt;"", M349&lt;&gt;0), N349/$N$505*MATCH(AC349,'Misc Lists'!$K$2:$K$25,0), "")</f>
        <v/>
      </c>
      <c r="AE349" s="90" t="str">
        <f t="shared" si="81"/>
        <v/>
      </c>
      <c r="AF349" s="99" t="str">
        <f>IF(AND(M349&lt;&gt;"", M349&lt;&gt;0), N349/$N$505*MATCH(AE349,'Misc Lists'!$L$2:$L$25,0), "")</f>
        <v/>
      </c>
    </row>
    <row r="350" spans="2:32" hidden="1" outlineLevel="1" x14ac:dyDescent="0.5">
      <c r="B350" s="60"/>
      <c r="C350" s="61"/>
      <c r="D350" s="60"/>
      <c r="E350" s="61"/>
      <c r="F350" s="62"/>
      <c r="G350" s="63"/>
      <c r="H350" s="61"/>
      <c r="I350" s="61"/>
      <c r="J350" s="64"/>
      <c r="K350" s="17"/>
      <c r="L350" s="17"/>
      <c r="M350" s="83"/>
      <c r="N350" s="84" t="str">
        <f t="shared" si="82"/>
        <v/>
      </c>
      <c r="O350" s="20" t="str">
        <f t="shared" si="83"/>
        <v/>
      </c>
      <c r="P350" s="64" t="str">
        <f t="shared" si="84"/>
        <v/>
      </c>
      <c r="Q350" s="85" t="str">
        <f t="shared" ca="1" si="85"/>
        <v/>
      </c>
      <c r="R350" s="86" t="str">
        <f t="shared" si="86"/>
        <v/>
      </c>
      <c r="S350" s="86" t="str">
        <f t="shared" si="87"/>
        <v/>
      </c>
      <c r="T350" s="104" t="str">
        <f t="shared" si="88"/>
        <v/>
      </c>
      <c r="U350" s="19" t="str">
        <f>IF(AND(M350&lt;&gt;"",M350&lt;&gt;0), IF(E350 = "Muni", T350, IF(E350="Corp", T350*(1 -'Investor Input'!$C$4-'Investor Input'!$C$5), T350*(1 -'Investor Input'!$C$4))), T350)</f>
        <v/>
      </c>
      <c r="V350" s="84" t="str">
        <f t="shared" si="89"/>
        <v/>
      </c>
      <c r="W350" s="84" t="str">
        <f t="shared" si="75"/>
        <v/>
      </c>
      <c r="X350" s="21" t="str">
        <f t="shared" si="76"/>
        <v/>
      </c>
      <c r="Y350" s="60" t="str">
        <f t="shared" si="77"/>
        <v/>
      </c>
      <c r="Z350" s="60" t="str">
        <f t="shared" si="78"/>
        <v/>
      </c>
      <c r="AA350" s="64" t="str">
        <f t="shared" si="79"/>
        <v/>
      </c>
      <c r="AB350" s="64" t="str">
        <f>IF(AND(AA350&lt;&gt;"",AA350&lt;&gt;0), IF(E350="Muni", AA350, IF(E350 = "Corp", (1-'Investor Input'!$C$4-'Investor Input'!$C$5)*AA350, (1-'Investor Input'!$C$4)*AA350)), AA350)</f>
        <v/>
      </c>
      <c r="AC350" s="94" t="str">
        <f t="shared" si="80"/>
        <v/>
      </c>
      <c r="AD350" s="60" t="str">
        <f>IF(AND(M350&lt;&gt;"", M350&lt;&gt;0), N350/$N$505*MATCH(AC350,'Misc Lists'!$K$2:$K$25,0), "")</f>
        <v/>
      </c>
      <c r="AE350" s="90" t="str">
        <f t="shared" si="81"/>
        <v/>
      </c>
      <c r="AF350" s="99" t="str">
        <f>IF(AND(M350&lt;&gt;"", M350&lt;&gt;0), N350/$N$505*MATCH(AE350,'Misc Lists'!$L$2:$L$25,0), "")</f>
        <v/>
      </c>
    </row>
    <row r="351" spans="2:32" hidden="1" outlineLevel="1" x14ac:dyDescent="0.5">
      <c r="B351" s="60"/>
      <c r="C351" s="61"/>
      <c r="D351" s="60"/>
      <c r="E351" s="61"/>
      <c r="F351" s="62"/>
      <c r="G351" s="63"/>
      <c r="H351" s="61"/>
      <c r="I351" s="61"/>
      <c r="J351" s="64"/>
      <c r="K351" s="17"/>
      <c r="L351" s="17"/>
      <c r="M351" s="83"/>
      <c r="N351" s="84" t="str">
        <f t="shared" si="82"/>
        <v/>
      </c>
      <c r="O351" s="20" t="str">
        <f t="shared" si="83"/>
        <v/>
      </c>
      <c r="P351" s="64" t="str">
        <f t="shared" si="84"/>
        <v/>
      </c>
      <c r="Q351" s="85" t="str">
        <f t="shared" ca="1" si="85"/>
        <v/>
      </c>
      <c r="R351" s="86" t="str">
        <f t="shared" si="86"/>
        <v/>
      </c>
      <c r="S351" s="86" t="str">
        <f t="shared" si="87"/>
        <v/>
      </c>
      <c r="T351" s="104" t="str">
        <f t="shared" si="88"/>
        <v/>
      </c>
      <c r="U351" s="19" t="str">
        <f>IF(AND(M351&lt;&gt;"",M351&lt;&gt;0), IF(E351 = "Muni", T351, IF(E351="Corp", T351*(1 -'Investor Input'!$C$4-'Investor Input'!$C$5), T351*(1 -'Investor Input'!$C$4))), T351)</f>
        <v/>
      </c>
      <c r="V351" s="84" t="str">
        <f t="shared" si="89"/>
        <v/>
      </c>
      <c r="W351" s="84" t="str">
        <f t="shared" si="75"/>
        <v/>
      </c>
      <c r="X351" s="21" t="str">
        <f t="shared" si="76"/>
        <v/>
      </c>
      <c r="Y351" s="60" t="str">
        <f t="shared" si="77"/>
        <v/>
      </c>
      <c r="Z351" s="60" t="str">
        <f t="shared" si="78"/>
        <v/>
      </c>
      <c r="AA351" s="64" t="str">
        <f t="shared" si="79"/>
        <v/>
      </c>
      <c r="AB351" s="64" t="str">
        <f>IF(AND(AA351&lt;&gt;"",AA351&lt;&gt;0), IF(E351="Muni", AA351, IF(E351 = "Corp", (1-'Investor Input'!$C$4-'Investor Input'!$C$5)*AA351, (1-'Investor Input'!$C$4)*AA351)), AA351)</f>
        <v/>
      </c>
      <c r="AC351" s="94" t="str">
        <f t="shared" si="80"/>
        <v/>
      </c>
      <c r="AD351" s="60" t="str">
        <f>IF(AND(M351&lt;&gt;"", M351&lt;&gt;0), N351/$N$505*MATCH(AC351,'Misc Lists'!$K$2:$K$25,0), "")</f>
        <v/>
      </c>
      <c r="AE351" s="90" t="str">
        <f t="shared" si="81"/>
        <v/>
      </c>
      <c r="AF351" s="99" t="str">
        <f>IF(AND(M351&lt;&gt;"", M351&lt;&gt;0), N351/$N$505*MATCH(AE351,'Misc Lists'!$L$2:$L$25,0), "")</f>
        <v/>
      </c>
    </row>
    <row r="352" spans="2:32" hidden="1" outlineLevel="1" x14ac:dyDescent="0.5">
      <c r="B352" s="60"/>
      <c r="C352" s="61"/>
      <c r="D352" s="60"/>
      <c r="E352" s="61"/>
      <c r="F352" s="62"/>
      <c r="G352" s="63"/>
      <c r="H352" s="61"/>
      <c r="I352" s="61"/>
      <c r="J352" s="64"/>
      <c r="K352" s="17"/>
      <c r="L352" s="17"/>
      <c r="M352" s="83"/>
      <c r="N352" s="84" t="str">
        <f t="shared" si="82"/>
        <v/>
      </c>
      <c r="O352" s="20" t="str">
        <f t="shared" si="83"/>
        <v/>
      </c>
      <c r="P352" s="64" t="str">
        <f t="shared" si="84"/>
        <v/>
      </c>
      <c r="Q352" s="85" t="str">
        <f t="shared" ca="1" si="85"/>
        <v/>
      </c>
      <c r="R352" s="86" t="str">
        <f t="shared" si="86"/>
        <v/>
      </c>
      <c r="S352" s="86" t="str">
        <f t="shared" si="87"/>
        <v/>
      </c>
      <c r="T352" s="104" t="str">
        <f t="shared" si="88"/>
        <v/>
      </c>
      <c r="U352" s="19" t="str">
        <f>IF(AND(M352&lt;&gt;"",M352&lt;&gt;0), IF(E352 = "Muni", T352, IF(E352="Corp", T352*(1 -'Investor Input'!$C$4-'Investor Input'!$C$5), T352*(1 -'Investor Input'!$C$4))), T352)</f>
        <v/>
      </c>
      <c r="V352" s="84" t="str">
        <f t="shared" si="89"/>
        <v/>
      </c>
      <c r="W352" s="84" t="str">
        <f t="shared" si="75"/>
        <v/>
      </c>
      <c r="X352" s="21" t="str">
        <f t="shared" si="76"/>
        <v/>
      </c>
      <c r="Y352" s="60" t="str">
        <f t="shared" si="77"/>
        <v/>
      </c>
      <c r="Z352" s="60" t="str">
        <f t="shared" si="78"/>
        <v/>
      </c>
      <c r="AA352" s="64" t="str">
        <f t="shared" si="79"/>
        <v/>
      </c>
      <c r="AB352" s="64" t="str">
        <f>IF(AND(AA352&lt;&gt;"",AA352&lt;&gt;0), IF(E352="Muni", AA352, IF(E352 = "Corp", (1-'Investor Input'!$C$4-'Investor Input'!$C$5)*AA352, (1-'Investor Input'!$C$4)*AA352)), AA352)</f>
        <v/>
      </c>
      <c r="AC352" s="94" t="str">
        <f t="shared" si="80"/>
        <v/>
      </c>
      <c r="AD352" s="60" t="str">
        <f>IF(AND(M352&lt;&gt;"", M352&lt;&gt;0), N352/$N$505*MATCH(AC352,'Misc Lists'!$K$2:$K$25,0), "")</f>
        <v/>
      </c>
      <c r="AE352" s="90" t="str">
        <f t="shared" si="81"/>
        <v/>
      </c>
      <c r="AF352" s="99" t="str">
        <f>IF(AND(M352&lt;&gt;"", M352&lt;&gt;0), N352/$N$505*MATCH(AE352,'Misc Lists'!$L$2:$L$25,0), "")</f>
        <v/>
      </c>
    </row>
    <row r="353" spans="2:32" hidden="1" outlineLevel="1" x14ac:dyDescent="0.5">
      <c r="B353" s="60"/>
      <c r="C353" s="61"/>
      <c r="D353" s="60"/>
      <c r="E353" s="61"/>
      <c r="F353" s="62"/>
      <c r="G353" s="63"/>
      <c r="H353" s="61"/>
      <c r="I353" s="61"/>
      <c r="J353" s="64"/>
      <c r="K353" s="17"/>
      <c r="L353" s="17"/>
      <c r="M353" s="83"/>
      <c r="N353" s="84" t="str">
        <f t="shared" si="82"/>
        <v/>
      </c>
      <c r="O353" s="20" t="str">
        <f t="shared" si="83"/>
        <v/>
      </c>
      <c r="P353" s="64" t="str">
        <f t="shared" si="84"/>
        <v/>
      </c>
      <c r="Q353" s="85" t="str">
        <f t="shared" ca="1" si="85"/>
        <v/>
      </c>
      <c r="R353" s="86" t="str">
        <f t="shared" si="86"/>
        <v/>
      </c>
      <c r="S353" s="86" t="str">
        <f t="shared" si="87"/>
        <v/>
      </c>
      <c r="T353" s="104" t="str">
        <f t="shared" si="88"/>
        <v/>
      </c>
      <c r="U353" s="19" t="str">
        <f>IF(AND(M353&lt;&gt;"",M353&lt;&gt;0), IF(E353 = "Muni", T353, IF(E353="Corp", T353*(1 -'Investor Input'!$C$4-'Investor Input'!$C$5), T353*(1 -'Investor Input'!$C$4))), T353)</f>
        <v/>
      </c>
      <c r="V353" s="84" t="str">
        <f t="shared" si="89"/>
        <v/>
      </c>
      <c r="W353" s="84" t="str">
        <f t="shared" si="75"/>
        <v/>
      </c>
      <c r="X353" s="21" t="str">
        <f t="shared" si="76"/>
        <v/>
      </c>
      <c r="Y353" s="60" t="str">
        <f t="shared" si="77"/>
        <v/>
      </c>
      <c r="Z353" s="60" t="str">
        <f t="shared" si="78"/>
        <v/>
      </c>
      <c r="AA353" s="64" t="str">
        <f t="shared" si="79"/>
        <v/>
      </c>
      <c r="AB353" s="64" t="str">
        <f>IF(AND(AA353&lt;&gt;"",AA353&lt;&gt;0), IF(E353="Muni", AA353, IF(E353 = "Corp", (1-'Investor Input'!$C$4-'Investor Input'!$C$5)*AA353, (1-'Investor Input'!$C$4)*AA353)), AA353)</f>
        <v/>
      </c>
      <c r="AC353" s="94" t="str">
        <f t="shared" si="80"/>
        <v/>
      </c>
      <c r="AD353" s="60" t="str">
        <f>IF(AND(M353&lt;&gt;"", M353&lt;&gt;0), N353/$N$505*MATCH(AC353,'Misc Lists'!$K$2:$K$25,0), "")</f>
        <v/>
      </c>
      <c r="AE353" s="90" t="str">
        <f t="shared" si="81"/>
        <v/>
      </c>
      <c r="AF353" s="99" t="str">
        <f>IF(AND(M353&lt;&gt;"", M353&lt;&gt;0), N353/$N$505*MATCH(AE353,'Misc Lists'!$L$2:$L$25,0), "")</f>
        <v/>
      </c>
    </row>
    <row r="354" spans="2:32" hidden="1" outlineLevel="1" x14ac:dyDescent="0.5">
      <c r="B354" s="60"/>
      <c r="C354" s="61"/>
      <c r="D354" s="60"/>
      <c r="E354" s="61"/>
      <c r="F354" s="62"/>
      <c r="G354" s="63"/>
      <c r="H354" s="61"/>
      <c r="I354" s="61"/>
      <c r="J354" s="64"/>
      <c r="K354" s="17"/>
      <c r="L354" s="17"/>
      <c r="M354" s="83"/>
      <c r="N354" s="84" t="str">
        <f t="shared" si="82"/>
        <v/>
      </c>
      <c r="O354" s="20" t="str">
        <f t="shared" si="83"/>
        <v/>
      </c>
      <c r="P354" s="64" t="str">
        <f t="shared" si="84"/>
        <v/>
      </c>
      <c r="Q354" s="85" t="str">
        <f t="shared" ca="1" si="85"/>
        <v/>
      </c>
      <c r="R354" s="86" t="str">
        <f t="shared" si="86"/>
        <v/>
      </c>
      <c r="S354" s="86" t="str">
        <f t="shared" si="87"/>
        <v/>
      </c>
      <c r="T354" s="104" t="str">
        <f t="shared" si="88"/>
        <v/>
      </c>
      <c r="U354" s="19" t="str">
        <f>IF(AND(M354&lt;&gt;"",M354&lt;&gt;0), IF(E354 = "Muni", T354, IF(E354="Corp", T354*(1 -'Investor Input'!$C$4-'Investor Input'!$C$5), T354*(1 -'Investor Input'!$C$4))), T354)</f>
        <v/>
      </c>
      <c r="V354" s="84" t="str">
        <f t="shared" si="89"/>
        <v/>
      </c>
      <c r="W354" s="84" t="str">
        <f t="shared" si="75"/>
        <v/>
      </c>
      <c r="X354" s="21" t="str">
        <f t="shared" si="76"/>
        <v/>
      </c>
      <c r="Y354" s="60" t="str">
        <f t="shared" si="77"/>
        <v/>
      </c>
      <c r="Z354" s="60" t="str">
        <f t="shared" si="78"/>
        <v/>
      </c>
      <c r="AA354" s="64" t="str">
        <f t="shared" si="79"/>
        <v/>
      </c>
      <c r="AB354" s="64" t="str">
        <f>IF(AND(AA354&lt;&gt;"",AA354&lt;&gt;0), IF(E354="Muni", AA354, IF(E354 = "Corp", (1-'Investor Input'!$C$4-'Investor Input'!$C$5)*AA354, (1-'Investor Input'!$C$4)*AA354)), AA354)</f>
        <v/>
      </c>
      <c r="AC354" s="94" t="str">
        <f t="shared" si="80"/>
        <v/>
      </c>
      <c r="AD354" s="60" t="str">
        <f>IF(AND(M354&lt;&gt;"", M354&lt;&gt;0), N354/$N$505*MATCH(AC354,'Misc Lists'!$K$2:$K$25,0), "")</f>
        <v/>
      </c>
      <c r="AE354" s="90" t="str">
        <f t="shared" si="81"/>
        <v/>
      </c>
      <c r="AF354" s="99" t="str">
        <f>IF(AND(M354&lt;&gt;"", M354&lt;&gt;0), N354/$N$505*MATCH(AE354,'Misc Lists'!$L$2:$L$25,0), "")</f>
        <v/>
      </c>
    </row>
    <row r="355" spans="2:32" hidden="1" outlineLevel="1" x14ac:dyDescent="0.5">
      <c r="B355" s="60"/>
      <c r="C355" s="61"/>
      <c r="D355" s="60"/>
      <c r="E355" s="61"/>
      <c r="F355" s="62"/>
      <c r="G355" s="63"/>
      <c r="H355" s="61"/>
      <c r="I355" s="61"/>
      <c r="J355" s="64"/>
      <c r="K355" s="17"/>
      <c r="L355" s="17"/>
      <c r="M355" s="83"/>
      <c r="N355" s="84" t="str">
        <f t="shared" si="82"/>
        <v/>
      </c>
      <c r="O355" s="20" t="str">
        <f t="shared" si="83"/>
        <v/>
      </c>
      <c r="P355" s="64" t="str">
        <f t="shared" si="84"/>
        <v/>
      </c>
      <c r="Q355" s="85" t="str">
        <f t="shared" ca="1" si="85"/>
        <v/>
      </c>
      <c r="R355" s="86" t="str">
        <f t="shared" si="86"/>
        <v/>
      </c>
      <c r="S355" s="86" t="str">
        <f t="shared" si="87"/>
        <v/>
      </c>
      <c r="T355" s="104" t="str">
        <f t="shared" si="88"/>
        <v/>
      </c>
      <c r="U355" s="19" t="str">
        <f>IF(AND(M355&lt;&gt;"",M355&lt;&gt;0), IF(E355 = "Muni", T355, IF(E355="Corp", T355*(1 -'Investor Input'!$C$4-'Investor Input'!$C$5), T355*(1 -'Investor Input'!$C$4))), T355)</f>
        <v/>
      </c>
      <c r="V355" s="84" t="str">
        <f t="shared" si="89"/>
        <v/>
      </c>
      <c r="W355" s="84" t="str">
        <f t="shared" si="75"/>
        <v/>
      </c>
      <c r="X355" s="21" t="str">
        <f t="shared" si="76"/>
        <v/>
      </c>
      <c r="Y355" s="60" t="str">
        <f t="shared" si="77"/>
        <v/>
      </c>
      <c r="Z355" s="60" t="str">
        <f t="shared" si="78"/>
        <v/>
      </c>
      <c r="AA355" s="64" t="str">
        <f t="shared" si="79"/>
        <v/>
      </c>
      <c r="AB355" s="64" t="str">
        <f>IF(AND(AA355&lt;&gt;"",AA355&lt;&gt;0), IF(E355="Muni", AA355, IF(E355 = "Corp", (1-'Investor Input'!$C$4-'Investor Input'!$C$5)*AA355, (1-'Investor Input'!$C$4)*AA355)), AA355)</f>
        <v/>
      </c>
      <c r="AC355" s="94" t="str">
        <f t="shared" si="80"/>
        <v/>
      </c>
      <c r="AD355" s="60" t="str">
        <f>IF(AND(M355&lt;&gt;"", M355&lt;&gt;0), N355/$N$505*MATCH(AC355,'Misc Lists'!$K$2:$K$25,0), "")</f>
        <v/>
      </c>
      <c r="AE355" s="90" t="str">
        <f t="shared" si="81"/>
        <v/>
      </c>
      <c r="AF355" s="99" t="str">
        <f>IF(AND(M355&lt;&gt;"", M355&lt;&gt;0), N355/$N$505*MATCH(AE355,'Misc Lists'!$L$2:$L$25,0), "")</f>
        <v/>
      </c>
    </row>
    <row r="356" spans="2:32" hidden="1" outlineLevel="1" x14ac:dyDescent="0.5">
      <c r="B356" s="60"/>
      <c r="C356" s="61"/>
      <c r="D356" s="60"/>
      <c r="E356" s="61"/>
      <c r="F356" s="62"/>
      <c r="G356" s="63"/>
      <c r="H356" s="61"/>
      <c r="I356" s="61"/>
      <c r="J356" s="64"/>
      <c r="K356" s="17"/>
      <c r="L356" s="17"/>
      <c r="M356" s="83"/>
      <c r="N356" s="84" t="str">
        <f t="shared" si="82"/>
        <v/>
      </c>
      <c r="O356" s="20" t="str">
        <f t="shared" si="83"/>
        <v/>
      </c>
      <c r="P356" s="64" t="str">
        <f t="shared" si="84"/>
        <v/>
      </c>
      <c r="Q356" s="85" t="str">
        <f t="shared" ca="1" si="85"/>
        <v/>
      </c>
      <c r="R356" s="86" t="str">
        <f t="shared" si="86"/>
        <v/>
      </c>
      <c r="S356" s="86" t="str">
        <f t="shared" si="87"/>
        <v/>
      </c>
      <c r="T356" s="104" t="str">
        <f t="shared" si="88"/>
        <v/>
      </c>
      <c r="U356" s="19" t="str">
        <f>IF(AND(M356&lt;&gt;"",M356&lt;&gt;0), IF(E356 = "Muni", T356, IF(E356="Corp", T356*(1 -'Investor Input'!$C$4-'Investor Input'!$C$5), T356*(1 -'Investor Input'!$C$4))), T356)</f>
        <v/>
      </c>
      <c r="V356" s="84" t="str">
        <f t="shared" si="89"/>
        <v/>
      </c>
      <c r="W356" s="84" t="str">
        <f t="shared" si="75"/>
        <v/>
      </c>
      <c r="X356" s="21" t="str">
        <f t="shared" si="76"/>
        <v/>
      </c>
      <c r="Y356" s="60" t="str">
        <f t="shared" si="77"/>
        <v/>
      </c>
      <c r="Z356" s="60" t="str">
        <f t="shared" si="78"/>
        <v/>
      </c>
      <c r="AA356" s="64" t="str">
        <f t="shared" si="79"/>
        <v/>
      </c>
      <c r="AB356" s="64" t="str">
        <f>IF(AND(AA356&lt;&gt;"",AA356&lt;&gt;0), IF(E356="Muni", AA356, IF(E356 = "Corp", (1-'Investor Input'!$C$4-'Investor Input'!$C$5)*AA356, (1-'Investor Input'!$C$4)*AA356)), AA356)</f>
        <v/>
      </c>
      <c r="AC356" s="94" t="str">
        <f t="shared" si="80"/>
        <v/>
      </c>
      <c r="AD356" s="60" t="str">
        <f>IF(AND(M356&lt;&gt;"", M356&lt;&gt;0), N356/$N$505*MATCH(AC356,'Misc Lists'!$K$2:$K$25,0), "")</f>
        <v/>
      </c>
      <c r="AE356" s="90" t="str">
        <f t="shared" si="81"/>
        <v/>
      </c>
      <c r="AF356" s="99" t="str">
        <f>IF(AND(M356&lt;&gt;"", M356&lt;&gt;0), N356/$N$505*MATCH(AE356,'Misc Lists'!$L$2:$L$25,0), "")</f>
        <v/>
      </c>
    </row>
    <row r="357" spans="2:32" hidden="1" outlineLevel="1" x14ac:dyDescent="0.5">
      <c r="B357" s="60"/>
      <c r="C357" s="61"/>
      <c r="D357" s="60"/>
      <c r="E357" s="61"/>
      <c r="F357" s="62"/>
      <c r="G357" s="63"/>
      <c r="H357" s="61"/>
      <c r="I357" s="61"/>
      <c r="J357" s="64"/>
      <c r="K357" s="17"/>
      <c r="L357" s="17"/>
      <c r="M357" s="83"/>
      <c r="N357" s="84" t="str">
        <f t="shared" si="82"/>
        <v/>
      </c>
      <c r="O357" s="20" t="str">
        <f t="shared" si="83"/>
        <v/>
      </c>
      <c r="P357" s="64" t="str">
        <f t="shared" si="84"/>
        <v/>
      </c>
      <c r="Q357" s="85" t="str">
        <f t="shared" ca="1" si="85"/>
        <v/>
      </c>
      <c r="R357" s="86" t="str">
        <f t="shared" si="86"/>
        <v/>
      </c>
      <c r="S357" s="86" t="str">
        <f t="shared" si="87"/>
        <v/>
      </c>
      <c r="T357" s="104" t="str">
        <f t="shared" si="88"/>
        <v/>
      </c>
      <c r="U357" s="19" t="str">
        <f>IF(AND(M357&lt;&gt;"",M357&lt;&gt;0), IF(E357 = "Muni", T357, IF(E357="Corp", T357*(1 -'Investor Input'!$C$4-'Investor Input'!$C$5), T357*(1 -'Investor Input'!$C$4))), T357)</f>
        <v/>
      </c>
      <c r="V357" s="84" t="str">
        <f t="shared" si="89"/>
        <v/>
      </c>
      <c r="W357" s="84" t="str">
        <f t="shared" si="75"/>
        <v/>
      </c>
      <c r="X357" s="21" t="str">
        <f t="shared" si="76"/>
        <v/>
      </c>
      <c r="Y357" s="60" t="str">
        <f t="shared" si="77"/>
        <v/>
      </c>
      <c r="Z357" s="60" t="str">
        <f t="shared" si="78"/>
        <v/>
      </c>
      <c r="AA357" s="64" t="str">
        <f t="shared" si="79"/>
        <v/>
      </c>
      <c r="AB357" s="64" t="str">
        <f>IF(AND(AA357&lt;&gt;"",AA357&lt;&gt;0), IF(E357="Muni", AA357, IF(E357 = "Corp", (1-'Investor Input'!$C$4-'Investor Input'!$C$5)*AA357, (1-'Investor Input'!$C$4)*AA357)), AA357)</f>
        <v/>
      </c>
      <c r="AC357" s="94" t="str">
        <f t="shared" si="80"/>
        <v/>
      </c>
      <c r="AD357" s="60" t="str">
        <f>IF(AND(M357&lt;&gt;"", M357&lt;&gt;0), N357/$N$505*MATCH(AC357,'Misc Lists'!$K$2:$K$25,0), "")</f>
        <v/>
      </c>
      <c r="AE357" s="90" t="str">
        <f t="shared" si="81"/>
        <v/>
      </c>
      <c r="AF357" s="99" t="str">
        <f>IF(AND(M357&lt;&gt;"", M357&lt;&gt;0), N357/$N$505*MATCH(AE357,'Misc Lists'!$L$2:$L$25,0), "")</f>
        <v/>
      </c>
    </row>
    <row r="358" spans="2:32" hidden="1" outlineLevel="1" x14ac:dyDescent="0.5">
      <c r="B358" s="60"/>
      <c r="C358" s="61"/>
      <c r="D358" s="60"/>
      <c r="E358" s="61"/>
      <c r="F358" s="62"/>
      <c r="G358" s="63"/>
      <c r="H358" s="61"/>
      <c r="I358" s="61"/>
      <c r="J358" s="64"/>
      <c r="K358" s="17"/>
      <c r="L358" s="17"/>
      <c r="M358" s="83"/>
      <c r="N358" s="84" t="str">
        <f t="shared" si="82"/>
        <v/>
      </c>
      <c r="O358" s="20" t="str">
        <f t="shared" si="83"/>
        <v/>
      </c>
      <c r="P358" s="64" t="str">
        <f t="shared" si="84"/>
        <v/>
      </c>
      <c r="Q358" s="85" t="str">
        <f t="shared" ca="1" si="85"/>
        <v/>
      </c>
      <c r="R358" s="86" t="str">
        <f t="shared" si="86"/>
        <v/>
      </c>
      <c r="S358" s="86" t="str">
        <f t="shared" si="87"/>
        <v/>
      </c>
      <c r="T358" s="104" t="str">
        <f t="shared" si="88"/>
        <v/>
      </c>
      <c r="U358" s="19" t="str">
        <f>IF(AND(M358&lt;&gt;"",M358&lt;&gt;0), IF(E358 = "Muni", T358, IF(E358="Corp", T358*(1 -'Investor Input'!$C$4-'Investor Input'!$C$5), T358*(1 -'Investor Input'!$C$4))), T358)</f>
        <v/>
      </c>
      <c r="V358" s="84" t="str">
        <f t="shared" si="89"/>
        <v/>
      </c>
      <c r="W358" s="84" t="str">
        <f t="shared" si="75"/>
        <v/>
      </c>
      <c r="X358" s="21" t="str">
        <f t="shared" si="76"/>
        <v/>
      </c>
      <c r="Y358" s="60" t="str">
        <f t="shared" si="77"/>
        <v/>
      </c>
      <c r="Z358" s="60" t="str">
        <f t="shared" si="78"/>
        <v/>
      </c>
      <c r="AA358" s="64" t="str">
        <f t="shared" si="79"/>
        <v/>
      </c>
      <c r="AB358" s="64" t="str">
        <f>IF(AND(AA358&lt;&gt;"",AA358&lt;&gt;0), IF(E358="Muni", AA358, IF(E358 = "Corp", (1-'Investor Input'!$C$4-'Investor Input'!$C$5)*AA358, (1-'Investor Input'!$C$4)*AA358)), AA358)</f>
        <v/>
      </c>
      <c r="AC358" s="94" t="str">
        <f t="shared" si="80"/>
        <v/>
      </c>
      <c r="AD358" s="60" t="str">
        <f>IF(AND(M358&lt;&gt;"", M358&lt;&gt;0), N358/$N$505*MATCH(AC358,'Misc Lists'!$K$2:$K$25,0), "")</f>
        <v/>
      </c>
      <c r="AE358" s="90" t="str">
        <f t="shared" si="81"/>
        <v/>
      </c>
      <c r="AF358" s="99" t="str">
        <f>IF(AND(M358&lt;&gt;"", M358&lt;&gt;0), N358/$N$505*MATCH(AE358,'Misc Lists'!$L$2:$L$25,0), "")</f>
        <v/>
      </c>
    </row>
    <row r="359" spans="2:32" hidden="1" outlineLevel="1" x14ac:dyDescent="0.5">
      <c r="B359" s="60"/>
      <c r="C359" s="61"/>
      <c r="D359" s="60"/>
      <c r="E359" s="61"/>
      <c r="F359" s="62"/>
      <c r="G359" s="63"/>
      <c r="H359" s="61"/>
      <c r="I359" s="61"/>
      <c r="J359" s="64"/>
      <c r="K359" s="17"/>
      <c r="L359" s="17"/>
      <c r="M359" s="83"/>
      <c r="N359" s="84" t="str">
        <f t="shared" si="82"/>
        <v/>
      </c>
      <c r="O359" s="20" t="str">
        <f t="shared" si="83"/>
        <v/>
      </c>
      <c r="P359" s="64" t="str">
        <f t="shared" si="84"/>
        <v/>
      </c>
      <c r="Q359" s="85" t="str">
        <f t="shared" ca="1" si="85"/>
        <v/>
      </c>
      <c r="R359" s="86" t="str">
        <f t="shared" si="86"/>
        <v/>
      </c>
      <c r="S359" s="86" t="str">
        <f t="shared" si="87"/>
        <v/>
      </c>
      <c r="T359" s="104" t="str">
        <f t="shared" si="88"/>
        <v/>
      </c>
      <c r="U359" s="19" t="str">
        <f>IF(AND(M359&lt;&gt;"",M359&lt;&gt;0), IF(E359 = "Muni", T359, IF(E359="Corp", T359*(1 -'Investor Input'!$C$4-'Investor Input'!$C$5), T359*(1 -'Investor Input'!$C$4))), T359)</f>
        <v/>
      </c>
      <c r="V359" s="84" t="str">
        <f t="shared" si="89"/>
        <v/>
      </c>
      <c r="W359" s="84" t="str">
        <f t="shared" si="75"/>
        <v/>
      </c>
      <c r="X359" s="21" t="str">
        <f t="shared" si="76"/>
        <v/>
      </c>
      <c r="Y359" s="60" t="str">
        <f t="shared" si="77"/>
        <v/>
      </c>
      <c r="Z359" s="60" t="str">
        <f t="shared" si="78"/>
        <v/>
      </c>
      <c r="AA359" s="64" t="str">
        <f t="shared" si="79"/>
        <v/>
      </c>
      <c r="AB359" s="64" t="str">
        <f>IF(AND(AA359&lt;&gt;"",AA359&lt;&gt;0), IF(E359="Muni", AA359, IF(E359 = "Corp", (1-'Investor Input'!$C$4-'Investor Input'!$C$5)*AA359, (1-'Investor Input'!$C$4)*AA359)), AA359)</f>
        <v/>
      </c>
      <c r="AC359" s="94" t="str">
        <f t="shared" si="80"/>
        <v/>
      </c>
      <c r="AD359" s="60" t="str">
        <f>IF(AND(M359&lt;&gt;"", M359&lt;&gt;0), N359/$N$505*MATCH(AC359,'Misc Lists'!$K$2:$K$25,0), "")</f>
        <v/>
      </c>
      <c r="AE359" s="90" t="str">
        <f t="shared" si="81"/>
        <v/>
      </c>
      <c r="AF359" s="99" t="str">
        <f>IF(AND(M359&lt;&gt;"", M359&lt;&gt;0), N359/$N$505*MATCH(AE359,'Misc Lists'!$L$2:$L$25,0), "")</f>
        <v/>
      </c>
    </row>
    <row r="360" spans="2:32" hidden="1" outlineLevel="1" x14ac:dyDescent="0.5">
      <c r="B360" s="60"/>
      <c r="C360" s="61"/>
      <c r="D360" s="60"/>
      <c r="E360" s="61"/>
      <c r="F360" s="62"/>
      <c r="G360" s="63"/>
      <c r="H360" s="61"/>
      <c r="I360" s="61"/>
      <c r="J360" s="64"/>
      <c r="K360" s="17"/>
      <c r="L360" s="17"/>
      <c r="M360" s="83"/>
      <c r="N360" s="84" t="str">
        <f t="shared" si="82"/>
        <v/>
      </c>
      <c r="O360" s="20" t="str">
        <f t="shared" si="83"/>
        <v/>
      </c>
      <c r="P360" s="64" t="str">
        <f t="shared" si="84"/>
        <v/>
      </c>
      <c r="Q360" s="85" t="str">
        <f t="shared" ca="1" si="85"/>
        <v/>
      </c>
      <c r="R360" s="86" t="str">
        <f t="shared" si="86"/>
        <v/>
      </c>
      <c r="S360" s="86" t="str">
        <f t="shared" si="87"/>
        <v/>
      </c>
      <c r="T360" s="104" t="str">
        <f t="shared" si="88"/>
        <v/>
      </c>
      <c r="U360" s="19" t="str">
        <f>IF(AND(M360&lt;&gt;"",M360&lt;&gt;0), IF(E360 = "Muni", T360, IF(E360="Corp", T360*(1 -'Investor Input'!$C$4-'Investor Input'!$C$5), T360*(1 -'Investor Input'!$C$4))), T360)</f>
        <v/>
      </c>
      <c r="V360" s="84" t="str">
        <f t="shared" si="89"/>
        <v/>
      </c>
      <c r="W360" s="84" t="str">
        <f t="shared" si="75"/>
        <v/>
      </c>
      <c r="X360" s="21" t="str">
        <f t="shared" si="76"/>
        <v/>
      </c>
      <c r="Y360" s="60" t="str">
        <f t="shared" si="77"/>
        <v/>
      </c>
      <c r="Z360" s="60" t="str">
        <f t="shared" si="78"/>
        <v/>
      </c>
      <c r="AA360" s="64" t="str">
        <f t="shared" si="79"/>
        <v/>
      </c>
      <c r="AB360" s="64" t="str">
        <f>IF(AND(AA360&lt;&gt;"",AA360&lt;&gt;0), IF(E360="Muni", AA360, IF(E360 = "Corp", (1-'Investor Input'!$C$4-'Investor Input'!$C$5)*AA360, (1-'Investor Input'!$C$4)*AA360)), AA360)</f>
        <v/>
      </c>
      <c r="AC360" s="94" t="str">
        <f t="shared" si="80"/>
        <v/>
      </c>
      <c r="AD360" s="60" t="str">
        <f>IF(AND(M360&lt;&gt;"", M360&lt;&gt;0), N360/$N$505*MATCH(AC360,'Misc Lists'!$K$2:$K$25,0), "")</f>
        <v/>
      </c>
      <c r="AE360" s="90" t="str">
        <f t="shared" si="81"/>
        <v/>
      </c>
      <c r="AF360" s="99" t="str">
        <f>IF(AND(M360&lt;&gt;"", M360&lt;&gt;0), N360/$N$505*MATCH(AE360,'Misc Lists'!$L$2:$L$25,0), "")</f>
        <v/>
      </c>
    </row>
    <row r="361" spans="2:32" hidden="1" outlineLevel="1" x14ac:dyDescent="0.5">
      <c r="B361" s="60"/>
      <c r="C361" s="61"/>
      <c r="D361" s="60"/>
      <c r="E361" s="61"/>
      <c r="F361" s="62"/>
      <c r="G361" s="63"/>
      <c r="H361" s="61"/>
      <c r="I361" s="61"/>
      <c r="J361" s="64"/>
      <c r="K361" s="17"/>
      <c r="L361" s="17"/>
      <c r="M361" s="83"/>
      <c r="N361" s="84" t="str">
        <f t="shared" si="82"/>
        <v/>
      </c>
      <c r="O361" s="20" t="str">
        <f t="shared" si="83"/>
        <v/>
      </c>
      <c r="P361" s="64" t="str">
        <f t="shared" si="84"/>
        <v/>
      </c>
      <c r="Q361" s="85" t="str">
        <f t="shared" ca="1" si="85"/>
        <v/>
      </c>
      <c r="R361" s="86" t="str">
        <f t="shared" si="86"/>
        <v/>
      </c>
      <c r="S361" s="86" t="str">
        <f t="shared" si="87"/>
        <v/>
      </c>
      <c r="T361" s="104" t="str">
        <f t="shared" si="88"/>
        <v/>
      </c>
      <c r="U361" s="19" t="str">
        <f>IF(AND(M361&lt;&gt;"",M361&lt;&gt;0), IF(E361 = "Muni", T361, IF(E361="Corp", T361*(1 -'Investor Input'!$C$4-'Investor Input'!$C$5), T361*(1 -'Investor Input'!$C$4))), T361)</f>
        <v/>
      </c>
      <c r="V361" s="84" t="str">
        <f t="shared" si="89"/>
        <v/>
      </c>
      <c r="W361" s="84" t="str">
        <f t="shared" si="75"/>
        <v/>
      </c>
      <c r="X361" s="21" t="str">
        <f t="shared" si="76"/>
        <v/>
      </c>
      <c r="Y361" s="60" t="str">
        <f t="shared" si="77"/>
        <v/>
      </c>
      <c r="Z361" s="60" t="str">
        <f t="shared" si="78"/>
        <v/>
      </c>
      <c r="AA361" s="64" t="str">
        <f t="shared" si="79"/>
        <v/>
      </c>
      <c r="AB361" s="64" t="str">
        <f>IF(AND(AA361&lt;&gt;"",AA361&lt;&gt;0), IF(E361="Muni", AA361, IF(E361 = "Corp", (1-'Investor Input'!$C$4-'Investor Input'!$C$5)*AA361, (1-'Investor Input'!$C$4)*AA361)), AA361)</f>
        <v/>
      </c>
      <c r="AC361" s="94" t="str">
        <f t="shared" si="80"/>
        <v/>
      </c>
      <c r="AD361" s="60" t="str">
        <f>IF(AND(M361&lt;&gt;"", M361&lt;&gt;0), N361/$N$505*MATCH(AC361,'Misc Lists'!$K$2:$K$25,0), "")</f>
        <v/>
      </c>
      <c r="AE361" s="90" t="str">
        <f t="shared" si="81"/>
        <v/>
      </c>
      <c r="AF361" s="99" t="str">
        <f>IF(AND(M361&lt;&gt;"", M361&lt;&gt;0), N361/$N$505*MATCH(AE361,'Misc Lists'!$L$2:$L$25,0), "")</f>
        <v/>
      </c>
    </row>
    <row r="362" spans="2:32" hidden="1" outlineLevel="1" x14ac:dyDescent="0.5">
      <c r="B362" s="60"/>
      <c r="C362" s="61"/>
      <c r="D362" s="60"/>
      <c r="E362" s="61"/>
      <c r="F362" s="62"/>
      <c r="G362" s="63"/>
      <c r="H362" s="61"/>
      <c r="I362" s="61"/>
      <c r="J362" s="64"/>
      <c r="K362" s="17"/>
      <c r="L362" s="17"/>
      <c r="M362" s="83"/>
      <c r="N362" s="84" t="str">
        <f t="shared" si="82"/>
        <v/>
      </c>
      <c r="O362" s="20" t="str">
        <f t="shared" si="83"/>
        <v/>
      </c>
      <c r="P362" s="64" t="str">
        <f t="shared" si="84"/>
        <v/>
      </c>
      <c r="Q362" s="85" t="str">
        <f t="shared" ca="1" si="85"/>
        <v/>
      </c>
      <c r="R362" s="86" t="str">
        <f t="shared" si="86"/>
        <v/>
      </c>
      <c r="S362" s="86" t="str">
        <f t="shared" si="87"/>
        <v/>
      </c>
      <c r="T362" s="104" t="str">
        <f t="shared" si="88"/>
        <v/>
      </c>
      <c r="U362" s="19" t="str">
        <f>IF(AND(M362&lt;&gt;"",M362&lt;&gt;0), IF(E362 = "Muni", T362, IF(E362="Corp", T362*(1 -'Investor Input'!$C$4-'Investor Input'!$C$5), T362*(1 -'Investor Input'!$C$4))), T362)</f>
        <v/>
      </c>
      <c r="V362" s="84" t="str">
        <f t="shared" si="89"/>
        <v/>
      </c>
      <c r="W362" s="84" t="str">
        <f t="shared" si="75"/>
        <v/>
      </c>
      <c r="X362" s="21" t="str">
        <f t="shared" si="76"/>
        <v/>
      </c>
      <c r="Y362" s="60" t="str">
        <f t="shared" si="77"/>
        <v/>
      </c>
      <c r="Z362" s="60" t="str">
        <f t="shared" si="78"/>
        <v/>
      </c>
      <c r="AA362" s="64" t="str">
        <f t="shared" si="79"/>
        <v/>
      </c>
      <c r="AB362" s="64" t="str">
        <f>IF(AND(AA362&lt;&gt;"",AA362&lt;&gt;0), IF(E362="Muni", AA362, IF(E362 = "Corp", (1-'Investor Input'!$C$4-'Investor Input'!$C$5)*AA362, (1-'Investor Input'!$C$4)*AA362)), AA362)</f>
        <v/>
      </c>
      <c r="AC362" s="94" t="str">
        <f t="shared" si="80"/>
        <v/>
      </c>
      <c r="AD362" s="60" t="str">
        <f>IF(AND(M362&lt;&gt;"", M362&lt;&gt;0), N362/$N$505*MATCH(AC362,'Misc Lists'!$K$2:$K$25,0), "")</f>
        <v/>
      </c>
      <c r="AE362" s="90" t="str">
        <f t="shared" si="81"/>
        <v/>
      </c>
      <c r="AF362" s="99" t="str">
        <f>IF(AND(M362&lt;&gt;"", M362&lt;&gt;0), N362/$N$505*MATCH(AE362,'Misc Lists'!$L$2:$L$25,0), "")</f>
        <v/>
      </c>
    </row>
    <row r="363" spans="2:32" hidden="1" outlineLevel="1" x14ac:dyDescent="0.5">
      <c r="B363" s="60"/>
      <c r="C363" s="61"/>
      <c r="D363" s="60"/>
      <c r="E363" s="61"/>
      <c r="F363" s="62"/>
      <c r="G363" s="63"/>
      <c r="H363" s="61"/>
      <c r="I363" s="61"/>
      <c r="J363" s="64"/>
      <c r="K363" s="17"/>
      <c r="L363" s="17"/>
      <c r="M363" s="83"/>
      <c r="N363" s="84" t="str">
        <f t="shared" si="82"/>
        <v/>
      </c>
      <c r="O363" s="20" t="str">
        <f t="shared" si="83"/>
        <v/>
      </c>
      <c r="P363" s="64" t="str">
        <f t="shared" si="84"/>
        <v/>
      </c>
      <c r="Q363" s="85" t="str">
        <f t="shared" ca="1" si="85"/>
        <v/>
      </c>
      <c r="R363" s="86" t="str">
        <f t="shared" si="86"/>
        <v/>
      </c>
      <c r="S363" s="86" t="str">
        <f t="shared" si="87"/>
        <v/>
      </c>
      <c r="T363" s="104" t="str">
        <f t="shared" si="88"/>
        <v/>
      </c>
      <c r="U363" s="19" t="str">
        <f>IF(AND(M363&lt;&gt;"",M363&lt;&gt;0), IF(E363 = "Muni", T363, IF(E363="Corp", T363*(1 -'Investor Input'!$C$4-'Investor Input'!$C$5), T363*(1 -'Investor Input'!$C$4))), T363)</f>
        <v/>
      </c>
      <c r="V363" s="84" t="str">
        <f t="shared" si="89"/>
        <v/>
      </c>
      <c r="W363" s="84" t="str">
        <f t="shared" si="75"/>
        <v/>
      </c>
      <c r="X363" s="21" t="str">
        <f t="shared" si="76"/>
        <v/>
      </c>
      <c r="Y363" s="60" t="str">
        <f t="shared" si="77"/>
        <v/>
      </c>
      <c r="Z363" s="60" t="str">
        <f t="shared" si="78"/>
        <v/>
      </c>
      <c r="AA363" s="64" t="str">
        <f t="shared" si="79"/>
        <v/>
      </c>
      <c r="AB363" s="64" t="str">
        <f>IF(AND(AA363&lt;&gt;"",AA363&lt;&gt;0), IF(E363="Muni", AA363, IF(E363 = "Corp", (1-'Investor Input'!$C$4-'Investor Input'!$C$5)*AA363, (1-'Investor Input'!$C$4)*AA363)), AA363)</f>
        <v/>
      </c>
      <c r="AC363" s="94" t="str">
        <f t="shared" si="80"/>
        <v/>
      </c>
      <c r="AD363" s="60" t="str">
        <f>IF(AND(M363&lt;&gt;"", M363&lt;&gt;0), N363/$N$505*MATCH(AC363,'Misc Lists'!$K$2:$K$25,0), "")</f>
        <v/>
      </c>
      <c r="AE363" s="90" t="str">
        <f t="shared" si="81"/>
        <v/>
      </c>
      <c r="AF363" s="99" t="str">
        <f>IF(AND(M363&lt;&gt;"", M363&lt;&gt;0), N363/$N$505*MATCH(AE363,'Misc Lists'!$L$2:$L$25,0), "")</f>
        <v/>
      </c>
    </row>
    <row r="364" spans="2:32" hidden="1" outlineLevel="1" x14ac:dyDescent="0.5">
      <c r="B364" s="60"/>
      <c r="C364" s="61"/>
      <c r="D364" s="60"/>
      <c r="E364" s="61"/>
      <c r="F364" s="62"/>
      <c r="G364" s="63"/>
      <c r="H364" s="61"/>
      <c r="I364" s="61"/>
      <c r="J364" s="64"/>
      <c r="K364" s="17"/>
      <c r="L364" s="17"/>
      <c r="M364" s="83"/>
      <c r="N364" s="84" t="str">
        <f t="shared" si="82"/>
        <v/>
      </c>
      <c r="O364" s="20" t="str">
        <f t="shared" si="83"/>
        <v/>
      </c>
      <c r="P364" s="64" t="str">
        <f t="shared" si="84"/>
        <v/>
      </c>
      <c r="Q364" s="85" t="str">
        <f t="shared" ca="1" si="85"/>
        <v/>
      </c>
      <c r="R364" s="86" t="str">
        <f t="shared" si="86"/>
        <v/>
      </c>
      <c r="S364" s="86" t="str">
        <f t="shared" si="87"/>
        <v/>
      </c>
      <c r="T364" s="104" t="str">
        <f t="shared" si="88"/>
        <v/>
      </c>
      <c r="U364" s="19" t="str">
        <f>IF(AND(M364&lt;&gt;"",M364&lt;&gt;0), IF(E364 = "Muni", T364, IF(E364="Corp", T364*(1 -'Investor Input'!$C$4-'Investor Input'!$C$5), T364*(1 -'Investor Input'!$C$4))), T364)</f>
        <v/>
      </c>
      <c r="V364" s="84" t="str">
        <f t="shared" si="89"/>
        <v/>
      </c>
      <c r="W364" s="84" t="str">
        <f t="shared" si="75"/>
        <v/>
      </c>
      <c r="X364" s="21" t="str">
        <f t="shared" si="76"/>
        <v/>
      </c>
      <c r="Y364" s="60" t="str">
        <f t="shared" si="77"/>
        <v/>
      </c>
      <c r="Z364" s="60" t="str">
        <f t="shared" si="78"/>
        <v/>
      </c>
      <c r="AA364" s="64" t="str">
        <f t="shared" si="79"/>
        <v/>
      </c>
      <c r="AB364" s="64" t="str">
        <f>IF(AND(AA364&lt;&gt;"",AA364&lt;&gt;0), IF(E364="Muni", AA364, IF(E364 = "Corp", (1-'Investor Input'!$C$4-'Investor Input'!$C$5)*AA364, (1-'Investor Input'!$C$4)*AA364)), AA364)</f>
        <v/>
      </c>
      <c r="AC364" s="94" t="str">
        <f t="shared" si="80"/>
        <v/>
      </c>
      <c r="AD364" s="60" t="str">
        <f>IF(AND(M364&lt;&gt;"", M364&lt;&gt;0), N364/$N$505*MATCH(AC364,'Misc Lists'!$K$2:$K$25,0), "")</f>
        <v/>
      </c>
      <c r="AE364" s="90" t="str">
        <f t="shared" si="81"/>
        <v/>
      </c>
      <c r="AF364" s="99" t="str">
        <f>IF(AND(M364&lt;&gt;"", M364&lt;&gt;0), N364/$N$505*MATCH(AE364,'Misc Lists'!$L$2:$L$25,0), "")</f>
        <v/>
      </c>
    </row>
    <row r="365" spans="2:32" hidden="1" outlineLevel="1" x14ac:dyDescent="0.5">
      <c r="B365" s="60"/>
      <c r="C365" s="61"/>
      <c r="D365" s="60"/>
      <c r="E365" s="61"/>
      <c r="F365" s="62"/>
      <c r="G365" s="63"/>
      <c r="H365" s="61"/>
      <c r="I365" s="61"/>
      <c r="J365" s="64"/>
      <c r="K365" s="17"/>
      <c r="L365" s="17"/>
      <c r="M365" s="83"/>
      <c r="N365" s="84" t="str">
        <f t="shared" si="82"/>
        <v/>
      </c>
      <c r="O365" s="20" t="str">
        <f t="shared" si="83"/>
        <v/>
      </c>
      <c r="P365" s="64" t="str">
        <f t="shared" si="84"/>
        <v/>
      </c>
      <c r="Q365" s="85" t="str">
        <f t="shared" ca="1" si="85"/>
        <v/>
      </c>
      <c r="R365" s="86" t="str">
        <f t="shared" si="86"/>
        <v/>
      </c>
      <c r="S365" s="86" t="str">
        <f t="shared" si="87"/>
        <v/>
      </c>
      <c r="T365" s="104" t="str">
        <f t="shared" si="88"/>
        <v/>
      </c>
      <c r="U365" s="19" t="str">
        <f>IF(AND(M365&lt;&gt;"",M365&lt;&gt;0), IF(E365 = "Muni", T365, IF(E365="Corp", T365*(1 -'Investor Input'!$C$4-'Investor Input'!$C$5), T365*(1 -'Investor Input'!$C$4))), T365)</f>
        <v/>
      </c>
      <c r="V365" s="84" t="str">
        <f t="shared" si="89"/>
        <v/>
      </c>
      <c r="W365" s="84" t="str">
        <f t="shared" si="75"/>
        <v/>
      </c>
      <c r="X365" s="21" t="str">
        <f t="shared" si="76"/>
        <v/>
      </c>
      <c r="Y365" s="60" t="str">
        <f t="shared" si="77"/>
        <v/>
      </c>
      <c r="Z365" s="60" t="str">
        <f t="shared" si="78"/>
        <v/>
      </c>
      <c r="AA365" s="64" t="str">
        <f t="shared" si="79"/>
        <v/>
      </c>
      <c r="AB365" s="64" t="str">
        <f>IF(AND(AA365&lt;&gt;"",AA365&lt;&gt;0), IF(E365="Muni", AA365, IF(E365 = "Corp", (1-'Investor Input'!$C$4-'Investor Input'!$C$5)*AA365, (1-'Investor Input'!$C$4)*AA365)), AA365)</f>
        <v/>
      </c>
      <c r="AC365" s="94" t="str">
        <f t="shared" si="80"/>
        <v/>
      </c>
      <c r="AD365" s="60" t="str">
        <f>IF(AND(M365&lt;&gt;"", M365&lt;&gt;0), N365/$N$505*MATCH(AC365,'Misc Lists'!$K$2:$K$25,0), "")</f>
        <v/>
      </c>
      <c r="AE365" s="90" t="str">
        <f t="shared" si="81"/>
        <v/>
      </c>
      <c r="AF365" s="99" t="str">
        <f>IF(AND(M365&lt;&gt;"", M365&lt;&gt;0), N365/$N$505*MATCH(AE365,'Misc Lists'!$L$2:$L$25,0), "")</f>
        <v/>
      </c>
    </row>
    <row r="366" spans="2:32" hidden="1" outlineLevel="1" x14ac:dyDescent="0.5">
      <c r="B366" s="60"/>
      <c r="C366" s="61"/>
      <c r="D366" s="60"/>
      <c r="E366" s="61"/>
      <c r="F366" s="62"/>
      <c r="G366" s="63"/>
      <c r="H366" s="61"/>
      <c r="I366" s="61"/>
      <c r="J366" s="64"/>
      <c r="K366" s="17"/>
      <c r="L366" s="17"/>
      <c r="M366" s="83"/>
      <c r="N366" s="84" t="str">
        <f t="shared" si="82"/>
        <v/>
      </c>
      <c r="O366" s="20" t="str">
        <f t="shared" si="83"/>
        <v/>
      </c>
      <c r="P366" s="64" t="str">
        <f t="shared" si="84"/>
        <v/>
      </c>
      <c r="Q366" s="85" t="str">
        <f t="shared" ca="1" si="85"/>
        <v/>
      </c>
      <c r="R366" s="86" t="str">
        <f t="shared" si="86"/>
        <v/>
      </c>
      <c r="S366" s="86" t="str">
        <f t="shared" si="87"/>
        <v/>
      </c>
      <c r="T366" s="104" t="str">
        <f t="shared" si="88"/>
        <v/>
      </c>
      <c r="U366" s="19" t="str">
        <f>IF(AND(M366&lt;&gt;"",M366&lt;&gt;0), IF(E366 = "Muni", T366, IF(E366="Corp", T366*(1 -'Investor Input'!$C$4-'Investor Input'!$C$5), T366*(1 -'Investor Input'!$C$4))), T366)</f>
        <v/>
      </c>
      <c r="V366" s="84" t="str">
        <f t="shared" si="89"/>
        <v/>
      </c>
      <c r="W366" s="84" t="str">
        <f t="shared" si="75"/>
        <v/>
      </c>
      <c r="X366" s="21" t="str">
        <f t="shared" si="76"/>
        <v/>
      </c>
      <c r="Y366" s="60" t="str">
        <f t="shared" si="77"/>
        <v/>
      </c>
      <c r="Z366" s="60" t="str">
        <f t="shared" si="78"/>
        <v/>
      </c>
      <c r="AA366" s="64" t="str">
        <f t="shared" si="79"/>
        <v/>
      </c>
      <c r="AB366" s="64" t="str">
        <f>IF(AND(AA366&lt;&gt;"",AA366&lt;&gt;0), IF(E366="Muni", AA366, IF(E366 = "Corp", (1-'Investor Input'!$C$4-'Investor Input'!$C$5)*AA366, (1-'Investor Input'!$C$4)*AA366)), AA366)</f>
        <v/>
      </c>
      <c r="AC366" s="94" t="str">
        <f t="shared" si="80"/>
        <v/>
      </c>
      <c r="AD366" s="60" t="str">
        <f>IF(AND(M366&lt;&gt;"", M366&lt;&gt;0), N366/$N$505*MATCH(AC366,'Misc Lists'!$K$2:$K$25,0), "")</f>
        <v/>
      </c>
      <c r="AE366" s="90" t="str">
        <f t="shared" si="81"/>
        <v/>
      </c>
      <c r="AF366" s="99" t="str">
        <f>IF(AND(M366&lt;&gt;"", M366&lt;&gt;0), N366/$N$505*MATCH(AE366,'Misc Lists'!$L$2:$L$25,0), "")</f>
        <v/>
      </c>
    </row>
    <row r="367" spans="2:32" hidden="1" outlineLevel="1" x14ac:dyDescent="0.5">
      <c r="B367" s="60"/>
      <c r="C367" s="61"/>
      <c r="D367" s="60"/>
      <c r="E367" s="61"/>
      <c r="F367" s="62"/>
      <c r="G367" s="63"/>
      <c r="H367" s="61"/>
      <c r="I367" s="61"/>
      <c r="J367" s="64"/>
      <c r="K367" s="17"/>
      <c r="L367" s="17"/>
      <c r="M367" s="83"/>
      <c r="N367" s="84" t="str">
        <f t="shared" si="82"/>
        <v/>
      </c>
      <c r="O367" s="20" t="str">
        <f t="shared" si="83"/>
        <v/>
      </c>
      <c r="P367" s="64" t="str">
        <f t="shared" si="84"/>
        <v/>
      </c>
      <c r="Q367" s="85" t="str">
        <f t="shared" ca="1" si="85"/>
        <v/>
      </c>
      <c r="R367" s="86" t="str">
        <f t="shared" si="86"/>
        <v/>
      </c>
      <c r="S367" s="86" t="str">
        <f t="shared" si="87"/>
        <v/>
      </c>
      <c r="T367" s="104" t="str">
        <f t="shared" si="88"/>
        <v/>
      </c>
      <c r="U367" s="19" t="str">
        <f>IF(AND(M367&lt;&gt;"",M367&lt;&gt;0), IF(E367 = "Muni", T367, IF(E367="Corp", T367*(1 -'Investor Input'!$C$4-'Investor Input'!$C$5), T367*(1 -'Investor Input'!$C$4))), T367)</f>
        <v/>
      </c>
      <c r="V367" s="84" t="str">
        <f t="shared" si="89"/>
        <v/>
      </c>
      <c r="W367" s="84" t="str">
        <f t="shared" si="75"/>
        <v/>
      </c>
      <c r="X367" s="21" t="str">
        <f t="shared" si="76"/>
        <v/>
      </c>
      <c r="Y367" s="60" t="str">
        <f t="shared" si="77"/>
        <v/>
      </c>
      <c r="Z367" s="60" t="str">
        <f t="shared" si="78"/>
        <v/>
      </c>
      <c r="AA367" s="64" t="str">
        <f t="shared" si="79"/>
        <v/>
      </c>
      <c r="AB367" s="64" t="str">
        <f>IF(AND(AA367&lt;&gt;"",AA367&lt;&gt;0), IF(E367="Muni", AA367, IF(E367 = "Corp", (1-'Investor Input'!$C$4-'Investor Input'!$C$5)*AA367, (1-'Investor Input'!$C$4)*AA367)), AA367)</f>
        <v/>
      </c>
      <c r="AC367" s="94" t="str">
        <f t="shared" si="80"/>
        <v/>
      </c>
      <c r="AD367" s="60" t="str">
        <f>IF(AND(M367&lt;&gt;"", M367&lt;&gt;0), N367/$N$505*MATCH(AC367,'Misc Lists'!$K$2:$K$25,0), "")</f>
        <v/>
      </c>
      <c r="AE367" s="90" t="str">
        <f t="shared" si="81"/>
        <v/>
      </c>
      <c r="AF367" s="99" t="str">
        <f>IF(AND(M367&lt;&gt;"", M367&lt;&gt;0), N367/$N$505*MATCH(AE367,'Misc Lists'!$L$2:$L$25,0), "")</f>
        <v/>
      </c>
    </row>
    <row r="368" spans="2:32" hidden="1" outlineLevel="1" x14ac:dyDescent="0.5">
      <c r="B368" s="60"/>
      <c r="C368" s="61"/>
      <c r="D368" s="60"/>
      <c r="E368" s="61"/>
      <c r="F368" s="62"/>
      <c r="G368" s="63"/>
      <c r="H368" s="61"/>
      <c r="I368" s="61"/>
      <c r="J368" s="64"/>
      <c r="K368" s="17"/>
      <c r="L368" s="17"/>
      <c r="M368" s="83"/>
      <c r="N368" s="84" t="str">
        <f t="shared" si="82"/>
        <v/>
      </c>
      <c r="O368" s="20" t="str">
        <f t="shared" si="83"/>
        <v/>
      </c>
      <c r="P368" s="64" t="str">
        <f t="shared" si="84"/>
        <v/>
      </c>
      <c r="Q368" s="85" t="str">
        <f t="shared" ca="1" si="85"/>
        <v/>
      </c>
      <c r="R368" s="86" t="str">
        <f t="shared" si="86"/>
        <v/>
      </c>
      <c r="S368" s="86" t="str">
        <f t="shared" si="87"/>
        <v/>
      </c>
      <c r="T368" s="104" t="str">
        <f t="shared" si="88"/>
        <v/>
      </c>
      <c r="U368" s="19" t="str">
        <f>IF(AND(M368&lt;&gt;"",M368&lt;&gt;0), IF(E368 = "Muni", T368, IF(E368="Corp", T368*(1 -'Investor Input'!$C$4-'Investor Input'!$C$5), T368*(1 -'Investor Input'!$C$4))), T368)</f>
        <v/>
      </c>
      <c r="V368" s="84" t="str">
        <f t="shared" si="89"/>
        <v/>
      </c>
      <c r="W368" s="84" t="str">
        <f t="shared" si="75"/>
        <v/>
      </c>
      <c r="X368" s="21" t="str">
        <f t="shared" si="76"/>
        <v/>
      </c>
      <c r="Y368" s="60" t="str">
        <f t="shared" si="77"/>
        <v/>
      </c>
      <c r="Z368" s="60" t="str">
        <f t="shared" si="78"/>
        <v/>
      </c>
      <c r="AA368" s="64" t="str">
        <f t="shared" si="79"/>
        <v/>
      </c>
      <c r="AB368" s="64" t="str">
        <f>IF(AND(AA368&lt;&gt;"",AA368&lt;&gt;0), IF(E368="Muni", AA368, IF(E368 = "Corp", (1-'Investor Input'!$C$4-'Investor Input'!$C$5)*AA368, (1-'Investor Input'!$C$4)*AA368)), AA368)</f>
        <v/>
      </c>
      <c r="AC368" s="94" t="str">
        <f t="shared" si="80"/>
        <v/>
      </c>
      <c r="AD368" s="60" t="str">
        <f>IF(AND(M368&lt;&gt;"", M368&lt;&gt;0), N368/$N$505*MATCH(AC368,'Misc Lists'!$K$2:$K$25,0), "")</f>
        <v/>
      </c>
      <c r="AE368" s="90" t="str">
        <f t="shared" si="81"/>
        <v/>
      </c>
      <c r="AF368" s="99" t="str">
        <f>IF(AND(M368&lt;&gt;"", M368&lt;&gt;0), N368/$N$505*MATCH(AE368,'Misc Lists'!$L$2:$L$25,0), "")</f>
        <v/>
      </c>
    </row>
    <row r="369" spans="2:32" hidden="1" outlineLevel="1" x14ac:dyDescent="0.5">
      <c r="B369" s="60"/>
      <c r="C369" s="61"/>
      <c r="D369" s="60"/>
      <c r="E369" s="61"/>
      <c r="F369" s="62"/>
      <c r="G369" s="63"/>
      <c r="H369" s="61"/>
      <c r="I369" s="61"/>
      <c r="J369" s="64"/>
      <c r="K369" s="17"/>
      <c r="L369" s="17"/>
      <c r="M369" s="83"/>
      <c r="N369" s="84" t="str">
        <f t="shared" si="82"/>
        <v/>
      </c>
      <c r="O369" s="20" t="str">
        <f t="shared" si="83"/>
        <v/>
      </c>
      <c r="P369" s="64" t="str">
        <f t="shared" si="84"/>
        <v/>
      </c>
      <c r="Q369" s="85" t="str">
        <f t="shared" ca="1" si="85"/>
        <v/>
      </c>
      <c r="R369" s="86" t="str">
        <f t="shared" si="86"/>
        <v/>
      </c>
      <c r="S369" s="86" t="str">
        <f t="shared" si="87"/>
        <v/>
      </c>
      <c r="T369" s="104" t="str">
        <f t="shared" si="88"/>
        <v/>
      </c>
      <c r="U369" s="19" t="str">
        <f>IF(AND(M369&lt;&gt;"",M369&lt;&gt;0), IF(E369 = "Muni", T369, IF(E369="Corp", T369*(1 -'Investor Input'!$C$4-'Investor Input'!$C$5), T369*(1 -'Investor Input'!$C$4))), T369)</f>
        <v/>
      </c>
      <c r="V369" s="84" t="str">
        <f t="shared" si="89"/>
        <v/>
      </c>
      <c r="W369" s="84" t="str">
        <f t="shared" si="75"/>
        <v/>
      </c>
      <c r="X369" s="21" t="str">
        <f t="shared" si="76"/>
        <v/>
      </c>
      <c r="Y369" s="60" t="str">
        <f t="shared" si="77"/>
        <v/>
      </c>
      <c r="Z369" s="60" t="str">
        <f t="shared" si="78"/>
        <v/>
      </c>
      <c r="AA369" s="64" t="str">
        <f t="shared" si="79"/>
        <v/>
      </c>
      <c r="AB369" s="64" t="str">
        <f>IF(AND(AA369&lt;&gt;"",AA369&lt;&gt;0), IF(E369="Muni", AA369, IF(E369 = "Corp", (1-'Investor Input'!$C$4-'Investor Input'!$C$5)*AA369, (1-'Investor Input'!$C$4)*AA369)), AA369)</f>
        <v/>
      </c>
      <c r="AC369" s="94" t="str">
        <f t="shared" si="80"/>
        <v/>
      </c>
      <c r="AD369" s="60" t="str">
        <f>IF(AND(M369&lt;&gt;"", M369&lt;&gt;0), N369/$N$505*MATCH(AC369,'Misc Lists'!$K$2:$K$25,0), "")</f>
        <v/>
      </c>
      <c r="AE369" s="90" t="str">
        <f t="shared" si="81"/>
        <v/>
      </c>
      <c r="AF369" s="99" t="str">
        <f>IF(AND(M369&lt;&gt;"", M369&lt;&gt;0), N369/$N$505*MATCH(AE369,'Misc Lists'!$L$2:$L$25,0), "")</f>
        <v/>
      </c>
    </row>
    <row r="370" spans="2:32" hidden="1" outlineLevel="1" x14ac:dyDescent="0.5">
      <c r="B370" s="60"/>
      <c r="C370" s="61"/>
      <c r="D370" s="60"/>
      <c r="E370" s="61"/>
      <c r="F370" s="62"/>
      <c r="G370" s="63"/>
      <c r="H370" s="61"/>
      <c r="I370" s="61"/>
      <c r="J370" s="64"/>
      <c r="K370" s="17"/>
      <c r="L370" s="17"/>
      <c r="M370" s="83"/>
      <c r="N370" s="84" t="str">
        <f t="shared" si="82"/>
        <v/>
      </c>
      <c r="O370" s="20" t="str">
        <f t="shared" si="83"/>
        <v/>
      </c>
      <c r="P370" s="64" t="str">
        <f t="shared" si="84"/>
        <v/>
      </c>
      <c r="Q370" s="85" t="str">
        <f t="shared" ca="1" si="85"/>
        <v/>
      </c>
      <c r="R370" s="86" t="str">
        <f t="shared" si="86"/>
        <v/>
      </c>
      <c r="S370" s="86" t="str">
        <f t="shared" si="87"/>
        <v/>
      </c>
      <c r="T370" s="104" t="str">
        <f t="shared" si="88"/>
        <v/>
      </c>
      <c r="U370" s="19" t="str">
        <f>IF(AND(M370&lt;&gt;"",M370&lt;&gt;0), IF(E370 = "Muni", T370, IF(E370="Corp", T370*(1 -'Investor Input'!$C$4-'Investor Input'!$C$5), T370*(1 -'Investor Input'!$C$4))), T370)</f>
        <v/>
      </c>
      <c r="V370" s="84" t="str">
        <f t="shared" si="89"/>
        <v/>
      </c>
      <c r="W370" s="84" t="str">
        <f t="shared" si="75"/>
        <v/>
      </c>
      <c r="X370" s="21" t="str">
        <f t="shared" si="76"/>
        <v/>
      </c>
      <c r="Y370" s="60" t="str">
        <f t="shared" si="77"/>
        <v/>
      </c>
      <c r="Z370" s="60" t="str">
        <f t="shared" si="78"/>
        <v/>
      </c>
      <c r="AA370" s="64" t="str">
        <f t="shared" si="79"/>
        <v/>
      </c>
      <c r="AB370" s="64" t="str">
        <f>IF(AND(AA370&lt;&gt;"",AA370&lt;&gt;0), IF(E370="Muni", AA370, IF(E370 = "Corp", (1-'Investor Input'!$C$4-'Investor Input'!$C$5)*AA370, (1-'Investor Input'!$C$4)*AA370)), AA370)</f>
        <v/>
      </c>
      <c r="AC370" s="94" t="str">
        <f t="shared" si="80"/>
        <v/>
      </c>
      <c r="AD370" s="60" t="str">
        <f>IF(AND(M370&lt;&gt;"", M370&lt;&gt;0), N370/$N$505*MATCH(AC370,'Misc Lists'!$K$2:$K$25,0), "")</f>
        <v/>
      </c>
      <c r="AE370" s="90" t="str">
        <f t="shared" si="81"/>
        <v/>
      </c>
      <c r="AF370" s="99" t="str">
        <f>IF(AND(M370&lt;&gt;"", M370&lt;&gt;0), N370/$N$505*MATCH(AE370,'Misc Lists'!$L$2:$L$25,0), "")</f>
        <v/>
      </c>
    </row>
    <row r="371" spans="2:32" hidden="1" outlineLevel="1" x14ac:dyDescent="0.5">
      <c r="B371" s="60"/>
      <c r="C371" s="61"/>
      <c r="D371" s="60"/>
      <c r="E371" s="61"/>
      <c r="F371" s="62"/>
      <c r="G371" s="63"/>
      <c r="H371" s="61"/>
      <c r="I371" s="61"/>
      <c r="J371" s="64"/>
      <c r="K371" s="17"/>
      <c r="L371" s="17"/>
      <c r="M371" s="83"/>
      <c r="N371" s="84" t="str">
        <f t="shared" si="82"/>
        <v/>
      </c>
      <c r="O371" s="20" t="str">
        <f t="shared" si="83"/>
        <v/>
      </c>
      <c r="P371" s="64" t="str">
        <f t="shared" si="84"/>
        <v/>
      </c>
      <c r="Q371" s="85" t="str">
        <f t="shared" ca="1" si="85"/>
        <v/>
      </c>
      <c r="R371" s="86" t="str">
        <f t="shared" si="86"/>
        <v/>
      </c>
      <c r="S371" s="86" t="str">
        <f t="shared" si="87"/>
        <v/>
      </c>
      <c r="T371" s="104" t="str">
        <f t="shared" si="88"/>
        <v/>
      </c>
      <c r="U371" s="19" t="str">
        <f>IF(AND(M371&lt;&gt;"",M371&lt;&gt;0), IF(E371 = "Muni", T371, IF(E371="Corp", T371*(1 -'Investor Input'!$C$4-'Investor Input'!$C$5), T371*(1 -'Investor Input'!$C$4))), T371)</f>
        <v/>
      </c>
      <c r="V371" s="84" t="str">
        <f t="shared" si="89"/>
        <v/>
      </c>
      <c r="W371" s="84" t="str">
        <f t="shared" si="75"/>
        <v/>
      </c>
      <c r="X371" s="21" t="str">
        <f t="shared" si="76"/>
        <v/>
      </c>
      <c r="Y371" s="60" t="str">
        <f t="shared" si="77"/>
        <v/>
      </c>
      <c r="Z371" s="60" t="str">
        <f t="shared" si="78"/>
        <v/>
      </c>
      <c r="AA371" s="64" t="str">
        <f t="shared" si="79"/>
        <v/>
      </c>
      <c r="AB371" s="64" t="str">
        <f>IF(AND(AA371&lt;&gt;"",AA371&lt;&gt;0), IF(E371="Muni", AA371, IF(E371 = "Corp", (1-'Investor Input'!$C$4-'Investor Input'!$C$5)*AA371, (1-'Investor Input'!$C$4)*AA371)), AA371)</f>
        <v/>
      </c>
      <c r="AC371" s="94" t="str">
        <f t="shared" si="80"/>
        <v/>
      </c>
      <c r="AD371" s="60" t="str">
        <f>IF(AND(M371&lt;&gt;"", M371&lt;&gt;0), N371/$N$505*MATCH(AC371,'Misc Lists'!$K$2:$K$25,0), "")</f>
        <v/>
      </c>
      <c r="AE371" s="90" t="str">
        <f t="shared" si="81"/>
        <v/>
      </c>
      <c r="AF371" s="99" t="str">
        <f>IF(AND(M371&lt;&gt;"", M371&lt;&gt;0), N371/$N$505*MATCH(AE371,'Misc Lists'!$L$2:$L$25,0), "")</f>
        <v/>
      </c>
    </row>
    <row r="372" spans="2:32" hidden="1" outlineLevel="1" x14ac:dyDescent="0.5">
      <c r="B372" s="60"/>
      <c r="C372" s="61"/>
      <c r="D372" s="60"/>
      <c r="E372" s="61"/>
      <c r="F372" s="62"/>
      <c r="G372" s="63"/>
      <c r="H372" s="61"/>
      <c r="I372" s="61"/>
      <c r="J372" s="64"/>
      <c r="K372" s="17"/>
      <c r="L372" s="17"/>
      <c r="M372" s="83"/>
      <c r="N372" s="84" t="str">
        <f t="shared" si="82"/>
        <v/>
      </c>
      <c r="O372" s="20" t="str">
        <f t="shared" si="83"/>
        <v/>
      </c>
      <c r="P372" s="64" t="str">
        <f t="shared" si="84"/>
        <v/>
      </c>
      <c r="Q372" s="85" t="str">
        <f t="shared" ca="1" si="85"/>
        <v/>
      </c>
      <c r="R372" s="86" t="str">
        <f t="shared" si="86"/>
        <v/>
      </c>
      <c r="S372" s="86" t="str">
        <f t="shared" si="87"/>
        <v/>
      </c>
      <c r="T372" s="104" t="str">
        <f t="shared" si="88"/>
        <v/>
      </c>
      <c r="U372" s="19" t="str">
        <f>IF(AND(M372&lt;&gt;"",M372&lt;&gt;0), IF(E372 = "Muni", T372, IF(E372="Corp", T372*(1 -'Investor Input'!$C$4-'Investor Input'!$C$5), T372*(1 -'Investor Input'!$C$4))), T372)</f>
        <v/>
      </c>
      <c r="V372" s="84" t="str">
        <f t="shared" si="89"/>
        <v/>
      </c>
      <c r="W372" s="84" t="str">
        <f t="shared" si="75"/>
        <v/>
      </c>
      <c r="X372" s="21" t="str">
        <f t="shared" si="76"/>
        <v/>
      </c>
      <c r="Y372" s="60" t="str">
        <f t="shared" si="77"/>
        <v/>
      </c>
      <c r="Z372" s="60" t="str">
        <f t="shared" si="78"/>
        <v/>
      </c>
      <c r="AA372" s="64" t="str">
        <f t="shared" si="79"/>
        <v/>
      </c>
      <c r="AB372" s="64" t="str">
        <f>IF(AND(AA372&lt;&gt;"",AA372&lt;&gt;0), IF(E372="Muni", AA372, IF(E372 = "Corp", (1-'Investor Input'!$C$4-'Investor Input'!$C$5)*AA372, (1-'Investor Input'!$C$4)*AA372)), AA372)</f>
        <v/>
      </c>
      <c r="AC372" s="94" t="str">
        <f t="shared" si="80"/>
        <v/>
      </c>
      <c r="AD372" s="60" t="str">
        <f>IF(AND(M372&lt;&gt;"", M372&lt;&gt;0), N372/$N$505*MATCH(AC372,'Misc Lists'!$K$2:$K$25,0), "")</f>
        <v/>
      </c>
      <c r="AE372" s="90" t="str">
        <f t="shared" si="81"/>
        <v/>
      </c>
      <c r="AF372" s="99" t="str">
        <f>IF(AND(M372&lt;&gt;"", M372&lt;&gt;0), N372/$N$505*MATCH(AE372,'Misc Lists'!$L$2:$L$25,0), "")</f>
        <v/>
      </c>
    </row>
    <row r="373" spans="2:32" hidden="1" outlineLevel="1" x14ac:dyDescent="0.5">
      <c r="B373" s="60"/>
      <c r="C373" s="61"/>
      <c r="D373" s="60"/>
      <c r="E373" s="61"/>
      <c r="F373" s="62"/>
      <c r="G373" s="63"/>
      <c r="H373" s="61"/>
      <c r="I373" s="61"/>
      <c r="J373" s="64"/>
      <c r="K373" s="17"/>
      <c r="L373" s="17"/>
      <c r="M373" s="83"/>
      <c r="N373" s="84" t="str">
        <f t="shared" si="82"/>
        <v/>
      </c>
      <c r="O373" s="20" t="str">
        <f t="shared" si="83"/>
        <v/>
      </c>
      <c r="P373" s="64" t="str">
        <f t="shared" si="84"/>
        <v/>
      </c>
      <c r="Q373" s="85" t="str">
        <f t="shared" ca="1" si="85"/>
        <v/>
      </c>
      <c r="R373" s="86" t="str">
        <f t="shared" si="86"/>
        <v/>
      </c>
      <c r="S373" s="86" t="str">
        <f t="shared" si="87"/>
        <v/>
      </c>
      <c r="T373" s="104" t="str">
        <f t="shared" si="88"/>
        <v/>
      </c>
      <c r="U373" s="19" t="str">
        <f>IF(AND(M373&lt;&gt;"",M373&lt;&gt;0), IF(E373 = "Muni", T373, IF(E373="Corp", T373*(1 -'Investor Input'!$C$4-'Investor Input'!$C$5), T373*(1 -'Investor Input'!$C$4))), T373)</f>
        <v/>
      </c>
      <c r="V373" s="84" t="str">
        <f t="shared" si="89"/>
        <v/>
      </c>
      <c r="W373" s="84" t="str">
        <f t="shared" si="75"/>
        <v/>
      </c>
      <c r="X373" s="21" t="str">
        <f t="shared" si="76"/>
        <v/>
      </c>
      <c r="Y373" s="60" t="str">
        <f t="shared" si="77"/>
        <v/>
      </c>
      <c r="Z373" s="60" t="str">
        <f t="shared" si="78"/>
        <v/>
      </c>
      <c r="AA373" s="64" t="str">
        <f t="shared" si="79"/>
        <v/>
      </c>
      <c r="AB373" s="64" t="str">
        <f>IF(AND(AA373&lt;&gt;"",AA373&lt;&gt;0), IF(E373="Muni", AA373, IF(E373 = "Corp", (1-'Investor Input'!$C$4-'Investor Input'!$C$5)*AA373, (1-'Investor Input'!$C$4)*AA373)), AA373)</f>
        <v/>
      </c>
      <c r="AC373" s="94" t="str">
        <f t="shared" si="80"/>
        <v/>
      </c>
      <c r="AD373" s="60" t="str">
        <f>IF(AND(M373&lt;&gt;"", M373&lt;&gt;0), N373/$N$505*MATCH(AC373,'Misc Lists'!$K$2:$K$25,0), "")</f>
        <v/>
      </c>
      <c r="AE373" s="90" t="str">
        <f t="shared" si="81"/>
        <v/>
      </c>
      <c r="AF373" s="99" t="str">
        <f>IF(AND(M373&lt;&gt;"", M373&lt;&gt;0), N373/$N$505*MATCH(AE373,'Misc Lists'!$L$2:$L$25,0), "")</f>
        <v/>
      </c>
    </row>
    <row r="374" spans="2:32" hidden="1" outlineLevel="1" x14ac:dyDescent="0.5">
      <c r="B374" s="60"/>
      <c r="C374" s="61"/>
      <c r="D374" s="60"/>
      <c r="E374" s="61"/>
      <c r="F374" s="62"/>
      <c r="G374" s="63"/>
      <c r="H374" s="61"/>
      <c r="I374" s="61"/>
      <c r="J374" s="64"/>
      <c r="K374" s="17"/>
      <c r="L374" s="17"/>
      <c r="M374" s="83"/>
      <c r="N374" s="84" t="str">
        <f t="shared" si="82"/>
        <v/>
      </c>
      <c r="O374" s="20" t="str">
        <f t="shared" si="83"/>
        <v/>
      </c>
      <c r="P374" s="64" t="str">
        <f t="shared" si="84"/>
        <v/>
      </c>
      <c r="Q374" s="85" t="str">
        <f t="shared" ca="1" si="85"/>
        <v/>
      </c>
      <c r="R374" s="86" t="str">
        <f t="shared" si="86"/>
        <v/>
      </c>
      <c r="S374" s="86" t="str">
        <f t="shared" si="87"/>
        <v/>
      </c>
      <c r="T374" s="104" t="str">
        <f t="shared" si="88"/>
        <v/>
      </c>
      <c r="U374" s="19" t="str">
        <f>IF(AND(M374&lt;&gt;"",M374&lt;&gt;0), IF(E374 = "Muni", T374, IF(E374="Corp", T374*(1 -'Investor Input'!$C$4-'Investor Input'!$C$5), T374*(1 -'Investor Input'!$C$4))), T374)</f>
        <v/>
      </c>
      <c r="V374" s="84" t="str">
        <f t="shared" si="89"/>
        <v/>
      </c>
      <c r="W374" s="84" t="str">
        <f t="shared" si="75"/>
        <v/>
      </c>
      <c r="X374" s="21" t="str">
        <f t="shared" si="76"/>
        <v/>
      </c>
      <c r="Y374" s="60" t="str">
        <f t="shared" si="77"/>
        <v/>
      </c>
      <c r="Z374" s="60" t="str">
        <f t="shared" si="78"/>
        <v/>
      </c>
      <c r="AA374" s="64" t="str">
        <f t="shared" si="79"/>
        <v/>
      </c>
      <c r="AB374" s="64" t="str">
        <f>IF(AND(AA374&lt;&gt;"",AA374&lt;&gt;0), IF(E374="Muni", AA374, IF(E374 = "Corp", (1-'Investor Input'!$C$4-'Investor Input'!$C$5)*AA374, (1-'Investor Input'!$C$4)*AA374)), AA374)</f>
        <v/>
      </c>
      <c r="AC374" s="94" t="str">
        <f t="shared" si="80"/>
        <v/>
      </c>
      <c r="AD374" s="60" t="str">
        <f>IF(AND(M374&lt;&gt;"", M374&lt;&gt;0), N374/$N$505*MATCH(AC374,'Misc Lists'!$K$2:$K$25,0), "")</f>
        <v/>
      </c>
      <c r="AE374" s="90" t="str">
        <f t="shared" si="81"/>
        <v/>
      </c>
      <c r="AF374" s="99" t="str">
        <f>IF(AND(M374&lt;&gt;"", M374&lt;&gt;0), N374/$N$505*MATCH(AE374,'Misc Lists'!$L$2:$L$25,0), "")</f>
        <v/>
      </c>
    </row>
    <row r="375" spans="2:32" hidden="1" outlineLevel="1" x14ac:dyDescent="0.5">
      <c r="B375" s="60"/>
      <c r="C375" s="61"/>
      <c r="D375" s="60"/>
      <c r="E375" s="61"/>
      <c r="F375" s="62"/>
      <c r="G375" s="63"/>
      <c r="H375" s="61"/>
      <c r="I375" s="61"/>
      <c r="J375" s="64"/>
      <c r="K375" s="17"/>
      <c r="L375" s="17"/>
      <c r="M375" s="83"/>
      <c r="N375" s="84" t="str">
        <f t="shared" si="82"/>
        <v/>
      </c>
      <c r="O375" s="20" t="str">
        <f t="shared" si="83"/>
        <v/>
      </c>
      <c r="P375" s="64" t="str">
        <f t="shared" si="84"/>
        <v/>
      </c>
      <c r="Q375" s="85" t="str">
        <f t="shared" ca="1" si="85"/>
        <v/>
      </c>
      <c r="R375" s="86" t="str">
        <f t="shared" si="86"/>
        <v/>
      </c>
      <c r="S375" s="86" t="str">
        <f t="shared" si="87"/>
        <v/>
      </c>
      <c r="T375" s="104" t="str">
        <f t="shared" si="88"/>
        <v/>
      </c>
      <c r="U375" s="19" t="str">
        <f>IF(AND(M375&lt;&gt;"",M375&lt;&gt;0), IF(E375 = "Muni", T375, IF(E375="Corp", T375*(1 -'Investor Input'!$C$4-'Investor Input'!$C$5), T375*(1 -'Investor Input'!$C$4))), T375)</f>
        <v/>
      </c>
      <c r="V375" s="84" t="str">
        <f t="shared" si="89"/>
        <v/>
      </c>
      <c r="W375" s="84" t="str">
        <f t="shared" si="75"/>
        <v/>
      </c>
      <c r="X375" s="21" t="str">
        <f t="shared" si="76"/>
        <v/>
      </c>
      <c r="Y375" s="60" t="str">
        <f t="shared" si="77"/>
        <v/>
      </c>
      <c r="Z375" s="60" t="str">
        <f t="shared" si="78"/>
        <v/>
      </c>
      <c r="AA375" s="64" t="str">
        <f t="shared" si="79"/>
        <v/>
      </c>
      <c r="AB375" s="64" t="str">
        <f>IF(AND(AA375&lt;&gt;"",AA375&lt;&gt;0), IF(E375="Muni", AA375, IF(E375 = "Corp", (1-'Investor Input'!$C$4-'Investor Input'!$C$5)*AA375, (1-'Investor Input'!$C$4)*AA375)), AA375)</f>
        <v/>
      </c>
      <c r="AC375" s="94" t="str">
        <f t="shared" si="80"/>
        <v/>
      </c>
      <c r="AD375" s="60" t="str">
        <f>IF(AND(M375&lt;&gt;"", M375&lt;&gt;0), N375/$N$505*MATCH(AC375,'Misc Lists'!$K$2:$K$25,0), "")</f>
        <v/>
      </c>
      <c r="AE375" s="90" t="str">
        <f t="shared" si="81"/>
        <v/>
      </c>
      <c r="AF375" s="99" t="str">
        <f>IF(AND(M375&lt;&gt;"", M375&lt;&gt;0), N375/$N$505*MATCH(AE375,'Misc Lists'!$L$2:$L$25,0), "")</f>
        <v/>
      </c>
    </row>
    <row r="376" spans="2:32" hidden="1" outlineLevel="1" x14ac:dyDescent="0.5">
      <c r="B376" s="60"/>
      <c r="C376" s="61"/>
      <c r="D376" s="60"/>
      <c r="E376" s="61"/>
      <c r="F376" s="62"/>
      <c r="G376" s="63"/>
      <c r="H376" s="61"/>
      <c r="I376" s="61"/>
      <c r="J376" s="64"/>
      <c r="K376" s="17"/>
      <c r="L376" s="17"/>
      <c r="M376" s="83"/>
      <c r="N376" s="84" t="str">
        <f t="shared" si="82"/>
        <v/>
      </c>
      <c r="O376" s="20" t="str">
        <f t="shared" si="83"/>
        <v/>
      </c>
      <c r="P376" s="64" t="str">
        <f t="shared" si="84"/>
        <v/>
      </c>
      <c r="Q376" s="85" t="str">
        <f t="shared" ca="1" si="85"/>
        <v/>
      </c>
      <c r="R376" s="86" t="str">
        <f t="shared" si="86"/>
        <v/>
      </c>
      <c r="S376" s="86" t="str">
        <f t="shared" si="87"/>
        <v/>
      </c>
      <c r="T376" s="104" t="str">
        <f t="shared" si="88"/>
        <v/>
      </c>
      <c r="U376" s="19" t="str">
        <f>IF(AND(M376&lt;&gt;"",M376&lt;&gt;0), IF(E376 = "Muni", T376, IF(E376="Corp", T376*(1 -'Investor Input'!$C$4-'Investor Input'!$C$5), T376*(1 -'Investor Input'!$C$4))), T376)</f>
        <v/>
      </c>
      <c r="V376" s="84" t="str">
        <f t="shared" si="89"/>
        <v/>
      </c>
      <c r="W376" s="84" t="str">
        <f t="shared" si="75"/>
        <v/>
      </c>
      <c r="X376" s="21" t="str">
        <f t="shared" si="76"/>
        <v/>
      </c>
      <c r="Y376" s="60" t="str">
        <f t="shared" si="77"/>
        <v/>
      </c>
      <c r="Z376" s="60" t="str">
        <f t="shared" si="78"/>
        <v/>
      </c>
      <c r="AA376" s="64" t="str">
        <f t="shared" si="79"/>
        <v/>
      </c>
      <c r="AB376" s="64" t="str">
        <f>IF(AND(AA376&lt;&gt;"",AA376&lt;&gt;0), IF(E376="Muni", AA376, IF(E376 = "Corp", (1-'Investor Input'!$C$4-'Investor Input'!$C$5)*AA376, (1-'Investor Input'!$C$4)*AA376)), AA376)</f>
        <v/>
      </c>
      <c r="AC376" s="94" t="str">
        <f t="shared" si="80"/>
        <v/>
      </c>
      <c r="AD376" s="60" t="str">
        <f>IF(AND(M376&lt;&gt;"", M376&lt;&gt;0), N376/$N$505*MATCH(AC376,'Misc Lists'!$K$2:$K$25,0), "")</f>
        <v/>
      </c>
      <c r="AE376" s="90" t="str">
        <f t="shared" si="81"/>
        <v/>
      </c>
      <c r="AF376" s="99" t="str">
        <f>IF(AND(M376&lt;&gt;"", M376&lt;&gt;0), N376/$N$505*MATCH(AE376,'Misc Lists'!$L$2:$L$25,0), "")</f>
        <v/>
      </c>
    </row>
    <row r="377" spans="2:32" hidden="1" outlineLevel="1" x14ac:dyDescent="0.5">
      <c r="B377" s="60"/>
      <c r="C377" s="61"/>
      <c r="D377" s="60"/>
      <c r="E377" s="61"/>
      <c r="F377" s="62"/>
      <c r="G377" s="63"/>
      <c r="H377" s="61"/>
      <c r="I377" s="61"/>
      <c r="J377" s="64"/>
      <c r="K377" s="17"/>
      <c r="L377" s="17"/>
      <c r="M377" s="83"/>
      <c r="N377" s="84" t="str">
        <f t="shared" si="82"/>
        <v/>
      </c>
      <c r="O377" s="20" t="str">
        <f t="shared" si="83"/>
        <v/>
      </c>
      <c r="P377" s="64" t="str">
        <f t="shared" si="84"/>
        <v/>
      </c>
      <c r="Q377" s="85" t="str">
        <f t="shared" ca="1" si="85"/>
        <v/>
      </c>
      <c r="R377" s="86" t="str">
        <f t="shared" si="86"/>
        <v/>
      </c>
      <c r="S377" s="86" t="str">
        <f t="shared" si="87"/>
        <v/>
      </c>
      <c r="T377" s="104" t="str">
        <f t="shared" si="88"/>
        <v/>
      </c>
      <c r="U377" s="19" t="str">
        <f>IF(AND(M377&lt;&gt;"",M377&lt;&gt;0), IF(E377 = "Muni", T377, IF(E377="Corp", T377*(1 -'Investor Input'!$C$4-'Investor Input'!$C$5), T377*(1 -'Investor Input'!$C$4))), T377)</f>
        <v/>
      </c>
      <c r="V377" s="84" t="str">
        <f t="shared" si="89"/>
        <v/>
      </c>
      <c r="W377" s="84" t="str">
        <f t="shared" si="75"/>
        <v/>
      </c>
      <c r="X377" s="21" t="str">
        <f t="shared" si="76"/>
        <v/>
      </c>
      <c r="Y377" s="60" t="str">
        <f t="shared" si="77"/>
        <v/>
      </c>
      <c r="Z377" s="60" t="str">
        <f t="shared" si="78"/>
        <v/>
      </c>
      <c r="AA377" s="64" t="str">
        <f t="shared" si="79"/>
        <v/>
      </c>
      <c r="AB377" s="64" t="str">
        <f>IF(AND(AA377&lt;&gt;"",AA377&lt;&gt;0), IF(E377="Muni", AA377, IF(E377 = "Corp", (1-'Investor Input'!$C$4-'Investor Input'!$C$5)*AA377, (1-'Investor Input'!$C$4)*AA377)), AA377)</f>
        <v/>
      </c>
      <c r="AC377" s="94" t="str">
        <f t="shared" si="80"/>
        <v/>
      </c>
      <c r="AD377" s="60" t="str">
        <f>IF(AND(M377&lt;&gt;"", M377&lt;&gt;0), N377/$N$505*MATCH(AC377,'Misc Lists'!$K$2:$K$25,0), "")</f>
        <v/>
      </c>
      <c r="AE377" s="90" t="str">
        <f t="shared" si="81"/>
        <v/>
      </c>
      <c r="AF377" s="99" t="str">
        <f>IF(AND(M377&lt;&gt;"", M377&lt;&gt;0), N377/$N$505*MATCH(AE377,'Misc Lists'!$L$2:$L$25,0), "")</f>
        <v/>
      </c>
    </row>
    <row r="378" spans="2:32" hidden="1" outlineLevel="1" x14ac:dyDescent="0.5">
      <c r="B378" s="60"/>
      <c r="C378" s="61"/>
      <c r="D378" s="60"/>
      <c r="E378" s="61"/>
      <c r="F378" s="62"/>
      <c r="G378" s="63"/>
      <c r="H378" s="61"/>
      <c r="I378" s="61"/>
      <c r="J378" s="64"/>
      <c r="K378" s="17"/>
      <c r="L378" s="17"/>
      <c r="M378" s="83"/>
      <c r="N378" s="84" t="str">
        <f t="shared" si="82"/>
        <v/>
      </c>
      <c r="O378" s="20" t="str">
        <f t="shared" si="83"/>
        <v/>
      </c>
      <c r="P378" s="64" t="str">
        <f t="shared" si="84"/>
        <v/>
      </c>
      <c r="Q378" s="85" t="str">
        <f t="shared" ca="1" si="85"/>
        <v/>
      </c>
      <c r="R378" s="86" t="str">
        <f t="shared" si="86"/>
        <v/>
      </c>
      <c r="S378" s="86" t="str">
        <f t="shared" si="87"/>
        <v/>
      </c>
      <c r="T378" s="104" t="str">
        <f t="shared" si="88"/>
        <v/>
      </c>
      <c r="U378" s="19" t="str">
        <f>IF(AND(M378&lt;&gt;"",M378&lt;&gt;0), IF(E378 = "Muni", T378, IF(E378="Corp", T378*(1 -'Investor Input'!$C$4-'Investor Input'!$C$5), T378*(1 -'Investor Input'!$C$4))), T378)</f>
        <v/>
      </c>
      <c r="V378" s="84" t="str">
        <f t="shared" si="89"/>
        <v/>
      </c>
      <c r="W378" s="84" t="str">
        <f t="shared" si="75"/>
        <v/>
      </c>
      <c r="X378" s="21" t="str">
        <f t="shared" si="76"/>
        <v/>
      </c>
      <c r="Y378" s="60" t="str">
        <f t="shared" si="77"/>
        <v/>
      </c>
      <c r="Z378" s="60" t="str">
        <f t="shared" si="78"/>
        <v/>
      </c>
      <c r="AA378" s="64" t="str">
        <f t="shared" si="79"/>
        <v/>
      </c>
      <c r="AB378" s="64" t="str">
        <f>IF(AND(AA378&lt;&gt;"",AA378&lt;&gt;0), IF(E378="Muni", AA378, IF(E378 = "Corp", (1-'Investor Input'!$C$4-'Investor Input'!$C$5)*AA378, (1-'Investor Input'!$C$4)*AA378)), AA378)</f>
        <v/>
      </c>
      <c r="AC378" s="94" t="str">
        <f t="shared" si="80"/>
        <v/>
      </c>
      <c r="AD378" s="60" t="str">
        <f>IF(AND(M378&lt;&gt;"", M378&lt;&gt;0), N378/$N$505*MATCH(AC378,'Misc Lists'!$K$2:$K$25,0), "")</f>
        <v/>
      </c>
      <c r="AE378" s="90" t="str">
        <f t="shared" si="81"/>
        <v/>
      </c>
      <c r="AF378" s="99" t="str">
        <f>IF(AND(M378&lt;&gt;"", M378&lt;&gt;0), N378/$N$505*MATCH(AE378,'Misc Lists'!$L$2:$L$25,0), "")</f>
        <v/>
      </c>
    </row>
    <row r="379" spans="2:32" hidden="1" outlineLevel="1" x14ac:dyDescent="0.5">
      <c r="B379" s="60"/>
      <c r="C379" s="61"/>
      <c r="D379" s="60"/>
      <c r="E379" s="61"/>
      <c r="F379" s="62"/>
      <c r="G379" s="63"/>
      <c r="H379" s="61"/>
      <c r="I379" s="61"/>
      <c r="J379" s="64"/>
      <c r="K379" s="17"/>
      <c r="L379" s="17"/>
      <c r="M379" s="83"/>
      <c r="N379" s="84" t="str">
        <f t="shared" si="82"/>
        <v/>
      </c>
      <c r="O379" s="20" t="str">
        <f t="shared" si="83"/>
        <v/>
      </c>
      <c r="P379" s="64" t="str">
        <f t="shared" si="84"/>
        <v/>
      </c>
      <c r="Q379" s="85" t="str">
        <f t="shared" ca="1" si="85"/>
        <v/>
      </c>
      <c r="R379" s="86" t="str">
        <f t="shared" si="86"/>
        <v/>
      </c>
      <c r="S379" s="86" t="str">
        <f t="shared" si="87"/>
        <v/>
      </c>
      <c r="T379" s="104" t="str">
        <f t="shared" si="88"/>
        <v/>
      </c>
      <c r="U379" s="19" t="str">
        <f>IF(AND(M379&lt;&gt;"",M379&lt;&gt;0), IF(E379 = "Muni", T379, IF(E379="Corp", T379*(1 -'Investor Input'!$C$4-'Investor Input'!$C$5), T379*(1 -'Investor Input'!$C$4))), T379)</f>
        <v/>
      </c>
      <c r="V379" s="84" t="str">
        <f t="shared" si="89"/>
        <v/>
      </c>
      <c r="W379" s="84" t="str">
        <f t="shared" si="75"/>
        <v/>
      </c>
      <c r="X379" s="21" t="str">
        <f t="shared" si="76"/>
        <v/>
      </c>
      <c r="Y379" s="60" t="str">
        <f t="shared" si="77"/>
        <v/>
      </c>
      <c r="Z379" s="60" t="str">
        <f t="shared" si="78"/>
        <v/>
      </c>
      <c r="AA379" s="64" t="str">
        <f t="shared" si="79"/>
        <v/>
      </c>
      <c r="AB379" s="64" t="str">
        <f>IF(AND(AA379&lt;&gt;"",AA379&lt;&gt;0), IF(E379="Muni", AA379, IF(E379 = "Corp", (1-'Investor Input'!$C$4-'Investor Input'!$C$5)*AA379, (1-'Investor Input'!$C$4)*AA379)), AA379)</f>
        <v/>
      </c>
      <c r="AC379" s="94" t="str">
        <f t="shared" si="80"/>
        <v/>
      </c>
      <c r="AD379" s="60" t="str">
        <f>IF(AND(M379&lt;&gt;"", M379&lt;&gt;0), N379/$N$505*MATCH(AC379,'Misc Lists'!$K$2:$K$25,0), "")</f>
        <v/>
      </c>
      <c r="AE379" s="90" t="str">
        <f t="shared" si="81"/>
        <v/>
      </c>
      <c r="AF379" s="99" t="str">
        <f>IF(AND(M379&lt;&gt;"", M379&lt;&gt;0), N379/$N$505*MATCH(AE379,'Misc Lists'!$L$2:$L$25,0), "")</f>
        <v/>
      </c>
    </row>
    <row r="380" spans="2:32" hidden="1" outlineLevel="1" x14ac:dyDescent="0.5">
      <c r="B380" s="60"/>
      <c r="C380" s="61"/>
      <c r="D380" s="60"/>
      <c r="E380" s="61"/>
      <c r="F380" s="62"/>
      <c r="G380" s="63"/>
      <c r="H380" s="61"/>
      <c r="I380" s="61"/>
      <c r="J380" s="64"/>
      <c r="K380" s="17"/>
      <c r="L380" s="17"/>
      <c r="M380" s="83"/>
      <c r="N380" s="84" t="str">
        <f t="shared" si="82"/>
        <v/>
      </c>
      <c r="O380" s="20" t="str">
        <f t="shared" si="83"/>
        <v/>
      </c>
      <c r="P380" s="64" t="str">
        <f t="shared" si="84"/>
        <v/>
      </c>
      <c r="Q380" s="85" t="str">
        <f t="shared" ca="1" si="85"/>
        <v/>
      </c>
      <c r="R380" s="86" t="str">
        <f t="shared" si="86"/>
        <v/>
      </c>
      <c r="S380" s="86" t="str">
        <f t="shared" si="87"/>
        <v/>
      </c>
      <c r="T380" s="104" t="str">
        <f t="shared" si="88"/>
        <v/>
      </c>
      <c r="U380" s="19" t="str">
        <f>IF(AND(M380&lt;&gt;"",M380&lt;&gt;0), IF(E380 = "Muni", T380, IF(E380="Corp", T380*(1 -'Investor Input'!$C$4-'Investor Input'!$C$5), T380*(1 -'Investor Input'!$C$4))), T380)</f>
        <v/>
      </c>
      <c r="V380" s="84" t="str">
        <f t="shared" si="89"/>
        <v/>
      </c>
      <c r="W380" s="84" t="str">
        <f t="shared" si="75"/>
        <v/>
      </c>
      <c r="X380" s="21" t="str">
        <f t="shared" si="76"/>
        <v/>
      </c>
      <c r="Y380" s="60" t="str">
        <f t="shared" si="77"/>
        <v/>
      </c>
      <c r="Z380" s="60" t="str">
        <f t="shared" si="78"/>
        <v/>
      </c>
      <c r="AA380" s="64" t="str">
        <f t="shared" si="79"/>
        <v/>
      </c>
      <c r="AB380" s="64" t="str">
        <f>IF(AND(AA380&lt;&gt;"",AA380&lt;&gt;0), IF(E380="Muni", AA380, IF(E380 = "Corp", (1-'Investor Input'!$C$4-'Investor Input'!$C$5)*AA380, (1-'Investor Input'!$C$4)*AA380)), AA380)</f>
        <v/>
      </c>
      <c r="AC380" s="94" t="str">
        <f t="shared" si="80"/>
        <v/>
      </c>
      <c r="AD380" s="60" t="str">
        <f>IF(AND(M380&lt;&gt;"", M380&lt;&gt;0), N380/$N$505*MATCH(AC380,'Misc Lists'!$K$2:$K$25,0), "")</f>
        <v/>
      </c>
      <c r="AE380" s="90" t="str">
        <f t="shared" si="81"/>
        <v/>
      </c>
      <c r="AF380" s="99" t="str">
        <f>IF(AND(M380&lt;&gt;"", M380&lt;&gt;0), N380/$N$505*MATCH(AE380,'Misc Lists'!$L$2:$L$25,0), "")</f>
        <v/>
      </c>
    </row>
    <row r="381" spans="2:32" hidden="1" outlineLevel="1" x14ac:dyDescent="0.5">
      <c r="B381" s="60"/>
      <c r="C381" s="61"/>
      <c r="D381" s="60"/>
      <c r="E381" s="61"/>
      <c r="F381" s="62"/>
      <c r="G381" s="63"/>
      <c r="H381" s="61"/>
      <c r="I381" s="61"/>
      <c r="J381" s="64"/>
      <c r="K381" s="17"/>
      <c r="L381" s="17"/>
      <c r="M381" s="83"/>
      <c r="N381" s="84" t="str">
        <f t="shared" si="82"/>
        <v/>
      </c>
      <c r="O381" s="20" t="str">
        <f t="shared" si="83"/>
        <v/>
      </c>
      <c r="P381" s="64" t="str">
        <f t="shared" si="84"/>
        <v/>
      </c>
      <c r="Q381" s="85" t="str">
        <f t="shared" ca="1" si="85"/>
        <v/>
      </c>
      <c r="R381" s="86" t="str">
        <f t="shared" si="86"/>
        <v/>
      </c>
      <c r="S381" s="86" t="str">
        <f t="shared" si="87"/>
        <v/>
      </c>
      <c r="T381" s="104" t="str">
        <f t="shared" si="88"/>
        <v/>
      </c>
      <c r="U381" s="19" t="str">
        <f>IF(AND(M381&lt;&gt;"",M381&lt;&gt;0), IF(E381 = "Muni", T381, IF(E381="Corp", T381*(1 -'Investor Input'!$C$4-'Investor Input'!$C$5), T381*(1 -'Investor Input'!$C$4))), T381)</f>
        <v/>
      </c>
      <c r="V381" s="84" t="str">
        <f t="shared" si="89"/>
        <v/>
      </c>
      <c r="W381" s="84" t="str">
        <f t="shared" si="75"/>
        <v/>
      </c>
      <c r="X381" s="21" t="str">
        <f t="shared" si="76"/>
        <v/>
      </c>
      <c r="Y381" s="60" t="str">
        <f t="shared" si="77"/>
        <v/>
      </c>
      <c r="Z381" s="60" t="str">
        <f t="shared" si="78"/>
        <v/>
      </c>
      <c r="AA381" s="64" t="str">
        <f t="shared" si="79"/>
        <v/>
      </c>
      <c r="AB381" s="64" t="str">
        <f>IF(AND(AA381&lt;&gt;"",AA381&lt;&gt;0), IF(E381="Muni", AA381, IF(E381 = "Corp", (1-'Investor Input'!$C$4-'Investor Input'!$C$5)*AA381, (1-'Investor Input'!$C$4)*AA381)), AA381)</f>
        <v/>
      </c>
      <c r="AC381" s="94" t="str">
        <f t="shared" si="80"/>
        <v/>
      </c>
      <c r="AD381" s="60" t="str">
        <f>IF(AND(M381&lt;&gt;"", M381&lt;&gt;0), N381/$N$505*MATCH(AC381,'Misc Lists'!$K$2:$K$25,0), "")</f>
        <v/>
      </c>
      <c r="AE381" s="90" t="str">
        <f t="shared" si="81"/>
        <v/>
      </c>
      <c r="AF381" s="99" t="str">
        <f>IF(AND(M381&lt;&gt;"", M381&lt;&gt;0), N381/$N$505*MATCH(AE381,'Misc Lists'!$L$2:$L$25,0), "")</f>
        <v/>
      </c>
    </row>
    <row r="382" spans="2:32" hidden="1" outlineLevel="1" x14ac:dyDescent="0.5">
      <c r="B382" s="60"/>
      <c r="C382" s="61"/>
      <c r="D382" s="60"/>
      <c r="E382" s="61"/>
      <c r="F382" s="62"/>
      <c r="G382" s="63"/>
      <c r="H382" s="61"/>
      <c r="I382" s="61"/>
      <c r="J382" s="64"/>
      <c r="K382" s="17"/>
      <c r="L382" s="17"/>
      <c r="M382" s="83"/>
      <c r="N382" s="84" t="str">
        <f t="shared" si="82"/>
        <v/>
      </c>
      <c r="O382" s="20" t="str">
        <f t="shared" si="83"/>
        <v/>
      </c>
      <c r="P382" s="64" t="str">
        <f t="shared" si="84"/>
        <v/>
      </c>
      <c r="Q382" s="85" t="str">
        <f t="shared" ca="1" si="85"/>
        <v/>
      </c>
      <c r="R382" s="86" t="str">
        <f t="shared" si="86"/>
        <v/>
      </c>
      <c r="S382" s="86" t="str">
        <f t="shared" si="87"/>
        <v/>
      </c>
      <c r="T382" s="104" t="str">
        <f t="shared" si="88"/>
        <v/>
      </c>
      <c r="U382" s="19" t="str">
        <f>IF(AND(M382&lt;&gt;"",M382&lt;&gt;0), IF(E382 = "Muni", T382, IF(E382="Corp", T382*(1 -'Investor Input'!$C$4-'Investor Input'!$C$5), T382*(1 -'Investor Input'!$C$4))), T382)</f>
        <v/>
      </c>
      <c r="V382" s="84" t="str">
        <f t="shared" si="89"/>
        <v/>
      </c>
      <c r="W382" s="84" t="str">
        <f t="shared" si="75"/>
        <v/>
      </c>
      <c r="X382" s="21" t="str">
        <f t="shared" si="76"/>
        <v/>
      </c>
      <c r="Y382" s="60" t="str">
        <f t="shared" si="77"/>
        <v/>
      </c>
      <c r="Z382" s="60" t="str">
        <f t="shared" si="78"/>
        <v/>
      </c>
      <c r="AA382" s="64" t="str">
        <f t="shared" si="79"/>
        <v/>
      </c>
      <c r="AB382" s="64" t="str">
        <f>IF(AND(AA382&lt;&gt;"",AA382&lt;&gt;0), IF(E382="Muni", AA382, IF(E382 = "Corp", (1-'Investor Input'!$C$4-'Investor Input'!$C$5)*AA382, (1-'Investor Input'!$C$4)*AA382)), AA382)</f>
        <v/>
      </c>
      <c r="AC382" s="94" t="str">
        <f t="shared" si="80"/>
        <v/>
      </c>
      <c r="AD382" s="60" t="str">
        <f>IF(AND(M382&lt;&gt;"", M382&lt;&gt;0), N382/$N$505*MATCH(AC382,'Misc Lists'!$K$2:$K$25,0), "")</f>
        <v/>
      </c>
      <c r="AE382" s="90" t="str">
        <f t="shared" si="81"/>
        <v/>
      </c>
      <c r="AF382" s="99" t="str">
        <f>IF(AND(M382&lt;&gt;"", M382&lt;&gt;0), N382/$N$505*MATCH(AE382,'Misc Lists'!$L$2:$L$25,0), "")</f>
        <v/>
      </c>
    </row>
    <row r="383" spans="2:32" hidden="1" outlineLevel="1" x14ac:dyDescent="0.5">
      <c r="B383" s="60"/>
      <c r="C383" s="61"/>
      <c r="D383" s="60"/>
      <c r="E383" s="61"/>
      <c r="F383" s="62"/>
      <c r="G383" s="63"/>
      <c r="H383" s="61"/>
      <c r="I383" s="61"/>
      <c r="J383" s="64"/>
      <c r="K383" s="17"/>
      <c r="L383" s="17"/>
      <c r="M383" s="83"/>
      <c r="N383" s="84" t="str">
        <f t="shared" si="82"/>
        <v/>
      </c>
      <c r="O383" s="20" t="str">
        <f t="shared" si="83"/>
        <v/>
      </c>
      <c r="P383" s="64" t="str">
        <f t="shared" si="84"/>
        <v/>
      </c>
      <c r="Q383" s="85" t="str">
        <f t="shared" ca="1" si="85"/>
        <v/>
      </c>
      <c r="R383" s="86" t="str">
        <f t="shared" si="86"/>
        <v/>
      </c>
      <c r="S383" s="86" t="str">
        <f t="shared" si="87"/>
        <v/>
      </c>
      <c r="T383" s="104" t="str">
        <f t="shared" si="88"/>
        <v/>
      </c>
      <c r="U383" s="19" t="str">
        <f>IF(AND(M383&lt;&gt;"",M383&lt;&gt;0), IF(E383 = "Muni", T383, IF(E383="Corp", T383*(1 -'Investor Input'!$C$4-'Investor Input'!$C$5), T383*(1 -'Investor Input'!$C$4))), T383)</f>
        <v/>
      </c>
      <c r="V383" s="84" t="str">
        <f t="shared" si="89"/>
        <v/>
      </c>
      <c r="W383" s="84" t="str">
        <f t="shared" si="75"/>
        <v/>
      </c>
      <c r="X383" s="21" t="str">
        <f t="shared" si="76"/>
        <v/>
      </c>
      <c r="Y383" s="60" t="str">
        <f t="shared" si="77"/>
        <v/>
      </c>
      <c r="Z383" s="60" t="str">
        <f t="shared" si="78"/>
        <v/>
      </c>
      <c r="AA383" s="64" t="str">
        <f t="shared" si="79"/>
        <v/>
      </c>
      <c r="AB383" s="64" t="str">
        <f>IF(AND(AA383&lt;&gt;"",AA383&lt;&gt;0), IF(E383="Muni", AA383, IF(E383 = "Corp", (1-'Investor Input'!$C$4-'Investor Input'!$C$5)*AA383, (1-'Investor Input'!$C$4)*AA383)), AA383)</f>
        <v/>
      </c>
      <c r="AC383" s="94" t="str">
        <f t="shared" si="80"/>
        <v/>
      </c>
      <c r="AD383" s="60" t="str">
        <f>IF(AND(M383&lt;&gt;"", M383&lt;&gt;0), N383/$N$505*MATCH(AC383,'Misc Lists'!$K$2:$K$25,0), "")</f>
        <v/>
      </c>
      <c r="AE383" s="90" t="str">
        <f t="shared" si="81"/>
        <v/>
      </c>
      <c r="AF383" s="99" t="str">
        <f>IF(AND(M383&lt;&gt;"", M383&lt;&gt;0), N383/$N$505*MATCH(AE383,'Misc Lists'!$L$2:$L$25,0), "")</f>
        <v/>
      </c>
    </row>
    <row r="384" spans="2:32" hidden="1" outlineLevel="1" x14ac:dyDescent="0.5">
      <c r="B384" s="60"/>
      <c r="C384" s="61"/>
      <c r="D384" s="60"/>
      <c r="E384" s="61"/>
      <c r="F384" s="62"/>
      <c r="G384" s="63"/>
      <c r="H384" s="61"/>
      <c r="I384" s="61"/>
      <c r="J384" s="64"/>
      <c r="K384" s="17"/>
      <c r="L384" s="17"/>
      <c r="M384" s="83"/>
      <c r="N384" s="84" t="str">
        <f t="shared" si="82"/>
        <v/>
      </c>
      <c r="O384" s="20" t="str">
        <f t="shared" si="83"/>
        <v/>
      </c>
      <c r="P384" s="64" t="str">
        <f t="shared" si="84"/>
        <v/>
      </c>
      <c r="Q384" s="85" t="str">
        <f t="shared" ca="1" si="85"/>
        <v/>
      </c>
      <c r="R384" s="86" t="str">
        <f t="shared" si="86"/>
        <v/>
      </c>
      <c r="S384" s="86" t="str">
        <f t="shared" si="87"/>
        <v/>
      </c>
      <c r="T384" s="104" t="str">
        <f t="shared" si="88"/>
        <v/>
      </c>
      <c r="U384" s="19" t="str">
        <f>IF(AND(M384&lt;&gt;"",M384&lt;&gt;0), IF(E384 = "Muni", T384, IF(E384="Corp", T384*(1 -'Investor Input'!$C$4-'Investor Input'!$C$5), T384*(1 -'Investor Input'!$C$4))), T384)</f>
        <v/>
      </c>
      <c r="V384" s="84" t="str">
        <f t="shared" si="89"/>
        <v/>
      </c>
      <c r="W384" s="84" t="str">
        <f t="shared" si="75"/>
        <v/>
      </c>
      <c r="X384" s="21" t="str">
        <f t="shared" si="76"/>
        <v/>
      </c>
      <c r="Y384" s="60" t="str">
        <f t="shared" si="77"/>
        <v/>
      </c>
      <c r="Z384" s="60" t="str">
        <f t="shared" si="78"/>
        <v/>
      </c>
      <c r="AA384" s="64" t="str">
        <f t="shared" si="79"/>
        <v/>
      </c>
      <c r="AB384" s="64" t="str">
        <f>IF(AND(AA384&lt;&gt;"",AA384&lt;&gt;0), IF(E384="Muni", AA384, IF(E384 = "Corp", (1-'Investor Input'!$C$4-'Investor Input'!$C$5)*AA384, (1-'Investor Input'!$C$4)*AA384)), AA384)</f>
        <v/>
      </c>
      <c r="AC384" s="94" t="str">
        <f t="shared" si="80"/>
        <v/>
      </c>
      <c r="AD384" s="60" t="str">
        <f>IF(AND(M384&lt;&gt;"", M384&lt;&gt;0), N384/$N$505*MATCH(AC384,'Misc Lists'!$K$2:$K$25,0), "")</f>
        <v/>
      </c>
      <c r="AE384" s="90" t="str">
        <f t="shared" si="81"/>
        <v/>
      </c>
      <c r="AF384" s="99" t="str">
        <f>IF(AND(M384&lt;&gt;"", M384&lt;&gt;0), N384/$N$505*MATCH(AE384,'Misc Lists'!$L$2:$L$25,0), "")</f>
        <v/>
      </c>
    </row>
    <row r="385" spans="2:32" hidden="1" outlineLevel="1" x14ac:dyDescent="0.5">
      <c r="B385" s="60"/>
      <c r="C385" s="61"/>
      <c r="D385" s="60"/>
      <c r="E385" s="61"/>
      <c r="F385" s="62"/>
      <c r="G385" s="63"/>
      <c r="H385" s="61"/>
      <c r="I385" s="61"/>
      <c r="J385" s="64"/>
      <c r="K385" s="17"/>
      <c r="L385" s="17"/>
      <c r="M385" s="83"/>
      <c r="N385" s="84" t="str">
        <f t="shared" si="82"/>
        <v/>
      </c>
      <c r="O385" s="20" t="str">
        <f t="shared" si="83"/>
        <v/>
      </c>
      <c r="P385" s="64" t="str">
        <f t="shared" si="84"/>
        <v/>
      </c>
      <c r="Q385" s="85" t="str">
        <f t="shared" ca="1" si="85"/>
        <v/>
      </c>
      <c r="R385" s="86" t="str">
        <f t="shared" si="86"/>
        <v/>
      </c>
      <c r="S385" s="86" t="str">
        <f t="shared" si="87"/>
        <v/>
      </c>
      <c r="T385" s="104" t="str">
        <f t="shared" si="88"/>
        <v/>
      </c>
      <c r="U385" s="19" t="str">
        <f>IF(AND(M385&lt;&gt;"",M385&lt;&gt;0), IF(E385 = "Muni", T385, IF(E385="Corp", T385*(1 -'Investor Input'!$C$4-'Investor Input'!$C$5), T385*(1 -'Investor Input'!$C$4))), T385)</f>
        <v/>
      </c>
      <c r="V385" s="84" t="str">
        <f t="shared" si="89"/>
        <v/>
      </c>
      <c r="W385" s="84" t="str">
        <f t="shared" si="75"/>
        <v/>
      </c>
      <c r="X385" s="21" t="str">
        <f t="shared" si="76"/>
        <v/>
      </c>
      <c r="Y385" s="60" t="str">
        <f t="shared" si="77"/>
        <v/>
      </c>
      <c r="Z385" s="60" t="str">
        <f t="shared" si="78"/>
        <v/>
      </c>
      <c r="AA385" s="64" t="str">
        <f t="shared" si="79"/>
        <v/>
      </c>
      <c r="AB385" s="64" t="str">
        <f>IF(AND(AA385&lt;&gt;"",AA385&lt;&gt;0), IF(E385="Muni", AA385, IF(E385 = "Corp", (1-'Investor Input'!$C$4-'Investor Input'!$C$5)*AA385, (1-'Investor Input'!$C$4)*AA385)), AA385)</f>
        <v/>
      </c>
      <c r="AC385" s="94" t="str">
        <f t="shared" si="80"/>
        <v/>
      </c>
      <c r="AD385" s="60" t="str">
        <f>IF(AND(M385&lt;&gt;"", M385&lt;&gt;0), N385/$N$505*MATCH(AC385,'Misc Lists'!$K$2:$K$25,0), "")</f>
        <v/>
      </c>
      <c r="AE385" s="90" t="str">
        <f t="shared" si="81"/>
        <v/>
      </c>
      <c r="AF385" s="99" t="str">
        <f>IF(AND(M385&lt;&gt;"", M385&lt;&gt;0), N385/$N$505*MATCH(AE385,'Misc Lists'!$L$2:$L$25,0), "")</f>
        <v/>
      </c>
    </row>
    <row r="386" spans="2:32" hidden="1" outlineLevel="1" x14ac:dyDescent="0.5">
      <c r="B386" s="60"/>
      <c r="C386" s="61"/>
      <c r="D386" s="60"/>
      <c r="E386" s="61"/>
      <c r="F386" s="62"/>
      <c r="G386" s="63"/>
      <c r="H386" s="61"/>
      <c r="I386" s="61"/>
      <c r="J386" s="64"/>
      <c r="K386" s="17"/>
      <c r="L386" s="17"/>
      <c r="M386" s="83"/>
      <c r="N386" s="84" t="str">
        <f t="shared" si="82"/>
        <v/>
      </c>
      <c r="O386" s="20" t="str">
        <f t="shared" si="83"/>
        <v/>
      </c>
      <c r="P386" s="64" t="str">
        <f t="shared" si="84"/>
        <v/>
      </c>
      <c r="Q386" s="85" t="str">
        <f t="shared" ca="1" si="85"/>
        <v/>
      </c>
      <c r="R386" s="86" t="str">
        <f t="shared" si="86"/>
        <v/>
      </c>
      <c r="S386" s="86" t="str">
        <f t="shared" si="87"/>
        <v/>
      </c>
      <c r="T386" s="104" t="str">
        <f t="shared" si="88"/>
        <v/>
      </c>
      <c r="U386" s="19" t="str">
        <f>IF(AND(M386&lt;&gt;"",M386&lt;&gt;0), IF(E386 = "Muni", T386, IF(E386="Corp", T386*(1 -'Investor Input'!$C$4-'Investor Input'!$C$5), T386*(1 -'Investor Input'!$C$4))), T386)</f>
        <v/>
      </c>
      <c r="V386" s="84" t="str">
        <f t="shared" si="89"/>
        <v/>
      </c>
      <c r="W386" s="84" t="str">
        <f t="shared" si="75"/>
        <v/>
      </c>
      <c r="X386" s="21" t="str">
        <f t="shared" si="76"/>
        <v/>
      </c>
      <c r="Y386" s="60" t="str">
        <f t="shared" si="77"/>
        <v/>
      </c>
      <c r="Z386" s="60" t="str">
        <f t="shared" si="78"/>
        <v/>
      </c>
      <c r="AA386" s="64" t="str">
        <f t="shared" si="79"/>
        <v/>
      </c>
      <c r="AB386" s="64" t="str">
        <f>IF(AND(AA386&lt;&gt;"",AA386&lt;&gt;0), IF(E386="Muni", AA386, IF(E386 = "Corp", (1-'Investor Input'!$C$4-'Investor Input'!$C$5)*AA386, (1-'Investor Input'!$C$4)*AA386)), AA386)</f>
        <v/>
      </c>
      <c r="AC386" s="94" t="str">
        <f t="shared" si="80"/>
        <v/>
      </c>
      <c r="AD386" s="60" t="str">
        <f>IF(AND(M386&lt;&gt;"", M386&lt;&gt;0), N386/$N$505*MATCH(AC386,'Misc Lists'!$K$2:$K$25,0), "")</f>
        <v/>
      </c>
      <c r="AE386" s="90" t="str">
        <f t="shared" si="81"/>
        <v/>
      </c>
      <c r="AF386" s="99" t="str">
        <f>IF(AND(M386&lt;&gt;"", M386&lt;&gt;0), N386/$N$505*MATCH(AE386,'Misc Lists'!$L$2:$L$25,0), "")</f>
        <v/>
      </c>
    </row>
    <row r="387" spans="2:32" hidden="1" outlineLevel="1" x14ac:dyDescent="0.5">
      <c r="B387" s="60"/>
      <c r="C387" s="61"/>
      <c r="D387" s="60"/>
      <c r="E387" s="61"/>
      <c r="F387" s="62"/>
      <c r="G387" s="63"/>
      <c r="H387" s="61"/>
      <c r="I387" s="61"/>
      <c r="J387" s="64"/>
      <c r="K387" s="17"/>
      <c r="L387" s="17"/>
      <c r="M387" s="83"/>
      <c r="N387" s="84" t="str">
        <f t="shared" si="82"/>
        <v/>
      </c>
      <c r="O387" s="20" t="str">
        <f t="shared" si="83"/>
        <v/>
      </c>
      <c r="P387" s="64" t="str">
        <f t="shared" si="84"/>
        <v/>
      </c>
      <c r="Q387" s="85" t="str">
        <f t="shared" ca="1" si="85"/>
        <v/>
      </c>
      <c r="R387" s="86" t="str">
        <f t="shared" si="86"/>
        <v/>
      </c>
      <c r="S387" s="86" t="str">
        <f t="shared" si="87"/>
        <v/>
      </c>
      <c r="T387" s="104" t="str">
        <f t="shared" si="88"/>
        <v/>
      </c>
      <c r="U387" s="19" t="str">
        <f>IF(AND(M387&lt;&gt;"",M387&lt;&gt;0), IF(E387 = "Muni", T387, IF(E387="Corp", T387*(1 -'Investor Input'!$C$4-'Investor Input'!$C$5), T387*(1 -'Investor Input'!$C$4))), T387)</f>
        <v/>
      </c>
      <c r="V387" s="84" t="str">
        <f t="shared" si="89"/>
        <v/>
      </c>
      <c r="W387" s="84" t="str">
        <f t="shared" si="75"/>
        <v/>
      </c>
      <c r="X387" s="21" t="str">
        <f t="shared" si="76"/>
        <v/>
      </c>
      <c r="Y387" s="60" t="str">
        <f t="shared" si="77"/>
        <v/>
      </c>
      <c r="Z387" s="60" t="str">
        <f t="shared" si="78"/>
        <v/>
      </c>
      <c r="AA387" s="64" t="str">
        <f t="shared" si="79"/>
        <v/>
      </c>
      <c r="AB387" s="64" t="str">
        <f>IF(AND(AA387&lt;&gt;"",AA387&lt;&gt;0), IF(E387="Muni", AA387, IF(E387 = "Corp", (1-'Investor Input'!$C$4-'Investor Input'!$C$5)*AA387, (1-'Investor Input'!$C$4)*AA387)), AA387)</f>
        <v/>
      </c>
      <c r="AC387" s="94" t="str">
        <f t="shared" si="80"/>
        <v/>
      </c>
      <c r="AD387" s="60" t="str">
        <f>IF(AND(M387&lt;&gt;"", M387&lt;&gt;0), N387/$N$505*MATCH(AC387,'Misc Lists'!$K$2:$K$25,0), "")</f>
        <v/>
      </c>
      <c r="AE387" s="90" t="str">
        <f t="shared" si="81"/>
        <v/>
      </c>
      <c r="AF387" s="99" t="str">
        <f>IF(AND(M387&lt;&gt;"", M387&lt;&gt;0), N387/$N$505*MATCH(AE387,'Misc Lists'!$L$2:$L$25,0), "")</f>
        <v/>
      </c>
    </row>
    <row r="388" spans="2:32" hidden="1" outlineLevel="1" x14ac:dyDescent="0.5">
      <c r="B388" s="60"/>
      <c r="C388" s="61"/>
      <c r="D388" s="60"/>
      <c r="E388" s="61"/>
      <c r="F388" s="62"/>
      <c r="G388" s="63"/>
      <c r="H388" s="61"/>
      <c r="I388" s="61"/>
      <c r="J388" s="64"/>
      <c r="K388" s="17"/>
      <c r="L388" s="17"/>
      <c r="M388" s="83"/>
      <c r="N388" s="84" t="str">
        <f t="shared" si="82"/>
        <v/>
      </c>
      <c r="O388" s="20" t="str">
        <f t="shared" si="83"/>
        <v/>
      </c>
      <c r="P388" s="64" t="str">
        <f t="shared" si="84"/>
        <v/>
      </c>
      <c r="Q388" s="85" t="str">
        <f t="shared" ca="1" si="85"/>
        <v/>
      </c>
      <c r="R388" s="86" t="str">
        <f t="shared" si="86"/>
        <v/>
      </c>
      <c r="S388" s="86" t="str">
        <f t="shared" si="87"/>
        <v/>
      </c>
      <c r="T388" s="104" t="str">
        <f t="shared" si="88"/>
        <v/>
      </c>
      <c r="U388" s="19" t="str">
        <f>IF(AND(M388&lt;&gt;"",M388&lt;&gt;0), IF(E388 = "Muni", T388, IF(E388="Corp", T388*(1 -'Investor Input'!$C$4-'Investor Input'!$C$5), T388*(1 -'Investor Input'!$C$4))), T388)</f>
        <v/>
      </c>
      <c r="V388" s="84" t="str">
        <f t="shared" si="89"/>
        <v/>
      </c>
      <c r="W388" s="84" t="str">
        <f t="shared" ref="W388:W451" si="90">IF(AND(M388&lt;&gt;"",M388&lt;&gt;0),V388-N388,"")</f>
        <v/>
      </c>
      <c r="X388" s="21" t="str">
        <f t="shared" ref="X388:X451" si="91">IF(AND(M388&lt;&gt;"",M388&lt;&gt;0),W388/N388,"")</f>
        <v/>
      </c>
      <c r="Y388" s="60" t="str">
        <f t="shared" ref="Y388:Y452" si="92">IF(AND(M388&lt;&gt;"", M388&lt;&gt;0), MONTH(G388), "")</f>
        <v/>
      </c>
      <c r="Z388" s="60" t="str">
        <f t="shared" ref="Z388:Z452" si="93">IF(AND(M388&lt;&gt;"", M388&lt;&gt;0), MONTH(EDATE(G388, 6)), "")</f>
        <v/>
      </c>
      <c r="AA388" s="64" t="str">
        <f t="shared" ref="AA388:AA452" si="94">IF(AND(M388&lt;&gt;"", M388&lt;&gt;0), F388*1000*M388/(100*2), "")</f>
        <v/>
      </c>
      <c r="AB388" s="64" t="str">
        <f>IF(AND(AA388&lt;&gt;"",AA388&lt;&gt;0), IF(E388="Muni", AA388, IF(E388 = "Corp", (1-'Investor Input'!$C$4-'Investor Input'!$C$5)*AA388, (1-'Investor Input'!$C$4)*AA388)), AA388)</f>
        <v/>
      </c>
      <c r="AC388" s="94" t="str">
        <f t="shared" ref="AC388:AC452" si="95">IF(AND(M388&lt;&gt;"", M388&lt;&gt;0), H388, "")</f>
        <v/>
      </c>
      <c r="AD388" s="60" t="str">
        <f>IF(AND(M388&lt;&gt;"", M388&lt;&gt;0), N388/$N$505*MATCH(AC388,'Misc Lists'!$K$2:$K$25,0), "")</f>
        <v/>
      </c>
      <c r="AE388" s="90" t="str">
        <f t="shared" ref="AE388:AE452" si="96">IF(AND(M388&lt;&gt;"", M388&lt;&gt;0), I388, "")</f>
        <v/>
      </c>
      <c r="AF388" s="99" t="str">
        <f>IF(AND(M388&lt;&gt;"", M388&lt;&gt;0), N388/$N$505*MATCH(AE388,'Misc Lists'!$L$2:$L$25,0), "")</f>
        <v/>
      </c>
    </row>
    <row r="389" spans="2:32" hidden="1" outlineLevel="1" x14ac:dyDescent="0.5">
      <c r="B389" s="60"/>
      <c r="C389" s="61"/>
      <c r="D389" s="60"/>
      <c r="E389" s="61"/>
      <c r="F389" s="62"/>
      <c r="G389" s="63"/>
      <c r="H389" s="61"/>
      <c r="I389" s="61"/>
      <c r="J389" s="64"/>
      <c r="K389" s="17"/>
      <c r="L389" s="17"/>
      <c r="M389" s="83"/>
      <c r="N389" s="84" t="str">
        <f t="shared" ref="N389:N452" si="97">IF(AND(M389&lt;&gt;"", M389&lt;&gt;0), IF(L389 &lt;&gt; "N/A", IF(M389&gt;=VALUE(LEFT(L389, FIND("(", L389)-1)), J389*10*M389, 1000*M389), 1000*M389), "")</f>
        <v/>
      </c>
      <c r="O389" s="20" t="str">
        <f t="shared" ref="O389:O452" si="98">IF(AND(M389&lt;&gt;"",M389&lt;&gt;0),N389/$N$505, "")</f>
        <v/>
      </c>
      <c r="P389" s="64" t="str">
        <f t="shared" ref="P389:P452" si="99">IF(AND(M389&lt;&gt;"", M389&lt;&gt;0), F389*1000/100, "")</f>
        <v/>
      </c>
      <c r="Q389" s="85" t="str">
        <f t="shared" ref="Q389:Q452" ca="1" si="100">IF(AND(M389&lt;&gt;"", M389&lt;&gt;0), NOW(), "")</f>
        <v/>
      </c>
      <c r="R389" s="86" t="str">
        <f t="shared" ref="R389:R452" si="101">IF(AND(M389&lt;&gt;"", M389&lt;&gt;0), ROUND((G389 - Q389)/365, 0), "")</f>
        <v/>
      </c>
      <c r="S389" s="86" t="str">
        <f t="shared" ref="S389:S452" si="102">IF(AND(M389&lt;&gt;"",M389&lt;&gt;0),MDURATION(Q389,G389,F389/100,K389/100,2), "")</f>
        <v/>
      </c>
      <c r="T389" s="104" t="str">
        <f t="shared" ref="T389:T452" si="103">IF(AND(M389&lt;&gt;"",M389&lt;&gt;0),YIELD(Q389,G389,F389/100,N389/(M389*10),100,2),"")</f>
        <v/>
      </c>
      <c r="U389" s="19" t="str">
        <f>IF(AND(M389&lt;&gt;"",M389&lt;&gt;0), IF(E389 = "Muni", T389, IF(E389="Corp", T389*(1 -'Investor Input'!$C$4-'Investor Input'!$C$5), T389*(1 -'Investor Input'!$C$4))), T389)</f>
        <v/>
      </c>
      <c r="V389" s="84" t="str">
        <f t="shared" ref="V389:V452" si="104">IF(AND(M389&lt;&gt;"",M389&lt;&gt;0),(FV(K389/(2*100),(G389-Q389)*2/365, F389*1000/(2*100), -N389/M389))*M389, "")</f>
        <v/>
      </c>
      <c r="W389" s="84" t="str">
        <f t="shared" si="90"/>
        <v/>
      </c>
      <c r="X389" s="21" t="str">
        <f t="shared" si="91"/>
        <v/>
      </c>
      <c r="Y389" s="60" t="str">
        <f t="shared" si="92"/>
        <v/>
      </c>
      <c r="Z389" s="60" t="str">
        <f t="shared" si="93"/>
        <v/>
      </c>
      <c r="AA389" s="64" t="str">
        <f t="shared" si="94"/>
        <v/>
      </c>
      <c r="AB389" s="64" t="str">
        <f>IF(AND(AA389&lt;&gt;"",AA389&lt;&gt;0), IF(E389="Muni", AA389, IF(E389 = "Corp", (1-'Investor Input'!$C$4-'Investor Input'!$C$5)*AA389, (1-'Investor Input'!$C$4)*AA389)), AA389)</f>
        <v/>
      </c>
      <c r="AC389" s="94" t="str">
        <f t="shared" si="95"/>
        <v/>
      </c>
      <c r="AD389" s="60" t="str">
        <f>IF(AND(M389&lt;&gt;"", M389&lt;&gt;0), N389/$N$505*MATCH(AC389,'Misc Lists'!$K$2:$K$25,0), "")</f>
        <v/>
      </c>
      <c r="AE389" s="90" t="str">
        <f t="shared" si="96"/>
        <v/>
      </c>
      <c r="AF389" s="99" t="str">
        <f>IF(AND(M389&lt;&gt;"", M389&lt;&gt;0), N389/$N$505*MATCH(AE389,'Misc Lists'!$L$2:$L$25,0), "")</f>
        <v/>
      </c>
    </row>
    <row r="390" spans="2:32" hidden="1" outlineLevel="1" x14ac:dyDescent="0.5">
      <c r="B390" s="60"/>
      <c r="C390" s="61"/>
      <c r="D390" s="60"/>
      <c r="E390" s="61"/>
      <c r="F390" s="62"/>
      <c r="G390" s="63"/>
      <c r="H390" s="61"/>
      <c r="I390" s="61"/>
      <c r="J390" s="64"/>
      <c r="K390" s="17"/>
      <c r="L390" s="17"/>
      <c r="M390" s="83"/>
      <c r="N390" s="84" t="str">
        <f t="shared" si="97"/>
        <v/>
      </c>
      <c r="O390" s="20" t="str">
        <f t="shared" si="98"/>
        <v/>
      </c>
      <c r="P390" s="64" t="str">
        <f t="shared" si="99"/>
        <v/>
      </c>
      <c r="Q390" s="85" t="str">
        <f t="shared" ca="1" si="100"/>
        <v/>
      </c>
      <c r="R390" s="86" t="str">
        <f t="shared" si="101"/>
        <v/>
      </c>
      <c r="S390" s="86" t="str">
        <f t="shared" si="102"/>
        <v/>
      </c>
      <c r="T390" s="104" t="str">
        <f t="shared" si="103"/>
        <v/>
      </c>
      <c r="U390" s="19" t="str">
        <f>IF(AND(M390&lt;&gt;"",M390&lt;&gt;0), IF(E390 = "Muni", T390, IF(E390="Corp", T390*(1 -'Investor Input'!$C$4-'Investor Input'!$C$5), T390*(1 -'Investor Input'!$C$4))), T390)</f>
        <v/>
      </c>
      <c r="V390" s="84" t="str">
        <f t="shared" si="104"/>
        <v/>
      </c>
      <c r="W390" s="84" t="str">
        <f t="shared" si="90"/>
        <v/>
      </c>
      <c r="X390" s="21" t="str">
        <f t="shared" si="91"/>
        <v/>
      </c>
      <c r="Y390" s="60" t="str">
        <f t="shared" si="92"/>
        <v/>
      </c>
      <c r="Z390" s="60" t="str">
        <f t="shared" si="93"/>
        <v/>
      </c>
      <c r="AA390" s="64" t="str">
        <f t="shared" si="94"/>
        <v/>
      </c>
      <c r="AB390" s="64" t="str">
        <f>IF(AND(AA390&lt;&gt;"",AA390&lt;&gt;0), IF(E390="Muni", AA390, IF(E390 = "Corp", (1-'Investor Input'!$C$4-'Investor Input'!$C$5)*AA390, (1-'Investor Input'!$C$4)*AA390)), AA390)</f>
        <v/>
      </c>
      <c r="AC390" s="94" t="str">
        <f t="shared" si="95"/>
        <v/>
      </c>
      <c r="AD390" s="60" t="str">
        <f>IF(AND(M390&lt;&gt;"", M390&lt;&gt;0), N390/$N$505*MATCH(AC390,'Misc Lists'!$K$2:$K$25,0), "")</f>
        <v/>
      </c>
      <c r="AE390" s="90" t="str">
        <f t="shared" si="96"/>
        <v/>
      </c>
      <c r="AF390" s="99" t="str">
        <f>IF(AND(M390&lt;&gt;"", M390&lt;&gt;0), N390/$N$505*MATCH(AE390,'Misc Lists'!$L$2:$L$25,0), "")</f>
        <v/>
      </c>
    </row>
    <row r="391" spans="2:32" hidden="1" outlineLevel="1" x14ac:dyDescent="0.5">
      <c r="B391" s="60"/>
      <c r="C391" s="61"/>
      <c r="D391" s="60"/>
      <c r="E391" s="61"/>
      <c r="F391" s="62"/>
      <c r="G391" s="63"/>
      <c r="H391" s="61"/>
      <c r="I391" s="61"/>
      <c r="J391" s="64"/>
      <c r="K391" s="17"/>
      <c r="L391" s="17"/>
      <c r="M391" s="83"/>
      <c r="N391" s="84" t="str">
        <f t="shared" si="97"/>
        <v/>
      </c>
      <c r="O391" s="20" t="str">
        <f t="shared" si="98"/>
        <v/>
      </c>
      <c r="P391" s="64" t="str">
        <f t="shared" si="99"/>
        <v/>
      </c>
      <c r="Q391" s="85" t="str">
        <f t="shared" ca="1" si="100"/>
        <v/>
      </c>
      <c r="R391" s="86" t="str">
        <f t="shared" si="101"/>
        <v/>
      </c>
      <c r="S391" s="86" t="str">
        <f t="shared" si="102"/>
        <v/>
      </c>
      <c r="T391" s="104" t="str">
        <f t="shared" si="103"/>
        <v/>
      </c>
      <c r="U391" s="19" t="str">
        <f>IF(AND(M391&lt;&gt;"",M391&lt;&gt;0), IF(E391 = "Muni", T391, IF(E391="Corp", T391*(1 -'Investor Input'!$C$4-'Investor Input'!$C$5), T391*(1 -'Investor Input'!$C$4))), T391)</f>
        <v/>
      </c>
      <c r="V391" s="84" t="str">
        <f t="shared" si="104"/>
        <v/>
      </c>
      <c r="W391" s="84" t="str">
        <f t="shared" si="90"/>
        <v/>
      </c>
      <c r="X391" s="21" t="str">
        <f t="shared" si="91"/>
        <v/>
      </c>
      <c r="Y391" s="60" t="str">
        <f t="shared" si="92"/>
        <v/>
      </c>
      <c r="Z391" s="60" t="str">
        <f t="shared" si="93"/>
        <v/>
      </c>
      <c r="AA391" s="64" t="str">
        <f t="shared" si="94"/>
        <v/>
      </c>
      <c r="AB391" s="64" t="str">
        <f>IF(AND(AA391&lt;&gt;"",AA391&lt;&gt;0), IF(E391="Muni", AA391, IF(E391 = "Corp", (1-'Investor Input'!$C$4-'Investor Input'!$C$5)*AA391, (1-'Investor Input'!$C$4)*AA391)), AA391)</f>
        <v/>
      </c>
      <c r="AC391" s="94" t="str">
        <f t="shared" si="95"/>
        <v/>
      </c>
      <c r="AD391" s="60" t="str">
        <f>IF(AND(M391&lt;&gt;"", M391&lt;&gt;0), N391/$N$505*MATCH(AC391,'Misc Lists'!$K$2:$K$25,0), "")</f>
        <v/>
      </c>
      <c r="AE391" s="90" t="str">
        <f t="shared" si="96"/>
        <v/>
      </c>
      <c r="AF391" s="99" t="str">
        <f>IF(AND(M391&lt;&gt;"", M391&lt;&gt;0), N391/$N$505*MATCH(AE391,'Misc Lists'!$L$2:$L$25,0), "")</f>
        <v/>
      </c>
    </row>
    <row r="392" spans="2:32" hidden="1" outlineLevel="1" x14ac:dyDescent="0.5">
      <c r="B392" s="60"/>
      <c r="C392" s="61"/>
      <c r="D392" s="60"/>
      <c r="E392" s="61"/>
      <c r="F392" s="62"/>
      <c r="G392" s="63"/>
      <c r="H392" s="61"/>
      <c r="I392" s="61"/>
      <c r="J392" s="64"/>
      <c r="K392" s="17"/>
      <c r="L392" s="17"/>
      <c r="M392" s="83"/>
      <c r="N392" s="84" t="str">
        <f t="shared" si="97"/>
        <v/>
      </c>
      <c r="O392" s="20" t="str">
        <f t="shared" si="98"/>
        <v/>
      </c>
      <c r="P392" s="64" t="str">
        <f t="shared" si="99"/>
        <v/>
      </c>
      <c r="Q392" s="85" t="str">
        <f t="shared" ca="1" si="100"/>
        <v/>
      </c>
      <c r="R392" s="86" t="str">
        <f t="shared" si="101"/>
        <v/>
      </c>
      <c r="S392" s="86" t="str">
        <f t="shared" si="102"/>
        <v/>
      </c>
      <c r="T392" s="104" t="str">
        <f t="shared" si="103"/>
        <v/>
      </c>
      <c r="U392" s="19" t="str">
        <f>IF(AND(M392&lt;&gt;"",M392&lt;&gt;0), IF(E392 = "Muni", T392, IF(E392="Corp", T392*(1 -'Investor Input'!$C$4-'Investor Input'!$C$5), T392*(1 -'Investor Input'!$C$4))), T392)</f>
        <v/>
      </c>
      <c r="V392" s="84" t="str">
        <f t="shared" si="104"/>
        <v/>
      </c>
      <c r="W392" s="84" t="str">
        <f t="shared" si="90"/>
        <v/>
      </c>
      <c r="X392" s="21" t="str">
        <f t="shared" si="91"/>
        <v/>
      </c>
      <c r="Y392" s="60" t="str">
        <f t="shared" si="92"/>
        <v/>
      </c>
      <c r="Z392" s="60" t="str">
        <f t="shared" si="93"/>
        <v/>
      </c>
      <c r="AA392" s="64" t="str">
        <f t="shared" si="94"/>
        <v/>
      </c>
      <c r="AB392" s="64" t="str">
        <f>IF(AND(AA392&lt;&gt;"",AA392&lt;&gt;0), IF(E392="Muni", AA392, IF(E392 = "Corp", (1-'Investor Input'!$C$4-'Investor Input'!$C$5)*AA392, (1-'Investor Input'!$C$4)*AA392)), AA392)</f>
        <v/>
      </c>
      <c r="AC392" s="94" t="str">
        <f t="shared" si="95"/>
        <v/>
      </c>
      <c r="AD392" s="60" t="str">
        <f>IF(AND(M392&lt;&gt;"", M392&lt;&gt;0), N392/$N$505*MATCH(AC392,'Misc Lists'!$K$2:$K$25,0), "")</f>
        <v/>
      </c>
      <c r="AE392" s="90" t="str">
        <f t="shared" si="96"/>
        <v/>
      </c>
      <c r="AF392" s="99" t="str">
        <f>IF(AND(M392&lt;&gt;"", M392&lt;&gt;0), N392/$N$505*MATCH(AE392,'Misc Lists'!$L$2:$L$25,0), "")</f>
        <v/>
      </c>
    </row>
    <row r="393" spans="2:32" hidden="1" outlineLevel="1" x14ac:dyDescent="0.5">
      <c r="B393" s="60"/>
      <c r="C393" s="61"/>
      <c r="D393" s="60"/>
      <c r="E393" s="61"/>
      <c r="F393" s="62"/>
      <c r="G393" s="63"/>
      <c r="H393" s="61"/>
      <c r="I393" s="61"/>
      <c r="J393" s="64"/>
      <c r="K393" s="17"/>
      <c r="L393" s="17"/>
      <c r="M393" s="83"/>
      <c r="N393" s="84" t="str">
        <f t="shared" si="97"/>
        <v/>
      </c>
      <c r="O393" s="20" t="str">
        <f t="shared" si="98"/>
        <v/>
      </c>
      <c r="P393" s="64" t="str">
        <f t="shared" si="99"/>
        <v/>
      </c>
      <c r="Q393" s="85" t="str">
        <f t="shared" ca="1" si="100"/>
        <v/>
      </c>
      <c r="R393" s="86" t="str">
        <f t="shared" si="101"/>
        <v/>
      </c>
      <c r="S393" s="86" t="str">
        <f t="shared" si="102"/>
        <v/>
      </c>
      <c r="T393" s="104" t="str">
        <f t="shared" si="103"/>
        <v/>
      </c>
      <c r="U393" s="19" t="str">
        <f>IF(AND(M393&lt;&gt;"",M393&lt;&gt;0), IF(E393 = "Muni", T393, IF(E393="Corp", T393*(1 -'Investor Input'!$C$4-'Investor Input'!$C$5), T393*(1 -'Investor Input'!$C$4))), T393)</f>
        <v/>
      </c>
      <c r="V393" s="84" t="str">
        <f t="shared" si="104"/>
        <v/>
      </c>
      <c r="W393" s="84" t="str">
        <f t="shared" si="90"/>
        <v/>
      </c>
      <c r="X393" s="21" t="str">
        <f t="shared" si="91"/>
        <v/>
      </c>
      <c r="Y393" s="60" t="str">
        <f t="shared" si="92"/>
        <v/>
      </c>
      <c r="Z393" s="60" t="str">
        <f t="shared" si="93"/>
        <v/>
      </c>
      <c r="AA393" s="64" t="str">
        <f t="shared" si="94"/>
        <v/>
      </c>
      <c r="AB393" s="64" t="str">
        <f>IF(AND(AA393&lt;&gt;"",AA393&lt;&gt;0), IF(E393="Muni", AA393, IF(E393 = "Corp", (1-'Investor Input'!$C$4-'Investor Input'!$C$5)*AA393, (1-'Investor Input'!$C$4)*AA393)), AA393)</f>
        <v/>
      </c>
      <c r="AC393" s="94" t="str">
        <f t="shared" si="95"/>
        <v/>
      </c>
      <c r="AD393" s="60" t="str">
        <f>IF(AND(M393&lt;&gt;"", M393&lt;&gt;0), N393/$N$505*MATCH(AC393,'Misc Lists'!$K$2:$K$25,0), "")</f>
        <v/>
      </c>
      <c r="AE393" s="90" t="str">
        <f t="shared" si="96"/>
        <v/>
      </c>
      <c r="AF393" s="99" t="str">
        <f>IF(AND(M393&lt;&gt;"", M393&lt;&gt;0), N393/$N$505*MATCH(AE393,'Misc Lists'!$L$2:$L$25,0), "")</f>
        <v/>
      </c>
    </row>
    <row r="394" spans="2:32" hidden="1" outlineLevel="1" x14ac:dyDescent="0.5">
      <c r="B394" s="60"/>
      <c r="C394" s="61"/>
      <c r="D394" s="60"/>
      <c r="E394" s="61"/>
      <c r="F394" s="62"/>
      <c r="G394" s="63"/>
      <c r="H394" s="61"/>
      <c r="I394" s="61"/>
      <c r="J394" s="64"/>
      <c r="K394" s="17"/>
      <c r="L394" s="17"/>
      <c r="M394" s="83"/>
      <c r="N394" s="84" t="str">
        <f t="shared" si="97"/>
        <v/>
      </c>
      <c r="O394" s="20" t="str">
        <f t="shared" si="98"/>
        <v/>
      </c>
      <c r="P394" s="64" t="str">
        <f t="shared" si="99"/>
        <v/>
      </c>
      <c r="Q394" s="85" t="str">
        <f t="shared" ca="1" si="100"/>
        <v/>
      </c>
      <c r="R394" s="86" t="str">
        <f t="shared" si="101"/>
        <v/>
      </c>
      <c r="S394" s="86" t="str">
        <f t="shared" si="102"/>
        <v/>
      </c>
      <c r="T394" s="104" t="str">
        <f t="shared" si="103"/>
        <v/>
      </c>
      <c r="U394" s="19" t="str">
        <f>IF(AND(M394&lt;&gt;"",M394&lt;&gt;0), IF(E394 = "Muni", T394, IF(E394="Corp", T394*(1 -'Investor Input'!$C$4-'Investor Input'!$C$5), T394*(1 -'Investor Input'!$C$4))), T394)</f>
        <v/>
      </c>
      <c r="V394" s="84" t="str">
        <f t="shared" si="104"/>
        <v/>
      </c>
      <c r="W394" s="84" t="str">
        <f t="shared" si="90"/>
        <v/>
      </c>
      <c r="X394" s="21" t="str">
        <f t="shared" si="91"/>
        <v/>
      </c>
      <c r="Y394" s="60" t="str">
        <f t="shared" si="92"/>
        <v/>
      </c>
      <c r="Z394" s="60" t="str">
        <f t="shared" si="93"/>
        <v/>
      </c>
      <c r="AA394" s="64" t="str">
        <f t="shared" si="94"/>
        <v/>
      </c>
      <c r="AB394" s="64" t="str">
        <f>IF(AND(AA394&lt;&gt;"",AA394&lt;&gt;0), IF(E394="Muni", AA394, IF(E394 = "Corp", (1-'Investor Input'!$C$4-'Investor Input'!$C$5)*AA394, (1-'Investor Input'!$C$4)*AA394)), AA394)</f>
        <v/>
      </c>
      <c r="AC394" s="94" t="str">
        <f t="shared" si="95"/>
        <v/>
      </c>
      <c r="AD394" s="60" t="str">
        <f>IF(AND(M394&lt;&gt;"", M394&lt;&gt;0), N394/$N$505*MATCH(AC394,'Misc Lists'!$K$2:$K$25,0), "")</f>
        <v/>
      </c>
      <c r="AE394" s="90" t="str">
        <f t="shared" si="96"/>
        <v/>
      </c>
      <c r="AF394" s="99" t="str">
        <f>IF(AND(M394&lt;&gt;"", M394&lt;&gt;0), N394/$N$505*MATCH(AE394,'Misc Lists'!$L$2:$L$25,0), "")</f>
        <v/>
      </c>
    </row>
    <row r="395" spans="2:32" hidden="1" outlineLevel="1" x14ac:dyDescent="0.5">
      <c r="B395" s="60"/>
      <c r="C395" s="61"/>
      <c r="D395" s="60"/>
      <c r="E395" s="61"/>
      <c r="F395" s="62"/>
      <c r="G395" s="63"/>
      <c r="H395" s="61"/>
      <c r="I395" s="61"/>
      <c r="J395" s="64"/>
      <c r="K395" s="17"/>
      <c r="L395" s="17"/>
      <c r="M395" s="83"/>
      <c r="N395" s="84" t="str">
        <f t="shared" si="97"/>
        <v/>
      </c>
      <c r="O395" s="20" t="str">
        <f t="shared" si="98"/>
        <v/>
      </c>
      <c r="P395" s="64" t="str">
        <f t="shared" si="99"/>
        <v/>
      </c>
      <c r="Q395" s="85" t="str">
        <f t="shared" ca="1" si="100"/>
        <v/>
      </c>
      <c r="R395" s="86" t="str">
        <f t="shared" si="101"/>
        <v/>
      </c>
      <c r="S395" s="86" t="str">
        <f t="shared" si="102"/>
        <v/>
      </c>
      <c r="T395" s="104" t="str">
        <f t="shared" si="103"/>
        <v/>
      </c>
      <c r="U395" s="19" t="str">
        <f>IF(AND(M395&lt;&gt;"",M395&lt;&gt;0), IF(E395 = "Muni", T395, IF(E395="Corp", T395*(1 -'Investor Input'!$C$4-'Investor Input'!$C$5), T395*(1 -'Investor Input'!$C$4))), T395)</f>
        <v/>
      </c>
      <c r="V395" s="84" t="str">
        <f t="shared" si="104"/>
        <v/>
      </c>
      <c r="W395" s="84" t="str">
        <f t="shared" si="90"/>
        <v/>
      </c>
      <c r="X395" s="21" t="str">
        <f t="shared" si="91"/>
        <v/>
      </c>
      <c r="Y395" s="60" t="str">
        <f t="shared" si="92"/>
        <v/>
      </c>
      <c r="Z395" s="60" t="str">
        <f t="shared" si="93"/>
        <v/>
      </c>
      <c r="AA395" s="64" t="str">
        <f t="shared" si="94"/>
        <v/>
      </c>
      <c r="AB395" s="64" t="str">
        <f>IF(AND(AA395&lt;&gt;"",AA395&lt;&gt;0), IF(E395="Muni", AA395, IF(E395 = "Corp", (1-'Investor Input'!$C$4-'Investor Input'!$C$5)*AA395, (1-'Investor Input'!$C$4)*AA395)), AA395)</f>
        <v/>
      </c>
      <c r="AC395" s="94" t="str">
        <f t="shared" si="95"/>
        <v/>
      </c>
      <c r="AD395" s="60" t="str">
        <f>IF(AND(M395&lt;&gt;"", M395&lt;&gt;0), N395/$N$505*MATCH(AC395,'Misc Lists'!$K$2:$K$25,0), "")</f>
        <v/>
      </c>
      <c r="AE395" s="90" t="str">
        <f t="shared" si="96"/>
        <v/>
      </c>
      <c r="AF395" s="99" t="str">
        <f>IF(AND(M395&lt;&gt;"", M395&lt;&gt;0), N395/$N$505*MATCH(AE395,'Misc Lists'!$L$2:$L$25,0), "")</f>
        <v/>
      </c>
    </row>
    <row r="396" spans="2:32" hidden="1" outlineLevel="1" x14ac:dyDescent="0.5">
      <c r="B396" s="60"/>
      <c r="C396" s="61"/>
      <c r="D396" s="60"/>
      <c r="E396" s="61"/>
      <c r="F396" s="62"/>
      <c r="G396" s="63"/>
      <c r="H396" s="61"/>
      <c r="I396" s="61"/>
      <c r="J396" s="64"/>
      <c r="K396" s="17"/>
      <c r="L396" s="17"/>
      <c r="M396" s="83"/>
      <c r="N396" s="84" t="str">
        <f t="shared" si="97"/>
        <v/>
      </c>
      <c r="O396" s="20" t="str">
        <f t="shared" si="98"/>
        <v/>
      </c>
      <c r="P396" s="64" t="str">
        <f t="shared" si="99"/>
        <v/>
      </c>
      <c r="Q396" s="85" t="str">
        <f t="shared" ca="1" si="100"/>
        <v/>
      </c>
      <c r="R396" s="86" t="str">
        <f t="shared" si="101"/>
        <v/>
      </c>
      <c r="S396" s="86" t="str">
        <f t="shared" si="102"/>
        <v/>
      </c>
      <c r="T396" s="104" t="str">
        <f t="shared" si="103"/>
        <v/>
      </c>
      <c r="U396" s="19" t="str">
        <f>IF(AND(M396&lt;&gt;"",M396&lt;&gt;0), IF(E396 = "Muni", T396, IF(E396="Corp", T396*(1 -'Investor Input'!$C$4-'Investor Input'!$C$5), T396*(1 -'Investor Input'!$C$4))), T396)</f>
        <v/>
      </c>
      <c r="V396" s="84" t="str">
        <f t="shared" si="104"/>
        <v/>
      </c>
      <c r="W396" s="84" t="str">
        <f t="shared" si="90"/>
        <v/>
      </c>
      <c r="X396" s="21" t="str">
        <f t="shared" si="91"/>
        <v/>
      </c>
      <c r="Y396" s="60" t="str">
        <f t="shared" si="92"/>
        <v/>
      </c>
      <c r="Z396" s="60" t="str">
        <f t="shared" si="93"/>
        <v/>
      </c>
      <c r="AA396" s="64" t="str">
        <f t="shared" si="94"/>
        <v/>
      </c>
      <c r="AB396" s="64" t="str">
        <f>IF(AND(AA396&lt;&gt;"",AA396&lt;&gt;0), IF(E396="Muni", AA396, IF(E396 = "Corp", (1-'Investor Input'!$C$4-'Investor Input'!$C$5)*AA396, (1-'Investor Input'!$C$4)*AA396)), AA396)</f>
        <v/>
      </c>
      <c r="AC396" s="94" t="str">
        <f t="shared" si="95"/>
        <v/>
      </c>
      <c r="AD396" s="60" t="str">
        <f>IF(AND(M396&lt;&gt;"", M396&lt;&gt;0), N396/$N$505*MATCH(AC396,'Misc Lists'!$K$2:$K$25,0), "")</f>
        <v/>
      </c>
      <c r="AE396" s="90" t="str">
        <f t="shared" si="96"/>
        <v/>
      </c>
      <c r="AF396" s="99" t="str">
        <f>IF(AND(M396&lt;&gt;"", M396&lt;&gt;0), N396/$N$505*MATCH(AE396,'Misc Lists'!$L$2:$L$25,0), "")</f>
        <v/>
      </c>
    </row>
    <row r="397" spans="2:32" hidden="1" outlineLevel="1" x14ac:dyDescent="0.5">
      <c r="B397" s="60"/>
      <c r="C397" s="61"/>
      <c r="D397" s="60"/>
      <c r="E397" s="61"/>
      <c r="F397" s="62"/>
      <c r="G397" s="63"/>
      <c r="H397" s="61"/>
      <c r="I397" s="61"/>
      <c r="J397" s="64"/>
      <c r="K397" s="17"/>
      <c r="L397" s="17"/>
      <c r="M397" s="83"/>
      <c r="N397" s="84" t="str">
        <f t="shared" si="97"/>
        <v/>
      </c>
      <c r="O397" s="20" t="str">
        <f t="shared" si="98"/>
        <v/>
      </c>
      <c r="P397" s="64" t="str">
        <f t="shared" si="99"/>
        <v/>
      </c>
      <c r="Q397" s="85" t="str">
        <f t="shared" ca="1" si="100"/>
        <v/>
      </c>
      <c r="R397" s="86" t="str">
        <f t="shared" si="101"/>
        <v/>
      </c>
      <c r="S397" s="86" t="str">
        <f t="shared" si="102"/>
        <v/>
      </c>
      <c r="T397" s="104" t="str">
        <f t="shared" si="103"/>
        <v/>
      </c>
      <c r="U397" s="19" t="str">
        <f>IF(AND(M397&lt;&gt;"",M397&lt;&gt;0), IF(E397 = "Muni", T397, IF(E397="Corp", T397*(1 -'Investor Input'!$C$4-'Investor Input'!$C$5), T397*(1 -'Investor Input'!$C$4))), T397)</f>
        <v/>
      </c>
      <c r="V397" s="84" t="str">
        <f t="shared" si="104"/>
        <v/>
      </c>
      <c r="W397" s="84" t="str">
        <f t="shared" si="90"/>
        <v/>
      </c>
      <c r="X397" s="21" t="str">
        <f t="shared" si="91"/>
        <v/>
      </c>
      <c r="Y397" s="60" t="str">
        <f t="shared" si="92"/>
        <v/>
      </c>
      <c r="Z397" s="60" t="str">
        <f t="shared" si="93"/>
        <v/>
      </c>
      <c r="AA397" s="64" t="str">
        <f t="shared" si="94"/>
        <v/>
      </c>
      <c r="AB397" s="64" t="str">
        <f>IF(AND(AA397&lt;&gt;"",AA397&lt;&gt;0), IF(E397="Muni", AA397, IF(E397 = "Corp", (1-'Investor Input'!$C$4-'Investor Input'!$C$5)*AA397, (1-'Investor Input'!$C$4)*AA397)), AA397)</f>
        <v/>
      </c>
      <c r="AC397" s="94" t="str">
        <f t="shared" si="95"/>
        <v/>
      </c>
      <c r="AD397" s="60" t="str">
        <f>IF(AND(M397&lt;&gt;"", M397&lt;&gt;0), N397/$N$505*MATCH(AC397,'Misc Lists'!$K$2:$K$25,0), "")</f>
        <v/>
      </c>
      <c r="AE397" s="90" t="str">
        <f t="shared" si="96"/>
        <v/>
      </c>
      <c r="AF397" s="99" t="str">
        <f>IF(AND(M397&lt;&gt;"", M397&lt;&gt;0), N397/$N$505*MATCH(AE397,'Misc Lists'!$L$2:$L$25,0), "")</f>
        <v/>
      </c>
    </row>
    <row r="398" spans="2:32" hidden="1" outlineLevel="1" x14ac:dyDescent="0.5">
      <c r="B398" s="60"/>
      <c r="C398" s="61"/>
      <c r="D398" s="60"/>
      <c r="E398" s="61"/>
      <c r="F398" s="62"/>
      <c r="G398" s="63"/>
      <c r="H398" s="61"/>
      <c r="I398" s="61"/>
      <c r="J398" s="64"/>
      <c r="K398" s="17"/>
      <c r="L398" s="17"/>
      <c r="M398" s="83"/>
      <c r="N398" s="84" t="str">
        <f t="shared" si="97"/>
        <v/>
      </c>
      <c r="O398" s="20" t="str">
        <f t="shared" si="98"/>
        <v/>
      </c>
      <c r="P398" s="64" t="str">
        <f t="shared" si="99"/>
        <v/>
      </c>
      <c r="Q398" s="85" t="str">
        <f t="shared" ca="1" si="100"/>
        <v/>
      </c>
      <c r="R398" s="86" t="str">
        <f t="shared" si="101"/>
        <v/>
      </c>
      <c r="S398" s="86" t="str">
        <f t="shared" si="102"/>
        <v/>
      </c>
      <c r="T398" s="104" t="str">
        <f t="shared" si="103"/>
        <v/>
      </c>
      <c r="U398" s="19" t="str">
        <f>IF(AND(M398&lt;&gt;"",M398&lt;&gt;0), IF(E398 = "Muni", T398, IF(E398="Corp", T398*(1 -'Investor Input'!$C$4-'Investor Input'!$C$5), T398*(1 -'Investor Input'!$C$4))), T398)</f>
        <v/>
      </c>
      <c r="V398" s="84" t="str">
        <f t="shared" si="104"/>
        <v/>
      </c>
      <c r="W398" s="84" t="str">
        <f t="shared" si="90"/>
        <v/>
      </c>
      <c r="X398" s="21" t="str">
        <f t="shared" si="91"/>
        <v/>
      </c>
      <c r="Y398" s="60" t="str">
        <f t="shared" si="92"/>
        <v/>
      </c>
      <c r="Z398" s="60" t="str">
        <f t="shared" si="93"/>
        <v/>
      </c>
      <c r="AA398" s="64" t="str">
        <f t="shared" si="94"/>
        <v/>
      </c>
      <c r="AB398" s="64" t="str">
        <f>IF(AND(AA398&lt;&gt;"",AA398&lt;&gt;0), IF(E398="Muni", AA398, IF(E398 = "Corp", (1-'Investor Input'!$C$4-'Investor Input'!$C$5)*AA398, (1-'Investor Input'!$C$4)*AA398)), AA398)</f>
        <v/>
      </c>
      <c r="AC398" s="94" t="str">
        <f t="shared" si="95"/>
        <v/>
      </c>
      <c r="AD398" s="60" t="str">
        <f>IF(AND(M398&lt;&gt;"", M398&lt;&gt;0), N398/$N$505*MATCH(AC398,'Misc Lists'!$K$2:$K$25,0), "")</f>
        <v/>
      </c>
      <c r="AE398" s="90" t="str">
        <f t="shared" si="96"/>
        <v/>
      </c>
      <c r="AF398" s="99" t="str">
        <f>IF(AND(M398&lt;&gt;"", M398&lt;&gt;0), N398/$N$505*MATCH(AE398,'Misc Lists'!$L$2:$L$25,0), "")</f>
        <v/>
      </c>
    </row>
    <row r="399" spans="2:32" hidden="1" outlineLevel="1" x14ac:dyDescent="0.5">
      <c r="B399" s="60"/>
      <c r="C399" s="61"/>
      <c r="D399" s="60"/>
      <c r="E399" s="61"/>
      <c r="F399" s="62"/>
      <c r="G399" s="63"/>
      <c r="H399" s="61"/>
      <c r="I399" s="61"/>
      <c r="J399" s="64"/>
      <c r="K399" s="17"/>
      <c r="L399" s="17"/>
      <c r="M399" s="83"/>
      <c r="N399" s="84" t="str">
        <f t="shared" si="97"/>
        <v/>
      </c>
      <c r="O399" s="20" t="str">
        <f t="shared" si="98"/>
        <v/>
      </c>
      <c r="P399" s="64" t="str">
        <f t="shared" si="99"/>
        <v/>
      </c>
      <c r="Q399" s="85" t="str">
        <f t="shared" ca="1" si="100"/>
        <v/>
      </c>
      <c r="R399" s="86" t="str">
        <f t="shared" si="101"/>
        <v/>
      </c>
      <c r="S399" s="86" t="str">
        <f t="shared" si="102"/>
        <v/>
      </c>
      <c r="T399" s="104" t="str">
        <f t="shared" si="103"/>
        <v/>
      </c>
      <c r="U399" s="19" t="str">
        <f>IF(AND(M399&lt;&gt;"",M399&lt;&gt;0), IF(E399 = "Muni", T399, IF(E399="Corp", T399*(1 -'Investor Input'!$C$4-'Investor Input'!$C$5), T399*(1 -'Investor Input'!$C$4))), T399)</f>
        <v/>
      </c>
      <c r="V399" s="84" t="str">
        <f t="shared" si="104"/>
        <v/>
      </c>
      <c r="W399" s="84" t="str">
        <f t="shared" si="90"/>
        <v/>
      </c>
      <c r="X399" s="21" t="str">
        <f t="shared" si="91"/>
        <v/>
      </c>
      <c r="Y399" s="60" t="str">
        <f t="shared" si="92"/>
        <v/>
      </c>
      <c r="Z399" s="60" t="str">
        <f t="shared" si="93"/>
        <v/>
      </c>
      <c r="AA399" s="64" t="str">
        <f t="shared" si="94"/>
        <v/>
      </c>
      <c r="AB399" s="64" t="str">
        <f>IF(AND(AA399&lt;&gt;"",AA399&lt;&gt;0), IF(E399="Muni", AA399, IF(E399 = "Corp", (1-'Investor Input'!$C$4-'Investor Input'!$C$5)*AA399, (1-'Investor Input'!$C$4)*AA399)), AA399)</f>
        <v/>
      </c>
      <c r="AC399" s="94" t="str">
        <f t="shared" si="95"/>
        <v/>
      </c>
      <c r="AD399" s="60" t="str">
        <f>IF(AND(M399&lt;&gt;"", M399&lt;&gt;0), N399/$N$505*MATCH(AC399,'Misc Lists'!$K$2:$K$25,0), "")</f>
        <v/>
      </c>
      <c r="AE399" s="90" t="str">
        <f t="shared" si="96"/>
        <v/>
      </c>
      <c r="AF399" s="99" t="str">
        <f>IF(AND(M399&lt;&gt;"", M399&lt;&gt;0), N399/$N$505*MATCH(AE399,'Misc Lists'!$L$2:$L$25,0), "")</f>
        <v/>
      </c>
    </row>
    <row r="400" spans="2:32" hidden="1" outlineLevel="1" x14ac:dyDescent="0.5">
      <c r="B400" s="60"/>
      <c r="C400" s="61"/>
      <c r="D400" s="60"/>
      <c r="E400" s="61"/>
      <c r="F400" s="62"/>
      <c r="G400" s="63"/>
      <c r="H400" s="61"/>
      <c r="I400" s="61"/>
      <c r="J400" s="64"/>
      <c r="K400" s="17"/>
      <c r="L400" s="17"/>
      <c r="M400" s="83"/>
      <c r="N400" s="84" t="str">
        <f t="shared" si="97"/>
        <v/>
      </c>
      <c r="O400" s="20" t="str">
        <f t="shared" si="98"/>
        <v/>
      </c>
      <c r="P400" s="64" t="str">
        <f t="shared" si="99"/>
        <v/>
      </c>
      <c r="Q400" s="85" t="str">
        <f t="shared" ca="1" si="100"/>
        <v/>
      </c>
      <c r="R400" s="86" t="str">
        <f t="shared" si="101"/>
        <v/>
      </c>
      <c r="S400" s="86" t="str">
        <f t="shared" si="102"/>
        <v/>
      </c>
      <c r="T400" s="104" t="str">
        <f t="shared" si="103"/>
        <v/>
      </c>
      <c r="U400" s="19" t="str">
        <f>IF(AND(M400&lt;&gt;"",M400&lt;&gt;0), IF(E400 = "Muni", T400, IF(E400="Corp", T400*(1 -'Investor Input'!$C$4-'Investor Input'!$C$5), T400*(1 -'Investor Input'!$C$4))), T400)</f>
        <v/>
      </c>
      <c r="V400" s="84" t="str">
        <f t="shared" si="104"/>
        <v/>
      </c>
      <c r="W400" s="84" t="str">
        <f t="shared" si="90"/>
        <v/>
      </c>
      <c r="X400" s="21" t="str">
        <f t="shared" si="91"/>
        <v/>
      </c>
      <c r="Y400" s="60" t="str">
        <f t="shared" si="92"/>
        <v/>
      </c>
      <c r="Z400" s="60" t="str">
        <f t="shared" si="93"/>
        <v/>
      </c>
      <c r="AA400" s="64" t="str">
        <f t="shared" si="94"/>
        <v/>
      </c>
      <c r="AB400" s="64" t="str">
        <f>IF(AND(AA400&lt;&gt;"",AA400&lt;&gt;0), IF(E400="Muni", AA400, IF(E400 = "Corp", (1-'Investor Input'!$C$4-'Investor Input'!$C$5)*AA400, (1-'Investor Input'!$C$4)*AA400)), AA400)</f>
        <v/>
      </c>
      <c r="AC400" s="94" t="str">
        <f t="shared" si="95"/>
        <v/>
      </c>
      <c r="AD400" s="60" t="str">
        <f>IF(AND(M400&lt;&gt;"", M400&lt;&gt;0), N400/$N$505*MATCH(AC400,'Misc Lists'!$K$2:$K$25,0), "")</f>
        <v/>
      </c>
      <c r="AE400" s="90" t="str">
        <f t="shared" si="96"/>
        <v/>
      </c>
      <c r="AF400" s="99" t="str">
        <f>IF(AND(M400&lt;&gt;"", M400&lt;&gt;0), N400/$N$505*MATCH(AE400,'Misc Lists'!$L$2:$L$25,0), "")</f>
        <v/>
      </c>
    </row>
    <row r="401" spans="2:32" hidden="1" outlineLevel="1" x14ac:dyDescent="0.5">
      <c r="B401" s="60"/>
      <c r="C401" s="61"/>
      <c r="D401" s="60"/>
      <c r="E401" s="61"/>
      <c r="F401" s="62"/>
      <c r="G401" s="63"/>
      <c r="H401" s="61"/>
      <c r="I401" s="61"/>
      <c r="J401" s="64"/>
      <c r="K401" s="17"/>
      <c r="L401" s="17"/>
      <c r="M401" s="83"/>
      <c r="N401" s="84" t="str">
        <f t="shared" si="97"/>
        <v/>
      </c>
      <c r="O401" s="20" t="str">
        <f t="shared" si="98"/>
        <v/>
      </c>
      <c r="P401" s="64" t="str">
        <f t="shared" si="99"/>
        <v/>
      </c>
      <c r="Q401" s="85" t="str">
        <f t="shared" ca="1" si="100"/>
        <v/>
      </c>
      <c r="R401" s="86" t="str">
        <f t="shared" si="101"/>
        <v/>
      </c>
      <c r="S401" s="86" t="str">
        <f t="shared" si="102"/>
        <v/>
      </c>
      <c r="T401" s="104" t="str">
        <f t="shared" si="103"/>
        <v/>
      </c>
      <c r="U401" s="19" t="str">
        <f>IF(AND(M401&lt;&gt;"",M401&lt;&gt;0), IF(E401 = "Muni", T401, IF(E401="Corp", T401*(1 -'Investor Input'!$C$4-'Investor Input'!$C$5), T401*(1 -'Investor Input'!$C$4))), T401)</f>
        <v/>
      </c>
      <c r="V401" s="84" t="str">
        <f t="shared" si="104"/>
        <v/>
      </c>
      <c r="W401" s="84" t="str">
        <f t="shared" si="90"/>
        <v/>
      </c>
      <c r="X401" s="21" t="str">
        <f t="shared" si="91"/>
        <v/>
      </c>
      <c r="Y401" s="60" t="str">
        <f t="shared" si="92"/>
        <v/>
      </c>
      <c r="Z401" s="60" t="str">
        <f t="shared" si="93"/>
        <v/>
      </c>
      <c r="AA401" s="64" t="str">
        <f t="shared" si="94"/>
        <v/>
      </c>
      <c r="AB401" s="64" t="str">
        <f>IF(AND(AA401&lt;&gt;"",AA401&lt;&gt;0), IF(E401="Muni", AA401, IF(E401 = "Corp", (1-'Investor Input'!$C$4-'Investor Input'!$C$5)*AA401, (1-'Investor Input'!$C$4)*AA401)), AA401)</f>
        <v/>
      </c>
      <c r="AC401" s="94" t="str">
        <f t="shared" si="95"/>
        <v/>
      </c>
      <c r="AD401" s="60" t="str">
        <f>IF(AND(M401&lt;&gt;"", M401&lt;&gt;0), N401/$N$505*MATCH(AC401,'Misc Lists'!$K$2:$K$25,0), "")</f>
        <v/>
      </c>
      <c r="AE401" s="90" t="str">
        <f t="shared" si="96"/>
        <v/>
      </c>
      <c r="AF401" s="99" t="str">
        <f>IF(AND(M401&lt;&gt;"", M401&lt;&gt;0), N401/$N$505*MATCH(AE401,'Misc Lists'!$L$2:$L$25,0), "")</f>
        <v/>
      </c>
    </row>
    <row r="402" spans="2:32" hidden="1" outlineLevel="1" x14ac:dyDescent="0.5">
      <c r="B402" s="60"/>
      <c r="C402" s="61"/>
      <c r="D402" s="60"/>
      <c r="E402" s="61"/>
      <c r="F402" s="62"/>
      <c r="G402" s="63"/>
      <c r="H402" s="61"/>
      <c r="I402" s="61"/>
      <c r="J402" s="64"/>
      <c r="K402" s="17"/>
      <c r="L402" s="17"/>
      <c r="M402" s="83"/>
      <c r="N402" s="84" t="str">
        <f t="shared" si="97"/>
        <v/>
      </c>
      <c r="O402" s="20" t="str">
        <f t="shared" si="98"/>
        <v/>
      </c>
      <c r="P402" s="64" t="str">
        <f t="shared" si="99"/>
        <v/>
      </c>
      <c r="Q402" s="85" t="str">
        <f t="shared" ca="1" si="100"/>
        <v/>
      </c>
      <c r="R402" s="86" t="str">
        <f t="shared" si="101"/>
        <v/>
      </c>
      <c r="S402" s="86" t="str">
        <f t="shared" si="102"/>
        <v/>
      </c>
      <c r="T402" s="104" t="str">
        <f t="shared" si="103"/>
        <v/>
      </c>
      <c r="U402" s="19" t="str">
        <f>IF(AND(M402&lt;&gt;"",M402&lt;&gt;0), IF(E402 = "Muni", T402, IF(E402="Corp", T402*(1 -'Investor Input'!$C$4-'Investor Input'!$C$5), T402*(1 -'Investor Input'!$C$4))), T402)</f>
        <v/>
      </c>
      <c r="V402" s="84" t="str">
        <f t="shared" si="104"/>
        <v/>
      </c>
      <c r="W402" s="84" t="str">
        <f t="shared" si="90"/>
        <v/>
      </c>
      <c r="X402" s="21" t="str">
        <f t="shared" si="91"/>
        <v/>
      </c>
      <c r="Y402" s="60" t="str">
        <f t="shared" si="92"/>
        <v/>
      </c>
      <c r="Z402" s="60" t="str">
        <f t="shared" si="93"/>
        <v/>
      </c>
      <c r="AA402" s="64" t="str">
        <f t="shared" si="94"/>
        <v/>
      </c>
      <c r="AB402" s="64" t="str">
        <f>IF(AND(AA402&lt;&gt;"",AA402&lt;&gt;0), IF(E402="Muni", AA402, IF(E402 = "Corp", (1-'Investor Input'!$C$4-'Investor Input'!$C$5)*AA402, (1-'Investor Input'!$C$4)*AA402)), AA402)</f>
        <v/>
      </c>
      <c r="AC402" s="94" t="str">
        <f t="shared" si="95"/>
        <v/>
      </c>
      <c r="AD402" s="60" t="str">
        <f>IF(AND(M402&lt;&gt;"", M402&lt;&gt;0), N402/$N$505*MATCH(AC402,'Misc Lists'!$K$2:$K$25,0), "")</f>
        <v/>
      </c>
      <c r="AE402" s="90" t="str">
        <f t="shared" si="96"/>
        <v/>
      </c>
      <c r="AF402" s="99" t="str">
        <f>IF(AND(M402&lt;&gt;"", M402&lt;&gt;0), N402/$N$505*MATCH(AE402,'Misc Lists'!$L$2:$L$25,0), "")</f>
        <v/>
      </c>
    </row>
    <row r="403" spans="2:32" hidden="1" outlineLevel="1" x14ac:dyDescent="0.5">
      <c r="B403" s="60"/>
      <c r="C403" s="61"/>
      <c r="D403" s="60"/>
      <c r="E403" s="61"/>
      <c r="F403" s="62"/>
      <c r="G403" s="63"/>
      <c r="H403" s="61"/>
      <c r="I403" s="61"/>
      <c r="J403" s="64"/>
      <c r="K403" s="17"/>
      <c r="L403" s="17"/>
      <c r="M403" s="83"/>
      <c r="N403" s="84" t="str">
        <f t="shared" si="97"/>
        <v/>
      </c>
      <c r="O403" s="20" t="str">
        <f t="shared" si="98"/>
        <v/>
      </c>
      <c r="P403" s="64" t="str">
        <f t="shared" si="99"/>
        <v/>
      </c>
      <c r="Q403" s="85" t="str">
        <f t="shared" ca="1" si="100"/>
        <v/>
      </c>
      <c r="R403" s="86" t="str">
        <f t="shared" si="101"/>
        <v/>
      </c>
      <c r="S403" s="86" t="str">
        <f t="shared" si="102"/>
        <v/>
      </c>
      <c r="T403" s="104" t="str">
        <f t="shared" si="103"/>
        <v/>
      </c>
      <c r="U403" s="19" t="str">
        <f>IF(AND(M403&lt;&gt;"",M403&lt;&gt;0), IF(E403 = "Muni", T403, IF(E403="Corp", T403*(1 -'Investor Input'!$C$4-'Investor Input'!$C$5), T403*(1 -'Investor Input'!$C$4))), T403)</f>
        <v/>
      </c>
      <c r="V403" s="84" t="str">
        <f t="shared" si="104"/>
        <v/>
      </c>
      <c r="W403" s="84" t="str">
        <f t="shared" si="90"/>
        <v/>
      </c>
      <c r="X403" s="21" t="str">
        <f t="shared" si="91"/>
        <v/>
      </c>
      <c r="Y403" s="60" t="str">
        <f t="shared" si="92"/>
        <v/>
      </c>
      <c r="Z403" s="60" t="str">
        <f t="shared" si="93"/>
        <v/>
      </c>
      <c r="AA403" s="64" t="str">
        <f t="shared" si="94"/>
        <v/>
      </c>
      <c r="AB403" s="64" t="str">
        <f>IF(AND(AA403&lt;&gt;"",AA403&lt;&gt;0), IF(E403="Muni", AA403, IF(E403 = "Corp", (1-'Investor Input'!$C$4-'Investor Input'!$C$5)*AA403, (1-'Investor Input'!$C$4)*AA403)), AA403)</f>
        <v/>
      </c>
      <c r="AC403" s="94" t="str">
        <f t="shared" si="95"/>
        <v/>
      </c>
      <c r="AD403" s="60" t="str">
        <f>IF(AND(M403&lt;&gt;"", M403&lt;&gt;0), N403/$N$505*MATCH(AC403,'Misc Lists'!$K$2:$K$25,0), "")</f>
        <v/>
      </c>
      <c r="AE403" s="90" t="str">
        <f t="shared" si="96"/>
        <v/>
      </c>
      <c r="AF403" s="99" t="str">
        <f>IF(AND(M403&lt;&gt;"", M403&lt;&gt;0), N403/$N$505*MATCH(AE403,'Misc Lists'!$L$2:$L$25,0), "")</f>
        <v/>
      </c>
    </row>
    <row r="404" spans="2:32" hidden="1" outlineLevel="1" x14ac:dyDescent="0.5">
      <c r="B404" s="60"/>
      <c r="C404" s="61"/>
      <c r="D404" s="60"/>
      <c r="E404" s="61"/>
      <c r="F404" s="62"/>
      <c r="G404" s="63"/>
      <c r="H404" s="61"/>
      <c r="I404" s="61"/>
      <c r="J404" s="64"/>
      <c r="K404" s="17"/>
      <c r="L404" s="17"/>
      <c r="M404" s="83"/>
      <c r="N404" s="84" t="str">
        <f t="shared" si="97"/>
        <v/>
      </c>
      <c r="O404" s="20" t="str">
        <f t="shared" si="98"/>
        <v/>
      </c>
      <c r="P404" s="64" t="str">
        <f t="shared" si="99"/>
        <v/>
      </c>
      <c r="Q404" s="85" t="str">
        <f t="shared" ca="1" si="100"/>
        <v/>
      </c>
      <c r="R404" s="86" t="str">
        <f t="shared" si="101"/>
        <v/>
      </c>
      <c r="S404" s="86" t="str">
        <f t="shared" si="102"/>
        <v/>
      </c>
      <c r="T404" s="104" t="str">
        <f t="shared" si="103"/>
        <v/>
      </c>
      <c r="U404" s="19" t="str">
        <f>IF(AND(M404&lt;&gt;"",M404&lt;&gt;0), IF(E404 = "Muni", T404, IF(E404="Corp", T404*(1 -'Investor Input'!$C$4-'Investor Input'!$C$5), T404*(1 -'Investor Input'!$C$4))), T404)</f>
        <v/>
      </c>
      <c r="V404" s="84" t="str">
        <f t="shared" si="104"/>
        <v/>
      </c>
      <c r="W404" s="84" t="str">
        <f t="shared" si="90"/>
        <v/>
      </c>
      <c r="X404" s="21" t="str">
        <f t="shared" si="91"/>
        <v/>
      </c>
      <c r="Y404" s="60" t="str">
        <f t="shared" si="92"/>
        <v/>
      </c>
      <c r="Z404" s="60" t="str">
        <f t="shared" si="93"/>
        <v/>
      </c>
      <c r="AA404" s="64" t="str">
        <f t="shared" si="94"/>
        <v/>
      </c>
      <c r="AB404" s="64" t="str">
        <f>IF(AND(AA404&lt;&gt;"",AA404&lt;&gt;0), IF(E404="Muni", AA404, IF(E404 = "Corp", (1-'Investor Input'!$C$4-'Investor Input'!$C$5)*AA404, (1-'Investor Input'!$C$4)*AA404)), AA404)</f>
        <v/>
      </c>
      <c r="AC404" s="94" t="str">
        <f t="shared" si="95"/>
        <v/>
      </c>
      <c r="AD404" s="60" t="str">
        <f>IF(AND(M404&lt;&gt;"", M404&lt;&gt;0), N404/$N$505*MATCH(AC404,'Misc Lists'!$K$2:$K$25,0), "")</f>
        <v/>
      </c>
      <c r="AE404" s="90" t="str">
        <f t="shared" si="96"/>
        <v/>
      </c>
      <c r="AF404" s="99" t="str">
        <f>IF(AND(M404&lt;&gt;"", M404&lt;&gt;0), N404/$N$505*MATCH(AE404,'Misc Lists'!$L$2:$L$25,0), "")</f>
        <v/>
      </c>
    </row>
    <row r="405" spans="2:32" hidden="1" outlineLevel="1" x14ac:dyDescent="0.5">
      <c r="B405" s="60"/>
      <c r="C405" s="61"/>
      <c r="D405" s="60"/>
      <c r="E405" s="61"/>
      <c r="F405" s="62"/>
      <c r="G405" s="63"/>
      <c r="H405" s="61"/>
      <c r="I405" s="61"/>
      <c r="J405" s="64"/>
      <c r="K405" s="17"/>
      <c r="L405" s="17"/>
      <c r="M405" s="83"/>
      <c r="N405" s="84" t="str">
        <f t="shared" si="97"/>
        <v/>
      </c>
      <c r="O405" s="20" t="str">
        <f t="shared" si="98"/>
        <v/>
      </c>
      <c r="P405" s="64" t="str">
        <f t="shared" si="99"/>
        <v/>
      </c>
      <c r="Q405" s="85" t="str">
        <f t="shared" ca="1" si="100"/>
        <v/>
      </c>
      <c r="R405" s="86" t="str">
        <f t="shared" si="101"/>
        <v/>
      </c>
      <c r="S405" s="86" t="str">
        <f t="shared" si="102"/>
        <v/>
      </c>
      <c r="T405" s="104" t="str">
        <f t="shared" si="103"/>
        <v/>
      </c>
      <c r="U405" s="19" t="str">
        <f>IF(AND(M405&lt;&gt;"",M405&lt;&gt;0), IF(E405 = "Muni", T405, IF(E405="Corp", T405*(1 -'Investor Input'!$C$4-'Investor Input'!$C$5), T405*(1 -'Investor Input'!$C$4))), T405)</f>
        <v/>
      </c>
      <c r="V405" s="84" t="str">
        <f t="shared" si="104"/>
        <v/>
      </c>
      <c r="W405" s="84" t="str">
        <f t="shared" si="90"/>
        <v/>
      </c>
      <c r="X405" s="21" t="str">
        <f t="shared" si="91"/>
        <v/>
      </c>
      <c r="Y405" s="60" t="str">
        <f t="shared" si="92"/>
        <v/>
      </c>
      <c r="Z405" s="60" t="str">
        <f t="shared" si="93"/>
        <v/>
      </c>
      <c r="AA405" s="64" t="str">
        <f t="shared" si="94"/>
        <v/>
      </c>
      <c r="AB405" s="64" t="str">
        <f>IF(AND(AA405&lt;&gt;"",AA405&lt;&gt;0), IF(E405="Muni", AA405, IF(E405 = "Corp", (1-'Investor Input'!$C$4-'Investor Input'!$C$5)*AA405, (1-'Investor Input'!$C$4)*AA405)), AA405)</f>
        <v/>
      </c>
      <c r="AC405" s="94" t="str">
        <f t="shared" si="95"/>
        <v/>
      </c>
      <c r="AD405" s="60" t="str">
        <f>IF(AND(M405&lt;&gt;"", M405&lt;&gt;0), N405/$N$505*MATCH(AC405,'Misc Lists'!$K$2:$K$25,0), "")</f>
        <v/>
      </c>
      <c r="AE405" s="90" t="str">
        <f t="shared" si="96"/>
        <v/>
      </c>
      <c r="AF405" s="99" t="str">
        <f>IF(AND(M405&lt;&gt;"", M405&lt;&gt;0), N405/$N$505*MATCH(AE405,'Misc Lists'!$L$2:$L$25,0), "")</f>
        <v/>
      </c>
    </row>
    <row r="406" spans="2:32" hidden="1" outlineLevel="1" x14ac:dyDescent="0.5">
      <c r="B406" s="60"/>
      <c r="C406" s="61"/>
      <c r="D406" s="60"/>
      <c r="E406" s="61"/>
      <c r="F406" s="62"/>
      <c r="G406" s="63"/>
      <c r="H406" s="61"/>
      <c r="I406" s="61"/>
      <c r="J406" s="64"/>
      <c r="K406" s="17"/>
      <c r="L406" s="17"/>
      <c r="M406" s="83"/>
      <c r="N406" s="84" t="str">
        <f t="shared" si="97"/>
        <v/>
      </c>
      <c r="O406" s="20" t="str">
        <f t="shared" si="98"/>
        <v/>
      </c>
      <c r="P406" s="64" t="str">
        <f t="shared" si="99"/>
        <v/>
      </c>
      <c r="Q406" s="85" t="str">
        <f t="shared" ca="1" si="100"/>
        <v/>
      </c>
      <c r="R406" s="86" t="str">
        <f t="shared" si="101"/>
        <v/>
      </c>
      <c r="S406" s="86" t="str">
        <f t="shared" si="102"/>
        <v/>
      </c>
      <c r="T406" s="104" t="str">
        <f t="shared" si="103"/>
        <v/>
      </c>
      <c r="U406" s="19" t="str">
        <f>IF(AND(M406&lt;&gt;"",M406&lt;&gt;0), IF(E406 = "Muni", T406, IF(E406="Corp", T406*(1 -'Investor Input'!$C$4-'Investor Input'!$C$5), T406*(1 -'Investor Input'!$C$4))), T406)</f>
        <v/>
      </c>
      <c r="V406" s="84" t="str">
        <f t="shared" si="104"/>
        <v/>
      </c>
      <c r="W406" s="84" t="str">
        <f t="shared" si="90"/>
        <v/>
      </c>
      <c r="X406" s="21" t="str">
        <f t="shared" si="91"/>
        <v/>
      </c>
      <c r="Y406" s="60" t="str">
        <f t="shared" si="92"/>
        <v/>
      </c>
      <c r="Z406" s="60" t="str">
        <f t="shared" si="93"/>
        <v/>
      </c>
      <c r="AA406" s="64" t="str">
        <f t="shared" si="94"/>
        <v/>
      </c>
      <c r="AB406" s="64" t="str">
        <f>IF(AND(AA406&lt;&gt;"",AA406&lt;&gt;0), IF(E406="Muni", AA406, IF(E406 = "Corp", (1-'Investor Input'!$C$4-'Investor Input'!$C$5)*AA406, (1-'Investor Input'!$C$4)*AA406)), AA406)</f>
        <v/>
      </c>
      <c r="AC406" s="94" t="str">
        <f t="shared" si="95"/>
        <v/>
      </c>
      <c r="AD406" s="60" t="str">
        <f>IF(AND(M406&lt;&gt;"", M406&lt;&gt;0), N406/$N$505*MATCH(AC406,'Misc Lists'!$K$2:$K$25,0), "")</f>
        <v/>
      </c>
      <c r="AE406" s="90" t="str">
        <f t="shared" si="96"/>
        <v/>
      </c>
      <c r="AF406" s="99" t="str">
        <f>IF(AND(M406&lt;&gt;"", M406&lt;&gt;0), N406/$N$505*MATCH(AE406,'Misc Lists'!$L$2:$L$25,0), "")</f>
        <v/>
      </c>
    </row>
    <row r="407" spans="2:32" hidden="1" outlineLevel="1" x14ac:dyDescent="0.5">
      <c r="B407" s="60"/>
      <c r="C407" s="61"/>
      <c r="D407" s="60"/>
      <c r="E407" s="61"/>
      <c r="F407" s="62"/>
      <c r="G407" s="63"/>
      <c r="H407" s="61"/>
      <c r="I407" s="61"/>
      <c r="J407" s="64"/>
      <c r="K407" s="17"/>
      <c r="L407" s="17"/>
      <c r="M407" s="83"/>
      <c r="N407" s="84" t="str">
        <f t="shared" si="97"/>
        <v/>
      </c>
      <c r="O407" s="20" t="str">
        <f t="shared" si="98"/>
        <v/>
      </c>
      <c r="P407" s="64" t="str">
        <f t="shared" si="99"/>
        <v/>
      </c>
      <c r="Q407" s="85" t="str">
        <f t="shared" ca="1" si="100"/>
        <v/>
      </c>
      <c r="R407" s="86" t="str">
        <f t="shared" si="101"/>
        <v/>
      </c>
      <c r="S407" s="86" t="str">
        <f t="shared" si="102"/>
        <v/>
      </c>
      <c r="T407" s="104" t="str">
        <f t="shared" si="103"/>
        <v/>
      </c>
      <c r="U407" s="19" t="str">
        <f>IF(AND(M407&lt;&gt;"",M407&lt;&gt;0), IF(E407 = "Muni", T407, IF(E407="Corp", T407*(1 -'Investor Input'!$C$4-'Investor Input'!$C$5), T407*(1 -'Investor Input'!$C$4))), T407)</f>
        <v/>
      </c>
      <c r="V407" s="84" t="str">
        <f t="shared" si="104"/>
        <v/>
      </c>
      <c r="W407" s="84" t="str">
        <f t="shared" si="90"/>
        <v/>
      </c>
      <c r="X407" s="21" t="str">
        <f t="shared" si="91"/>
        <v/>
      </c>
      <c r="Y407" s="60" t="str">
        <f t="shared" si="92"/>
        <v/>
      </c>
      <c r="Z407" s="60" t="str">
        <f t="shared" si="93"/>
        <v/>
      </c>
      <c r="AA407" s="64" t="str">
        <f t="shared" si="94"/>
        <v/>
      </c>
      <c r="AB407" s="64" t="str">
        <f>IF(AND(AA407&lt;&gt;"",AA407&lt;&gt;0), IF(E407="Muni", AA407, IF(E407 = "Corp", (1-'Investor Input'!$C$4-'Investor Input'!$C$5)*AA407, (1-'Investor Input'!$C$4)*AA407)), AA407)</f>
        <v/>
      </c>
      <c r="AC407" s="94" t="str">
        <f t="shared" si="95"/>
        <v/>
      </c>
      <c r="AD407" s="60" t="str">
        <f>IF(AND(M407&lt;&gt;"", M407&lt;&gt;0), N407/$N$505*MATCH(AC407,'Misc Lists'!$K$2:$K$25,0), "")</f>
        <v/>
      </c>
      <c r="AE407" s="90" t="str">
        <f t="shared" si="96"/>
        <v/>
      </c>
      <c r="AF407" s="99" t="str">
        <f>IF(AND(M407&lt;&gt;"", M407&lt;&gt;0), N407/$N$505*MATCH(AE407,'Misc Lists'!$L$2:$L$25,0), "")</f>
        <v/>
      </c>
    </row>
    <row r="408" spans="2:32" hidden="1" outlineLevel="1" x14ac:dyDescent="0.5">
      <c r="B408" s="60"/>
      <c r="C408" s="61"/>
      <c r="D408" s="60"/>
      <c r="E408" s="61"/>
      <c r="F408" s="62"/>
      <c r="G408" s="63"/>
      <c r="H408" s="61"/>
      <c r="I408" s="61"/>
      <c r="J408" s="64"/>
      <c r="K408" s="17"/>
      <c r="L408" s="17"/>
      <c r="M408" s="83"/>
      <c r="N408" s="84" t="str">
        <f t="shared" si="97"/>
        <v/>
      </c>
      <c r="O408" s="20" t="str">
        <f t="shared" si="98"/>
        <v/>
      </c>
      <c r="P408" s="64" t="str">
        <f t="shared" si="99"/>
        <v/>
      </c>
      <c r="Q408" s="85" t="str">
        <f t="shared" ca="1" si="100"/>
        <v/>
      </c>
      <c r="R408" s="86" t="str">
        <f t="shared" si="101"/>
        <v/>
      </c>
      <c r="S408" s="86" t="str">
        <f t="shared" si="102"/>
        <v/>
      </c>
      <c r="T408" s="104" t="str">
        <f t="shared" si="103"/>
        <v/>
      </c>
      <c r="U408" s="19" t="str">
        <f>IF(AND(M408&lt;&gt;"",M408&lt;&gt;0), IF(E408 = "Muni", T408, IF(E408="Corp", T408*(1 -'Investor Input'!$C$4-'Investor Input'!$C$5), T408*(1 -'Investor Input'!$C$4))), T408)</f>
        <v/>
      </c>
      <c r="V408" s="84" t="str">
        <f t="shared" si="104"/>
        <v/>
      </c>
      <c r="W408" s="84" t="str">
        <f t="shared" si="90"/>
        <v/>
      </c>
      <c r="X408" s="21" t="str">
        <f t="shared" si="91"/>
        <v/>
      </c>
      <c r="Y408" s="60" t="str">
        <f t="shared" si="92"/>
        <v/>
      </c>
      <c r="Z408" s="60" t="str">
        <f t="shared" si="93"/>
        <v/>
      </c>
      <c r="AA408" s="64" t="str">
        <f t="shared" si="94"/>
        <v/>
      </c>
      <c r="AB408" s="64" t="str">
        <f>IF(AND(AA408&lt;&gt;"",AA408&lt;&gt;0), IF(E408="Muni", AA408, IF(E408 = "Corp", (1-'Investor Input'!$C$4-'Investor Input'!$C$5)*AA408, (1-'Investor Input'!$C$4)*AA408)), AA408)</f>
        <v/>
      </c>
      <c r="AC408" s="94" t="str">
        <f t="shared" si="95"/>
        <v/>
      </c>
      <c r="AD408" s="60" t="str">
        <f>IF(AND(M408&lt;&gt;"", M408&lt;&gt;0), N408/$N$505*MATCH(AC408,'Misc Lists'!$K$2:$K$25,0), "")</f>
        <v/>
      </c>
      <c r="AE408" s="90" t="str">
        <f t="shared" si="96"/>
        <v/>
      </c>
      <c r="AF408" s="99" t="str">
        <f>IF(AND(M408&lt;&gt;"", M408&lt;&gt;0), N408/$N$505*MATCH(AE408,'Misc Lists'!$L$2:$L$25,0), "")</f>
        <v/>
      </c>
    </row>
    <row r="409" spans="2:32" hidden="1" outlineLevel="1" x14ac:dyDescent="0.5">
      <c r="B409" s="60"/>
      <c r="C409" s="61"/>
      <c r="D409" s="60"/>
      <c r="E409" s="61"/>
      <c r="F409" s="62"/>
      <c r="G409" s="63"/>
      <c r="H409" s="61"/>
      <c r="I409" s="61"/>
      <c r="J409" s="64"/>
      <c r="K409" s="17"/>
      <c r="L409" s="17"/>
      <c r="M409" s="83"/>
      <c r="N409" s="84" t="str">
        <f t="shared" si="97"/>
        <v/>
      </c>
      <c r="O409" s="20" t="str">
        <f t="shared" si="98"/>
        <v/>
      </c>
      <c r="P409" s="64" t="str">
        <f t="shared" si="99"/>
        <v/>
      </c>
      <c r="Q409" s="85" t="str">
        <f t="shared" ca="1" si="100"/>
        <v/>
      </c>
      <c r="R409" s="86" t="str">
        <f t="shared" si="101"/>
        <v/>
      </c>
      <c r="S409" s="86" t="str">
        <f t="shared" si="102"/>
        <v/>
      </c>
      <c r="T409" s="104" t="str">
        <f t="shared" si="103"/>
        <v/>
      </c>
      <c r="U409" s="19" t="str">
        <f>IF(AND(M409&lt;&gt;"",M409&lt;&gt;0), IF(E409 = "Muni", T409, IF(E409="Corp", T409*(1 -'Investor Input'!$C$4-'Investor Input'!$C$5), T409*(1 -'Investor Input'!$C$4))), T409)</f>
        <v/>
      </c>
      <c r="V409" s="84" t="str">
        <f t="shared" si="104"/>
        <v/>
      </c>
      <c r="W409" s="84" t="str">
        <f t="shared" si="90"/>
        <v/>
      </c>
      <c r="X409" s="21" t="str">
        <f t="shared" si="91"/>
        <v/>
      </c>
      <c r="Y409" s="60" t="str">
        <f t="shared" si="92"/>
        <v/>
      </c>
      <c r="Z409" s="60" t="str">
        <f t="shared" si="93"/>
        <v/>
      </c>
      <c r="AA409" s="64" t="str">
        <f t="shared" si="94"/>
        <v/>
      </c>
      <c r="AB409" s="64" t="str">
        <f>IF(AND(AA409&lt;&gt;"",AA409&lt;&gt;0), IF(E409="Muni", AA409, IF(E409 = "Corp", (1-'Investor Input'!$C$4-'Investor Input'!$C$5)*AA409, (1-'Investor Input'!$C$4)*AA409)), AA409)</f>
        <v/>
      </c>
      <c r="AC409" s="94" t="str">
        <f t="shared" si="95"/>
        <v/>
      </c>
      <c r="AD409" s="60" t="str">
        <f>IF(AND(M409&lt;&gt;"", M409&lt;&gt;0), N409/$N$505*MATCH(AC409,'Misc Lists'!$K$2:$K$25,0), "")</f>
        <v/>
      </c>
      <c r="AE409" s="90" t="str">
        <f t="shared" si="96"/>
        <v/>
      </c>
      <c r="AF409" s="99" t="str">
        <f>IF(AND(M409&lt;&gt;"", M409&lt;&gt;0), N409/$N$505*MATCH(AE409,'Misc Lists'!$L$2:$L$25,0), "")</f>
        <v/>
      </c>
    </row>
    <row r="410" spans="2:32" hidden="1" outlineLevel="1" x14ac:dyDescent="0.5">
      <c r="B410" s="60"/>
      <c r="C410" s="61"/>
      <c r="D410" s="60"/>
      <c r="E410" s="61"/>
      <c r="F410" s="62"/>
      <c r="G410" s="63"/>
      <c r="H410" s="61"/>
      <c r="I410" s="61"/>
      <c r="J410" s="64"/>
      <c r="K410" s="17"/>
      <c r="L410" s="17"/>
      <c r="M410" s="83"/>
      <c r="N410" s="84" t="str">
        <f t="shared" si="97"/>
        <v/>
      </c>
      <c r="O410" s="20" t="str">
        <f t="shared" si="98"/>
        <v/>
      </c>
      <c r="P410" s="64" t="str">
        <f t="shared" si="99"/>
        <v/>
      </c>
      <c r="Q410" s="85" t="str">
        <f t="shared" ca="1" si="100"/>
        <v/>
      </c>
      <c r="R410" s="86" t="str">
        <f t="shared" si="101"/>
        <v/>
      </c>
      <c r="S410" s="86" t="str">
        <f t="shared" si="102"/>
        <v/>
      </c>
      <c r="T410" s="104" t="str">
        <f t="shared" si="103"/>
        <v/>
      </c>
      <c r="U410" s="19" t="str">
        <f>IF(AND(M410&lt;&gt;"",M410&lt;&gt;0), IF(E410 = "Muni", T410, IF(E410="Corp", T410*(1 -'Investor Input'!$C$4-'Investor Input'!$C$5), T410*(1 -'Investor Input'!$C$4))), T410)</f>
        <v/>
      </c>
      <c r="V410" s="84" t="str">
        <f t="shared" si="104"/>
        <v/>
      </c>
      <c r="W410" s="84" t="str">
        <f t="shared" si="90"/>
        <v/>
      </c>
      <c r="X410" s="21" t="str">
        <f t="shared" si="91"/>
        <v/>
      </c>
      <c r="Y410" s="60" t="str">
        <f t="shared" si="92"/>
        <v/>
      </c>
      <c r="Z410" s="60" t="str">
        <f t="shared" si="93"/>
        <v/>
      </c>
      <c r="AA410" s="64" t="str">
        <f t="shared" si="94"/>
        <v/>
      </c>
      <c r="AB410" s="64" t="str">
        <f>IF(AND(AA410&lt;&gt;"",AA410&lt;&gt;0), IF(E410="Muni", AA410, IF(E410 = "Corp", (1-'Investor Input'!$C$4-'Investor Input'!$C$5)*AA410, (1-'Investor Input'!$C$4)*AA410)), AA410)</f>
        <v/>
      </c>
      <c r="AC410" s="94" t="str">
        <f t="shared" si="95"/>
        <v/>
      </c>
      <c r="AD410" s="60" t="str">
        <f>IF(AND(M410&lt;&gt;"", M410&lt;&gt;0), N410/$N$505*MATCH(AC410,'Misc Lists'!$K$2:$K$25,0), "")</f>
        <v/>
      </c>
      <c r="AE410" s="90" t="str">
        <f t="shared" si="96"/>
        <v/>
      </c>
      <c r="AF410" s="99" t="str">
        <f>IF(AND(M410&lt;&gt;"", M410&lt;&gt;0), N410/$N$505*MATCH(AE410,'Misc Lists'!$L$2:$L$25,0), "")</f>
        <v/>
      </c>
    </row>
    <row r="411" spans="2:32" hidden="1" outlineLevel="1" x14ac:dyDescent="0.5">
      <c r="B411" s="60"/>
      <c r="C411" s="61"/>
      <c r="D411" s="60"/>
      <c r="E411" s="61"/>
      <c r="F411" s="62"/>
      <c r="G411" s="63"/>
      <c r="H411" s="61"/>
      <c r="I411" s="61"/>
      <c r="J411" s="64"/>
      <c r="K411" s="17"/>
      <c r="L411" s="17"/>
      <c r="M411" s="83"/>
      <c r="N411" s="84" t="str">
        <f t="shared" si="97"/>
        <v/>
      </c>
      <c r="O411" s="20" t="str">
        <f t="shared" si="98"/>
        <v/>
      </c>
      <c r="P411" s="64" t="str">
        <f t="shared" si="99"/>
        <v/>
      </c>
      <c r="Q411" s="85" t="str">
        <f t="shared" ca="1" si="100"/>
        <v/>
      </c>
      <c r="R411" s="86" t="str">
        <f t="shared" si="101"/>
        <v/>
      </c>
      <c r="S411" s="86" t="str">
        <f t="shared" si="102"/>
        <v/>
      </c>
      <c r="T411" s="104" t="str">
        <f t="shared" si="103"/>
        <v/>
      </c>
      <c r="U411" s="19" t="str">
        <f>IF(AND(M411&lt;&gt;"",M411&lt;&gt;0), IF(E411 = "Muni", T411, IF(E411="Corp", T411*(1 -'Investor Input'!$C$4-'Investor Input'!$C$5), T411*(1 -'Investor Input'!$C$4))), T411)</f>
        <v/>
      </c>
      <c r="V411" s="84" t="str">
        <f t="shared" si="104"/>
        <v/>
      </c>
      <c r="W411" s="84" t="str">
        <f t="shared" si="90"/>
        <v/>
      </c>
      <c r="X411" s="21" t="str">
        <f t="shared" si="91"/>
        <v/>
      </c>
      <c r="Y411" s="60" t="str">
        <f t="shared" si="92"/>
        <v/>
      </c>
      <c r="Z411" s="60" t="str">
        <f t="shared" si="93"/>
        <v/>
      </c>
      <c r="AA411" s="64" t="str">
        <f t="shared" si="94"/>
        <v/>
      </c>
      <c r="AB411" s="64" t="str">
        <f>IF(AND(AA411&lt;&gt;"",AA411&lt;&gt;0), IF(E411="Muni", AA411, IF(E411 = "Corp", (1-'Investor Input'!$C$4-'Investor Input'!$C$5)*AA411, (1-'Investor Input'!$C$4)*AA411)), AA411)</f>
        <v/>
      </c>
      <c r="AC411" s="94" t="str">
        <f t="shared" si="95"/>
        <v/>
      </c>
      <c r="AD411" s="60" t="str">
        <f>IF(AND(M411&lt;&gt;"", M411&lt;&gt;0), N411/$N$505*MATCH(AC411,'Misc Lists'!$K$2:$K$25,0), "")</f>
        <v/>
      </c>
      <c r="AE411" s="90" t="str">
        <f t="shared" si="96"/>
        <v/>
      </c>
      <c r="AF411" s="99" t="str">
        <f>IF(AND(M411&lt;&gt;"", M411&lt;&gt;0), N411/$N$505*MATCH(AE411,'Misc Lists'!$L$2:$L$25,0), "")</f>
        <v/>
      </c>
    </row>
    <row r="412" spans="2:32" hidden="1" outlineLevel="1" x14ac:dyDescent="0.5">
      <c r="B412" s="60"/>
      <c r="C412" s="61"/>
      <c r="D412" s="60"/>
      <c r="E412" s="61"/>
      <c r="F412" s="62"/>
      <c r="G412" s="63"/>
      <c r="H412" s="61"/>
      <c r="I412" s="61"/>
      <c r="J412" s="64"/>
      <c r="K412" s="17"/>
      <c r="L412" s="17"/>
      <c r="M412" s="83"/>
      <c r="N412" s="84" t="str">
        <f t="shared" si="97"/>
        <v/>
      </c>
      <c r="O412" s="20" t="str">
        <f t="shared" si="98"/>
        <v/>
      </c>
      <c r="P412" s="64" t="str">
        <f t="shared" si="99"/>
        <v/>
      </c>
      <c r="Q412" s="85" t="str">
        <f t="shared" ca="1" si="100"/>
        <v/>
      </c>
      <c r="R412" s="86" t="str">
        <f t="shared" si="101"/>
        <v/>
      </c>
      <c r="S412" s="86" t="str">
        <f t="shared" si="102"/>
        <v/>
      </c>
      <c r="T412" s="104" t="str">
        <f t="shared" si="103"/>
        <v/>
      </c>
      <c r="U412" s="19" t="str">
        <f>IF(AND(M412&lt;&gt;"",M412&lt;&gt;0), IF(E412 = "Muni", T412, IF(E412="Corp", T412*(1 -'Investor Input'!$C$4-'Investor Input'!$C$5), T412*(1 -'Investor Input'!$C$4))), T412)</f>
        <v/>
      </c>
      <c r="V412" s="84" t="str">
        <f t="shared" si="104"/>
        <v/>
      </c>
      <c r="W412" s="84" t="str">
        <f t="shared" si="90"/>
        <v/>
      </c>
      <c r="X412" s="21" t="str">
        <f t="shared" si="91"/>
        <v/>
      </c>
      <c r="Y412" s="60" t="str">
        <f t="shared" si="92"/>
        <v/>
      </c>
      <c r="Z412" s="60" t="str">
        <f t="shared" si="93"/>
        <v/>
      </c>
      <c r="AA412" s="64" t="str">
        <f t="shared" si="94"/>
        <v/>
      </c>
      <c r="AB412" s="64" t="str">
        <f>IF(AND(AA412&lt;&gt;"",AA412&lt;&gt;0), IF(E412="Muni", AA412, IF(E412 = "Corp", (1-'Investor Input'!$C$4-'Investor Input'!$C$5)*AA412, (1-'Investor Input'!$C$4)*AA412)), AA412)</f>
        <v/>
      </c>
      <c r="AC412" s="94" t="str">
        <f t="shared" si="95"/>
        <v/>
      </c>
      <c r="AD412" s="60" t="str">
        <f>IF(AND(M412&lt;&gt;"", M412&lt;&gt;0), N412/$N$505*MATCH(AC412,'Misc Lists'!$K$2:$K$25,0), "")</f>
        <v/>
      </c>
      <c r="AE412" s="90" t="str">
        <f t="shared" si="96"/>
        <v/>
      </c>
      <c r="AF412" s="99" t="str">
        <f>IF(AND(M412&lt;&gt;"", M412&lt;&gt;0), N412/$N$505*MATCH(AE412,'Misc Lists'!$L$2:$L$25,0), "")</f>
        <v/>
      </c>
    </row>
    <row r="413" spans="2:32" hidden="1" outlineLevel="1" x14ac:dyDescent="0.5">
      <c r="B413" s="60"/>
      <c r="C413" s="61"/>
      <c r="D413" s="60"/>
      <c r="E413" s="61"/>
      <c r="F413" s="62"/>
      <c r="G413" s="63"/>
      <c r="H413" s="61"/>
      <c r="I413" s="61"/>
      <c r="J413" s="64"/>
      <c r="K413" s="17"/>
      <c r="L413" s="17"/>
      <c r="M413" s="83"/>
      <c r="N413" s="84" t="str">
        <f t="shared" si="97"/>
        <v/>
      </c>
      <c r="O413" s="20" t="str">
        <f t="shared" si="98"/>
        <v/>
      </c>
      <c r="P413" s="64" t="str">
        <f t="shared" si="99"/>
        <v/>
      </c>
      <c r="Q413" s="85" t="str">
        <f t="shared" ca="1" si="100"/>
        <v/>
      </c>
      <c r="R413" s="86" t="str">
        <f t="shared" si="101"/>
        <v/>
      </c>
      <c r="S413" s="86" t="str">
        <f t="shared" si="102"/>
        <v/>
      </c>
      <c r="T413" s="104" t="str">
        <f t="shared" si="103"/>
        <v/>
      </c>
      <c r="U413" s="19" t="str">
        <f>IF(AND(M413&lt;&gt;"",M413&lt;&gt;0), IF(E413 = "Muni", T413, IF(E413="Corp", T413*(1 -'Investor Input'!$C$4-'Investor Input'!$C$5), T413*(1 -'Investor Input'!$C$4))), T413)</f>
        <v/>
      </c>
      <c r="V413" s="84" t="str">
        <f t="shared" si="104"/>
        <v/>
      </c>
      <c r="W413" s="84" t="str">
        <f t="shared" si="90"/>
        <v/>
      </c>
      <c r="X413" s="21" t="str">
        <f t="shared" si="91"/>
        <v/>
      </c>
      <c r="Y413" s="60" t="str">
        <f t="shared" si="92"/>
        <v/>
      </c>
      <c r="Z413" s="60" t="str">
        <f t="shared" si="93"/>
        <v/>
      </c>
      <c r="AA413" s="64" t="str">
        <f t="shared" si="94"/>
        <v/>
      </c>
      <c r="AB413" s="64" t="str">
        <f>IF(AND(AA413&lt;&gt;"",AA413&lt;&gt;0), IF(E413="Muni", AA413, IF(E413 = "Corp", (1-'Investor Input'!$C$4-'Investor Input'!$C$5)*AA413, (1-'Investor Input'!$C$4)*AA413)), AA413)</f>
        <v/>
      </c>
      <c r="AC413" s="94" t="str">
        <f t="shared" si="95"/>
        <v/>
      </c>
      <c r="AD413" s="60" t="str">
        <f>IF(AND(M413&lt;&gt;"", M413&lt;&gt;0), N413/$N$505*MATCH(AC413,'Misc Lists'!$K$2:$K$25,0), "")</f>
        <v/>
      </c>
      <c r="AE413" s="90" t="str">
        <f t="shared" si="96"/>
        <v/>
      </c>
      <c r="AF413" s="99" t="str">
        <f>IF(AND(M413&lt;&gt;"", M413&lt;&gt;0), N413/$N$505*MATCH(AE413,'Misc Lists'!$L$2:$L$25,0), "")</f>
        <v/>
      </c>
    </row>
    <row r="414" spans="2:32" hidden="1" outlineLevel="1" x14ac:dyDescent="0.5">
      <c r="B414" s="60"/>
      <c r="C414" s="61"/>
      <c r="D414" s="60"/>
      <c r="E414" s="61"/>
      <c r="F414" s="62"/>
      <c r="G414" s="63"/>
      <c r="H414" s="61"/>
      <c r="I414" s="61"/>
      <c r="J414" s="64"/>
      <c r="K414" s="17"/>
      <c r="L414" s="17"/>
      <c r="M414" s="83"/>
      <c r="N414" s="84" t="str">
        <f t="shared" si="97"/>
        <v/>
      </c>
      <c r="O414" s="20" t="str">
        <f t="shared" si="98"/>
        <v/>
      </c>
      <c r="P414" s="64" t="str">
        <f t="shared" si="99"/>
        <v/>
      </c>
      <c r="Q414" s="85" t="str">
        <f t="shared" ca="1" si="100"/>
        <v/>
      </c>
      <c r="R414" s="86" t="str">
        <f t="shared" si="101"/>
        <v/>
      </c>
      <c r="S414" s="86" t="str">
        <f t="shared" si="102"/>
        <v/>
      </c>
      <c r="T414" s="104" t="str">
        <f t="shared" si="103"/>
        <v/>
      </c>
      <c r="U414" s="19" t="str">
        <f>IF(AND(M414&lt;&gt;"",M414&lt;&gt;0), IF(E414 = "Muni", T414, IF(E414="Corp", T414*(1 -'Investor Input'!$C$4-'Investor Input'!$C$5), T414*(1 -'Investor Input'!$C$4))), T414)</f>
        <v/>
      </c>
      <c r="V414" s="84" t="str">
        <f t="shared" si="104"/>
        <v/>
      </c>
      <c r="W414" s="84" t="str">
        <f t="shared" si="90"/>
        <v/>
      </c>
      <c r="X414" s="21" t="str">
        <f t="shared" si="91"/>
        <v/>
      </c>
      <c r="Y414" s="60" t="str">
        <f t="shared" si="92"/>
        <v/>
      </c>
      <c r="Z414" s="60" t="str">
        <f t="shared" si="93"/>
        <v/>
      </c>
      <c r="AA414" s="64" t="str">
        <f t="shared" si="94"/>
        <v/>
      </c>
      <c r="AB414" s="64" t="str">
        <f>IF(AND(AA414&lt;&gt;"",AA414&lt;&gt;0), IF(E414="Muni", AA414, IF(E414 = "Corp", (1-'Investor Input'!$C$4-'Investor Input'!$C$5)*AA414, (1-'Investor Input'!$C$4)*AA414)), AA414)</f>
        <v/>
      </c>
      <c r="AC414" s="94" t="str">
        <f t="shared" si="95"/>
        <v/>
      </c>
      <c r="AD414" s="60" t="str">
        <f>IF(AND(M414&lt;&gt;"", M414&lt;&gt;0), N414/$N$505*MATCH(AC414,'Misc Lists'!$K$2:$K$25,0), "")</f>
        <v/>
      </c>
      <c r="AE414" s="90" t="str">
        <f t="shared" si="96"/>
        <v/>
      </c>
      <c r="AF414" s="99" t="str">
        <f>IF(AND(M414&lt;&gt;"", M414&lt;&gt;0), N414/$N$505*MATCH(AE414,'Misc Lists'!$L$2:$L$25,0), "")</f>
        <v/>
      </c>
    </row>
    <row r="415" spans="2:32" hidden="1" outlineLevel="1" x14ac:dyDescent="0.5">
      <c r="B415" s="60"/>
      <c r="C415" s="61"/>
      <c r="D415" s="60"/>
      <c r="E415" s="61"/>
      <c r="F415" s="62"/>
      <c r="G415" s="63"/>
      <c r="H415" s="61"/>
      <c r="I415" s="61"/>
      <c r="J415" s="64"/>
      <c r="K415" s="17"/>
      <c r="L415" s="17"/>
      <c r="M415" s="83"/>
      <c r="N415" s="84" t="str">
        <f t="shared" si="97"/>
        <v/>
      </c>
      <c r="O415" s="20" t="str">
        <f t="shared" si="98"/>
        <v/>
      </c>
      <c r="P415" s="64" t="str">
        <f t="shared" si="99"/>
        <v/>
      </c>
      <c r="Q415" s="85" t="str">
        <f t="shared" ca="1" si="100"/>
        <v/>
      </c>
      <c r="R415" s="86" t="str">
        <f t="shared" si="101"/>
        <v/>
      </c>
      <c r="S415" s="86" t="str">
        <f t="shared" si="102"/>
        <v/>
      </c>
      <c r="T415" s="104" t="str">
        <f t="shared" si="103"/>
        <v/>
      </c>
      <c r="U415" s="19" t="str">
        <f>IF(AND(M415&lt;&gt;"",M415&lt;&gt;0), IF(E415 = "Muni", T415, IF(E415="Corp", T415*(1 -'Investor Input'!$C$4-'Investor Input'!$C$5), T415*(1 -'Investor Input'!$C$4))), T415)</f>
        <v/>
      </c>
      <c r="V415" s="84" t="str">
        <f t="shared" si="104"/>
        <v/>
      </c>
      <c r="W415" s="84" t="str">
        <f t="shared" si="90"/>
        <v/>
      </c>
      <c r="X415" s="21" t="str">
        <f t="shared" si="91"/>
        <v/>
      </c>
      <c r="Y415" s="60" t="str">
        <f t="shared" si="92"/>
        <v/>
      </c>
      <c r="Z415" s="60" t="str">
        <f t="shared" si="93"/>
        <v/>
      </c>
      <c r="AA415" s="64" t="str">
        <f t="shared" si="94"/>
        <v/>
      </c>
      <c r="AB415" s="64" t="str">
        <f>IF(AND(AA415&lt;&gt;"",AA415&lt;&gt;0), IF(E415="Muni", AA415, IF(E415 = "Corp", (1-'Investor Input'!$C$4-'Investor Input'!$C$5)*AA415, (1-'Investor Input'!$C$4)*AA415)), AA415)</f>
        <v/>
      </c>
      <c r="AC415" s="94" t="str">
        <f t="shared" si="95"/>
        <v/>
      </c>
      <c r="AD415" s="60" t="str">
        <f>IF(AND(M415&lt;&gt;"", M415&lt;&gt;0), N415/$N$505*MATCH(AC415,'Misc Lists'!$K$2:$K$25,0), "")</f>
        <v/>
      </c>
      <c r="AE415" s="90" t="str">
        <f t="shared" si="96"/>
        <v/>
      </c>
      <c r="AF415" s="99" t="str">
        <f>IF(AND(M415&lt;&gt;"", M415&lt;&gt;0), N415/$N$505*MATCH(AE415,'Misc Lists'!$L$2:$L$25,0), "")</f>
        <v/>
      </c>
    </row>
    <row r="416" spans="2:32" hidden="1" outlineLevel="1" x14ac:dyDescent="0.5">
      <c r="B416" s="60"/>
      <c r="C416" s="61"/>
      <c r="D416" s="60"/>
      <c r="E416" s="61"/>
      <c r="F416" s="62"/>
      <c r="G416" s="63"/>
      <c r="H416" s="61"/>
      <c r="I416" s="61"/>
      <c r="J416" s="64"/>
      <c r="K416" s="17"/>
      <c r="L416" s="17"/>
      <c r="M416" s="83"/>
      <c r="N416" s="84" t="str">
        <f t="shared" si="97"/>
        <v/>
      </c>
      <c r="O416" s="20" t="str">
        <f t="shared" si="98"/>
        <v/>
      </c>
      <c r="P416" s="64" t="str">
        <f t="shared" si="99"/>
        <v/>
      </c>
      <c r="Q416" s="85" t="str">
        <f t="shared" ca="1" si="100"/>
        <v/>
      </c>
      <c r="R416" s="86" t="str">
        <f t="shared" si="101"/>
        <v/>
      </c>
      <c r="S416" s="86" t="str">
        <f t="shared" si="102"/>
        <v/>
      </c>
      <c r="T416" s="104" t="str">
        <f t="shared" si="103"/>
        <v/>
      </c>
      <c r="U416" s="19" t="str">
        <f>IF(AND(M416&lt;&gt;"",M416&lt;&gt;0), IF(E416 = "Muni", T416, IF(E416="Corp", T416*(1 -'Investor Input'!$C$4-'Investor Input'!$C$5), T416*(1 -'Investor Input'!$C$4))), T416)</f>
        <v/>
      </c>
      <c r="V416" s="84" t="str">
        <f t="shared" si="104"/>
        <v/>
      </c>
      <c r="W416" s="84" t="str">
        <f t="shared" si="90"/>
        <v/>
      </c>
      <c r="X416" s="21" t="str">
        <f t="shared" si="91"/>
        <v/>
      </c>
      <c r="Y416" s="60" t="str">
        <f t="shared" si="92"/>
        <v/>
      </c>
      <c r="Z416" s="60" t="str">
        <f t="shared" si="93"/>
        <v/>
      </c>
      <c r="AA416" s="64" t="str">
        <f t="shared" si="94"/>
        <v/>
      </c>
      <c r="AB416" s="64" t="str">
        <f>IF(AND(AA416&lt;&gt;"",AA416&lt;&gt;0), IF(E416="Muni", AA416, IF(E416 = "Corp", (1-'Investor Input'!$C$4-'Investor Input'!$C$5)*AA416, (1-'Investor Input'!$C$4)*AA416)), AA416)</f>
        <v/>
      </c>
      <c r="AC416" s="94" t="str">
        <f t="shared" si="95"/>
        <v/>
      </c>
      <c r="AD416" s="60" t="str">
        <f>IF(AND(M416&lt;&gt;"", M416&lt;&gt;0), N416/$N$505*MATCH(AC416,'Misc Lists'!$K$2:$K$25,0), "")</f>
        <v/>
      </c>
      <c r="AE416" s="90" t="str">
        <f t="shared" si="96"/>
        <v/>
      </c>
      <c r="AF416" s="99" t="str">
        <f>IF(AND(M416&lt;&gt;"", M416&lt;&gt;0), N416/$N$505*MATCH(AE416,'Misc Lists'!$L$2:$L$25,0), "")</f>
        <v/>
      </c>
    </row>
    <row r="417" spans="2:32" hidden="1" outlineLevel="1" x14ac:dyDescent="0.5">
      <c r="B417" s="60"/>
      <c r="C417" s="61"/>
      <c r="D417" s="60"/>
      <c r="E417" s="61"/>
      <c r="F417" s="62"/>
      <c r="G417" s="63"/>
      <c r="H417" s="61"/>
      <c r="I417" s="61"/>
      <c r="J417" s="64"/>
      <c r="K417" s="17"/>
      <c r="L417" s="17"/>
      <c r="M417" s="83"/>
      <c r="N417" s="84" t="str">
        <f t="shared" si="97"/>
        <v/>
      </c>
      <c r="O417" s="20" t="str">
        <f t="shared" si="98"/>
        <v/>
      </c>
      <c r="P417" s="64" t="str">
        <f t="shared" si="99"/>
        <v/>
      </c>
      <c r="Q417" s="85" t="str">
        <f t="shared" ca="1" si="100"/>
        <v/>
      </c>
      <c r="R417" s="86" t="str">
        <f t="shared" si="101"/>
        <v/>
      </c>
      <c r="S417" s="86" t="str">
        <f t="shared" si="102"/>
        <v/>
      </c>
      <c r="T417" s="104" t="str">
        <f t="shared" si="103"/>
        <v/>
      </c>
      <c r="U417" s="19" t="str">
        <f>IF(AND(M417&lt;&gt;"",M417&lt;&gt;0), IF(E417 = "Muni", T417, IF(E417="Corp", T417*(1 -'Investor Input'!$C$4-'Investor Input'!$C$5), T417*(1 -'Investor Input'!$C$4))), T417)</f>
        <v/>
      </c>
      <c r="V417" s="84" t="str">
        <f t="shared" si="104"/>
        <v/>
      </c>
      <c r="W417" s="84" t="str">
        <f t="shared" si="90"/>
        <v/>
      </c>
      <c r="X417" s="21" t="str">
        <f t="shared" si="91"/>
        <v/>
      </c>
      <c r="Y417" s="60" t="str">
        <f t="shared" si="92"/>
        <v/>
      </c>
      <c r="Z417" s="60" t="str">
        <f t="shared" si="93"/>
        <v/>
      </c>
      <c r="AA417" s="64" t="str">
        <f t="shared" si="94"/>
        <v/>
      </c>
      <c r="AB417" s="64" t="str">
        <f>IF(AND(AA417&lt;&gt;"",AA417&lt;&gt;0), IF(E417="Muni", AA417, IF(E417 = "Corp", (1-'Investor Input'!$C$4-'Investor Input'!$C$5)*AA417, (1-'Investor Input'!$C$4)*AA417)), AA417)</f>
        <v/>
      </c>
      <c r="AC417" s="94" t="str">
        <f t="shared" si="95"/>
        <v/>
      </c>
      <c r="AD417" s="60" t="str">
        <f>IF(AND(M417&lt;&gt;"", M417&lt;&gt;0), N417/$N$505*MATCH(AC417,'Misc Lists'!$K$2:$K$25,0), "")</f>
        <v/>
      </c>
      <c r="AE417" s="90" t="str">
        <f t="shared" si="96"/>
        <v/>
      </c>
      <c r="AF417" s="99" t="str">
        <f>IF(AND(M417&lt;&gt;"", M417&lt;&gt;0), N417/$N$505*MATCH(AE417,'Misc Lists'!$L$2:$L$25,0), "")</f>
        <v/>
      </c>
    </row>
    <row r="418" spans="2:32" hidden="1" outlineLevel="1" x14ac:dyDescent="0.5">
      <c r="B418" s="60"/>
      <c r="C418" s="61"/>
      <c r="D418" s="60"/>
      <c r="E418" s="61"/>
      <c r="F418" s="62"/>
      <c r="G418" s="63"/>
      <c r="H418" s="61"/>
      <c r="I418" s="61"/>
      <c r="J418" s="64"/>
      <c r="K418" s="17"/>
      <c r="L418" s="17"/>
      <c r="M418" s="83"/>
      <c r="N418" s="84" t="str">
        <f t="shared" si="97"/>
        <v/>
      </c>
      <c r="O418" s="20" t="str">
        <f t="shared" si="98"/>
        <v/>
      </c>
      <c r="P418" s="64" t="str">
        <f t="shared" si="99"/>
        <v/>
      </c>
      <c r="Q418" s="85" t="str">
        <f t="shared" ca="1" si="100"/>
        <v/>
      </c>
      <c r="R418" s="86" t="str">
        <f t="shared" si="101"/>
        <v/>
      </c>
      <c r="S418" s="86" t="str">
        <f t="shared" si="102"/>
        <v/>
      </c>
      <c r="T418" s="104" t="str">
        <f t="shared" si="103"/>
        <v/>
      </c>
      <c r="U418" s="19" t="str">
        <f>IF(AND(M418&lt;&gt;"",M418&lt;&gt;0), IF(E418 = "Muni", T418, IF(E418="Corp", T418*(1 -'Investor Input'!$C$4-'Investor Input'!$C$5), T418*(1 -'Investor Input'!$C$4))), T418)</f>
        <v/>
      </c>
      <c r="V418" s="84" t="str">
        <f t="shared" si="104"/>
        <v/>
      </c>
      <c r="W418" s="84" t="str">
        <f t="shared" si="90"/>
        <v/>
      </c>
      <c r="X418" s="21" t="str">
        <f t="shared" si="91"/>
        <v/>
      </c>
      <c r="Y418" s="60" t="str">
        <f t="shared" si="92"/>
        <v/>
      </c>
      <c r="Z418" s="60" t="str">
        <f t="shared" si="93"/>
        <v/>
      </c>
      <c r="AA418" s="64" t="str">
        <f t="shared" si="94"/>
        <v/>
      </c>
      <c r="AB418" s="64" t="str">
        <f>IF(AND(AA418&lt;&gt;"",AA418&lt;&gt;0), IF(E418="Muni", AA418, IF(E418 = "Corp", (1-'Investor Input'!$C$4-'Investor Input'!$C$5)*AA418, (1-'Investor Input'!$C$4)*AA418)), AA418)</f>
        <v/>
      </c>
      <c r="AC418" s="94" t="str">
        <f t="shared" si="95"/>
        <v/>
      </c>
      <c r="AD418" s="60" t="str">
        <f>IF(AND(M418&lt;&gt;"", M418&lt;&gt;0), N418/$N$505*MATCH(AC418,'Misc Lists'!$K$2:$K$25,0), "")</f>
        <v/>
      </c>
      <c r="AE418" s="90" t="str">
        <f t="shared" si="96"/>
        <v/>
      </c>
      <c r="AF418" s="99" t="str">
        <f>IF(AND(M418&lt;&gt;"", M418&lt;&gt;0), N418/$N$505*MATCH(AE418,'Misc Lists'!$L$2:$L$25,0), "")</f>
        <v/>
      </c>
    </row>
    <row r="419" spans="2:32" hidden="1" outlineLevel="1" x14ac:dyDescent="0.5">
      <c r="B419" s="60"/>
      <c r="C419" s="61"/>
      <c r="D419" s="60"/>
      <c r="E419" s="61"/>
      <c r="F419" s="62"/>
      <c r="G419" s="63"/>
      <c r="H419" s="61"/>
      <c r="I419" s="61"/>
      <c r="J419" s="64"/>
      <c r="K419" s="17"/>
      <c r="L419" s="17"/>
      <c r="M419" s="83"/>
      <c r="N419" s="84" t="str">
        <f t="shared" si="97"/>
        <v/>
      </c>
      <c r="O419" s="20" t="str">
        <f t="shared" si="98"/>
        <v/>
      </c>
      <c r="P419" s="64" t="str">
        <f t="shared" si="99"/>
        <v/>
      </c>
      <c r="Q419" s="85" t="str">
        <f t="shared" ca="1" si="100"/>
        <v/>
      </c>
      <c r="R419" s="86" t="str">
        <f t="shared" si="101"/>
        <v/>
      </c>
      <c r="S419" s="86" t="str">
        <f t="shared" si="102"/>
        <v/>
      </c>
      <c r="T419" s="104" t="str">
        <f t="shared" si="103"/>
        <v/>
      </c>
      <c r="U419" s="19" t="str">
        <f>IF(AND(M419&lt;&gt;"",M419&lt;&gt;0), IF(E419 = "Muni", T419, IF(E419="Corp", T419*(1 -'Investor Input'!$C$4-'Investor Input'!$C$5), T419*(1 -'Investor Input'!$C$4))), T419)</f>
        <v/>
      </c>
      <c r="V419" s="84" t="str">
        <f t="shared" si="104"/>
        <v/>
      </c>
      <c r="W419" s="84" t="str">
        <f t="shared" si="90"/>
        <v/>
      </c>
      <c r="X419" s="21" t="str">
        <f t="shared" si="91"/>
        <v/>
      </c>
      <c r="Y419" s="60" t="str">
        <f t="shared" si="92"/>
        <v/>
      </c>
      <c r="Z419" s="60" t="str">
        <f t="shared" si="93"/>
        <v/>
      </c>
      <c r="AA419" s="64" t="str">
        <f t="shared" si="94"/>
        <v/>
      </c>
      <c r="AB419" s="64" t="str">
        <f>IF(AND(AA419&lt;&gt;"",AA419&lt;&gt;0), IF(E419="Muni", AA419, IF(E419 = "Corp", (1-'Investor Input'!$C$4-'Investor Input'!$C$5)*AA419, (1-'Investor Input'!$C$4)*AA419)), AA419)</f>
        <v/>
      </c>
      <c r="AC419" s="94" t="str">
        <f t="shared" si="95"/>
        <v/>
      </c>
      <c r="AD419" s="60" t="str">
        <f>IF(AND(M419&lt;&gt;"", M419&lt;&gt;0), N419/$N$505*MATCH(AC419,'Misc Lists'!$K$2:$K$25,0), "")</f>
        <v/>
      </c>
      <c r="AE419" s="90" t="str">
        <f t="shared" si="96"/>
        <v/>
      </c>
      <c r="AF419" s="99" t="str">
        <f>IF(AND(M419&lt;&gt;"", M419&lt;&gt;0), N419/$N$505*MATCH(AE419,'Misc Lists'!$L$2:$L$25,0), "")</f>
        <v/>
      </c>
    </row>
    <row r="420" spans="2:32" hidden="1" outlineLevel="1" x14ac:dyDescent="0.5">
      <c r="B420" s="60"/>
      <c r="C420" s="61"/>
      <c r="D420" s="60"/>
      <c r="E420" s="61"/>
      <c r="F420" s="62"/>
      <c r="G420" s="63"/>
      <c r="H420" s="61"/>
      <c r="I420" s="61"/>
      <c r="J420" s="64"/>
      <c r="K420" s="17"/>
      <c r="L420" s="17"/>
      <c r="M420" s="83"/>
      <c r="N420" s="84" t="str">
        <f t="shared" si="97"/>
        <v/>
      </c>
      <c r="O420" s="20" t="str">
        <f t="shared" si="98"/>
        <v/>
      </c>
      <c r="P420" s="64" t="str">
        <f t="shared" si="99"/>
        <v/>
      </c>
      <c r="Q420" s="85" t="str">
        <f t="shared" ca="1" si="100"/>
        <v/>
      </c>
      <c r="R420" s="86" t="str">
        <f t="shared" si="101"/>
        <v/>
      </c>
      <c r="S420" s="86" t="str">
        <f t="shared" si="102"/>
        <v/>
      </c>
      <c r="T420" s="104" t="str">
        <f t="shared" si="103"/>
        <v/>
      </c>
      <c r="U420" s="19" t="str">
        <f>IF(AND(M420&lt;&gt;"",M420&lt;&gt;0), IF(E420 = "Muni", T420, IF(E420="Corp", T420*(1 -'Investor Input'!$C$4-'Investor Input'!$C$5), T420*(1 -'Investor Input'!$C$4))), T420)</f>
        <v/>
      </c>
      <c r="V420" s="84" t="str">
        <f t="shared" si="104"/>
        <v/>
      </c>
      <c r="W420" s="84" t="str">
        <f t="shared" si="90"/>
        <v/>
      </c>
      <c r="X420" s="21" t="str">
        <f t="shared" si="91"/>
        <v/>
      </c>
      <c r="Y420" s="60" t="str">
        <f t="shared" si="92"/>
        <v/>
      </c>
      <c r="Z420" s="60" t="str">
        <f t="shared" si="93"/>
        <v/>
      </c>
      <c r="AA420" s="64" t="str">
        <f t="shared" si="94"/>
        <v/>
      </c>
      <c r="AB420" s="64" t="str">
        <f>IF(AND(AA420&lt;&gt;"",AA420&lt;&gt;0), IF(E420="Muni", AA420, IF(E420 = "Corp", (1-'Investor Input'!$C$4-'Investor Input'!$C$5)*AA420, (1-'Investor Input'!$C$4)*AA420)), AA420)</f>
        <v/>
      </c>
      <c r="AC420" s="94" t="str">
        <f t="shared" si="95"/>
        <v/>
      </c>
      <c r="AD420" s="60" t="str">
        <f>IF(AND(M420&lt;&gt;"", M420&lt;&gt;0), N420/$N$505*MATCH(AC420,'Misc Lists'!$K$2:$K$25,0), "")</f>
        <v/>
      </c>
      <c r="AE420" s="90" t="str">
        <f t="shared" si="96"/>
        <v/>
      </c>
      <c r="AF420" s="99" t="str">
        <f>IF(AND(M420&lt;&gt;"", M420&lt;&gt;0), N420/$N$505*MATCH(AE420,'Misc Lists'!$L$2:$L$25,0), "")</f>
        <v/>
      </c>
    </row>
    <row r="421" spans="2:32" hidden="1" outlineLevel="1" x14ac:dyDescent="0.5">
      <c r="B421" s="60"/>
      <c r="C421" s="61"/>
      <c r="D421" s="60"/>
      <c r="E421" s="61"/>
      <c r="F421" s="62"/>
      <c r="G421" s="63"/>
      <c r="H421" s="61"/>
      <c r="I421" s="61"/>
      <c r="J421" s="64"/>
      <c r="K421" s="17"/>
      <c r="L421" s="17"/>
      <c r="M421" s="83"/>
      <c r="N421" s="84" t="str">
        <f t="shared" si="97"/>
        <v/>
      </c>
      <c r="O421" s="20" t="str">
        <f t="shared" si="98"/>
        <v/>
      </c>
      <c r="P421" s="64" t="str">
        <f t="shared" si="99"/>
        <v/>
      </c>
      <c r="Q421" s="85" t="str">
        <f t="shared" ca="1" si="100"/>
        <v/>
      </c>
      <c r="R421" s="86" t="str">
        <f t="shared" si="101"/>
        <v/>
      </c>
      <c r="S421" s="86" t="str">
        <f t="shared" si="102"/>
        <v/>
      </c>
      <c r="T421" s="104" t="str">
        <f t="shared" si="103"/>
        <v/>
      </c>
      <c r="U421" s="19" t="str">
        <f>IF(AND(M421&lt;&gt;"",M421&lt;&gt;0), IF(E421 = "Muni", T421, IF(E421="Corp", T421*(1 -'Investor Input'!$C$4-'Investor Input'!$C$5), T421*(1 -'Investor Input'!$C$4))), T421)</f>
        <v/>
      </c>
      <c r="V421" s="84" t="str">
        <f t="shared" si="104"/>
        <v/>
      </c>
      <c r="W421" s="84" t="str">
        <f t="shared" si="90"/>
        <v/>
      </c>
      <c r="X421" s="21" t="str">
        <f t="shared" si="91"/>
        <v/>
      </c>
      <c r="Y421" s="60" t="str">
        <f t="shared" si="92"/>
        <v/>
      </c>
      <c r="Z421" s="60" t="str">
        <f t="shared" si="93"/>
        <v/>
      </c>
      <c r="AA421" s="64" t="str">
        <f t="shared" si="94"/>
        <v/>
      </c>
      <c r="AB421" s="64" t="str">
        <f>IF(AND(AA421&lt;&gt;"",AA421&lt;&gt;0), IF(E421="Muni", AA421, IF(E421 = "Corp", (1-'Investor Input'!$C$4-'Investor Input'!$C$5)*AA421, (1-'Investor Input'!$C$4)*AA421)), AA421)</f>
        <v/>
      </c>
      <c r="AC421" s="94" t="str">
        <f t="shared" si="95"/>
        <v/>
      </c>
      <c r="AD421" s="60" t="str">
        <f>IF(AND(M421&lt;&gt;"", M421&lt;&gt;0), N421/$N$505*MATCH(AC421,'Misc Lists'!$K$2:$K$25,0), "")</f>
        <v/>
      </c>
      <c r="AE421" s="90" t="str">
        <f t="shared" si="96"/>
        <v/>
      </c>
      <c r="AF421" s="99" t="str">
        <f>IF(AND(M421&lt;&gt;"", M421&lt;&gt;0), N421/$N$505*MATCH(AE421,'Misc Lists'!$L$2:$L$25,0), "")</f>
        <v/>
      </c>
    </row>
    <row r="422" spans="2:32" hidden="1" outlineLevel="1" x14ac:dyDescent="0.5">
      <c r="B422" s="60"/>
      <c r="C422" s="61"/>
      <c r="D422" s="60"/>
      <c r="E422" s="61"/>
      <c r="F422" s="62"/>
      <c r="G422" s="63"/>
      <c r="H422" s="61"/>
      <c r="I422" s="61"/>
      <c r="J422" s="64"/>
      <c r="K422" s="17"/>
      <c r="L422" s="17"/>
      <c r="M422" s="83"/>
      <c r="N422" s="84" t="str">
        <f t="shared" si="97"/>
        <v/>
      </c>
      <c r="O422" s="20" t="str">
        <f t="shared" si="98"/>
        <v/>
      </c>
      <c r="P422" s="64" t="str">
        <f t="shared" si="99"/>
        <v/>
      </c>
      <c r="Q422" s="85" t="str">
        <f t="shared" ca="1" si="100"/>
        <v/>
      </c>
      <c r="R422" s="86" t="str">
        <f t="shared" si="101"/>
        <v/>
      </c>
      <c r="S422" s="86" t="str">
        <f t="shared" si="102"/>
        <v/>
      </c>
      <c r="T422" s="104" t="str">
        <f t="shared" si="103"/>
        <v/>
      </c>
      <c r="U422" s="19" t="str">
        <f>IF(AND(M422&lt;&gt;"",M422&lt;&gt;0), IF(E422 = "Muni", T422, IF(E422="Corp", T422*(1 -'Investor Input'!$C$4-'Investor Input'!$C$5), T422*(1 -'Investor Input'!$C$4))), T422)</f>
        <v/>
      </c>
      <c r="V422" s="84" t="str">
        <f t="shared" si="104"/>
        <v/>
      </c>
      <c r="W422" s="84" t="str">
        <f t="shared" si="90"/>
        <v/>
      </c>
      <c r="X422" s="21" t="str">
        <f t="shared" si="91"/>
        <v/>
      </c>
      <c r="Y422" s="60" t="str">
        <f t="shared" si="92"/>
        <v/>
      </c>
      <c r="Z422" s="60" t="str">
        <f t="shared" si="93"/>
        <v/>
      </c>
      <c r="AA422" s="64" t="str">
        <f t="shared" si="94"/>
        <v/>
      </c>
      <c r="AB422" s="64" t="str">
        <f>IF(AND(AA422&lt;&gt;"",AA422&lt;&gt;0), IF(E422="Muni", AA422, IF(E422 = "Corp", (1-'Investor Input'!$C$4-'Investor Input'!$C$5)*AA422, (1-'Investor Input'!$C$4)*AA422)), AA422)</f>
        <v/>
      </c>
      <c r="AC422" s="94" t="str">
        <f t="shared" si="95"/>
        <v/>
      </c>
      <c r="AD422" s="60" t="str">
        <f>IF(AND(M422&lt;&gt;"", M422&lt;&gt;0), N422/$N$505*MATCH(AC422,'Misc Lists'!$K$2:$K$25,0), "")</f>
        <v/>
      </c>
      <c r="AE422" s="90" t="str">
        <f t="shared" si="96"/>
        <v/>
      </c>
      <c r="AF422" s="99" t="str">
        <f>IF(AND(M422&lt;&gt;"", M422&lt;&gt;0), N422/$N$505*MATCH(AE422,'Misc Lists'!$L$2:$L$25,0), "")</f>
        <v/>
      </c>
    </row>
    <row r="423" spans="2:32" hidden="1" outlineLevel="1" x14ac:dyDescent="0.5">
      <c r="B423" s="60"/>
      <c r="C423" s="61"/>
      <c r="D423" s="60"/>
      <c r="E423" s="61"/>
      <c r="F423" s="62"/>
      <c r="G423" s="63"/>
      <c r="H423" s="61"/>
      <c r="I423" s="61"/>
      <c r="J423" s="64"/>
      <c r="K423" s="17"/>
      <c r="L423" s="17"/>
      <c r="M423" s="83"/>
      <c r="N423" s="84" t="str">
        <f t="shared" si="97"/>
        <v/>
      </c>
      <c r="O423" s="20" t="str">
        <f t="shared" si="98"/>
        <v/>
      </c>
      <c r="P423" s="64" t="str">
        <f t="shared" si="99"/>
        <v/>
      </c>
      <c r="Q423" s="85" t="str">
        <f t="shared" ca="1" si="100"/>
        <v/>
      </c>
      <c r="R423" s="86" t="str">
        <f t="shared" si="101"/>
        <v/>
      </c>
      <c r="S423" s="86" t="str">
        <f t="shared" si="102"/>
        <v/>
      </c>
      <c r="T423" s="104" t="str">
        <f t="shared" si="103"/>
        <v/>
      </c>
      <c r="U423" s="19" t="str">
        <f>IF(AND(M423&lt;&gt;"",M423&lt;&gt;0), IF(E423 = "Muni", T423, IF(E423="Corp", T423*(1 -'Investor Input'!$C$4-'Investor Input'!$C$5), T423*(1 -'Investor Input'!$C$4))), T423)</f>
        <v/>
      </c>
      <c r="V423" s="84" t="str">
        <f t="shared" si="104"/>
        <v/>
      </c>
      <c r="W423" s="84" t="str">
        <f t="shared" si="90"/>
        <v/>
      </c>
      <c r="X423" s="21" t="str">
        <f t="shared" si="91"/>
        <v/>
      </c>
      <c r="Y423" s="60" t="str">
        <f t="shared" si="92"/>
        <v/>
      </c>
      <c r="Z423" s="60" t="str">
        <f t="shared" si="93"/>
        <v/>
      </c>
      <c r="AA423" s="64" t="str">
        <f t="shared" si="94"/>
        <v/>
      </c>
      <c r="AB423" s="64" t="str">
        <f>IF(AND(AA423&lt;&gt;"",AA423&lt;&gt;0), IF(E423="Muni", AA423, IF(E423 = "Corp", (1-'Investor Input'!$C$4-'Investor Input'!$C$5)*AA423, (1-'Investor Input'!$C$4)*AA423)), AA423)</f>
        <v/>
      </c>
      <c r="AC423" s="94" t="str">
        <f t="shared" si="95"/>
        <v/>
      </c>
      <c r="AD423" s="60" t="str">
        <f>IF(AND(M423&lt;&gt;"", M423&lt;&gt;0), N423/$N$505*MATCH(AC423,'Misc Lists'!$K$2:$K$25,0), "")</f>
        <v/>
      </c>
      <c r="AE423" s="90" t="str">
        <f t="shared" si="96"/>
        <v/>
      </c>
      <c r="AF423" s="99" t="str">
        <f>IF(AND(M423&lt;&gt;"", M423&lt;&gt;0), N423/$N$505*MATCH(AE423,'Misc Lists'!$L$2:$L$25,0), "")</f>
        <v/>
      </c>
    </row>
    <row r="424" spans="2:32" hidden="1" outlineLevel="1" x14ac:dyDescent="0.5">
      <c r="B424" s="60"/>
      <c r="C424" s="61"/>
      <c r="D424" s="60"/>
      <c r="E424" s="61"/>
      <c r="F424" s="62"/>
      <c r="G424" s="63"/>
      <c r="H424" s="61"/>
      <c r="I424" s="61"/>
      <c r="J424" s="64"/>
      <c r="K424" s="17"/>
      <c r="L424" s="17"/>
      <c r="M424" s="83"/>
      <c r="N424" s="84" t="str">
        <f t="shared" si="97"/>
        <v/>
      </c>
      <c r="O424" s="20" t="str">
        <f t="shared" si="98"/>
        <v/>
      </c>
      <c r="P424" s="64" t="str">
        <f t="shared" si="99"/>
        <v/>
      </c>
      <c r="Q424" s="85" t="str">
        <f t="shared" ca="1" si="100"/>
        <v/>
      </c>
      <c r="R424" s="86" t="str">
        <f t="shared" si="101"/>
        <v/>
      </c>
      <c r="S424" s="86" t="str">
        <f t="shared" si="102"/>
        <v/>
      </c>
      <c r="T424" s="104" t="str">
        <f t="shared" si="103"/>
        <v/>
      </c>
      <c r="U424" s="19" t="str">
        <f>IF(AND(M424&lt;&gt;"",M424&lt;&gt;0), IF(E424 = "Muni", T424, IF(E424="Corp", T424*(1 -'Investor Input'!$C$4-'Investor Input'!$C$5), T424*(1 -'Investor Input'!$C$4))), T424)</f>
        <v/>
      </c>
      <c r="V424" s="84" t="str">
        <f t="shared" si="104"/>
        <v/>
      </c>
      <c r="W424" s="84" t="str">
        <f t="shared" si="90"/>
        <v/>
      </c>
      <c r="X424" s="21" t="str">
        <f t="shared" si="91"/>
        <v/>
      </c>
      <c r="Y424" s="60" t="str">
        <f t="shared" si="92"/>
        <v/>
      </c>
      <c r="Z424" s="60" t="str">
        <f t="shared" si="93"/>
        <v/>
      </c>
      <c r="AA424" s="64" t="str">
        <f t="shared" si="94"/>
        <v/>
      </c>
      <c r="AB424" s="64" t="str">
        <f>IF(AND(AA424&lt;&gt;"",AA424&lt;&gt;0), IF(E424="Muni", AA424, IF(E424 = "Corp", (1-'Investor Input'!$C$4-'Investor Input'!$C$5)*AA424, (1-'Investor Input'!$C$4)*AA424)), AA424)</f>
        <v/>
      </c>
      <c r="AC424" s="94" t="str">
        <f t="shared" si="95"/>
        <v/>
      </c>
      <c r="AD424" s="60" t="str">
        <f>IF(AND(M424&lt;&gt;"", M424&lt;&gt;0), N424/$N$505*MATCH(AC424,'Misc Lists'!$K$2:$K$25,0), "")</f>
        <v/>
      </c>
      <c r="AE424" s="90" t="str">
        <f t="shared" si="96"/>
        <v/>
      </c>
      <c r="AF424" s="99" t="str">
        <f>IF(AND(M424&lt;&gt;"", M424&lt;&gt;0), N424/$N$505*MATCH(AE424,'Misc Lists'!$L$2:$L$25,0), "")</f>
        <v/>
      </c>
    </row>
    <row r="425" spans="2:32" hidden="1" outlineLevel="1" x14ac:dyDescent="0.5">
      <c r="B425" s="60"/>
      <c r="C425" s="61"/>
      <c r="D425" s="60"/>
      <c r="E425" s="61"/>
      <c r="F425" s="62"/>
      <c r="G425" s="63"/>
      <c r="H425" s="61"/>
      <c r="I425" s="61"/>
      <c r="J425" s="64"/>
      <c r="K425" s="17"/>
      <c r="L425" s="17"/>
      <c r="M425" s="83"/>
      <c r="N425" s="84" t="str">
        <f t="shared" si="97"/>
        <v/>
      </c>
      <c r="O425" s="20" t="str">
        <f t="shared" si="98"/>
        <v/>
      </c>
      <c r="P425" s="64" t="str">
        <f t="shared" si="99"/>
        <v/>
      </c>
      <c r="Q425" s="85" t="str">
        <f t="shared" ca="1" si="100"/>
        <v/>
      </c>
      <c r="R425" s="86" t="str">
        <f t="shared" si="101"/>
        <v/>
      </c>
      <c r="S425" s="86" t="str">
        <f t="shared" si="102"/>
        <v/>
      </c>
      <c r="T425" s="104" t="str">
        <f t="shared" si="103"/>
        <v/>
      </c>
      <c r="U425" s="19" t="str">
        <f>IF(AND(M425&lt;&gt;"",M425&lt;&gt;0), IF(E425 = "Muni", T425, IF(E425="Corp", T425*(1 -'Investor Input'!$C$4-'Investor Input'!$C$5), T425*(1 -'Investor Input'!$C$4))), T425)</f>
        <v/>
      </c>
      <c r="V425" s="84" t="str">
        <f t="shared" si="104"/>
        <v/>
      </c>
      <c r="W425" s="84" t="str">
        <f t="shared" si="90"/>
        <v/>
      </c>
      <c r="X425" s="21" t="str">
        <f t="shared" si="91"/>
        <v/>
      </c>
      <c r="Y425" s="60" t="str">
        <f t="shared" si="92"/>
        <v/>
      </c>
      <c r="Z425" s="60" t="str">
        <f t="shared" si="93"/>
        <v/>
      </c>
      <c r="AA425" s="64" t="str">
        <f t="shared" si="94"/>
        <v/>
      </c>
      <c r="AB425" s="64" t="str">
        <f>IF(AND(AA425&lt;&gt;"",AA425&lt;&gt;0), IF(E425="Muni", AA425, IF(E425 = "Corp", (1-'Investor Input'!$C$4-'Investor Input'!$C$5)*AA425, (1-'Investor Input'!$C$4)*AA425)), AA425)</f>
        <v/>
      </c>
      <c r="AC425" s="94" t="str">
        <f t="shared" si="95"/>
        <v/>
      </c>
      <c r="AD425" s="60" t="str">
        <f>IF(AND(M425&lt;&gt;"", M425&lt;&gt;0), N425/$N$505*MATCH(AC425,'Misc Lists'!$K$2:$K$25,0), "")</f>
        <v/>
      </c>
      <c r="AE425" s="90" t="str">
        <f t="shared" si="96"/>
        <v/>
      </c>
      <c r="AF425" s="99" t="str">
        <f>IF(AND(M425&lt;&gt;"", M425&lt;&gt;0), N425/$N$505*MATCH(AE425,'Misc Lists'!$L$2:$L$25,0), "")</f>
        <v/>
      </c>
    </row>
    <row r="426" spans="2:32" hidden="1" outlineLevel="1" x14ac:dyDescent="0.5">
      <c r="B426" s="60"/>
      <c r="C426" s="61"/>
      <c r="D426" s="60"/>
      <c r="E426" s="61"/>
      <c r="F426" s="62"/>
      <c r="G426" s="63"/>
      <c r="H426" s="61"/>
      <c r="I426" s="61"/>
      <c r="J426" s="64"/>
      <c r="K426" s="17"/>
      <c r="L426" s="17"/>
      <c r="M426" s="83"/>
      <c r="N426" s="84" t="str">
        <f t="shared" si="97"/>
        <v/>
      </c>
      <c r="O426" s="20" t="str">
        <f t="shared" si="98"/>
        <v/>
      </c>
      <c r="P426" s="64" t="str">
        <f t="shared" si="99"/>
        <v/>
      </c>
      <c r="Q426" s="85" t="str">
        <f t="shared" ca="1" si="100"/>
        <v/>
      </c>
      <c r="R426" s="86" t="str">
        <f t="shared" si="101"/>
        <v/>
      </c>
      <c r="S426" s="86" t="str">
        <f t="shared" si="102"/>
        <v/>
      </c>
      <c r="T426" s="104" t="str">
        <f t="shared" si="103"/>
        <v/>
      </c>
      <c r="U426" s="19" t="str">
        <f>IF(AND(M426&lt;&gt;"",M426&lt;&gt;0), IF(E426 = "Muni", T426, IF(E426="Corp", T426*(1 -'Investor Input'!$C$4-'Investor Input'!$C$5), T426*(1 -'Investor Input'!$C$4))), T426)</f>
        <v/>
      </c>
      <c r="V426" s="84" t="str">
        <f t="shared" si="104"/>
        <v/>
      </c>
      <c r="W426" s="84" t="str">
        <f t="shared" si="90"/>
        <v/>
      </c>
      <c r="X426" s="21" t="str">
        <f t="shared" si="91"/>
        <v/>
      </c>
      <c r="Y426" s="60" t="str">
        <f t="shared" si="92"/>
        <v/>
      </c>
      <c r="Z426" s="60" t="str">
        <f t="shared" si="93"/>
        <v/>
      </c>
      <c r="AA426" s="64" t="str">
        <f t="shared" si="94"/>
        <v/>
      </c>
      <c r="AB426" s="64" t="str">
        <f>IF(AND(AA426&lt;&gt;"",AA426&lt;&gt;0), IF(E426="Muni", AA426, IF(E426 = "Corp", (1-'Investor Input'!$C$4-'Investor Input'!$C$5)*AA426, (1-'Investor Input'!$C$4)*AA426)), AA426)</f>
        <v/>
      </c>
      <c r="AC426" s="94" t="str">
        <f t="shared" si="95"/>
        <v/>
      </c>
      <c r="AD426" s="60" t="str">
        <f>IF(AND(M426&lt;&gt;"", M426&lt;&gt;0), N426/$N$505*MATCH(AC426,'Misc Lists'!$K$2:$K$25,0), "")</f>
        <v/>
      </c>
      <c r="AE426" s="90" t="str">
        <f t="shared" si="96"/>
        <v/>
      </c>
      <c r="AF426" s="99" t="str">
        <f>IF(AND(M426&lt;&gt;"", M426&lt;&gt;0), N426/$N$505*MATCH(AE426,'Misc Lists'!$L$2:$L$25,0), "")</f>
        <v/>
      </c>
    </row>
    <row r="427" spans="2:32" hidden="1" outlineLevel="1" x14ac:dyDescent="0.5">
      <c r="B427" s="60"/>
      <c r="C427" s="61"/>
      <c r="D427" s="60"/>
      <c r="E427" s="61"/>
      <c r="F427" s="62"/>
      <c r="G427" s="63"/>
      <c r="H427" s="61"/>
      <c r="I427" s="61"/>
      <c r="J427" s="64"/>
      <c r="K427" s="17"/>
      <c r="L427" s="17"/>
      <c r="M427" s="83"/>
      <c r="N427" s="84" t="str">
        <f t="shared" si="97"/>
        <v/>
      </c>
      <c r="O427" s="20" t="str">
        <f t="shared" si="98"/>
        <v/>
      </c>
      <c r="P427" s="64" t="str">
        <f t="shared" si="99"/>
        <v/>
      </c>
      <c r="Q427" s="85" t="str">
        <f t="shared" ca="1" si="100"/>
        <v/>
      </c>
      <c r="R427" s="86" t="str">
        <f t="shared" si="101"/>
        <v/>
      </c>
      <c r="S427" s="86" t="str">
        <f t="shared" si="102"/>
        <v/>
      </c>
      <c r="T427" s="104" t="str">
        <f t="shared" si="103"/>
        <v/>
      </c>
      <c r="U427" s="19" t="str">
        <f>IF(AND(M427&lt;&gt;"",M427&lt;&gt;0), IF(E427 = "Muni", T427, IF(E427="Corp", T427*(1 -'Investor Input'!$C$4-'Investor Input'!$C$5), T427*(1 -'Investor Input'!$C$4))), T427)</f>
        <v/>
      </c>
      <c r="V427" s="84" t="str">
        <f t="shared" si="104"/>
        <v/>
      </c>
      <c r="W427" s="84" t="str">
        <f t="shared" si="90"/>
        <v/>
      </c>
      <c r="X427" s="21" t="str">
        <f t="shared" si="91"/>
        <v/>
      </c>
      <c r="Y427" s="60" t="str">
        <f t="shared" si="92"/>
        <v/>
      </c>
      <c r="Z427" s="60" t="str">
        <f t="shared" si="93"/>
        <v/>
      </c>
      <c r="AA427" s="64" t="str">
        <f t="shared" si="94"/>
        <v/>
      </c>
      <c r="AB427" s="64" t="str">
        <f>IF(AND(AA427&lt;&gt;"",AA427&lt;&gt;0), IF(E427="Muni", AA427, IF(E427 = "Corp", (1-'Investor Input'!$C$4-'Investor Input'!$C$5)*AA427, (1-'Investor Input'!$C$4)*AA427)), AA427)</f>
        <v/>
      </c>
      <c r="AC427" s="94" t="str">
        <f t="shared" si="95"/>
        <v/>
      </c>
      <c r="AD427" s="60" t="str">
        <f>IF(AND(M427&lt;&gt;"", M427&lt;&gt;0), N427/$N$505*MATCH(AC427,'Misc Lists'!$K$2:$K$25,0), "")</f>
        <v/>
      </c>
      <c r="AE427" s="90" t="str">
        <f t="shared" si="96"/>
        <v/>
      </c>
      <c r="AF427" s="99" t="str">
        <f>IF(AND(M427&lt;&gt;"", M427&lt;&gt;0), N427/$N$505*MATCH(AE427,'Misc Lists'!$L$2:$L$25,0), "")</f>
        <v/>
      </c>
    </row>
    <row r="428" spans="2:32" hidden="1" outlineLevel="1" x14ac:dyDescent="0.5">
      <c r="B428" s="60"/>
      <c r="C428" s="61"/>
      <c r="D428" s="60"/>
      <c r="E428" s="61"/>
      <c r="F428" s="62"/>
      <c r="G428" s="63"/>
      <c r="H428" s="61"/>
      <c r="I428" s="61"/>
      <c r="J428" s="64"/>
      <c r="K428" s="17"/>
      <c r="L428" s="17"/>
      <c r="M428" s="83"/>
      <c r="N428" s="84" t="str">
        <f t="shared" si="97"/>
        <v/>
      </c>
      <c r="O428" s="20" t="str">
        <f t="shared" si="98"/>
        <v/>
      </c>
      <c r="P428" s="64" t="str">
        <f t="shared" si="99"/>
        <v/>
      </c>
      <c r="Q428" s="85" t="str">
        <f t="shared" ca="1" si="100"/>
        <v/>
      </c>
      <c r="R428" s="86" t="str">
        <f t="shared" si="101"/>
        <v/>
      </c>
      <c r="S428" s="86" t="str">
        <f t="shared" si="102"/>
        <v/>
      </c>
      <c r="T428" s="104" t="str">
        <f t="shared" si="103"/>
        <v/>
      </c>
      <c r="U428" s="19" t="str">
        <f>IF(AND(M428&lt;&gt;"",M428&lt;&gt;0), IF(E428 = "Muni", T428, IF(E428="Corp", T428*(1 -'Investor Input'!$C$4-'Investor Input'!$C$5), T428*(1 -'Investor Input'!$C$4))), T428)</f>
        <v/>
      </c>
      <c r="V428" s="84" t="str">
        <f t="shared" si="104"/>
        <v/>
      </c>
      <c r="W428" s="84" t="str">
        <f t="shared" si="90"/>
        <v/>
      </c>
      <c r="X428" s="21" t="str">
        <f t="shared" si="91"/>
        <v/>
      </c>
      <c r="Y428" s="60" t="str">
        <f t="shared" si="92"/>
        <v/>
      </c>
      <c r="Z428" s="60" t="str">
        <f t="shared" si="93"/>
        <v/>
      </c>
      <c r="AA428" s="64" t="str">
        <f t="shared" si="94"/>
        <v/>
      </c>
      <c r="AB428" s="64" t="str">
        <f>IF(AND(AA428&lt;&gt;"",AA428&lt;&gt;0), IF(E428="Muni", AA428, IF(E428 = "Corp", (1-'Investor Input'!$C$4-'Investor Input'!$C$5)*AA428, (1-'Investor Input'!$C$4)*AA428)), AA428)</f>
        <v/>
      </c>
      <c r="AC428" s="94" t="str">
        <f t="shared" si="95"/>
        <v/>
      </c>
      <c r="AD428" s="60" t="str">
        <f>IF(AND(M428&lt;&gt;"", M428&lt;&gt;0), N428/$N$505*MATCH(AC428,'Misc Lists'!$K$2:$K$25,0), "")</f>
        <v/>
      </c>
      <c r="AE428" s="90" t="str">
        <f t="shared" si="96"/>
        <v/>
      </c>
      <c r="AF428" s="99" t="str">
        <f>IF(AND(M428&lt;&gt;"", M428&lt;&gt;0), N428/$N$505*MATCH(AE428,'Misc Lists'!$L$2:$L$25,0), "")</f>
        <v/>
      </c>
    </row>
    <row r="429" spans="2:32" hidden="1" outlineLevel="1" x14ac:dyDescent="0.5">
      <c r="B429" s="60"/>
      <c r="C429" s="61"/>
      <c r="D429" s="60"/>
      <c r="E429" s="61"/>
      <c r="F429" s="62"/>
      <c r="G429" s="63"/>
      <c r="H429" s="61"/>
      <c r="I429" s="61"/>
      <c r="J429" s="64"/>
      <c r="K429" s="17"/>
      <c r="L429" s="17"/>
      <c r="M429" s="83"/>
      <c r="N429" s="84" t="str">
        <f t="shared" si="97"/>
        <v/>
      </c>
      <c r="O429" s="20" t="str">
        <f t="shared" si="98"/>
        <v/>
      </c>
      <c r="P429" s="64" t="str">
        <f t="shared" si="99"/>
        <v/>
      </c>
      <c r="Q429" s="85" t="str">
        <f t="shared" ca="1" si="100"/>
        <v/>
      </c>
      <c r="R429" s="86" t="str">
        <f t="shared" si="101"/>
        <v/>
      </c>
      <c r="S429" s="86" t="str">
        <f t="shared" si="102"/>
        <v/>
      </c>
      <c r="T429" s="104" t="str">
        <f t="shared" si="103"/>
        <v/>
      </c>
      <c r="U429" s="19" t="str">
        <f>IF(AND(M429&lt;&gt;"",M429&lt;&gt;0), IF(E429 = "Muni", T429, IF(E429="Corp", T429*(1 -'Investor Input'!$C$4-'Investor Input'!$C$5), T429*(1 -'Investor Input'!$C$4))), T429)</f>
        <v/>
      </c>
      <c r="V429" s="84" t="str">
        <f t="shared" si="104"/>
        <v/>
      </c>
      <c r="W429" s="84" t="str">
        <f t="shared" si="90"/>
        <v/>
      </c>
      <c r="X429" s="21" t="str">
        <f t="shared" si="91"/>
        <v/>
      </c>
      <c r="Y429" s="60" t="str">
        <f t="shared" si="92"/>
        <v/>
      </c>
      <c r="Z429" s="60" t="str">
        <f t="shared" si="93"/>
        <v/>
      </c>
      <c r="AA429" s="64" t="str">
        <f t="shared" si="94"/>
        <v/>
      </c>
      <c r="AB429" s="64" t="str">
        <f>IF(AND(AA429&lt;&gt;"",AA429&lt;&gt;0), IF(E429="Muni", AA429, IF(E429 = "Corp", (1-'Investor Input'!$C$4-'Investor Input'!$C$5)*AA429, (1-'Investor Input'!$C$4)*AA429)), AA429)</f>
        <v/>
      </c>
      <c r="AC429" s="94" t="str">
        <f t="shared" si="95"/>
        <v/>
      </c>
      <c r="AD429" s="60" t="str">
        <f>IF(AND(M429&lt;&gt;"", M429&lt;&gt;0), N429/$N$505*MATCH(AC429,'Misc Lists'!$K$2:$K$25,0), "")</f>
        <v/>
      </c>
      <c r="AE429" s="90" t="str">
        <f t="shared" si="96"/>
        <v/>
      </c>
      <c r="AF429" s="99" t="str">
        <f>IF(AND(M429&lt;&gt;"", M429&lt;&gt;0), N429/$N$505*MATCH(AE429,'Misc Lists'!$L$2:$L$25,0), "")</f>
        <v/>
      </c>
    </row>
    <row r="430" spans="2:32" hidden="1" outlineLevel="1" x14ac:dyDescent="0.5">
      <c r="B430" s="60"/>
      <c r="C430" s="61"/>
      <c r="D430" s="60"/>
      <c r="E430" s="61"/>
      <c r="F430" s="62"/>
      <c r="G430" s="63"/>
      <c r="H430" s="61"/>
      <c r="I430" s="61"/>
      <c r="J430" s="64"/>
      <c r="K430" s="17"/>
      <c r="L430" s="17"/>
      <c r="M430" s="83"/>
      <c r="N430" s="84" t="str">
        <f t="shared" si="97"/>
        <v/>
      </c>
      <c r="O430" s="20" t="str">
        <f t="shared" si="98"/>
        <v/>
      </c>
      <c r="P430" s="64" t="str">
        <f t="shared" si="99"/>
        <v/>
      </c>
      <c r="Q430" s="85" t="str">
        <f t="shared" ca="1" si="100"/>
        <v/>
      </c>
      <c r="R430" s="86" t="str">
        <f t="shared" si="101"/>
        <v/>
      </c>
      <c r="S430" s="86" t="str">
        <f t="shared" si="102"/>
        <v/>
      </c>
      <c r="T430" s="104" t="str">
        <f t="shared" si="103"/>
        <v/>
      </c>
      <c r="U430" s="19" t="str">
        <f>IF(AND(M430&lt;&gt;"",M430&lt;&gt;0), IF(E430 = "Muni", T430, IF(E430="Corp", T430*(1 -'Investor Input'!$C$4-'Investor Input'!$C$5), T430*(1 -'Investor Input'!$C$4))), T430)</f>
        <v/>
      </c>
      <c r="V430" s="84" t="str">
        <f t="shared" si="104"/>
        <v/>
      </c>
      <c r="W430" s="84" t="str">
        <f t="shared" si="90"/>
        <v/>
      </c>
      <c r="X430" s="21" t="str">
        <f t="shared" si="91"/>
        <v/>
      </c>
      <c r="Y430" s="60" t="str">
        <f t="shared" si="92"/>
        <v/>
      </c>
      <c r="Z430" s="60" t="str">
        <f t="shared" si="93"/>
        <v/>
      </c>
      <c r="AA430" s="64" t="str">
        <f t="shared" si="94"/>
        <v/>
      </c>
      <c r="AB430" s="64" t="str">
        <f>IF(AND(AA430&lt;&gt;"",AA430&lt;&gt;0), IF(E430="Muni", AA430, IF(E430 = "Corp", (1-'Investor Input'!$C$4-'Investor Input'!$C$5)*AA430, (1-'Investor Input'!$C$4)*AA430)), AA430)</f>
        <v/>
      </c>
      <c r="AC430" s="94" t="str">
        <f t="shared" si="95"/>
        <v/>
      </c>
      <c r="AD430" s="60" t="str">
        <f>IF(AND(M430&lt;&gt;"", M430&lt;&gt;0), N430/$N$505*MATCH(AC430,'Misc Lists'!$K$2:$K$25,0), "")</f>
        <v/>
      </c>
      <c r="AE430" s="90" t="str">
        <f t="shared" si="96"/>
        <v/>
      </c>
      <c r="AF430" s="99" t="str">
        <f>IF(AND(M430&lt;&gt;"", M430&lt;&gt;0), N430/$N$505*MATCH(AE430,'Misc Lists'!$L$2:$L$25,0), "")</f>
        <v/>
      </c>
    </row>
    <row r="431" spans="2:32" hidden="1" outlineLevel="1" x14ac:dyDescent="0.5">
      <c r="B431" s="60"/>
      <c r="C431" s="61"/>
      <c r="D431" s="60"/>
      <c r="E431" s="61"/>
      <c r="F431" s="62"/>
      <c r="G431" s="63"/>
      <c r="H431" s="61"/>
      <c r="I431" s="61"/>
      <c r="J431" s="64"/>
      <c r="K431" s="17"/>
      <c r="L431" s="17"/>
      <c r="M431" s="83"/>
      <c r="N431" s="84" t="str">
        <f t="shared" si="97"/>
        <v/>
      </c>
      <c r="O431" s="20" t="str">
        <f t="shared" si="98"/>
        <v/>
      </c>
      <c r="P431" s="64" t="str">
        <f t="shared" si="99"/>
        <v/>
      </c>
      <c r="Q431" s="85" t="str">
        <f t="shared" ca="1" si="100"/>
        <v/>
      </c>
      <c r="R431" s="86" t="str">
        <f t="shared" si="101"/>
        <v/>
      </c>
      <c r="S431" s="86" t="str">
        <f t="shared" si="102"/>
        <v/>
      </c>
      <c r="T431" s="104" t="str">
        <f t="shared" si="103"/>
        <v/>
      </c>
      <c r="U431" s="19" t="str">
        <f>IF(AND(M431&lt;&gt;"",M431&lt;&gt;0), IF(E431 = "Muni", T431, IF(E431="Corp", T431*(1 -'Investor Input'!$C$4-'Investor Input'!$C$5), T431*(1 -'Investor Input'!$C$4))), T431)</f>
        <v/>
      </c>
      <c r="V431" s="84" t="str">
        <f t="shared" si="104"/>
        <v/>
      </c>
      <c r="W431" s="84" t="str">
        <f t="shared" si="90"/>
        <v/>
      </c>
      <c r="X431" s="21" t="str">
        <f t="shared" si="91"/>
        <v/>
      </c>
      <c r="Y431" s="60" t="str">
        <f t="shared" si="92"/>
        <v/>
      </c>
      <c r="Z431" s="60" t="str">
        <f t="shared" si="93"/>
        <v/>
      </c>
      <c r="AA431" s="64" t="str">
        <f t="shared" si="94"/>
        <v/>
      </c>
      <c r="AB431" s="64" t="str">
        <f>IF(AND(AA431&lt;&gt;"",AA431&lt;&gt;0), IF(E431="Muni", AA431, IF(E431 = "Corp", (1-'Investor Input'!$C$4-'Investor Input'!$C$5)*AA431, (1-'Investor Input'!$C$4)*AA431)), AA431)</f>
        <v/>
      </c>
      <c r="AC431" s="94" t="str">
        <f t="shared" si="95"/>
        <v/>
      </c>
      <c r="AD431" s="60" t="str">
        <f>IF(AND(M431&lt;&gt;"", M431&lt;&gt;0), N431/$N$505*MATCH(AC431,'Misc Lists'!$K$2:$K$25,0), "")</f>
        <v/>
      </c>
      <c r="AE431" s="90" t="str">
        <f t="shared" si="96"/>
        <v/>
      </c>
      <c r="AF431" s="99" t="str">
        <f>IF(AND(M431&lt;&gt;"", M431&lt;&gt;0), N431/$N$505*MATCH(AE431,'Misc Lists'!$L$2:$L$25,0), "")</f>
        <v/>
      </c>
    </row>
    <row r="432" spans="2:32" hidden="1" outlineLevel="1" x14ac:dyDescent="0.5">
      <c r="B432" s="60"/>
      <c r="C432" s="61"/>
      <c r="D432" s="60"/>
      <c r="E432" s="61"/>
      <c r="F432" s="62"/>
      <c r="G432" s="63"/>
      <c r="H432" s="61"/>
      <c r="I432" s="61"/>
      <c r="J432" s="64"/>
      <c r="K432" s="17"/>
      <c r="L432" s="17"/>
      <c r="M432" s="83"/>
      <c r="N432" s="84" t="str">
        <f t="shared" si="97"/>
        <v/>
      </c>
      <c r="O432" s="20" t="str">
        <f t="shared" si="98"/>
        <v/>
      </c>
      <c r="P432" s="64" t="str">
        <f t="shared" si="99"/>
        <v/>
      </c>
      <c r="Q432" s="85" t="str">
        <f t="shared" ca="1" si="100"/>
        <v/>
      </c>
      <c r="R432" s="86" t="str">
        <f t="shared" si="101"/>
        <v/>
      </c>
      <c r="S432" s="86" t="str">
        <f t="shared" si="102"/>
        <v/>
      </c>
      <c r="T432" s="104" t="str">
        <f t="shared" si="103"/>
        <v/>
      </c>
      <c r="U432" s="19" t="str">
        <f>IF(AND(M432&lt;&gt;"",M432&lt;&gt;0), IF(E432 = "Muni", T432, IF(E432="Corp", T432*(1 -'Investor Input'!$C$4-'Investor Input'!$C$5), T432*(1 -'Investor Input'!$C$4))), T432)</f>
        <v/>
      </c>
      <c r="V432" s="84" t="str">
        <f t="shared" si="104"/>
        <v/>
      </c>
      <c r="W432" s="84" t="str">
        <f t="shared" si="90"/>
        <v/>
      </c>
      <c r="X432" s="21" t="str">
        <f t="shared" si="91"/>
        <v/>
      </c>
      <c r="Y432" s="60" t="str">
        <f t="shared" si="92"/>
        <v/>
      </c>
      <c r="Z432" s="60" t="str">
        <f t="shared" si="93"/>
        <v/>
      </c>
      <c r="AA432" s="64" t="str">
        <f t="shared" si="94"/>
        <v/>
      </c>
      <c r="AB432" s="64" t="str">
        <f>IF(AND(AA432&lt;&gt;"",AA432&lt;&gt;0), IF(E432="Muni", AA432, IF(E432 = "Corp", (1-'Investor Input'!$C$4-'Investor Input'!$C$5)*AA432, (1-'Investor Input'!$C$4)*AA432)), AA432)</f>
        <v/>
      </c>
      <c r="AC432" s="94" t="str">
        <f t="shared" si="95"/>
        <v/>
      </c>
      <c r="AD432" s="60" t="str">
        <f>IF(AND(M432&lt;&gt;"", M432&lt;&gt;0), N432/$N$505*MATCH(AC432,'Misc Lists'!$K$2:$K$25,0), "")</f>
        <v/>
      </c>
      <c r="AE432" s="90" t="str">
        <f t="shared" si="96"/>
        <v/>
      </c>
      <c r="AF432" s="99" t="str">
        <f>IF(AND(M432&lt;&gt;"", M432&lt;&gt;0), N432/$N$505*MATCH(AE432,'Misc Lists'!$L$2:$L$25,0), "")</f>
        <v/>
      </c>
    </row>
    <row r="433" spans="2:32" hidden="1" outlineLevel="1" x14ac:dyDescent="0.5">
      <c r="B433" s="60"/>
      <c r="C433" s="61"/>
      <c r="D433" s="60"/>
      <c r="E433" s="61"/>
      <c r="F433" s="62"/>
      <c r="G433" s="63"/>
      <c r="H433" s="61"/>
      <c r="I433" s="61"/>
      <c r="J433" s="64"/>
      <c r="K433" s="17"/>
      <c r="L433" s="17"/>
      <c r="M433" s="83"/>
      <c r="N433" s="84" t="str">
        <f t="shared" si="97"/>
        <v/>
      </c>
      <c r="O433" s="20" t="str">
        <f t="shared" si="98"/>
        <v/>
      </c>
      <c r="P433" s="64" t="str">
        <f t="shared" si="99"/>
        <v/>
      </c>
      <c r="Q433" s="85" t="str">
        <f t="shared" ca="1" si="100"/>
        <v/>
      </c>
      <c r="R433" s="86" t="str">
        <f t="shared" si="101"/>
        <v/>
      </c>
      <c r="S433" s="86" t="str">
        <f t="shared" si="102"/>
        <v/>
      </c>
      <c r="T433" s="104" t="str">
        <f t="shared" si="103"/>
        <v/>
      </c>
      <c r="U433" s="19" t="str">
        <f>IF(AND(M433&lt;&gt;"",M433&lt;&gt;0), IF(E433 = "Muni", T433, IF(E433="Corp", T433*(1 -'Investor Input'!$C$4-'Investor Input'!$C$5), T433*(1 -'Investor Input'!$C$4))), T433)</f>
        <v/>
      </c>
      <c r="V433" s="84" t="str">
        <f t="shared" si="104"/>
        <v/>
      </c>
      <c r="W433" s="84" t="str">
        <f t="shared" si="90"/>
        <v/>
      </c>
      <c r="X433" s="21" t="str">
        <f t="shared" si="91"/>
        <v/>
      </c>
      <c r="Y433" s="60" t="str">
        <f t="shared" si="92"/>
        <v/>
      </c>
      <c r="Z433" s="60" t="str">
        <f t="shared" si="93"/>
        <v/>
      </c>
      <c r="AA433" s="64" t="str">
        <f t="shared" si="94"/>
        <v/>
      </c>
      <c r="AB433" s="64" t="str">
        <f>IF(AND(AA433&lt;&gt;"",AA433&lt;&gt;0), IF(E433="Muni", AA433, IF(E433 = "Corp", (1-'Investor Input'!$C$4-'Investor Input'!$C$5)*AA433, (1-'Investor Input'!$C$4)*AA433)), AA433)</f>
        <v/>
      </c>
      <c r="AC433" s="94" t="str">
        <f t="shared" si="95"/>
        <v/>
      </c>
      <c r="AD433" s="60" t="str">
        <f>IF(AND(M433&lt;&gt;"", M433&lt;&gt;0), N433/$N$505*MATCH(AC433,'Misc Lists'!$K$2:$K$25,0), "")</f>
        <v/>
      </c>
      <c r="AE433" s="90" t="str">
        <f t="shared" si="96"/>
        <v/>
      </c>
      <c r="AF433" s="99" t="str">
        <f>IF(AND(M433&lt;&gt;"", M433&lt;&gt;0), N433/$N$505*MATCH(AE433,'Misc Lists'!$L$2:$L$25,0), "")</f>
        <v/>
      </c>
    </row>
    <row r="434" spans="2:32" hidden="1" outlineLevel="1" x14ac:dyDescent="0.5">
      <c r="B434" s="60"/>
      <c r="C434" s="61"/>
      <c r="D434" s="60"/>
      <c r="E434" s="61"/>
      <c r="F434" s="62"/>
      <c r="G434" s="63"/>
      <c r="H434" s="61"/>
      <c r="I434" s="61"/>
      <c r="J434" s="64"/>
      <c r="K434" s="17"/>
      <c r="L434" s="17"/>
      <c r="M434" s="83"/>
      <c r="N434" s="84" t="str">
        <f t="shared" si="97"/>
        <v/>
      </c>
      <c r="O434" s="20" t="str">
        <f t="shared" si="98"/>
        <v/>
      </c>
      <c r="P434" s="64" t="str">
        <f t="shared" si="99"/>
        <v/>
      </c>
      <c r="Q434" s="85" t="str">
        <f t="shared" ca="1" si="100"/>
        <v/>
      </c>
      <c r="R434" s="86" t="str">
        <f t="shared" si="101"/>
        <v/>
      </c>
      <c r="S434" s="86" t="str">
        <f t="shared" si="102"/>
        <v/>
      </c>
      <c r="T434" s="104" t="str">
        <f t="shared" si="103"/>
        <v/>
      </c>
      <c r="U434" s="19" t="str">
        <f>IF(AND(M434&lt;&gt;"",M434&lt;&gt;0), IF(E434 = "Muni", T434, IF(E434="Corp", T434*(1 -'Investor Input'!$C$4-'Investor Input'!$C$5), T434*(1 -'Investor Input'!$C$4))), T434)</f>
        <v/>
      </c>
      <c r="V434" s="84" t="str">
        <f t="shared" si="104"/>
        <v/>
      </c>
      <c r="W434" s="84" t="str">
        <f t="shared" si="90"/>
        <v/>
      </c>
      <c r="X434" s="21" t="str">
        <f t="shared" si="91"/>
        <v/>
      </c>
      <c r="Y434" s="60" t="str">
        <f t="shared" si="92"/>
        <v/>
      </c>
      <c r="Z434" s="60" t="str">
        <f t="shared" si="93"/>
        <v/>
      </c>
      <c r="AA434" s="64" t="str">
        <f t="shared" si="94"/>
        <v/>
      </c>
      <c r="AB434" s="64" t="str">
        <f>IF(AND(AA434&lt;&gt;"",AA434&lt;&gt;0), IF(E434="Muni", AA434, IF(E434 = "Corp", (1-'Investor Input'!$C$4-'Investor Input'!$C$5)*AA434, (1-'Investor Input'!$C$4)*AA434)), AA434)</f>
        <v/>
      </c>
      <c r="AC434" s="94" t="str">
        <f t="shared" si="95"/>
        <v/>
      </c>
      <c r="AD434" s="60" t="str">
        <f>IF(AND(M434&lt;&gt;"", M434&lt;&gt;0), N434/$N$505*MATCH(AC434,'Misc Lists'!$K$2:$K$25,0), "")</f>
        <v/>
      </c>
      <c r="AE434" s="90" t="str">
        <f t="shared" si="96"/>
        <v/>
      </c>
      <c r="AF434" s="99" t="str">
        <f>IF(AND(M434&lt;&gt;"", M434&lt;&gt;0), N434/$N$505*MATCH(AE434,'Misc Lists'!$L$2:$L$25,0), "")</f>
        <v/>
      </c>
    </row>
    <row r="435" spans="2:32" hidden="1" outlineLevel="1" x14ac:dyDescent="0.5">
      <c r="B435" s="60"/>
      <c r="C435" s="61"/>
      <c r="D435" s="60"/>
      <c r="E435" s="61"/>
      <c r="F435" s="62"/>
      <c r="G435" s="63"/>
      <c r="H435" s="61"/>
      <c r="I435" s="61"/>
      <c r="J435" s="64"/>
      <c r="K435" s="17"/>
      <c r="L435" s="17"/>
      <c r="M435" s="83"/>
      <c r="N435" s="84" t="str">
        <f t="shared" si="97"/>
        <v/>
      </c>
      <c r="O435" s="20" t="str">
        <f t="shared" si="98"/>
        <v/>
      </c>
      <c r="P435" s="64" t="str">
        <f t="shared" si="99"/>
        <v/>
      </c>
      <c r="Q435" s="85" t="str">
        <f t="shared" ca="1" si="100"/>
        <v/>
      </c>
      <c r="R435" s="86" t="str">
        <f t="shared" si="101"/>
        <v/>
      </c>
      <c r="S435" s="86" t="str">
        <f t="shared" si="102"/>
        <v/>
      </c>
      <c r="T435" s="104" t="str">
        <f t="shared" si="103"/>
        <v/>
      </c>
      <c r="U435" s="19" t="str">
        <f>IF(AND(M435&lt;&gt;"",M435&lt;&gt;0), IF(E435 = "Muni", T435, IF(E435="Corp", T435*(1 -'Investor Input'!$C$4-'Investor Input'!$C$5), T435*(1 -'Investor Input'!$C$4))), T435)</f>
        <v/>
      </c>
      <c r="V435" s="84" t="str">
        <f t="shared" si="104"/>
        <v/>
      </c>
      <c r="W435" s="84" t="str">
        <f t="shared" si="90"/>
        <v/>
      </c>
      <c r="X435" s="21" t="str">
        <f t="shared" si="91"/>
        <v/>
      </c>
      <c r="Y435" s="60" t="str">
        <f t="shared" si="92"/>
        <v/>
      </c>
      <c r="Z435" s="60" t="str">
        <f t="shared" si="93"/>
        <v/>
      </c>
      <c r="AA435" s="64" t="str">
        <f t="shared" si="94"/>
        <v/>
      </c>
      <c r="AB435" s="64" t="str">
        <f>IF(AND(AA435&lt;&gt;"",AA435&lt;&gt;0), IF(E435="Muni", AA435, IF(E435 = "Corp", (1-'Investor Input'!$C$4-'Investor Input'!$C$5)*AA435, (1-'Investor Input'!$C$4)*AA435)), AA435)</f>
        <v/>
      </c>
      <c r="AC435" s="94" t="str">
        <f t="shared" si="95"/>
        <v/>
      </c>
      <c r="AD435" s="60" t="str">
        <f>IF(AND(M435&lt;&gt;"", M435&lt;&gt;0), N435/$N$505*MATCH(AC435,'Misc Lists'!$K$2:$K$25,0), "")</f>
        <v/>
      </c>
      <c r="AE435" s="90" t="str">
        <f t="shared" si="96"/>
        <v/>
      </c>
      <c r="AF435" s="99" t="str">
        <f>IF(AND(M435&lt;&gt;"", M435&lt;&gt;0), N435/$N$505*MATCH(AE435,'Misc Lists'!$L$2:$L$25,0), "")</f>
        <v/>
      </c>
    </row>
    <row r="436" spans="2:32" hidden="1" outlineLevel="1" x14ac:dyDescent="0.5">
      <c r="B436" s="60"/>
      <c r="C436" s="61"/>
      <c r="D436" s="60"/>
      <c r="E436" s="61"/>
      <c r="F436" s="62"/>
      <c r="G436" s="63"/>
      <c r="H436" s="61"/>
      <c r="I436" s="61"/>
      <c r="J436" s="64"/>
      <c r="K436" s="17"/>
      <c r="L436" s="17"/>
      <c r="M436" s="83"/>
      <c r="N436" s="84" t="str">
        <f t="shared" si="97"/>
        <v/>
      </c>
      <c r="O436" s="20" t="str">
        <f t="shared" si="98"/>
        <v/>
      </c>
      <c r="P436" s="64" t="str">
        <f t="shared" si="99"/>
        <v/>
      </c>
      <c r="Q436" s="85" t="str">
        <f t="shared" ca="1" si="100"/>
        <v/>
      </c>
      <c r="R436" s="86" t="str">
        <f t="shared" si="101"/>
        <v/>
      </c>
      <c r="S436" s="86" t="str">
        <f t="shared" si="102"/>
        <v/>
      </c>
      <c r="T436" s="104" t="str">
        <f t="shared" si="103"/>
        <v/>
      </c>
      <c r="U436" s="19" t="str">
        <f>IF(AND(M436&lt;&gt;"",M436&lt;&gt;0), IF(E436 = "Muni", T436, IF(E436="Corp", T436*(1 -'Investor Input'!$C$4-'Investor Input'!$C$5), T436*(1 -'Investor Input'!$C$4))), T436)</f>
        <v/>
      </c>
      <c r="V436" s="84" t="str">
        <f t="shared" si="104"/>
        <v/>
      </c>
      <c r="W436" s="84" t="str">
        <f t="shared" si="90"/>
        <v/>
      </c>
      <c r="X436" s="21" t="str">
        <f t="shared" si="91"/>
        <v/>
      </c>
      <c r="Y436" s="60" t="str">
        <f t="shared" si="92"/>
        <v/>
      </c>
      <c r="Z436" s="60" t="str">
        <f t="shared" si="93"/>
        <v/>
      </c>
      <c r="AA436" s="64" t="str">
        <f t="shared" si="94"/>
        <v/>
      </c>
      <c r="AB436" s="64" t="str">
        <f>IF(AND(AA436&lt;&gt;"",AA436&lt;&gt;0), IF(E436="Muni", AA436, IF(E436 = "Corp", (1-'Investor Input'!$C$4-'Investor Input'!$C$5)*AA436, (1-'Investor Input'!$C$4)*AA436)), AA436)</f>
        <v/>
      </c>
      <c r="AC436" s="94" t="str">
        <f t="shared" si="95"/>
        <v/>
      </c>
      <c r="AD436" s="60" t="str">
        <f>IF(AND(M436&lt;&gt;"", M436&lt;&gt;0), N436/$N$505*MATCH(AC436,'Misc Lists'!$K$2:$K$25,0), "")</f>
        <v/>
      </c>
      <c r="AE436" s="90" t="str">
        <f t="shared" si="96"/>
        <v/>
      </c>
      <c r="AF436" s="99" t="str">
        <f>IF(AND(M436&lt;&gt;"", M436&lt;&gt;0), N436/$N$505*MATCH(AE436,'Misc Lists'!$L$2:$L$25,0), "")</f>
        <v/>
      </c>
    </row>
    <row r="437" spans="2:32" hidden="1" outlineLevel="1" x14ac:dyDescent="0.5">
      <c r="B437" s="60"/>
      <c r="C437" s="61"/>
      <c r="D437" s="60"/>
      <c r="E437" s="61"/>
      <c r="F437" s="62"/>
      <c r="G437" s="63"/>
      <c r="H437" s="61"/>
      <c r="I437" s="61"/>
      <c r="J437" s="64"/>
      <c r="K437" s="17"/>
      <c r="L437" s="17"/>
      <c r="M437" s="83"/>
      <c r="N437" s="84" t="str">
        <f t="shared" si="97"/>
        <v/>
      </c>
      <c r="O437" s="20" t="str">
        <f t="shared" si="98"/>
        <v/>
      </c>
      <c r="P437" s="64" t="str">
        <f t="shared" si="99"/>
        <v/>
      </c>
      <c r="Q437" s="85" t="str">
        <f t="shared" ca="1" si="100"/>
        <v/>
      </c>
      <c r="R437" s="86" t="str">
        <f t="shared" si="101"/>
        <v/>
      </c>
      <c r="S437" s="86" t="str">
        <f t="shared" si="102"/>
        <v/>
      </c>
      <c r="T437" s="104" t="str">
        <f t="shared" si="103"/>
        <v/>
      </c>
      <c r="U437" s="19" t="str">
        <f>IF(AND(M437&lt;&gt;"",M437&lt;&gt;0), IF(E437 = "Muni", T437, IF(E437="Corp", T437*(1 -'Investor Input'!$C$4-'Investor Input'!$C$5), T437*(1 -'Investor Input'!$C$4))), T437)</f>
        <v/>
      </c>
      <c r="V437" s="84" t="str">
        <f t="shared" si="104"/>
        <v/>
      </c>
      <c r="W437" s="84" t="str">
        <f t="shared" si="90"/>
        <v/>
      </c>
      <c r="X437" s="21" t="str">
        <f t="shared" si="91"/>
        <v/>
      </c>
      <c r="Y437" s="60" t="str">
        <f t="shared" si="92"/>
        <v/>
      </c>
      <c r="Z437" s="60" t="str">
        <f t="shared" si="93"/>
        <v/>
      </c>
      <c r="AA437" s="64" t="str">
        <f t="shared" si="94"/>
        <v/>
      </c>
      <c r="AB437" s="64" t="str">
        <f>IF(AND(AA437&lt;&gt;"",AA437&lt;&gt;0), IF(E437="Muni", AA437, IF(E437 = "Corp", (1-'Investor Input'!$C$4-'Investor Input'!$C$5)*AA437, (1-'Investor Input'!$C$4)*AA437)), AA437)</f>
        <v/>
      </c>
      <c r="AC437" s="94" t="str">
        <f t="shared" si="95"/>
        <v/>
      </c>
      <c r="AD437" s="60" t="str">
        <f>IF(AND(M437&lt;&gt;"", M437&lt;&gt;0), N437/$N$505*MATCH(AC437,'Misc Lists'!$K$2:$K$25,0), "")</f>
        <v/>
      </c>
      <c r="AE437" s="90" t="str">
        <f t="shared" si="96"/>
        <v/>
      </c>
      <c r="AF437" s="99" t="str">
        <f>IF(AND(M437&lt;&gt;"", M437&lt;&gt;0), N437/$N$505*MATCH(AE437,'Misc Lists'!$L$2:$L$25,0), "")</f>
        <v/>
      </c>
    </row>
    <row r="438" spans="2:32" hidden="1" outlineLevel="1" x14ac:dyDescent="0.5">
      <c r="B438" s="60"/>
      <c r="C438" s="61"/>
      <c r="D438" s="60"/>
      <c r="E438" s="61"/>
      <c r="F438" s="62"/>
      <c r="G438" s="63"/>
      <c r="H438" s="61"/>
      <c r="I438" s="61"/>
      <c r="J438" s="64"/>
      <c r="K438" s="17"/>
      <c r="L438" s="17"/>
      <c r="M438" s="83"/>
      <c r="N438" s="84" t="str">
        <f t="shared" si="97"/>
        <v/>
      </c>
      <c r="O438" s="20" t="str">
        <f t="shared" si="98"/>
        <v/>
      </c>
      <c r="P438" s="64" t="str">
        <f t="shared" si="99"/>
        <v/>
      </c>
      <c r="Q438" s="85" t="str">
        <f t="shared" ca="1" si="100"/>
        <v/>
      </c>
      <c r="R438" s="86" t="str">
        <f t="shared" si="101"/>
        <v/>
      </c>
      <c r="S438" s="86" t="str">
        <f t="shared" si="102"/>
        <v/>
      </c>
      <c r="T438" s="104" t="str">
        <f t="shared" si="103"/>
        <v/>
      </c>
      <c r="U438" s="19" t="str">
        <f>IF(AND(M438&lt;&gt;"",M438&lt;&gt;0), IF(E438 = "Muni", T438, IF(E438="Corp", T438*(1 -'Investor Input'!$C$4-'Investor Input'!$C$5), T438*(1 -'Investor Input'!$C$4))), T438)</f>
        <v/>
      </c>
      <c r="V438" s="84" t="str">
        <f t="shared" si="104"/>
        <v/>
      </c>
      <c r="W438" s="84" t="str">
        <f t="shared" si="90"/>
        <v/>
      </c>
      <c r="X438" s="21" t="str">
        <f t="shared" si="91"/>
        <v/>
      </c>
      <c r="Y438" s="60" t="str">
        <f t="shared" si="92"/>
        <v/>
      </c>
      <c r="Z438" s="60" t="str">
        <f t="shared" si="93"/>
        <v/>
      </c>
      <c r="AA438" s="64" t="str">
        <f t="shared" si="94"/>
        <v/>
      </c>
      <c r="AB438" s="64" t="str">
        <f>IF(AND(AA438&lt;&gt;"",AA438&lt;&gt;0), IF(E438="Muni", AA438, IF(E438 = "Corp", (1-'Investor Input'!$C$4-'Investor Input'!$C$5)*AA438, (1-'Investor Input'!$C$4)*AA438)), AA438)</f>
        <v/>
      </c>
      <c r="AC438" s="94" t="str">
        <f t="shared" si="95"/>
        <v/>
      </c>
      <c r="AD438" s="60" t="str">
        <f>IF(AND(M438&lt;&gt;"", M438&lt;&gt;0), N438/$N$505*MATCH(AC438,'Misc Lists'!$K$2:$K$25,0), "")</f>
        <v/>
      </c>
      <c r="AE438" s="90" t="str">
        <f t="shared" si="96"/>
        <v/>
      </c>
      <c r="AF438" s="99" t="str">
        <f>IF(AND(M438&lt;&gt;"", M438&lt;&gt;0), N438/$N$505*MATCH(AE438,'Misc Lists'!$L$2:$L$25,0), "")</f>
        <v/>
      </c>
    </row>
    <row r="439" spans="2:32" hidden="1" outlineLevel="1" x14ac:dyDescent="0.5">
      <c r="B439" s="60"/>
      <c r="C439" s="61"/>
      <c r="D439" s="60"/>
      <c r="E439" s="61"/>
      <c r="F439" s="62"/>
      <c r="G439" s="63"/>
      <c r="H439" s="61"/>
      <c r="I439" s="61"/>
      <c r="J439" s="64"/>
      <c r="K439" s="17"/>
      <c r="L439" s="17"/>
      <c r="M439" s="83"/>
      <c r="N439" s="84" t="str">
        <f t="shared" si="97"/>
        <v/>
      </c>
      <c r="O439" s="20" t="str">
        <f t="shared" si="98"/>
        <v/>
      </c>
      <c r="P439" s="64" t="str">
        <f t="shared" si="99"/>
        <v/>
      </c>
      <c r="Q439" s="85" t="str">
        <f t="shared" ca="1" si="100"/>
        <v/>
      </c>
      <c r="R439" s="86" t="str">
        <f t="shared" si="101"/>
        <v/>
      </c>
      <c r="S439" s="86" t="str">
        <f t="shared" si="102"/>
        <v/>
      </c>
      <c r="T439" s="104" t="str">
        <f t="shared" si="103"/>
        <v/>
      </c>
      <c r="U439" s="19" t="str">
        <f>IF(AND(M439&lt;&gt;"",M439&lt;&gt;0), IF(E439 = "Muni", T439, IF(E439="Corp", T439*(1 -'Investor Input'!$C$4-'Investor Input'!$C$5), T439*(1 -'Investor Input'!$C$4))), T439)</f>
        <v/>
      </c>
      <c r="V439" s="84" t="str">
        <f t="shared" si="104"/>
        <v/>
      </c>
      <c r="W439" s="84" t="str">
        <f t="shared" si="90"/>
        <v/>
      </c>
      <c r="X439" s="21" t="str">
        <f t="shared" si="91"/>
        <v/>
      </c>
      <c r="Y439" s="60" t="str">
        <f t="shared" si="92"/>
        <v/>
      </c>
      <c r="Z439" s="60" t="str">
        <f t="shared" si="93"/>
        <v/>
      </c>
      <c r="AA439" s="64" t="str">
        <f t="shared" si="94"/>
        <v/>
      </c>
      <c r="AB439" s="64" t="str">
        <f>IF(AND(AA439&lt;&gt;"",AA439&lt;&gt;0), IF(E439="Muni", AA439, IF(E439 = "Corp", (1-'Investor Input'!$C$4-'Investor Input'!$C$5)*AA439, (1-'Investor Input'!$C$4)*AA439)), AA439)</f>
        <v/>
      </c>
      <c r="AC439" s="94" t="str">
        <f t="shared" si="95"/>
        <v/>
      </c>
      <c r="AD439" s="60" t="str">
        <f>IF(AND(M439&lt;&gt;"", M439&lt;&gt;0), N439/$N$505*MATCH(AC439,'Misc Lists'!$K$2:$K$25,0), "")</f>
        <v/>
      </c>
      <c r="AE439" s="90" t="str">
        <f t="shared" si="96"/>
        <v/>
      </c>
      <c r="AF439" s="99" t="str">
        <f>IF(AND(M439&lt;&gt;"", M439&lt;&gt;0), N439/$N$505*MATCH(AE439,'Misc Lists'!$L$2:$L$25,0), "")</f>
        <v/>
      </c>
    </row>
    <row r="440" spans="2:32" hidden="1" outlineLevel="1" x14ac:dyDescent="0.5">
      <c r="B440" s="60"/>
      <c r="C440" s="61"/>
      <c r="D440" s="60"/>
      <c r="E440" s="61"/>
      <c r="F440" s="62"/>
      <c r="G440" s="63"/>
      <c r="H440" s="61"/>
      <c r="I440" s="61"/>
      <c r="J440" s="64"/>
      <c r="K440" s="17"/>
      <c r="L440" s="17"/>
      <c r="M440" s="83"/>
      <c r="N440" s="84" t="str">
        <f t="shared" si="97"/>
        <v/>
      </c>
      <c r="O440" s="20" t="str">
        <f t="shared" si="98"/>
        <v/>
      </c>
      <c r="P440" s="64" t="str">
        <f t="shared" si="99"/>
        <v/>
      </c>
      <c r="Q440" s="85" t="str">
        <f t="shared" ca="1" si="100"/>
        <v/>
      </c>
      <c r="R440" s="86" t="str">
        <f t="shared" si="101"/>
        <v/>
      </c>
      <c r="S440" s="86" t="str">
        <f t="shared" si="102"/>
        <v/>
      </c>
      <c r="T440" s="104" t="str">
        <f t="shared" si="103"/>
        <v/>
      </c>
      <c r="U440" s="19" t="str">
        <f>IF(AND(M440&lt;&gt;"",M440&lt;&gt;0), IF(E440 = "Muni", T440, IF(E440="Corp", T440*(1 -'Investor Input'!$C$4-'Investor Input'!$C$5), T440*(1 -'Investor Input'!$C$4))), T440)</f>
        <v/>
      </c>
      <c r="V440" s="84" t="str">
        <f t="shared" si="104"/>
        <v/>
      </c>
      <c r="W440" s="84" t="str">
        <f t="shared" si="90"/>
        <v/>
      </c>
      <c r="X440" s="21" t="str">
        <f t="shared" si="91"/>
        <v/>
      </c>
      <c r="Y440" s="60" t="str">
        <f t="shared" si="92"/>
        <v/>
      </c>
      <c r="Z440" s="60" t="str">
        <f t="shared" si="93"/>
        <v/>
      </c>
      <c r="AA440" s="64" t="str">
        <f t="shared" si="94"/>
        <v/>
      </c>
      <c r="AB440" s="64" t="str">
        <f>IF(AND(AA440&lt;&gt;"",AA440&lt;&gt;0), IF(E440="Muni", AA440, IF(E440 = "Corp", (1-'Investor Input'!$C$4-'Investor Input'!$C$5)*AA440, (1-'Investor Input'!$C$4)*AA440)), AA440)</f>
        <v/>
      </c>
      <c r="AC440" s="94" t="str">
        <f t="shared" si="95"/>
        <v/>
      </c>
      <c r="AD440" s="60" t="str">
        <f>IF(AND(M440&lt;&gt;"", M440&lt;&gt;0), N440/$N$505*MATCH(AC440,'Misc Lists'!$K$2:$K$25,0), "")</f>
        <v/>
      </c>
      <c r="AE440" s="90" t="str">
        <f t="shared" si="96"/>
        <v/>
      </c>
      <c r="AF440" s="99" t="str">
        <f>IF(AND(M440&lt;&gt;"", M440&lt;&gt;0), N440/$N$505*MATCH(AE440,'Misc Lists'!$L$2:$L$25,0), "")</f>
        <v/>
      </c>
    </row>
    <row r="441" spans="2:32" hidden="1" outlineLevel="1" x14ac:dyDescent="0.5">
      <c r="B441" s="60"/>
      <c r="C441" s="61"/>
      <c r="D441" s="60"/>
      <c r="E441" s="61"/>
      <c r="F441" s="62"/>
      <c r="G441" s="63"/>
      <c r="H441" s="61"/>
      <c r="I441" s="61"/>
      <c r="J441" s="64"/>
      <c r="K441" s="17"/>
      <c r="L441" s="17"/>
      <c r="M441" s="83"/>
      <c r="N441" s="84" t="str">
        <f t="shared" si="97"/>
        <v/>
      </c>
      <c r="O441" s="20" t="str">
        <f t="shared" si="98"/>
        <v/>
      </c>
      <c r="P441" s="64" t="str">
        <f t="shared" si="99"/>
        <v/>
      </c>
      <c r="Q441" s="85" t="str">
        <f t="shared" ca="1" si="100"/>
        <v/>
      </c>
      <c r="R441" s="86" t="str">
        <f t="shared" si="101"/>
        <v/>
      </c>
      <c r="S441" s="86" t="str">
        <f t="shared" si="102"/>
        <v/>
      </c>
      <c r="T441" s="104" t="str">
        <f t="shared" si="103"/>
        <v/>
      </c>
      <c r="U441" s="19" t="str">
        <f>IF(AND(M441&lt;&gt;"",M441&lt;&gt;0), IF(E441 = "Muni", T441, IF(E441="Corp", T441*(1 -'Investor Input'!$C$4-'Investor Input'!$C$5), T441*(1 -'Investor Input'!$C$4))), T441)</f>
        <v/>
      </c>
      <c r="V441" s="84" t="str">
        <f t="shared" si="104"/>
        <v/>
      </c>
      <c r="W441" s="84" t="str">
        <f t="shared" si="90"/>
        <v/>
      </c>
      <c r="X441" s="21" t="str">
        <f t="shared" si="91"/>
        <v/>
      </c>
      <c r="Y441" s="60" t="str">
        <f t="shared" si="92"/>
        <v/>
      </c>
      <c r="Z441" s="60" t="str">
        <f t="shared" si="93"/>
        <v/>
      </c>
      <c r="AA441" s="64" t="str">
        <f t="shared" si="94"/>
        <v/>
      </c>
      <c r="AB441" s="64" t="str">
        <f>IF(AND(AA441&lt;&gt;"",AA441&lt;&gt;0), IF(E441="Muni", AA441, IF(E441 = "Corp", (1-'Investor Input'!$C$4-'Investor Input'!$C$5)*AA441, (1-'Investor Input'!$C$4)*AA441)), AA441)</f>
        <v/>
      </c>
      <c r="AC441" s="94" t="str">
        <f t="shared" si="95"/>
        <v/>
      </c>
      <c r="AD441" s="60" t="str">
        <f>IF(AND(M441&lt;&gt;"", M441&lt;&gt;0), N441/$N$505*MATCH(AC441,'Misc Lists'!$K$2:$K$25,0), "")</f>
        <v/>
      </c>
      <c r="AE441" s="90" t="str">
        <f t="shared" si="96"/>
        <v/>
      </c>
      <c r="AF441" s="99" t="str">
        <f>IF(AND(M441&lt;&gt;"", M441&lt;&gt;0), N441/$N$505*MATCH(AE441,'Misc Lists'!$L$2:$L$25,0), "")</f>
        <v/>
      </c>
    </row>
    <row r="442" spans="2:32" hidden="1" outlineLevel="1" x14ac:dyDescent="0.5">
      <c r="B442" s="60"/>
      <c r="C442" s="61"/>
      <c r="D442" s="60"/>
      <c r="E442" s="61"/>
      <c r="F442" s="62"/>
      <c r="G442" s="63"/>
      <c r="H442" s="61"/>
      <c r="I442" s="61"/>
      <c r="J442" s="64"/>
      <c r="K442" s="17"/>
      <c r="L442" s="17"/>
      <c r="M442" s="83"/>
      <c r="N442" s="84" t="str">
        <f t="shared" si="97"/>
        <v/>
      </c>
      <c r="O442" s="20" t="str">
        <f t="shared" si="98"/>
        <v/>
      </c>
      <c r="P442" s="64" t="str">
        <f t="shared" si="99"/>
        <v/>
      </c>
      <c r="Q442" s="85" t="str">
        <f t="shared" ca="1" si="100"/>
        <v/>
      </c>
      <c r="R442" s="86" t="str">
        <f t="shared" si="101"/>
        <v/>
      </c>
      <c r="S442" s="86" t="str">
        <f t="shared" si="102"/>
        <v/>
      </c>
      <c r="T442" s="104" t="str">
        <f t="shared" si="103"/>
        <v/>
      </c>
      <c r="U442" s="19" t="str">
        <f>IF(AND(M442&lt;&gt;"",M442&lt;&gt;0), IF(E442 = "Muni", T442, IF(E442="Corp", T442*(1 -'Investor Input'!$C$4-'Investor Input'!$C$5), T442*(1 -'Investor Input'!$C$4))), T442)</f>
        <v/>
      </c>
      <c r="V442" s="84" t="str">
        <f t="shared" si="104"/>
        <v/>
      </c>
      <c r="W442" s="84" t="str">
        <f t="shared" si="90"/>
        <v/>
      </c>
      <c r="X442" s="21" t="str">
        <f t="shared" si="91"/>
        <v/>
      </c>
      <c r="Y442" s="60" t="str">
        <f t="shared" si="92"/>
        <v/>
      </c>
      <c r="Z442" s="60" t="str">
        <f t="shared" si="93"/>
        <v/>
      </c>
      <c r="AA442" s="64" t="str">
        <f t="shared" si="94"/>
        <v/>
      </c>
      <c r="AB442" s="64" t="str">
        <f>IF(AND(AA442&lt;&gt;"",AA442&lt;&gt;0), IF(E442="Muni", AA442, IF(E442 = "Corp", (1-'Investor Input'!$C$4-'Investor Input'!$C$5)*AA442, (1-'Investor Input'!$C$4)*AA442)), AA442)</f>
        <v/>
      </c>
      <c r="AC442" s="94" t="str">
        <f t="shared" si="95"/>
        <v/>
      </c>
      <c r="AD442" s="60" t="str">
        <f>IF(AND(M442&lt;&gt;"", M442&lt;&gt;0), N442/$N$505*MATCH(AC442,'Misc Lists'!$K$2:$K$25,0), "")</f>
        <v/>
      </c>
      <c r="AE442" s="90" t="str">
        <f t="shared" si="96"/>
        <v/>
      </c>
      <c r="AF442" s="99" t="str">
        <f>IF(AND(M442&lt;&gt;"", M442&lt;&gt;0), N442/$N$505*MATCH(AE442,'Misc Lists'!$L$2:$L$25,0), "")</f>
        <v/>
      </c>
    </row>
    <row r="443" spans="2:32" hidden="1" outlineLevel="1" x14ac:dyDescent="0.5">
      <c r="B443" s="60"/>
      <c r="C443" s="61"/>
      <c r="D443" s="60"/>
      <c r="E443" s="61"/>
      <c r="F443" s="62"/>
      <c r="G443" s="63"/>
      <c r="H443" s="61"/>
      <c r="I443" s="61"/>
      <c r="J443" s="64"/>
      <c r="K443" s="17"/>
      <c r="L443" s="17"/>
      <c r="M443" s="83"/>
      <c r="N443" s="84" t="str">
        <f t="shared" si="97"/>
        <v/>
      </c>
      <c r="O443" s="20" t="str">
        <f t="shared" si="98"/>
        <v/>
      </c>
      <c r="P443" s="64" t="str">
        <f t="shared" si="99"/>
        <v/>
      </c>
      <c r="Q443" s="85" t="str">
        <f t="shared" ca="1" si="100"/>
        <v/>
      </c>
      <c r="R443" s="86" t="str">
        <f t="shared" si="101"/>
        <v/>
      </c>
      <c r="S443" s="86" t="str">
        <f t="shared" si="102"/>
        <v/>
      </c>
      <c r="T443" s="104" t="str">
        <f t="shared" si="103"/>
        <v/>
      </c>
      <c r="U443" s="19" t="str">
        <f>IF(AND(M443&lt;&gt;"",M443&lt;&gt;0), IF(E443 = "Muni", T443, IF(E443="Corp", T443*(1 -'Investor Input'!$C$4-'Investor Input'!$C$5), T443*(1 -'Investor Input'!$C$4))), T443)</f>
        <v/>
      </c>
      <c r="V443" s="84" t="str">
        <f t="shared" si="104"/>
        <v/>
      </c>
      <c r="W443" s="84" t="str">
        <f t="shared" si="90"/>
        <v/>
      </c>
      <c r="X443" s="21" t="str">
        <f t="shared" si="91"/>
        <v/>
      </c>
      <c r="Y443" s="60" t="str">
        <f t="shared" si="92"/>
        <v/>
      </c>
      <c r="Z443" s="60" t="str">
        <f t="shared" si="93"/>
        <v/>
      </c>
      <c r="AA443" s="64" t="str">
        <f t="shared" si="94"/>
        <v/>
      </c>
      <c r="AB443" s="64" t="str">
        <f>IF(AND(AA443&lt;&gt;"",AA443&lt;&gt;0), IF(E443="Muni", AA443, IF(E443 = "Corp", (1-'Investor Input'!$C$4-'Investor Input'!$C$5)*AA443, (1-'Investor Input'!$C$4)*AA443)), AA443)</f>
        <v/>
      </c>
      <c r="AC443" s="94" t="str">
        <f t="shared" si="95"/>
        <v/>
      </c>
      <c r="AD443" s="60" t="str">
        <f>IF(AND(M443&lt;&gt;"", M443&lt;&gt;0), N443/$N$505*MATCH(AC443,'Misc Lists'!$K$2:$K$25,0), "")</f>
        <v/>
      </c>
      <c r="AE443" s="90" t="str">
        <f t="shared" si="96"/>
        <v/>
      </c>
      <c r="AF443" s="99" t="str">
        <f>IF(AND(M443&lt;&gt;"", M443&lt;&gt;0), N443/$N$505*MATCH(AE443,'Misc Lists'!$L$2:$L$25,0), "")</f>
        <v/>
      </c>
    </row>
    <row r="444" spans="2:32" hidden="1" outlineLevel="1" x14ac:dyDescent="0.5">
      <c r="B444" s="60"/>
      <c r="C444" s="61"/>
      <c r="D444" s="60"/>
      <c r="E444" s="61"/>
      <c r="F444" s="62"/>
      <c r="G444" s="63"/>
      <c r="H444" s="61"/>
      <c r="I444" s="61"/>
      <c r="J444" s="64"/>
      <c r="K444" s="17"/>
      <c r="L444" s="17"/>
      <c r="M444" s="83"/>
      <c r="N444" s="84" t="str">
        <f t="shared" si="97"/>
        <v/>
      </c>
      <c r="O444" s="20" t="str">
        <f t="shared" si="98"/>
        <v/>
      </c>
      <c r="P444" s="64" t="str">
        <f t="shared" si="99"/>
        <v/>
      </c>
      <c r="Q444" s="85" t="str">
        <f t="shared" ca="1" si="100"/>
        <v/>
      </c>
      <c r="R444" s="86" t="str">
        <f t="shared" si="101"/>
        <v/>
      </c>
      <c r="S444" s="86" t="str">
        <f t="shared" si="102"/>
        <v/>
      </c>
      <c r="T444" s="104" t="str">
        <f t="shared" si="103"/>
        <v/>
      </c>
      <c r="U444" s="19" t="str">
        <f>IF(AND(M444&lt;&gt;"",M444&lt;&gt;0), IF(E444 = "Muni", T444, IF(E444="Corp", T444*(1 -'Investor Input'!$C$4-'Investor Input'!$C$5), T444*(1 -'Investor Input'!$C$4))), T444)</f>
        <v/>
      </c>
      <c r="V444" s="84" t="str">
        <f t="shared" si="104"/>
        <v/>
      </c>
      <c r="W444" s="84" t="str">
        <f t="shared" si="90"/>
        <v/>
      </c>
      <c r="X444" s="21" t="str">
        <f t="shared" si="91"/>
        <v/>
      </c>
      <c r="Y444" s="60" t="str">
        <f t="shared" si="92"/>
        <v/>
      </c>
      <c r="Z444" s="60" t="str">
        <f t="shared" si="93"/>
        <v/>
      </c>
      <c r="AA444" s="64" t="str">
        <f t="shared" si="94"/>
        <v/>
      </c>
      <c r="AB444" s="64" t="str">
        <f>IF(AND(AA444&lt;&gt;"",AA444&lt;&gt;0), IF(E444="Muni", AA444, IF(E444 = "Corp", (1-'Investor Input'!$C$4-'Investor Input'!$C$5)*AA444, (1-'Investor Input'!$C$4)*AA444)), AA444)</f>
        <v/>
      </c>
      <c r="AC444" s="94" t="str">
        <f t="shared" si="95"/>
        <v/>
      </c>
      <c r="AD444" s="60" t="str">
        <f>IF(AND(M444&lt;&gt;"", M444&lt;&gt;0), N444/$N$505*MATCH(AC444,'Misc Lists'!$K$2:$K$25,0), "")</f>
        <v/>
      </c>
      <c r="AE444" s="90" t="str">
        <f t="shared" si="96"/>
        <v/>
      </c>
      <c r="AF444" s="99" t="str">
        <f>IF(AND(M444&lt;&gt;"", M444&lt;&gt;0), N444/$N$505*MATCH(AE444,'Misc Lists'!$L$2:$L$25,0), "")</f>
        <v/>
      </c>
    </row>
    <row r="445" spans="2:32" hidden="1" outlineLevel="1" x14ac:dyDescent="0.5">
      <c r="B445" s="60"/>
      <c r="C445" s="61"/>
      <c r="D445" s="60"/>
      <c r="E445" s="61"/>
      <c r="F445" s="62"/>
      <c r="G445" s="63"/>
      <c r="H445" s="61"/>
      <c r="I445" s="61"/>
      <c r="J445" s="64"/>
      <c r="K445" s="17"/>
      <c r="L445" s="17"/>
      <c r="M445" s="83"/>
      <c r="N445" s="84" t="str">
        <f t="shared" si="97"/>
        <v/>
      </c>
      <c r="O445" s="20" t="str">
        <f t="shared" si="98"/>
        <v/>
      </c>
      <c r="P445" s="64" t="str">
        <f t="shared" si="99"/>
        <v/>
      </c>
      <c r="Q445" s="85" t="str">
        <f t="shared" ca="1" si="100"/>
        <v/>
      </c>
      <c r="R445" s="86" t="str">
        <f t="shared" si="101"/>
        <v/>
      </c>
      <c r="S445" s="86" t="str">
        <f t="shared" si="102"/>
        <v/>
      </c>
      <c r="T445" s="104" t="str">
        <f t="shared" si="103"/>
        <v/>
      </c>
      <c r="U445" s="19" t="str">
        <f>IF(AND(M445&lt;&gt;"",M445&lt;&gt;0), IF(E445 = "Muni", T445, IF(E445="Corp", T445*(1 -'Investor Input'!$C$4-'Investor Input'!$C$5), T445*(1 -'Investor Input'!$C$4))), T445)</f>
        <v/>
      </c>
      <c r="V445" s="84" t="str">
        <f t="shared" si="104"/>
        <v/>
      </c>
      <c r="W445" s="84" t="str">
        <f t="shared" si="90"/>
        <v/>
      </c>
      <c r="X445" s="21" t="str">
        <f t="shared" si="91"/>
        <v/>
      </c>
      <c r="Y445" s="60" t="str">
        <f t="shared" si="92"/>
        <v/>
      </c>
      <c r="Z445" s="60" t="str">
        <f t="shared" si="93"/>
        <v/>
      </c>
      <c r="AA445" s="64" t="str">
        <f t="shared" si="94"/>
        <v/>
      </c>
      <c r="AB445" s="64" t="str">
        <f>IF(AND(AA445&lt;&gt;"",AA445&lt;&gt;0), IF(E445="Muni", AA445, IF(E445 = "Corp", (1-'Investor Input'!$C$4-'Investor Input'!$C$5)*AA445, (1-'Investor Input'!$C$4)*AA445)), AA445)</f>
        <v/>
      </c>
      <c r="AC445" s="94" t="str">
        <f t="shared" si="95"/>
        <v/>
      </c>
      <c r="AD445" s="60" t="str">
        <f>IF(AND(M445&lt;&gt;"", M445&lt;&gt;0), N445/$N$505*MATCH(AC445,'Misc Lists'!$K$2:$K$25,0), "")</f>
        <v/>
      </c>
      <c r="AE445" s="90" t="str">
        <f t="shared" si="96"/>
        <v/>
      </c>
      <c r="AF445" s="99" t="str">
        <f>IF(AND(M445&lt;&gt;"", M445&lt;&gt;0), N445/$N$505*MATCH(AE445,'Misc Lists'!$L$2:$L$25,0), "")</f>
        <v/>
      </c>
    </row>
    <row r="446" spans="2:32" hidden="1" outlineLevel="1" x14ac:dyDescent="0.5">
      <c r="B446" s="60"/>
      <c r="C446" s="61"/>
      <c r="D446" s="60"/>
      <c r="E446" s="61"/>
      <c r="F446" s="62"/>
      <c r="G446" s="63"/>
      <c r="H446" s="61"/>
      <c r="I446" s="61"/>
      <c r="J446" s="64"/>
      <c r="K446" s="17"/>
      <c r="L446" s="17"/>
      <c r="M446" s="83"/>
      <c r="N446" s="84" t="str">
        <f t="shared" si="97"/>
        <v/>
      </c>
      <c r="O446" s="20" t="str">
        <f t="shared" si="98"/>
        <v/>
      </c>
      <c r="P446" s="64" t="str">
        <f t="shared" si="99"/>
        <v/>
      </c>
      <c r="Q446" s="85" t="str">
        <f t="shared" ca="1" si="100"/>
        <v/>
      </c>
      <c r="R446" s="86" t="str">
        <f t="shared" si="101"/>
        <v/>
      </c>
      <c r="S446" s="86" t="str">
        <f t="shared" si="102"/>
        <v/>
      </c>
      <c r="T446" s="104" t="str">
        <f t="shared" si="103"/>
        <v/>
      </c>
      <c r="U446" s="19" t="str">
        <f>IF(AND(M446&lt;&gt;"",M446&lt;&gt;0), IF(E446 = "Muni", T446, IF(E446="Corp", T446*(1 -'Investor Input'!$C$4-'Investor Input'!$C$5), T446*(1 -'Investor Input'!$C$4))), T446)</f>
        <v/>
      </c>
      <c r="V446" s="84" t="str">
        <f t="shared" si="104"/>
        <v/>
      </c>
      <c r="W446" s="84" t="str">
        <f t="shared" si="90"/>
        <v/>
      </c>
      <c r="X446" s="21" t="str">
        <f t="shared" si="91"/>
        <v/>
      </c>
      <c r="Y446" s="60" t="str">
        <f t="shared" si="92"/>
        <v/>
      </c>
      <c r="Z446" s="60" t="str">
        <f t="shared" si="93"/>
        <v/>
      </c>
      <c r="AA446" s="64" t="str">
        <f t="shared" si="94"/>
        <v/>
      </c>
      <c r="AB446" s="64" t="str">
        <f>IF(AND(AA446&lt;&gt;"",AA446&lt;&gt;0), IF(E446="Muni", AA446, IF(E446 = "Corp", (1-'Investor Input'!$C$4-'Investor Input'!$C$5)*AA446, (1-'Investor Input'!$C$4)*AA446)), AA446)</f>
        <v/>
      </c>
      <c r="AC446" s="94" t="str">
        <f t="shared" si="95"/>
        <v/>
      </c>
      <c r="AD446" s="60" t="str">
        <f>IF(AND(M446&lt;&gt;"", M446&lt;&gt;0), N446/$N$505*MATCH(AC446,'Misc Lists'!$K$2:$K$25,0), "")</f>
        <v/>
      </c>
      <c r="AE446" s="90" t="str">
        <f t="shared" si="96"/>
        <v/>
      </c>
      <c r="AF446" s="99" t="str">
        <f>IF(AND(M446&lt;&gt;"", M446&lt;&gt;0), N446/$N$505*MATCH(AE446,'Misc Lists'!$L$2:$L$25,0), "")</f>
        <v/>
      </c>
    </row>
    <row r="447" spans="2:32" hidden="1" outlineLevel="1" x14ac:dyDescent="0.5">
      <c r="B447" s="60"/>
      <c r="C447" s="61"/>
      <c r="D447" s="60"/>
      <c r="E447" s="61"/>
      <c r="F447" s="62"/>
      <c r="G447" s="63"/>
      <c r="H447" s="61"/>
      <c r="I447" s="61"/>
      <c r="J447" s="64"/>
      <c r="K447" s="17"/>
      <c r="L447" s="17"/>
      <c r="M447" s="83"/>
      <c r="N447" s="84" t="str">
        <f t="shared" si="97"/>
        <v/>
      </c>
      <c r="O447" s="20" t="str">
        <f t="shared" si="98"/>
        <v/>
      </c>
      <c r="P447" s="64" t="str">
        <f t="shared" si="99"/>
        <v/>
      </c>
      <c r="Q447" s="85" t="str">
        <f t="shared" ca="1" si="100"/>
        <v/>
      </c>
      <c r="R447" s="86" t="str">
        <f t="shared" si="101"/>
        <v/>
      </c>
      <c r="S447" s="86" t="str">
        <f t="shared" si="102"/>
        <v/>
      </c>
      <c r="T447" s="104" t="str">
        <f t="shared" si="103"/>
        <v/>
      </c>
      <c r="U447" s="19" t="str">
        <f>IF(AND(M447&lt;&gt;"",M447&lt;&gt;0), IF(E447 = "Muni", T447, IF(E447="Corp", T447*(1 -'Investor Input'!$C$4-'Investor Input'!$C$5), T447*(1 -'Investor Input'!$C$4))), T447)</f>
        <v/>
      </c>
      <c r="V447" s="84" t="str">
        <f t="shared" si="104"/>
        <v/>
      </c>
      <c r="W447" s="84" t="str">
        <f t="shared" si="90"/>
        <v/>
      </c>
      <c r="X447" s="21" t="str">
        <f t="shared" si="91"/>
        <v/>
      </c>
      <c r="Y447" s="60" t="str">
        <f t="shared" si="92"/>
        <v/>
      </c>
      <c r="Z447" s="60" t="str">
        <f t="shared" si="93"/>
        <v/>
      </c>
      <c r="AA447" s="64" t="str">
        <f t="shared" si="94"/>
        <v/>
      </c>
      <c r="AB447" s="64" t="str">
        <f>IF(AND(AA447&lt;&gt;"",AA447&lt;&gt;0), IF(E447="Muni", AA447, IF(E447 = "Corp", (1-'Investor Input'!$C$4-'Investor Input'!$C$5)*AA447, (1-'Investor Input'!$C$4)*AA447)), AA447)</f>
        <v/>
      </c>
      <c r="AC447" s="94" t="str">
        <f t="shared" si="95"/>
        <v/>
      </c>
      <c r="AD447" s="60" t="str">
        <f>IF(AND(M447&lt;&gt;"", M447&lt;&gt;0), N447/$N$505*MATCH(AC447,'Misc Lists'!$K$2:$K$25,0), "")</f>
        <v/>
      </c>
      <c r="AE447" s="90" t="str">
        <f t="shared" si="96"/>
        <v/>
      </c>
      <c r="AF447" s="99" t="str">
        <f>IF(AND(M447&lt;&gt;"", M447&lt;&gt;0), N447/$N$505*MATCH(AE447,'Misc Lists'!$L$2:$L$25,0), "")</f>
        <v/>
      </c>
    </row>
    <row r="448" spans="2:32" hidden="1" outlineLevel="1" x14ac:dyDescent="0.5">
      <c r="B448" s="60"/>
      <c r="C448" s="61"/>
      <c r="D448" s="60"/>
      <c r="E448" s="61"/>
      <c r="F448" s="62"/>
      <c r="G448" s="63"/>
      <c r="H448" s="61"/>
      <c r="I448" s="61"/>
      <c r="J448" s="64"/>
      <c r="K448" s="17"/>
      <c r="L448" s="17"/>
      <c r="M448" s="83"/>
      <c r="N448" s="84" t="str">
        <f t="shared" si="97"/>
        <v/>
      </c>
      <c r="O448" s="20" t="str">
        <f t="shared" si="98"/>
        <v/>
      </c>
      <c r="P448" s="64" t="str">
        <f t="shared" si="99"/>
        <v/>
      </c>
      <c r="Q448" s="85" t="str">
        <f t="shared" ca="1" si="100"/>
        <v/>
      </c>
      <c r="R448" s="86" t="str">
        <f t="shared" si="101"/>
        <v/>
      </c>
      <c r="S448" s="86" t="str">
        <f t="shared" si="102"/>
        <v/>
      </c>
      <c r="T448" s="104" t="str">
        <f t="shared" si="103"/>
        <v/>
      </c>
      <c r="U448" s="19" t="str">
        <f>IF(AND(M448&lt;&gt;"",M448&lt;&gt;0), IF(E448 = "Muni", T448, IF(E448="Corp", T448*(1 -'Investor Input'!$C$4-'Investor Input'!$C$5), T448*(1 -'Investor Input'!$C$4))), T448)</f>
        <v/>
      </c>
      <c r="V448" s="84" t="str">
        <f t="shared" si="104"/>
        <v/>
      </c>
      <c r="W448" s="84" t="str">
        <f t="shared" si="90"/>
        <v/>
      </c>
      <c r="X448" s="21" t="str">
        <f t="shared" si="91"/>
        <v/>
      </c>
      <c r="Y448" s="60" t="str">
        <f t="shared" si="92"/>
        <v/>
      </c>
      <c r="Z448" s="60" t="str">
        <f t="shared" si="93"/>
        <v/>
      </c>
      <c r="AA448" s="64" t="str">
        <f t="shared" si="94"/>
        <v/>
      </c>
      <c r="AB448" s="64" t="str">
        <f>IF(AND(AA448&lt;&gt;"",AA448&lt;&gt;0), IF(E448="Muni", AA448, IF(E448 = "Corp", (1-'Investor Input'!$C$4-'Investor Input'!$C$5)*AA448, (1-'Investor Input'!$C$4)*AA448)), AA448)</f>
        <v/>
      </c>
      <c r="AC448" s="94" t="str">
        <f t="shared" si="95"/>
        <v/>
      </c>
      <c r="AD448" s="60" t="str">
        <f>IF(AND(M448&lt;&gt;"", M448&lt;&gt;0), N448/$N$505*MATCH(AC448,'Misc Lists'!$K$2:$K$25,0), "")</f>
        <v/>
      </c>
      <c r="AE448" s="90" t="str">
        <f t="shared" si="96"/>
        <v/>
      </c>
      <c r="AF448" s="99" t="str">
        <f>IF(AND(M448&lt;&gt;"", M448&lt;&gt;0), N448/$N$505*MATCH(AE448,'Misc Lists'!$L$2:$L$25,0), "")</f>
        <v/>
      </c>
    </row>
    <row r="449" spans="2:32" hidden="1" outlineLevel="1" x14ac:dyDescent="0.5">
      <c r="B449" s="60"/>
      <c r="C449" s="61"/>
      <c r="D449" s="60"/>
      <c r="E449" s="61"/>
      <c r="F449" s="62"/>
      <c r="G449" s="63"/>
      <c r="H449" s="61"/>
      <c r="I449" s="61"/>
      <c r="J449" s="64"/>
      <c r="K449" s="17"/>
      <c r="L449" s="17"/>
      <c r="M449" s="83"/>
      <c r="N449" s="84" t="str">
        <f t="shared" si="97"/>
        <v/>
      </c>
      <c r="O449" s="20" t="str">
        <f t="shared" si="98"/>
        <v/>
      </c>
      <c r="P449" s="64" t="str">
        <f t="shared" si="99"/>
        <v/>
      </c>
      <c r="Q449" s="85" t="str">
        <f t="shared" ca="1" si="100"/>
        <v/>
      </c>
      <c r="R449" s="86" t="str">
        <f t="shared" si="101"/>
        <v/>
      </c>
      <c r="S449" s="86" t="str">
        <f t="shared" si="102"/>
        <v/>
      </c>
      <c r="T449" s="104" t="str">
        <f t="shared" si="103"/>
        <v/>
      </c>
      <c r="U449" s="19" t="str">
        <f>IF(AND(M449&lt;&gt;"",M449&lt;&gt;0), IF(E449 = "Muni", T449, IF(E449="Corp", T449*(1 -'Investor Input'!$C$4-'Investor Input'!$C$5), T449*(1 -'Investor Input'!$C$4))), T449)</f>
        <v/>
      </c>
      <c r="V449" s="84" t="str">
        <f t="shared" si="104"/>
        <v/>
      </c>
      <c r="W449" s="84" t="str">
        <f t="shared" si="90"/>
        <v/>
      </c>
      <c r="X449" s="21" t="str">
        <f t="shared" si="91"/>
        <v/>
      </c>
      <c r="Y449" s="60" t="str">
        <f t="shared" si="92"/>
        <v/>
      </c>
      <c r="Z449" s="60" t="str">
        <f t="shared" si="93"/>
        <v/>
      </c>
      <c r="AA449" s="64" t="str">
        <f t="shared" si="94"/>
        <v/>
      </c>
      <c r="AB449" s="64" t="str">
        <f>IF(AND(AA449&lt;&gt;"",AA449&lt;&gt;0), IF(E449="Muni", AA449, IF(E449 = "Corp", (1-'Investor Input'!$C$4-'Investor Input'!$C$5)*AA449, (1-'Investor Input'!$C$4)*AA449)), AA449)</f>
        <v/>
      </c>
      <c r="AC449" s="94" t="str">
        <f t="shared" si="95"/>
        <v/>
      </c>
      <c r="AD449" s="60" t="str">
        <f>IF(AND(M449&lt;&gt;"", M449&lt;&gt;0), N449/$N$505*MATCH(AC449,'Misc Lists'!$K$2:$K$25,0), "")</f>
        <v/>
      </c>
      <c r="AE449" s="90" t="str">
        <f t="shared" si="96"/>
        <v/>
      </c>
      <c r="AF449" s="99" t="str">
        <f>IF(AND(M449&lt;&gt;"", M449&lt;&gt;0), N449/$N$505*MATCH(AE449,'Misc Lists'!$L$2:$L$25,0), "")</f>
        <v/>
      </c>
    </row>
    <row r="450" spans="2:32" hidden="1" outlineLevel="1" x14ac:dyDescent="0.5">
      <c r="B450" s="60"/>
      <c r="C450" s="61"/>
      <c r="D450" s="60"/>
      <c r="E450" s="61"/>
      <c r="F450" s="62"/>
      <c r="G450" s="63"/>
      <c r="H450" s="61"/>
      <c r="I450" s="61"/>
      <c r="J450" s="64"/>
      <c r="K450" s="17"/>
      <c r="L450" s="17"/>
      <c r="M450" s="83"/>
      <c r="N450" s="84" t="str">
        <f t="shared" si="97"/>
        <v/>
      </c>
      <c r="O450" s="20" t="str">
        <f t="shared" si="98"/>
        <v/>
      </c>
      <c r="P450" s="64" t="str">
        <f t="shared" si="99"/>
        <v/>
      </c>
      <c r="Q450" s="85" t="str">
        <f t="shared" ca="1" si="100"/>
        <v/>
      </c>
      <c r="R450" s="86" t="str">
        <f t="shared" si="101"/>
        <v/>
      </c>
      <c r="S450" s="86" t="str">
        <f t="shared" si="102"/>
        <v/>
      </c>
      <c r="T450" s="104" t="str">
        <f t="shared" si="103"/>
        <v/>
      </c>
      <c r="U450" s="19" t="str">
        <f>IF(AND(M450&lt;&gt;"",M450&lt;&gt;0), IF(E450 = "Muni", T450, IF(E450="Corp", T450*(1 -'Investor Input'!$C$4-'Investor Input'!$C$5), T450*(1 -'Investor Input'!$C$4))), T450)</f>
        <v/>
      </c>
      <c r="V450" s="84" t="str">
        <f t="shared" si="104"/>
        <v/>
      </c>
      <c r="W450" s="84" t="str">
        <f t="shared" si="90"/>
        <v/>
      </c>
      <c r="X450" s="21" t="str">
        <f t="shared" si="91"/>
        <v/>
      </c>
      <c r="Y450" s="60" t="str">
        <f t="shared" si="92"/>
        <v/>
      </c>
      <c r="Z450" s="60" t="str">
        <f t="shared" si="93"/>
        <v/>
      </c>
      <c r="AA450" s="64" t="str">
        <f t="shared" si="94"/>
        <v/>
      </c>
      <c r="AB450" s="64" t="str">
        <f>IF(AND(AA450&lt;&gt;"",AA450&lt;&gt;0), IF(E450="Muni", AA450, IF(E450 = "Corp", (1-'Investor Input'!$C$4-'Investor Input'!$C$5)*AA450, (1-'Investor Input'!$C$4)*AA450)), AA450)</f>
        <v/>
      </c>
      <c r="AC450" s="94" t="str">
        <f t="shared" si="95"/>
        <v/>
      </c>
      <c r="AD450" s="60" t="str">
        <f>IF(AND(M450&lt;&gt;"", M450&lt;&gt;0), N450/$N$505*MATCH(AC450,'Misc Lists'!$K$2:$K$25,0), "")</f>
        <v/>
      </c>
      <c r="AE450" s="90" t="str">
        <f t="shared" si="96"/>
        <v/>
      </c>
      <c r="AF450" s="99" t="str">
        <f>IF(AND(M450&lt;&gt;"", M450&lt;&gt;0), N450/$N$505*MATCH(AE450,'Misc Lists'!$L$2:$L$25,0), "")</f>
        <v/>
      </c>
    </row>
    <row r="451" spans="2:32" hidden="1" outlineLevel="1" x14ac:dyDescent="0.5">
      <c r="B451" s="60"/>
      <c r="C451" s="61"/>
      <c r="D451" s="60"/>
      <c r="E451" s="61"/>
      <c r="F451" s="62"/>
      <c r="G451" s="63"/>
      <c r="H451" s="61"/>
      <c r="I451" s="61"/>
      <c r="J451" s="64"/>
      <c r="K451" s="17"/>
      <c r="L451" s="17"/>
      <c r="M451" s="83"/>
      <c r="N451" s="84" t="str">
        <f t="shared" si="97"/>
        <v/>
      </c>
      <c r="O451" s="20" t="str">
        <f t="shared" si="98"/>
        <v/>
      </c>
      <c r="P451" s="64" t="str">
        <f t="shared" si="99"/>
        <v/>
      </c>
      <c r="Q451" s="85" t="str">
        <f t="shared" ca="1" si="100"/>
        <v/>
      </c>
      <c r="R451" s="86" t="str">
        <f t="shared" si="101"/>
        <v/>
      </c>
      <c r="S451" s="86" t="str">
        <f t="shared" si="102"/>
        <v/>
      </c>
      <c r="T451" s="104" t="str">
        <f t="shared" si="103"/>
        <v/>
      </c>
      <c r="U451" s="19" t="str">
        <f>IF(AND(M451&lt;&gt;"",M451&lt;&gt;0), IF(E451 = "Muni", T451, IF(E451="Corp", T451*(1 -'Investor Input'!$C$4-'Investor Input'!$C$5), T451*(1 -'Investor Input'!$C$4))), T451)</f>
        <v/>
      </c>
      <c r="V451" s="84" t="str">
        <f t="shared" si="104"/>
        <v/>
      </c>
      <c r="W451" s="84" t="str">
        <f t="shared" si="90"/>
        <v/>
      </c>
      <c r="X451" s="21" t="str">
        <f t="shared" si="91"/>
        <v/>
      </c>
      <c r="Y451" s="60" t="str">
        <f t="shared" si="92"/>
        <v/>
      </c>
      <c r="Z451" s="60" t="str">
        <f t="shared" si="93"/>
        <v/>
      </c>
      <c r="AA451" s="64" t="str">
        <f t="shared" si="94"/>
        <v/>
      </c>
      <c r="AB451" s="64" t="str">
        <f>IF(AND(AA451&lt;&gt;"",AA451&lt;&gt;0), IF(E451="Muni", AA451, IF(E451 = "Corp", (1-'Investor Input'!$C$4-'Investor Input'!$C$5)*AA451, (1-'Investor Input'!$C$4)*AA451)), AA451)</f>
        <v/>
      </c>
      <c r="AC451" s="94" t="str">
        <f t="shared" si="95"/>
        <v/>
      </c>
      <c r="AD451" s="60" t="str">
        <f>IF(AND(M451&lt;&gt;"", M451&lt;&gt;0), N451/$N$505*MATCH(AC451,'Misc Lists'!$K$2:$K$25,0), "")</f>
        <v/>
      </c>
      <c r="AE451" s="90" t="str">
        <f t="shared" si="96"/>
        <v/>
      </c>
      <c r="AF451" s="99" t="str">
        <f>IF(AND(M451&lt;&gt;"", M451&lt;&gt;0), N451/$N$505*MATCH(AE451,'Misc Lists'!$L$2:$L$25,0), "")</f>
        <v/>
      </c>
    </row>
    <row r="452" spans="2:32" hidden="1" outlineLevel="1" x14ac:dyDescent="0.5">
      <c r="B452" s="60"/>
      <c r="C452" s="61"/>
      <c r="D452" s="60"/>
      <c r="E452" s="61"/>
      <c r="F452" s="62"/>
      <c r="G452" s="63"/>
      <c r="H452" s="61"/>
      <c r="I452" s="61"/>
      <c r="J452" s="64"/>
      <c r="K452" s="17"/>
      <c r="L452" s="17"/>
      <c r="M452" s="83"/>
      <c r="N452" s="84" t="str">
        <f t="shared" si="97"/>
        <v/>
      </c>
      <c r="O452" s="20" t="str">
        <f t="shared" si="98"/>
        <v/>
      </c>
      <c r="P452" s="64" t="str">
        <f t="shared" si="99"/>
        <v/>
      </c>
      <c r="Q452" s="85" t="str">
        <f t="shared" ca="1" si="100"/>
        <v/>
      </c>
      <c r="R452" s="86" t="str">
        <f t="shared" si="101"/>
        <v/>
      </c>
      <c r="S452" s="86" t="str">
        <f t="shared" si="102"/>
        <v/>
      </c>
      <c r="T452" s="104" t="str">
        <f t="shared" si="103"/>
        <v/>
      </c>
      <c r="U452" s="19" t="str">
        <f>IF(AND(M452&lt;&gt;"",M452&lt;&gt;0), IF(E452 = "Muni", T452, IF(E452="Corp", T452*(1 -'Investor Input'!$C$4-'Investor Input'!$C$5), T452*(1 -'Investor Input'!$C$4))), T452)</f>
        <v/>
      </c>
      <c r="V452" s="84" t="str">
        <f t="shared" si="104"/>
        <v/>
      </c>
      <c r="W452" s="84" t="str">
        <f t="shared" ref="W452:W503" si="105">IF(AND(M452&lt;&gt;"",M452&lt;&gt;0),V452-N452,"")</f>
        <v/>
      </c>
      <c r="X452" s="21" t="str">
        <f t="shared" ref="X452:X503" si="106">IF(AND(M452&lt;&gt;"",M452&lt;&gt;0),W452/N452,"")</f>
        <v/>
      </c>
      <c r="Y452" s="60" t="str">
        <f t="shared" si="92"/>
        <v/>
      </c>
      <c r="Z452" s="60" t="str">
        <f t="shared" si="93"/>
        <v/>
      </c>
      <c r="AA452" s="64" t="str">
        <f t="shared" si="94"/>
        <v/>
      </c>
      <c r="AB452" s="64" t="str">
        <f>IF(AND(AA452&lt;&gt;"",AA452&lt;&gt;0), IF(E452="Muni", AA452, IF(E452 = "Corp", (1-'Investor Input'!$C$4-'Investor Input'!$C$5)*AA452, (1-'Investor Input'!$C$4)*AA452)), AA452)</f>
        <v/>
      </c>
      <c r="AC452" s="94" t="str">
        <f t="shared" si="95"/>
        <v/>
      </c>
      <c r="AD452" s="60" t="str">
        <f>IF(AND(M452&lt;&gt;"", M452&lt;&gt;0), N452/$N$505*MATCH(AC452,'Misc Lists'!$K$2:$K$25,0), "")</f>
        <v/>
      </c>
      <c r="AE452" s="90" t="str">
        <f t="shared" si="96"/>
        <v/>
      </c>
      <c r="AF452" s="99" t="str">
        <f>IF(AND(M452&lt;&gt;"", M452&lt;&gt;0), N452/$N$505*MATCH(AE452,'Misc Lists'!$L$2:$L$25,0), "")</f>
        <v/>
      </c>
    </row>
    <row r="453" spans="2:32" hidden="1" outlineLevel="1" x14ac:dyDescent="0.5">
      <c r="B453" s="60"/>
      <c r="C453" s="61"/>
      <c r="D453" s="60"/>
      <c r="E453" s="61"/>
      <c r="F453" s="62"/>
      <c r="G453" s="63"/>
      <c r="H453" s="61"/>
      <c r="I453" s="61"/>
      <c r="J453" s="64"/>
      <c r="K453" s="17"/>
      <c r="L453" s="17"/>
      <c r="M453" s="83"/>
      <c r="N453" s="84" t="str">
        <f t="shared" ref="N453:N503" si="107">IF(AND(M453&lt;&gt;"", M453&lt;&gt;0), IF(L453 &lt;&gt; "N/A", IF(M453&gt;=VALUE(LEFT(L453, FIND("(", L453)-1)), J453*10*M453, 1000*M453), 1000*M453), "")</f>
        <v/>
      </c>
      <c r="O453" s="20" t="str">
        <f t="shared" ref="O453:O503" si="108">IF(AND(M453&lt;&gt;"",M453&lt;&gt;0),N453/$N$505, "")</f>
        <v/>
      </c>
      <c r="P453" s="64" t="str">
        <f t="shared" ref="P453:P503" si="109">IF(AND(M453&lt;&gt;"", M453&lt;&gt;0), F453*1000/100, "")</f>
        <v/>
      </c>
      <c r="Q453" s="85" t="str">
        <f t="shared" ref="Q453:Q503" ca="1" si="110">IF(AND(M453&lt;&gt;"", M453&lt;&gt;0), NOW(), "")</f>
        <v/>
      </c>
      <c r="R453" s="86" t="str">
        <f t="shared" ref="R453:R503" si="111">IF(AND(M453&lt;&gt;"", M453&lt;&gt;0), ROUND((G453 - Q453)/365, 0), "")</f>
        <v/>
      </c>
      <c r="S453" s="86" t="str">
        <f t="shared" ref="S453:S503" si="112">IF(AND(M453&lt;&gt;"",M453&lt;&gt;0),MDURATION(Q453,G453,F453/100,K453/100,2), "")</f>
        <v/>
      </c>
      <c r="T453" s="104" t="str">
        <f t="shared" ref="T453:T503" si="113">IF(AND(M453&lt;&gt;"",M453&lt;&gt;0),YIELD(Q453,G453,F453/100,N453/(M453*10),100,2),"")</f>
        <v/>
      </c>
      <c r="U453" s="19" t="str">
        <f>IF(AND(M453&lt;&gt;"",M453&lt;&gt;0), IF(E453 = "Muni", T453, IF(E453="Corp", T453*(1 -'Investor Input'!$C$4-'Investor Input'!$C$5), T453*(1 -'Investor Input'!$C$4))), T453)</f>
        <v/>
      </c>
      <c r="V453" s="84" t="str">
        <f t="shared" ref="V453:V503" si="114">IF(AND(M453&lt;&gt;"",M453&lt;&gt;0),(FV(K453/(2*100),(G453-Q453)*2/365, F453*1000/(2*100), -N453/M453))*M453, "")</f>
        <v/>
      </c>
      <c r="W453" s="84" t="str">
        <f t="shared" si="105"/>
        <v/>
      </c>
      <c r="X453" s="21" t="str">
        <f t="shared" si="106"/>
        <v/>
      </c>
      <c r="Y453" s="60" t="str">
        <f t="shared" ref="Y453:Y503" si="115">IF(AND(M453&lt;&gt;"", M453&lt;&gt;0), MONTH(G453), "")</f>
        <v/>
      </c>
      <c r="Z453" s="60" t="str">
        <f t="shared" ref="Z453:Z503" si="116">IF(AND(M453&lt;&gt;"", M453&lt;&gt;0), MONTH(EDATE(G453, 6)), "")</f>
        <v/>
      </c>
      <c r="AA453" s="64" t="str">
        <f t="shared" ref="AA453:AA503" si="117">IF(AND(M453&lt;&gt;"", M453&lt;&gt;0), F453*1000*M453/(100*2), "")</f>
        <v/>
      </c>
      <c r="AB453" s="64" t="str">
        <f>IF(AND(AA453&lt;&gt;"",AA453&lt;&gt;0), IF(E453="Muni", AA453, IF(E453 = "Corp", (1-'Investor Input'!$C$4-'Investor Input'!$C$5)*AA453, (1-'Investor Input'!$C$4)*AA453)), AA453)</f>
        <v/>
      </c>
      <c r="AC453" s="94" t="str">
        <f t="shared" ref="AC453:AC503" si="118">IF(AND(M453&lt;&gt;"", M453&lt;&gt;0), H453, "")</f>
        <v/>
      </c>
      <c r="AD453" s="60" t="str">
        <f>IF(AND(M453&lt;&gt;"", M453&lt;&gt;0), N453/$N$505*MATCH(AC453,'Misc Lists'!$K$2:$K$25,0), "")</f>
        <v/>
      </c>
      <c r="AE453" s="90" t="str">
        <f t="shared" ref="AE453:AE503" si="119">IF(AND(M453&lt;&gt;"", M453&lt;&gt;0), I453, "")</f>
        <v/>
      </c>
      <c r="AF453" s="99" t="str">
        <f>IF(AND(M453&lt;&gt;"", M453&lt;&gt;0), N453/$N$505*MATCH(AE453,'Misc Lists'!$L$2:$L$25,0), "")</f>
        <v/>
      </c>
    </row>
    <row r="454" spans="2:32" hidden="1" outlineLevel="1" x14ac:dyDescent="0.5">
      <c r="B454" s="60"/>
      <c r="C454" s="61"/>
      <c r="D454" s="60"/>
      <c r="E454" s="61"/>
      <c r="F454" s="62"/>
      <c r="G454" s="63"/>
      <c r="H454" s="61"/>
      <c r="I454" s="61"/>
      <c r="J454" s="64"/>
      <c r="K454" s="17"/>
      <c r="L454" s="17"/>
      <c r="M454" s="83"/>
      <c r="N454" s="84" t="str">
        <f t="shared" si="107"/>
        <v/>
      </c>
      <c r="O454" s="20" t="str">
        <f t="shared" si="108"/>
        <v/>
      </c>
      <c r="P454" s="64" t="str">
        <f t="shared" si="109"/>
        <v/>
      </c>
      <c r="Q454" s="85" t="str">
        <f t="shared" ca="1" si="110"/>
        <v/>
      </c>
      <c r="R454" s="86" t="str">
        <f t="shared" si="111"/>
        <v/>
      </c>
      <c r="S454" s="86" t="str">
        <f t="shared" si="112"/>
        <v/>
      </c>
      <c r="T454" s="104" t="str">
        <f t="shared" si="113"/>
        <v/>
      </c>
      <c r="U454" s="19" t="str">
        <f>IF(AND(M454&lt;&gt;"",M454&lt;&gt;0), IF(E454 = "Muni", T454, IF(E454="Corp", T454*(1 -'Investor Input'!$C$4-'Investor Input'!$C$5), T454*(1 -'Investor Input'!$C$4))), T454)</f>
        <v/>
      </c>
      <c r="V454" s="84" t="str">
        <f t="shared" si="114"/>
        <v/>
      </c>
      <c r="W454" s="84" t="str">
        <f t="shared" si="105"/>
        <v/>
      </c>
      <c r="X454" s="21" t="str">
        <f t="shared" si="106"/>
        <v/>
      </c>
      <c r="Y454" s="60" t="str">
        <f t="shared" si="115"/>
        <v/>
      </c>
      <c r="Z454" s="60" t="str">
        <f t="shared" si="116"/>
        <v/>
      </c>
      <c r="AA454" s="64" t="str">
        <f t="shared" si="117"/>
        <v/>
      </c>
      <c r="AB454" s="64" t="str">
        <f>IF(AND(AA454&lt;&gt;"",AA454&lt;&gt;0), IF(E454="Muni", AA454, IF(E454 = "Corp", (1-'Investor Input'!$C$4-'Investor Input'!$C$5)*AA454, (1-'Investor Input'!$C$4)*AA454)), AA454)</f>
        <v/>
      </c>
      <c r="AC454" s="94" t="str">
        <f t="shared" si="118"/>
        <v/>
      </c>
      <c r="AD454" s="60" t="str">
        <f>IF(AND(M454&lt;&gt;"", M454&lt;&gt;0), N454/$N$505*MATCH(AC454,'Misc Lists'!$K$2:$K$25,0), "")</f>
        <v/>
      </c>
      <c r="AE454" s="90" t="str">
        <f t="shared" si="119"/>
        <v/>
      </c>
      <c r="AF454" s="99" t="str">
        <f>IF(AND(M454&lt;&gt;"", M454&lt;&gt;0), N454/$N$505*MATCH(AE454,'Misc Lists'!$L$2:$L$25,0), "")</f>
        <v/>
      </c>
    </row>
    <row r="455" spans="2:32" hidden="1" outlineLevel="1" x14ac:dyDescent="0.5">
      <c r="B455" s="60"/>
      <c r="C455" s="61"/>
      <c r="D455" s="60"/>
      <c r="E455" s="61"/>
      <c r="F455" s="62"/>
      <c r="G455" s="63"/>
      <c r="H455" s="61"/>
      <c r="I455" s="61"/>
      <c r="J455" s="64"/>
      <c r="K455" s="17"/>
      <c r="L455" s="17"/>
      <c r="M455" s="83"/>
      <c r="N455" s="84" t="str">
        <f t="shared" si="107"/>
        <v/>
      </c>
      <c r="O455" s="20" t="str">
        <f t="shared" si="108"/>
        <v/>
      </c>
      <c r="P455" s="64" t="str">
        <f t="shared" si="109"/>
        <v/>
      </c>
      <c r="Q455" s="85" t="str">
        <f t="shared" ca="1" si="110"/>
        <v/>
      </c>
      <c r="R455" s="86" t="str">
        <f t="shared" si="111"/>
        <v/>
      </c>
      <c r="S455" s="86" t="str">
        <f t="shared" si="112"/>
        <v/>
      </c>
      <c r="T455" s="104" t="str">
        <f t="shared" si="113"/>
        <v/>
      </c>
      <c r="U455" s="19" t="str">
        <f>IF(AND(M455&lt;&gt;"",M455&lt;&gt;0), IF(E455 = "Muni", T455, IF(E455="Corp", T455*(1 -'Investor Input'!$C$4-'Investor Input'!$C$5), T455*(1 -'Investor Input'!$C$4))), T455)</f>
        <v/>
      </c>
      <c r="V455" s="84" t="str">
        <f t="shared" si="114"/>
        <v/>
      </c>
      <c r="W455" s="84" t="str">
        <f t="shared" si="105"/>
        <v/>
      </c>
      <c r="X455" s="21" t="str">
        <f t="shared" si="106"/>
        <v/>
      </c>
      <c r="Y455" s="60" t="str">
        <f t="shared" si="115"/>
        <v/>
      </c>
      <c r="Z455" s="60" t="str">
        <f t="shared" si="116"/>
        <v/>
      </c>
      <c r="AA455" s="64" t="str">
        <f t="shared" si="117"/>
        <v/>
      </c>
      <c r="AB455" s="64" t="str">
        <f>IF(AND(AA455&lt;&gt;"",AA455&lt;&gt;0), IF(E455="Muni", AA455, IF(E455 = "Corp", (1-'Investor Input'!$C$4-'Investor Input'!$C$5)*AA455, (1-'Investor Input'!$C$4)*AA455)), AA455)</f>
        <v/>
      </c>
      <c r="AC455" s="94" t="str">
        <f t="shared" si="118"/>
        <v/>
      </c>
      <c r="AD455" s="60" t="str">
        <f>IF(AND(M455&lt;&gt;"", M455&lt;&gt;0), N455/$N$505*MATCH(AC455,'Misc Lists'!$K$2:$K$25,0), "")</f>
        <v/>
      </c>
      <c r="AE455" s="90" t="str">
        <f t="shared" si="119"/>
        <v/>
      </c>
      <c r="AF455" s="99" t="str">
        <f>IF(AND(M455&lt;&gt;"", M455&lt;&gt;0), N455/$N$505*MATCH(AE455,'Misc Lists'!$L$2:$L$25,0), "")</f>
        <v/>
      </c>
    </row>
    <row r="456" spans="2:32" hidden="1" outlineLevel="1" x14ac:dyDescent="0.5">
      <c r="B456" s="60"/>
      <c r="C456" s="61"/>
      <c r="D456" s="60"/>
      <c r="E456" s="61"/>
      <c r="F456" s="62"/>
      <c r="G456" s="63"/>
      <c r="H456" s="61"/>
      <c r="I456" s="61"/>
      <c r="J456" s="64"/>
      <c r="K456" s="17"/>
      <c r="L456" s="17"/>
      <c r="M456" s="83"/>
      <c r="N456" s="84" t="str">
        <f t="shared" si="107"/>
        <v/>
      </c>
      <c r="O456" s="20" t="str">
        <f t="shared" si="108"/>
        <v/>
      </c>
      <c r="P456" s="64" t="str">
        <f t="shared" si="109"/>
        <v/>
      </c>
      <c r="Q456" s="85" t="str">
        <f t="shared" ca="1" si="110"/>
        <v/>
      </c>
      <c r="R456" s="86" t="str">
        <f t="shared" si="111"/>
        <v/>
      </c>
      <c r="S456" s="86" t="str">
        <f t="shared" si="112"/>
        <v/>
      </c>
      <c r="T456" s="104" t="str">
        <f t="shared" si="113"/>
        <v/>
      </c>
      <c r="U456" s="19" t="str">
        <f>IF(AND(M456&lt;&gt;"",M456&lt;&gt;0), IF(E456 = "Muni", T456, IF(E456="Corp", T456*(1 -'Investor Input'!$C$4-'Investor Input'!$C$5), T456*(1 -'Investor Input'!$C$4))), T456)</f>
        <v/>
      </c>
      <c r="V456" s="84" t="str">
        <f t="shared" si="114"/>
        <v/>
      </c>
      <c r="W456" s="84" t="str">
        <f t="shared" si="105"/>
        <v/>
      </c>
      <c r="X456" s="21" t="str">
        <f t="shared" si="106"/>
        <v/>
      </c>
      <c r="Y456" s="60" t="str">
        <f t="shared" si="115"/>
        <v/>
      </c>
      <c r="Z456" s="60" t="str">
        <f t="shared" si="116"/>
        <v/>
      </c>
      <c r="AA456" s="64" t="str">
        <f t="shared" si="117"/>
        <v/>
      </c>
      <c r="AB456" s="64" t="str">
        <f>IF(AND(AA456&lt;&gt;"",AA456&lt;&gt;0), IF(E456="Muni", AA456, IF(E456 = "Corp", (1-'Investor Input'!$C$4-'Investor Input'!$C$5)*AA456, (1-'Investor Input'!$C$4)*AA456)), AA456)</f>
        <v/>
      </c>
      <c r="AC456" s="94" t="str">
        <f t="shared" si="118"/>
        <v/>
      </c>
      <c r="AD456" s="60" t="str">
        <f>IF(AND(M456&lt;&gt;"", M456&lt;&gt;0), N456/$N$505*MATCH(AC456,'Misc Lists'!$K$2:$K$25,0), "")</f>
        <v/>
      </c>
      <c r="AE456" s="90" t="str">
        <f t="shared" si="119"/>
        <v/>
      </c>
      <c r="AF456" s="99" t="str">
        <f>IF(AND(M456&lt;&gt;"", M456&lt;&gt;0), N456/$N$505*MATCH(AE456,'Misc Lists'!$L$2:$L$25,0), "")</f>
        <v/>
      </c>
    </row>
    <row r="457" spans="2:32" hidden="1" outlineLevel="1" x14ac:dyDescent="0.5">
      <c r="B457" s="60"/>
      <c r="C457" s="61"/>
      <c r="D457" s="60"/>
      <c r="E457" s="61"/>
      <c r="F457" s="62"/>
      <c r="G457" s="63"/>
      <c r="H457" s="61"/>
      <c r="I457" s="61"/>
      <c r="J457" s="64"/>
      <c r="K457" s="17"/>
      <c r="L457" s="17"/>
      <c r="M457" s="83"/>
      <c r="N457" s="84" t="str">
        <f t="shared" si="107"/>
        <v/>
      </c>
      <c r="O457" s="20" t="str">
        <f t="shared" si="108"/>
        <v/>
      </c>
      <c r="P457" s="64" t="str">
        <f t="shared" si="109"/>
        <v/>
      </c>
      <c r="Q457" s="85" t="str">
        <f t="shared" ca="1" si="110"/>
        <v/>
      </c>
      <c r="R457" s="86" t="str">
        <f t="shared" si="111"/>
        <v/>
      </c>
      <c r="S457" s="86" t="str">
        <f t="shared" si="112"/>
        <v/>
      </c>
      <c r="T457" s="104" t="str">
        <f t="shared" si="113"/>
        <v/>
      </c>
      <c r="U457" s="19" t="str">
        <f>IF(AND(M457&lt;&gt;"",M457&lt;&gt;0), IF(E457 = "Muni", T457, IF(E457="Corp", T457*(1 -'Investor Input'!$C$4-'Investor Input'!$C$5), T457*(1 -'Investor Input'!$C$4))), T457)</f>
        <v/>
      </c>
      <c r="V457" s="84" t="str">
        <f t="shared" si="114"/>
        <v/>
      </c>
      <c r="W457" s="84" t="str">
        <f t="shared" si="105"/>
        <v/>
      </c>
      <c r="X457" s="21" t="str">
        <f t="shared" si="106"/>
        <v/>
      </c>
      <c r="Y457" s="60" t="str">
        <f t="shared" si="115"/>
        <v/>
      </c>
      <c r="Z457" s="60" t="str">
        <f t="shared" si="116"/>
        <v/>
      </c>
      <c r="AA457" s="64" t="str">
        <f t="shared" si="117"/>
        <v/>
      </c>
      <c r="AB457" s="64" t="str">
        <f>IF(AND(AA457&lt;&gt;"",AA457&lt;&gt;0), IF(E457="Muni", AA457, IF(E457 = "Corp", (1-'Investor Input'!$C$4-'Investor Input'!$C$5)*AA457, (1-'Investor Input'!$C$4)*AA457)), AA457)</f>
        <v/>
      </c>
      <c r="AC457" s="94" t="str">
        <f t="shared" si="118"/>
        <v/>
      </c>
      <c r="AD457" s="60" t="str">
        <f>IF(AND(M457&lt;&gt;"", M457&lt;&gt;0), N457/$N$505*MATCH(AC457,'Misc Lists'!$K$2:$K$25,0), "")</f>
        <v/>
      </c>
      <c r="AE457" s="90" t="str">
        <f t="shared" si="119"/>
        <v/>
      </c>
      <c r="AF457" s="99" t="str">
        <f>IF(AND(M457&lt;&gt;"", M457&lt;&gt;0), N457/$N$505*MATCH(AE457,'Misc Lists'!$L$2:$L$25,0), "")</f>
        <v/>
      </c>
    </row>
    <row r="458" spans="2:32" hidden="1" outlineLevel="1" x14ac:dyDescent="0.5">
      <c r="B458" s="60"/>
      <c r="C458" s="61"/>
      <c r="D458" s="60"/>
      <c r="E458" s="61"/>
      <c r="F458" s="62"/>
      <c r="G458" s="63"/>
      <c r="H458" s="61"/>
      <c r="I458" s="61"/>
      <c r="J458" s="64"/>
      <c r="K458" s="17"/>
      <c r="L458" s="17"/>
      <c r="M458" s="83"/>
      <c r="N458" s="84" t="str">
        <f t="shared" si="107"/>
        <v/>
      </c>
      <c r="O458" s="20" t="str">
        <f t="shared" si="108"/>
        <v/>
      </c>
      <c r="P458" s="64" t="str">
        <f t="shared" si="109"/>
        <v/>
      </c>
      <c r="Q458" s="85" t="str">
        <f t="shared" ca="1" si="110"/>
        <v/>
      </c>
      <c r="R458" s="86" t="str">
        <f t="shared" si="111"/>
        <v/>
      </c>
      <c r="S458" s="86" t="str">
        <f t="shared" si="112"/>
        <v/>
      </c>
      <c r="T458" s="104" t="str">
        <f t="shared" si="113"/>
        <v/>
      </c>
      <c r="U458" s="19" t="str">
        <f>IF(AND(M458&lt;&gt;"",M458&lt;&gt;0), IF(E458 = "Muni", T458, IF(E458="Corp", T458*(1 -'Investor Input'!$C$4-'Investor Input'!$C$5), T458*(1 -'Investor Input'!$C$4))), T458)</f>
        <v/>
      </c>
      <c r="V458" s="84" t="str">
        <f t="shared" si="114"/>
        <v/>
      </c>
      <c r="W458" s="84" t="str">
        <f t="shared" si="105"/>
        <v/>
      </c>
      <c r="X458" s="21" t="str">
        <f t="shared" si="106"/>
        <v/>
      </c>
      <c r="Y458" s="60" t="str">
        <f t="shared" si="115"/>
        <v/>
      </c>
      <c r="Z458" s="60" t="str">
        <f t="shared" si="116"/>
        <v/>
      </c>
      <c r="AA458" s="64" t="str">
        <f t="shared" si="117"/>
        <v/>
      </c>
      <c r="AB458" s="64" t="str">
        <f>IF(AND(AA458&lt;&gt;"",AA458&lt;&gt;0), IF(E458="Muni", AA458, IF(E458 = "Corp", (1-'Investor Input'!$C$4-'Investor Input'!$C$5)*AA458, (1-'Investor Input'!$C$4)*AA458)), AA458)</f>
        <v/>
      </c>
      <c r="AC458" s="94" t="str">
        <f t="shared" si="118"/>
        <v/>
      </c>
      <c r="AD458" s="60" t="str">
        <f>IF(AND(M458&lt;&gt;"", M458&lt;&gt;0), N458/$N$505*MATCH(AC458,'Misc Lists'!$K$2:$K$25,0), "")</f>
        <v/>
      </c>
      <c r="AE458" s="90" t="str">
        <f t="shared" si="119"/>
        <v/>
      </c>
      <c r="AF458" s="99" t="str">
        <f>IF(AND(M458&lt;&gt;"", M458&lt;&gt;0), N458/$N$505*MATCH(AE458,'Misc Lists'!$L$2:$L$25,0), "")</f>
        <v/>
      </c>
    </row>
    <row r="459" spans="2:32" hidden="1" outlineLevel="1" x14ac:dyDescent="0.5">
      <c r="B459" s="60"/>
      <c r="C459" s="61"/>
      <c r="D459" s="60"/>
      <c r="E459" s="61"/>
      <c r="F459" s="62"/>
      <c r="G459" s="63"/>
      <c r="H459" s="61"/>
      <c r="I459" s="61"/>
      <c r="J459" s="64"/>
      <c r="K459" s="17"/>
      <c r="L459" s="17"/>
      <c r="M459" s="83"/>
      <c r="N459" s="84" t="str">
        <f t="shared" si="107"/>
        <v/>
      </c>
      <c r="O459" s="20" t="str">
        <f t="shared" si="108"/>
        <v/>
      </c>
      <c r="P459" s="64" t="str">
        <f t="shared" si="109"/>
        <v/>
      </c>
      <c r="Q459" s="85" t="str">
        <f t="shared" ca="1" si="110"/>
        <v/>
      </c>
      <c r="R459" s="86" t="str">
        <f t="shared" si="111"/>
        <v/>
      </c>
      <c r="S459" s="86" t="str">
        <f t="shared" si="112"/>
        <v/>
      </c>
      <c r="T459" s="104" t="str">
        <f t="shared" si="113"/>
        <v/>
      </c>
      <c r="U459" s="19" t="str">
        <f>IF(AND(M459&lt;&gt;"",M459&lt;&gt;0), IF(E459 = "Muni", T459, IF(E459="Corp", T459*(1 -'Investor Input'!$C$4-'Investor Input'!$C$5), T459*(1 -'Investor Input'!$C$4))), T459)</f>
        <v/>
      </c>
      <c r="V459" s="84" t="str">
        <f t="shared" si="114"/>
        <v/>
      </c>
      <c r="W459" s="84" t="str">
        <f t="shared" si="105"/>
        <v/>
      </c>
      <c r="X459" s="21" t="str">
        <f t="shared" si="106"/>
        <v/>
      </c>
      <c r="Y459" s="60" t="str">
        <f t="shared" si="115"/>
        <v/>
      </c>
      <c r="Z459" s="60" t="str">
        <f t="shared" si="116"/>
        <v/>
      </c>
      <c r="AA459" s="64" t="str">
        <f t="shared" si="117"/>
        <v/>
      </c>
      <c r="AB459" s="64" t="str">
        <f>IF(AND(AA459&lt;&gt;"",AA459&lt;&gt;0), IF(E459="Muni", AA459, IF(E459 = "Corp", (1-'Investor Input'!$C$4-'Investor Input'!$C$5)*AA459, (1-'Investor Input'!$C$4)*AA459)), AA459)</f>
        <v/>
      </c>
      <c r="AC459" s="94" t="str">
        <f t="shared" si="118"/>
        <v/>
      </c>
      <c r="AD459" s="60" t="str">
        <f>IF(AND(M459&lt;&gt;"", M459&lt;&gt;0), N459/$N$505*MATCH(AC459,'Misc Lists'!$K$2:$K$25,0), "")</f>
        <v/>
      </c>
      <c r="AE459" s="90" t="str">
        <f t="shared" si="119"/>
        <v/>
      </c>
      <c r="AF459" s="99" t="str">
        <f>IF(AND(M459&lt;&gt;"", M459&lt;&gt;0), N459/$N$505*MATCH(AE459,'Misc Lists'!$L$2:$L$25,0), "")</f>
        <v/>
      </c>
    </row>
    <row r="460" spans="2:32" hidden="1" outlineLevel="1" x14ac:dyDescent="0.5">
      <c r="B460" s="60"/>
      <c r="C460" s="61"/>
      <c r="D460" s="60"/>
      <c r="E460" s="61"/>
      <c r="F460" s="62"/>
      <c r="G460" s="63"/>
      <c r="H460" s="61"/>
      <c r="I460" s="61"/>
      <c r="J460" s="64"/>
      <c r="K460" s="17"/>
      <c r="L460" s="17"/>
      <c r="M460" s="83"/>
      <c r="N460" s="84" t="str">
        <f t="shared" si="107"/>
        <v/>
      </c>
      <c r="O460" s="20" t="str">
        <f t="shared" si="108"/>
        <v/>
      </c>
      <c r="P460" s="64" t="str">
        <f t="shared" si="109"/>
        <v/>
      </c>
      <c r="Q460" s="85" t="str">
        <f t="shared" ca="1" si="110"/>
        <v/>
      </c>
      <c r="R460" s="86" t="str">
        <f t="shared" si="111"/>
        <v/>
      </c>
      <c r="S460" s="86" t="str">
        <f t="shared" si="112"/>
        <v/>
      </c>
      <c r="T460" s="104" t="str">
        <f t="shared" si="113"/>
        <v/>
      </c>
      <c r="U460" s="19" t="str">
        <f>IF(AND(M460&lt;&gt;"",M460&lt;&gt;0), IF(E460 = "Muni", T460, IF(E460="Corp", T460*(1 -'Investor Input'!$C$4-'Investor Input'!$C$5), T460*(1 -'Investor Input'!$C$4))), T460)</f>
        <v/>
      </c>
      <c r="V460" s="84" t="str">
        <f t="shared" si="114"/>
        <v/>
      </c>
      <c r="W460" s="84" t="str">
        <f t="shared" si="105"/>
        <v/>
      </c>
      <c r="X460" s="21" t="str">
        <f t="shared" si="106"/>
        <v/>
      </c>
      <c r="Y460" s="60" t="str">
        <f t="shared" si="115"/>
        <v/>
      </c>
      <c r="Z460" s="60" t="str">
        <f t="shared" si="116"/>
        <v/>
      </c>
      <c r="AA460" s="64" t="str">
        <f t="shared" si="117"/>
        <v/>
      </c>
      <c r="AB460" s="64" t="str">
        <f>IF(AND(AA460&lt;&gt;"",AA460&lt;&gt;0), IF(E460="Muni", AA460, IF(E460 = "Corp", (1-'Investor Input'!$C$4-'Investor Input'!$C$5)*AA460, (1-'Investor Input'!$C$4)*AA460)), AA460)</f>
        <v/>
      </c>
      <c r="AC460" s="94" t="str">
        <f t="shared" si="118"/>
        <v/>
      </c>
      <c r="AD460" s="60" t="str">
        <f>IF(AND(M460&lt;&gt;"", M460&lt;&gt;0), N460/$N$505*MATCH(AC460,'Misc Lists'!$K$2:$K$25,0), "")</f>
        <v/>
      </c>
      <c r="AE460" s="90" t="str">
        <f t="shared" si="119"/>
        <v/>
      </c>
      <c r="AF460" s="99" t="str">
        <f>IF(AND(M460&lt;&gt;"", M460&lt;&gt;0), N460/$N$505*MATCH(AE460,'Misc Lists'!$L$2:$L$25,0), "")</f>
        <v/>
      </c>
    </row>
    <row r="461" spans="2:32" hidden="1" outlineLevel="1" x14ac:dyDescent="0.5">
      <c r="B461" s="60"/>
      <c r="C461" s="61"/>
      <c r="D461" s="60"/>
      <c r="E461" s="61"/>
      <c r="F461" s="62"/>
      <c r="G461" s="63"/>
      <c r="H461" s="61"/>
      <c r="I461" s="61"/>
      <c r="J461" s="64"/>
      <c r="K461" s="17"/>
      <c r="L461" s="17"/>
      <c r="M461" s="83"/>
      <c r="N461" s="84" t="str">
        <f t="shared" si="107"/>
        <v/>
      </c>
      <c r="O461" s="20" t="str">
        <f t="shared" si="108"/>
        <v/>
      </c>
      <c r="P461" s="64" t="str">
        <f t="shared" si="109"/>
        <v/>
      </c>
      <c r="Q461" s="85" t="str">
        <f t="shared" ca="1" si="110"/>
        <v/>
      </c>
      <c r="R461" s="86" t="str">
        <f t="shared" si="111"/>
        <v/>
      </c>
      <c r="S461" s="86" t="str">
        <f t="shared" si="112"/>
        <v/>
      </c>
      <c r="T461" s="104" t="str">
        <f t="shared" si="113"/>
        <v/>
      </c>
      <c r="U461" s="19" t="str">
        <f>IF(AND(M461&lt;&gt;"",M461&lt;&gt;0), IF(E461 = "Muni", T461, IF(E461="Corp", T461*(1 -'Investor Input'!$C$4-'Investor Input'!$C$5), T461*(1 -'Investor Input'!$C$4))), T461)</f>
        <v/>
      </c>
      <c r="V461" s="84" t="str">
        <f t="shared" si="114"/>
        <v/>
      </c>
      <c r="W461" s="84" t="str">
        <f t="shared" si="105"/>
        <v/>
      </c>
      <c r="X461" s="21" t="str">
        <f t="shared" si="106"/>
        <v/>
      </c>
      <c r="Y461" s="60" t="str">
        <f t="shared" si="115"/>
        <v/>
      </c>
      <c r="Z461" s="60" t="str">
        <f t="shared" si="116"/>
        <v/>
      </c>
      <c r="AA461" s="64" t="str">
        <f t="shared" si="117"/>
        <v/>
      </c>
      <c r="AB461" s="64" t="str">
        <f>IF(AND(AA461&lt;&gt;"",AA461&lt;&gt;0), IF(E461="Muni", AA461, IF(E461 = "Corp", (1-'Investor Input'!$C$4-'Investor Input'!$C$5)*AA461, (1-'Investor Input'!$C$4)*AA461)), AA461)</f>
        <v/>
      </c>
      <c r="AC461" s="94" t="str">
        <f t="shared" si="118"/>
        <v/>
      </c>
      <c r="AD461" s="60" t="str">
        <f>IF(AND(M461&lt;&gt;"", M461&lt;&gt;0), N461/$N$505*MATCH(AC461,'Misc Lists'!$K$2:$K$25,0), "")</f>
        <v/>
      </c>
      <c r="AE461" s="90" t="str">
        <f t="shared" si="119"/>
        <v/>
      </c>
      <c r="AF461" s="99" t="str">
        <f>IF(AND(M461&lt;&gt;"", M461&lt;&gt;0), N461/$N$505*MATCH(AE461,'Misc Lists'!$L$2:$L$25,0), "")</f>
        <v/>
      </c>
    </row>
    <row r="462" spans="2:32" hidden="1" outlineLevel="1" x14ac:dyDescent="0.5">
      <c r="B462" s="60"/>
      <c r="C462" s="61"/>
      <c r="D462" s="60"/>
      <c r="E462" s="61"/>
      <c r="F462" s="62"/>
      <c r="G462" s="63"/>
      <c r="H462" s="61"/>
      <c r="I462" s="61"/>
      <c r="J462" s="64"/>
      <c r="K462" s="17"/>
      <c r="L462" s="17"/>
      <c r="M462" s="83"/>
      <c r="N462" s="84" t="str">
        <f t="shared" si="107"/>
        <v/>
      </c>
      <c r="O462" s="20" t="str">
        <f t="shared" si="108"/>
        <v/>
      </c>
      <c r="P462" s="64" t="str">
        <f t="shared" si="109"/>
        <v/>
      </c>
      <c r="Q462" s="85" t="str">
        <f t="shared" ca="1" si="110"/>
        <v/>
      </c>
      <c r="R462" s="86" t="str">
        <f t="shared" si="111"/>
        <v/>
      </c>
      <c r="S462" s="86" t="str">
        <f t="shared" si="112"/>
        <v/>
      </c>
      <c r="T462" s="104" t="str">
        <f t="shared" si="113"/>
        <v/>
      </c>
      <c r="U462" s="19" t="str">
        <f>IF(AND(M462&lt;&gt;"",M462&lt;&gt;0), IF(E462 = "Muni", T462, IF(E462="Corp", T462*(1 -'Investor Input'!$C$4-'Investor Input'!$C$5), T462*(1 -'Investor Input'!$C$4))), T462)</f>
        <v/>
      </c>
      <c r="V462" s="84" t="str">
        <f t="shared" si="114"/>
        <v/>
      </c>
      <c r="W462" s="84" t="str">
        <f t="shared" si="105"/>
        <v/>
      </c>
      <c r="X462" s="21" t="str">
        <f t="shared" si="106"/>
        <v/>
      </c>
      <c r="Y462" s="60" t="str">
        <f t="shared" si="115"/>
        <v/>
      </c>
      <c r="Z462" s="60" t="str">
        <f t="shared" si="116"/>
        <v/>
      </c>
      <c r="AA462" s="64" t="str">
        <f t="shared" si="117"/>
        <v/>
      </c>
      <c r="AB462" s="64" t="str">
        <f>IF(AND(AA462&lt;&gt;"",AA462&lt;&gt;0), IF(E462="Muni", AA462, IF(E462 = "Corp", (1-'Investor Input'!$C$4-'Investor Input'!$C$5)*AA462, (1-'Investor Input'!$C$4)*AA462)), AA462)</f>
        <v/>
      </c>
      <c r="AC462" s="94" t="str">
        <f t="shared" si="118"/>
        <v/>
      </c>
      <c r="AD462" s="60" t="str">
        <f>IF(AND(M462&lt;&gt;"", M462&lt;&gt;0), N462/$N$505*MATCH(AC462,'Misc Lists'!$K$2:$K$25,0), "")</f>
        <v/>
      </c>
      <c r="AE462" s="90" t="str">
        <f t="shared" si="119"/>
        <v/>
      </c>
      <c r="AF462" s="99" t="str">
        <f>IF(AND(M462&lt;&gt;"", M462&lt;&gt;0), N462/$N$505*MATCH(AE462,'Misc Lists'!$L$2:$L$25,0), "")</f>
        <v/>
      </c>
    </row>
    <row r="463" spans="2:32" hidden="1" outlineLevel="1" x14ac:dyDescent="0.5">
      <c r="B463" s="60"/>
      <c r="C463" s="61"/>
      <c r="D463" s="60"/>
      <c r="E463" s="61"/>
      <c r="F463" s="62"/>
      <c r="G463" s="63"/>
      <c r="H463" s="61"/>
      <c r="I463" s="61"/>
      <c r="J463" s="64"/>
      <c r="K463" s="17"/>
      <c r="L463" s="17"/>
      <c r="M463" s="83"/>
      <c r="N463" s="84" t="str">
        <f t="shared" si="107"/>
        <v/>
      </c>
      <c r="O463" s="20" t="str">
        <f t="shared" si="108"/>
        <v/>
      </c>
      <c r="P463" s="64" t="str">
        <f t="shared" si="109"/>
        <v/>
      </c>
      <c r="Q463" s="85" t="str">
        <f t="shared" ca="1" si="110"/>
        <v/>
      </c>
      <c r="R463" s="86" t="str">
        <f t="shared" si="111"/>
        <v/>
      </c>
      <c r="S463" s="86" t="str">
        <f t="shared" si="112"/>
        <v/>
      </c>
      <c r="T463" s="104" t="str">
        <f t="shared" si="113"/>
        <v/>
      </c>
      <c r="U463" s="19" t="str">
        <f>IF(AND(M463&lt;&gt;"",M463&lt;&gt;0), IF(E463 = "Muni", T463, IF(E463="Corp", T463*(1 -'Investor Input'!$C$4-'Investor Input'!$C$5), T463*(1 -'Investor Input'!$C$4))), T463)</f>
        <v/>
      </c>
      <c r="V463" s="84" t="str">
        <f t="shared" si="114"/>
        <v/>
      </c>
      <c r="W463" s="84" t="str">
        <f t="shared" si="105"/>
        <v/>
      </c>
      <c r="X463" s="21" t="str">
        <f t="shared" si="106"/>
        <v/>
      </c>
      <c r="Y463" s="60" t="str">
        <f t="shared" si="115"/>
        <v/>
      </c>
      <c r="Z463" s="60" t="str">
        <f t="shared" si="116"/>
        <v/>
      </c>
      <c r="AA463" s="64" t="str">
        <f t="shared" si="117"/>
        <v/>
      </c>
      <c r="AB463" s="64" t="str">
        <f>IF(AND(AA463&lt;&gt;"",AA463&lt;&gt;0), IF(E463="Muni", AA463, IF(E463 = "Corp", (1-'Investor Input'!$C$4-'Investor Input'!$C$5)*AA463, (1-'Investor Input'!$C$4)*AA463)), AA463)</f>
        <v/>
      </c>
      <c r="AC463" s="94" t="str">
        <f t="shared" si="118"/>
        <v/>
      </c>
      <c r="AD463" s="60" t="str">
        <f>IF(AND(M463&lt;&gt;"", M463&lt;&gt;0), N463/$N$505*MATCH(AC463,'Misc Lists'!$K$2:$K$25,0), "")</f>
        <v/>
      </c>
      <c r="AE463" s="90" t="str">
        <f t="shared" si="119"/>
        <v/>
      </c>
      <c r="AF463" s="99" t="str">
        <f>IF(AND(M463&lt;&gt;"", M463&lt;&gt;0), N463/$N$505*MATCH(AE463,'Misc Lists'!$L$2:$L$25,0), "")</f>
        <v/>
      </c>
    </row>
    <row r="464" spans="2:32" hidden="1" outlineLevel="1" x14ac:dyDescent="0.5">
      <c r="B464" s="60"/>
      <c r="C464" s="61"/>
      <c r="D464" s="60"/>
      <c r="E464" s="61"/>
      <c r="F464" s="62"/>
      <c r="G464" s="63"/>
      <c r="H464" s="61"/>
      <c r="I464" s="61"/>
      <c r="J464" s="64"/>
      <c r="K464" s="17"/>
      <c r="L464" s="17"/>
      <c r="M464" s="83"/>
      <c r="N464" s="84" t="str">
        <f t="shared" si="107"/>
        <v/>
      </c>
      <c r="O464" s="20" t="str">
        <f t="shared" si="108"/>
        <v/>
      </c>
      <c r="P464" s="64" t="str">
        <f t="shared" si="109"/>
        <v/>
      </c>
      <c r="Q464" s="85" t="str">
        <f t="shared" ca="1" si="110"/>
        <v/>
      </c>
      <c r="R464" s="86" t="str">
        <f t="shared" si="111"/>
        <v/>
      </c>
      <c r="S464" s="86" t="str">
        <f t="shared" si="112"/>
        <v/>
      </c>
      <c r="T464" s="104" t="str">
        <f t="shared" si="113"/>
        <v/>
      </c>
      <c r="U464" s="19" t="str">
        <f>IF(AND(M464&lt;&gt;"",M464&lt;&gt;0), IF(E464 = "Muni", T464, IF(E464="Corp", T464*(1 -'Investor Input'!$C$4-'Investor Input'!$C$5), T464*(1 -'Investor Input'!$C$4))), T464)</f>
        <v/>
      </c>
      <c r="V464" s="84" t="str">
        <f t="shared" si="114"/>
        <v/>
      </c>
      <c r="W464" s="84" t="str">
        <f t="shared" si="105"/>
        <v/>
      </c>
      <c r="X464" s="21" t="str">
        <f t="shared" si="106"/>
        <v/>
      </c>
      <c r="Y464" s="60" t="str">
        <f t="shared" si="115"/>
        <v/>
      </c>
      <c r="Z464" s="60" t="str">
        <f t="shared" si="116"/>
        <v/>
      </c>
      <c r="AA464" s="64" t="str">
        <f t="shared" si="117"/>
        <v/>
      </c>
      <c r="AB464" s="64" t="str">
        <f>IF(AND(AA464&lt;&gt;"",AA464&lt;&gt;0), IF(E464="Muni", AA464, IF(E464 = "Corp", (1-'Investor Input'!$C$4-'Investor Input'!$C$5)*AA464, (1-'Investor Input'!$C$4)*AA464)), AA464)</f>
        <v/>
      </c>
      <c r="AC464" s="94" t="str">
        <f t="shared" si="118"/>
        <v/>
      </c>
      <c r="AD464" s="60" t="str">
        <f>IF(AND(M464&lt;&gt;"", M464&lt;&gt;0), N464/$N$505*MATCH(AC464,'Misc Lists'!$K$2:$K$25,0), "")</f>
        <v/>
      </c>
      <c r="AE464" s="90" t="str">
        <f t="shared" si="119"/>
        <v/>
      </c>
      <c r="AF464" s="99" t="str">
        <f>IF(AND(M464&lt;&gt;"", M464&lt;&gt;0), N464/$N$505*MATCH(AE464,'Misc Lists'!$L$2:$L$25,0), "")</f>
        <v/>
      </c>
    </row>
    <row r="465" spans="2:32" hidden="1" outlineLevel="1" x14ac:dyDescent="0.5">
      <c r="B465" s="60"/>
      <c r="C465" s="61"/>
      <c r="D465" s="60"/>
      <c r="E465" s="61"/>
      <c r="F465" s="62"/>
      <c r="G465" s="63"/>
      <c r="H465" s="61"/>
      <c r="I465" s="61"/>
      <c r="J465" s="64"/>
      <c r="K465" s="17"/>
      <c r="L465" s="17"/>
      <c r="M465" s="83"/>
      <c r="N465" s="84" t="str">
        <f t="shared" si="107"/>
        <v/>
      </c>
      <c r="O465" s="20" t="str">
        <f t="shared" si="108"/>
        <v/>
      </c>
      <c r="P465" s="64" t="str">
        <f t="shared" si="109"/>
        <v/>
      </c>
      <c r="Q465" s="85" t="str">
        <f t="shared" ca="1" si="110"/>
        <v/>
      </c>
      <c r="R465" s="86" t="str">
        <f t="shared" si="111"/>
        <v/>
      </c>
      <c r="S465" s="86" t="str">
        <f t="shared" si="112"/>
        <v/>
      </c>
      <c r="T465" s="104" t="str">
        <f t="shared" si="113"/>
        <v/>
      </c>
      <c r="U465" s="19" t="str">
        <f>IF(AND(M465&lt;&gt;"",M465&lt;&gt;0), IF(E465 = "Muni", T465, IF(E465="Corp", T465*(1 -'Investor Input'!$C$4-'Investor Input'!$C$5), T465*(1 -'Investor Input'!$C$4))), T465)</f>
        <v/>
      </c>
      <c r="V465" s="84" t="str">
        <f t="shared" si="114"/>
        <v/>
      </c>
      <c r="W465" s="84" t="str">
        <f t="shared" si="105"/>
        <v/>
      </c>
      <c r="X465" s="21" t="str">
        <f t="shared" si="106"/>
        <v/>
      </c>
      <c r="Y465" s="60" t="str">
        <f t="shared" si="115"/>
        <v/>
      </c>
      <c r="Z465" s="60" t="str">
        <f t="shared" si="116"/>
        <v/>
      </c>
      <c r="AA465" s="64" t="str">
        <f t="shared" si="117"/>
        <v/>
      </c>
      <c r="AB465" s="64" t="str">
        <f>IF(AND(AA465&lt;&gt;"",AA465&lt;&gt;0), IF(E465="Muni", AA465, IF(E465 = "Corp", (1-'Investor Input'!$C$4-'Investor Input'!$C$5)*AA465, (1-'Investor Input'!$C$4)*AA465)), AA465)</f>
        <v/>
      </c>
      <c r="AC465" s="94" t="str">
        <f t="shared" si="118"/>
        <v/>
      </c>
      <c r="AD465" s="60" t="str">
        <f>IF(AND(M465&lt;&gt;"", M465&lt;&gt;0), N465/$N$505*MATCH(AC465,'Misc Lists'!$K$2:$K$25,0), "")</f>
        <v/>
      </c>
      <c r="AE465" s="90" t="str">
        <f t="shared" si="119"/>
        <v/>
      </c>
      <c r="AF465" s="99" t="str">
        <f>IF(AND(M465&lt;&gt;"", M465&lt;&gt;0), N465/$N$505*MATCH(AE465,'Misc Lists'!$L$2:$L$25,0), "")</f>
        <v/>
      </c>
    </row>
    <row r="466" spans="2:32" hidden="1" outlineLevel="1" x14ac:dyDescent="0.5">
      <c r="B466" s="60"/>
      <c r="C466" s="61"/>
      <c r="D466" s="60"/>
      <c r="E466" s="61"/>
      <c r="F466" s="62"/>
      <c r="G466" s="63"/>
      <c r="H466" s="61"/>
      <c r="I466" s="61"/>
      <c r="J466" s="64"/>
      <c r="K466" s="17"/>
      <c r="L466" s="17"/>
      <c r="M466" s="83"/>
      <c r="N466" s="84" t="str">
        <f t="shared" si="107"/>
        <v/>
      </c>
      <c r="O466" s="20" t="str">
        <f t="shared" si="108"/>
        <v/>
      </c>
      <c r="P466" s="64" t="str">
        <f t="shared" si="109"/>
        <v/>
      </c>
      <c r="Q466" s="85" t="str">
        <f t="shared" ca="1" si="110"/>
        <v/>
      </c>
      <c r="R466" s="86" t="str">
        <f t="shared" si="111"/>
        <v/>
      </c>
      <c r="S466" s="86" t="str">
        <f t="shared" si="112"/>
        <v/>
      </c>
      <c r="T466" s="104" t="str">
        <f t="shared" si="113"/>
        <v/>
      </c>
      <c r="U466" s="19" t="str">
        <f>IF(AND(M466&lt;&gt;"",M466&lt;&gt;0), IF(E466 = "Muni", T466, IF(E466="Corp", T466*(1 -'Investor Input'!$C$4-'Investor Input'!$C$5), T466*(1 -'Investor Input'!$C$4))), T466)</f>
        <v/>
      </c>
      <c r="V466" s="84" t="str">
        <f t="shared" si="114"/>
        <v/>
      </c>
      <c r="W466" s="84" t="str">
        <f t="shared" si="105"/>
        <v/>
      </c>
      <c r="X466" s="21" t="str">
        <f t="shared" si="106"/>
        <v/>
      </c>
      <c r="Y466" s="60" t="str">
        <f t="shared" si="115"/>
        <v/>
      </c>
      <c r="Z466" s="60" t="str">
        <f t="shared" si="116"/>
        <v/>
      </c>
      <c r="AA466" s="64" t="str">
        <f t="shared" si="117"/>
        <v/>
      </c>
      <c r="AB466" s="64" t="str">
        <f>IF(AND(AA466&lt;&gt;"",AA466&lt;&gt;0), IF(E466="Muni", AA466, IF(E466 = "Corp", (1-'Investor Input'!$C$4-'Investor Input'!$C$5)*AA466, (1-'Investor Input'!$C$4)*AA466)), AA466)</f>
        <v/>
      </c>
      <c r="AC466" s="94" t="str">
        <f t="shared" si="118"/>
        <v/>
      </c>
      <c r="AD466" s="60" t="str">
        <f>IF(AND(M466&lt;&gt;"", M466&lt;&gt;0), N466/$N$505*MATCH(AC466,'Misc Lists'!$K$2:$K$25,0), "")</f>
        <v/>
      </c>
      <c r="AE466" s="90" t="str">
        <f t="shared" si="119"/>
        <v/>
      </c>
      <c r="AF466" s="99" t="str">
        <f>IF(AND(M466&lt;&gt;"", M466&lt;&gt;0), N466/$N$505*MATCH(AE466,'Misc Lists'!$L$2:$L$25,0), "")</f>
        <v/>
      </c>
    </row>
    <row r="467" spans="2:32" hidden="1" outlineLevel="1" x14ac:dyDescent="0.5">
      <c r="B467" s="60"/>
      <c r="C467" s="61"/>
      <c r="D467" s="60"/>
      <c r="E467" s="61"/>
      <c r="F467" s="62"/>
      <c r="G467" s="63"/>
      <c r="H467" s="61"/>
      <c r="I467" s="61"/>
      <c r="J467" s="64"/>
      <c r="K467" s="17"/>
      <c r="L467" s="17"/>
      <c r="M467" s="83"/>
      <c r="N467" s="84" t="str">
        <f t="shared" si="107"/>
        <v/>
      </c>
      <c r="O467" s="20" t="str">
        <f t="shared" si="108"/>
        <v/>
      </c>
      <c r="P467" s="64" t="str">
        <f t="shared" si="109"/>
        <v/>
      </c>
      <c r="Q467" s="85" t="str">
        <f t="shared" ca="1" si="110"/>
        <v/>
      </c>
      <c r="R467" s="86" t="str">
        <f t="shared" si="111"/>
        <v/>
      </c>
      <c r="S467" s="86" t="str">
        <f t="shared" si="112"/>
        <v/>
      </c>
      <c r="T467" s="104" t="str">
        <f t="shared" si="113"/>
        <v/>
      </c>
      <c r="U467" s="19" t="str">
        <f>IF(AND(M467&lt;&gt;"",M467&lt;&gt;0), IF(E467 = "Muni", T467, IF(E467="Corp", T467*(1 -'Investor Input'!$C$4-'Investor Input'!$C$5), T467*(1 -'Investor Input'!$C$4))), T467)</f>
        <v/>
      </c>
      <c r="V467" s="84" t="str">
        <f t="shared" si="114"/>
        <v/>
      </c>
      <c r="W467" s="84" t="str">
        <f t="shared" si="105"/>
        <v/>
      </c>
      <c r="X467" s="21" t="str">
        <f t="shared" si="106"/>
        <v/>
      </c>
      <c r="Y467" s="60" t="str">
        <f t="shared" si="115"/>
        <v/>
      </c>
      <c r="Z467" s="60" t="str">
        <f t="shared" si="116"/>
        <v/>
      </c>
      <c r="AA467" s="64" t="str">
        <f t="shared" si="117"/>
        <v/>
      </c>
      <c r="AB467" s="64" t="str">
        <f>IF(AND(AA467&lt;&gt;"",AA467&lt;&gt;0), IF(E467="Muni", AA467, IF(E467 = "Corp", (1-'Investor Input'!$C$4-'Investor Input'!$C$5)*AA467, (1-'Investor Input'!$C$4)*AA467)), AA467)</f>
        <v/>
      </c>
      <c r="AC467" s="94" t="str">
        <f t="shared" si="118"/>
        <v/>
      </c>
      <c r="AD467" s="60" t="str">
        <f>IF(AND(M467&lt;&gt;"", M467&lt;&gt;0), N467/$N$505*MATCH(AC467,'Misc Lists'!$K$2:$K$25,0), "")</f>
        <v/>
      </c>
      <c r="AE467" s="90" t="str">
        <f t="shared" si="119"/>
        <v/>
      </c>
      <c r="AF467" s="99" t="str">
        <f>IF(AND(M467&lt;&gt;"", M467&lt;&gt;0), N467/$N$505*MATCH(AE467,'Misc Lists'!$L$2:$L$25,0), "")</f>
        <v/>
      </c>
    </row>
    <row r="468" spans="2:32" hidden="1" outlineLevel="1" x14ac:dyDescent="0.5">
      <c r="B468" s="60"/>
      <c r="C468" s="61"/>
      <c r="D468" s="60"/>
      <c r="E468" s="61"/>
      <c r="F468" s="62"/>
      <c r="G468" s="63"/>
      <c r="H468" s="61"/>
      <c r="I468" s="61"/>
      <c r="J468" s="64"/>
      <c r="K468" s="17"/>
      <c r="L468" s="17"/>
      <c r="M468" s="83"/>
      <c r="N468" s="84" t="str">
        <f t="shared" si="107"/>
        <v/>
      </c>
      <c r="O468" s="20" t="str">
        <f t="shared" si="108"/>
        <v/>
      </c>
      <c r="P468" s="64" t="str">
        <f t="shared" si="109"/>
        <v/>
      </c>
      <c r="Q468" s="85" t="str">
        <f t="shared" ca="1" si="110"/>
        <v/>
      </c>
      <c r="R468" s="86" t="str">
        <f t="shared" si="111"/>
        <v/>
      </c>
      <c r="S468" s="86" t="str">
        <f t="shared" si="112"/>
        <v/>
      </c>
      <c r="T468" s="104" t="str">
        <f t="shared" si="113"/>
        <v/>
      </c>
      <c r="U468" s="19" t="str">
        <f>IF(AND(M468&lt;&gt;"",M468&lt;&gt;0), IF(E468 = "Muni", T468, IF(E468="Corp", T468*(1 -'Investor Input'!$C$4-'Investor Input'!$C$5), T468*(1 -'Investor Input'!$C$4))), T468)</f>
        <v/>
      </c>
      <c r="V468" s="84" t="str">
        <f t="shared" si="114"/>
        <v/>
      </c>
      <c r="W468" s="84" t="str">
        <f t="shared" si="105"/>
        <v/>
      </c>
      <c r="X468" s="21" t="str">
        <f t="shared" si="106"/>
        <v/>
      </c>
      <c r="Y468" s="60" t="str">
        <f t="shared" si="115"/>
        <v/>
      </c>
      <c r="Z468" s="60" t="str">
        <f t="shared" si="116"/>
        <v/>
      </c>
      <c r="AA468" s="64" t="str">
        <f t="shared" si="117"/>
        <v/>
      </c>
      <c r="AB468" s="64" t="str">
        <f>IF(AND(AA468&lt;&gt;"",AA468&lt;&gt;0), IF(E468="Muni", AA468, IF(E468 = "Corp", (1-'Investor Input'!$C$4-'Investor Input'!$C$5)*AA468, (1-'Investor Input'!$C$4)*AA468)), AA468)</f>
        <v/>
      </c>
      <c r="AC468" s="94" t="str">
        <f t="shared" si="118"/>
        <v/>
      </c>
      <c r="AD468" s="60" t="str">
        <f>IF(AND(M468&lt;&gt;"", M468&lt;&gt;0), N468/$N$505*MATCH(AC468,'Misc Lists'!$K$2:$K$25,0), "")</f>
        <v/>
      </c>
      <c r="AE468" s="90" t="str">
        <f t="shared" si="119"/>
        <v/>
      </c>
      <c r="AF468" s="99" t="str">
        <f>IF(AND(M468&lt;&gt;"", M468&lt;&gt;0), N468/$N$505*MATCH(AE468,'Misc Lists'!$L$2:$L$25,0), "")</f>
        <v/>
      </c>
    </row>
    <row r="469" spans="2:32" hidden="1" outlineLevel="1" x14ac:dyDescent="0.5">
      <c r="B469" s="60"/>
      <c r="C469" s="61"/>
      <c r="D469" s="60"/>
      <c r="E469" s="61"/>
      <c r="F469" s="62"/>
      <c r="G469" s="63"/>
      <c r="H469" s="61"/>
      <c r="I469" s="61"/>
      <c r="J469" s="64"/>
      <c r="K469" s="17"/>
      <c r="L469" s="17"/>
      <c r="M469" s="83"/>
      <c r="N469" s="84" t="str">
        <f t="shared" si="107"/>
        <v/>
      </c>
      <c r="O469" s="20" t="str">
        <f t="shared" si="108"/>
        <v/>
      </c>
      <c r="P469" s="64" t="str">
        <f t="shared" si="109"/>
        <v/>
      </c>
      <c r="Q469" s="85" t="str">
        <f t="shared" ca="1" si="110"/>
        <v/>
      </c>
      <c r="R469" s="86" t="str">
        <f t="shared" si="111"/>
        <v/>
      </c>
      <c r="S469" s="86" t="str">
        <f t="shared" si="112"/>
        <v/>
      </c>
      <c r="T469" s="104" t="str">
        <f t="shared" si="113"/>
        <v/>
      </c>
      <c r="U469" s="19" t="str">
        <f>IF(AND(M469&lt;&gt;"",M469&lt;&gt;0), IF(E469 = "Muni", T469, IF(E469="Corp", T469*(1 -'Investor Input'!$C$4-'Investor Input'!$C$5), T469*(1 -'Investor Input'!$C$4))), T469)</f>
        <v/>
      </c>
      <c r="V469" s="84" t="str">
        <f t="shared" si="114"/>
        <v/>
      </c>
      <c r="W469" s="84" t="str">
        <f t="shared" si="105"/>
        <v/>
      </c>
      <c r="X469" s="21" t="str">
        <f t="shared" si="106"/>
        <v/>
      </c>
      <c r="Y469" s="60" t="str">
        <f t="shared" si="115"/>
        <v/>
      </c>
      <c r="Z469" s="60" t="str">
        <f t="shared" si="116"/>
        <v/>
      </c>
      <c r="AA469" s="64" t="str">
        <f t="shared" si="117"/>
        <v/>
      </c>
      <c r="AB469" s="64" t="str">
        <f>IF(AND(AA469&lt;&gt;"",AA469&lt;&gt;0), IF(E469="Muni", AA469, IF(E469 = "Corp", (1-'Investor Input'!$C$4-'Investor Input'!$C$5)*AA469, (1-'Investor Input'!$C$4)*AA469)), AA469)</f>
        <v/>
      </c>
      <c r="AC469" s="94" t="str">
        <f t="shared" si="118"/>
        <v/>
      </c>
      <c r="AD469" s="60" t="str">
        <f>IF(AND(M469&lt;&gt;"", M469&lt;&gt;0), N469/$N$505*MATCH(AC469,'Misc Lists'!$K$2:$K$25,0), "")</f>
        <v/>
      </c>
      <c r="AE469" s="90" t="str">
        <f t="shared" si="119"/>
        <v/>
      </c>
      <c r="AF469" s="99" t="str">
        <f>IF(AND(M469&lt;&gt;"", M469&lt;&gt;0), N469/$N$505*MATCH(AE469,'Misc Lists'!$L$2:$L$25,0), "")</f>
        <v/>
      </c>
    </row>
    <row r="470" spans="2:32" hidden="1" outlineLevel="1" x14ac:dyDescent="0.5">
      <c r="B470" s="60"/>
      <c r="C470" s="61"/>
      <c r="D470" s="60"/>
      <c r="E470" s="61"/>
      <c r="F470" s="62"/>
      <c r="G470" s="63"/>
      <c r="H470" s="61"/>
      <c r="I470" s="61"/>
      <c r="J470" s="64"/>
      <c r="K470" s="17"/>
      <c r="L470" s="17"/>
      <c r="M470" s="83"/>
      <c r="N470" s="84" t="str">
        <f t="shared" si="107"/>
        <v/>
      </c>
      <c r="O470" s="20" t="str">
        <f t="shared" si="108"/>
        <v/>
      </c>
      <c r="P470" s="64" t="str">
        <f t="shared" si="109"/>
        <v/>
      </c>
      <c r="Q470" s="85" t="str">
        <f t="shared" ca="1" si="110"/>
        <v/>
      </c>
      <c r="R470" s="86" t="str">
        <f t="shared" si="111"/>
        <v/>
      </c>
      <c r="S470" s="86" t="str">
        <f t="shared" si="112"/>
        <v/>
      </c>
      <c r="T470" s="104" t="str">
        <f t="shared" si="113"/>
        <v/>
      </c>
      <c r="U470" s="19" t="str">
        <f>IF(AND(M470&lt;&gt;"",M470&lt;&gt;0), IF(E470 = "Muni", T470, IF(E470="Corp", T470*(1 -'Investor Input'!$C$4-'Investor Input'!$C$5), T470*(1 -'Investor Input'!$C$4))), T470)</f>
        <v/>
      </c>
      <c r="V470" s="84" t="str">
        <f t="shared" si="114"/>
        <v/>
      </c>
      <c r="W470" s="84" t="str">
        <f t="shared" si="105"/>
        <v/>
      </c>
      <c r="X470" s="21" t="str">
        <f t="shared" si="106"/>
        <v/>
      </c>
      <c r="Y470" s="60" t="str">
        <f t="shared" si="115"/>
        <v/>
      </c>
      <c r="Z470" s="60" t="str">
        <f t="shared" si="116"/>
        <v/>
      </c>
      <c r="AA470" s="64" t="str">
        <f t="shared" si="117"/>
        <v/>
      </c>
      <c r="AB470" s="64" t="str">
        <f>IF(AND(AA470&lt;&gt;"",AA470&lt;&gt;0), IF(E470="Muni", AA470, IF(E470 = "Corp", (1-'Investor Input'!$C$4-'Investor Input'!$C$5)*AA470, (1-'Investor Input'!$C$4)*AA470)), AA470)</f>
        <v/>
      </c>
      <c r="AC470" s="94" t="str">
        <f t="shared" si="118"/>
        <v/>
      </c>
      <c r="AD470" s="60" t="str">
        <f>IF(AND(M470&lt;&gt;"", M470&lt;&gt;0), N470/$N$505*MATCH(AC470,'Misc Lists'!$K$2:$K$25,0), "")</f>
        <v/>
      </c>
      <c r="AE470" s="90" t="str">
        <f t="shared" si="119"/>
        <v/>
      </c>
      <c r="AF470" s="99" t="str">
        <f>IF(AND(M470&lt;&gt;"", M470&lt;&gt;0), N470/$N$505*MATCH(AE470,'Misc Lists'!$L$2:$L$25,0), "")</f>
        <v/>
      </c>
    </row>
    <row r="471" spans="2:32" hidden="1" outlineLevel="1" x14ac:dyDescent="0.5">
      <c r="B471" s="60"/>
      <c r="C471" s="61"/>
      <c r="D471" s="60"/>
      <c r="E471" s="61"/>
      <c r="F471" s="62"/>
      <c r="G471" s="63"/>
      <c r="H471" s="61"/>
      <c r="I471" s="61"/>
      <c r="J471" s="64"/>
      <c r="K471" s="17"/>
      <c r="L471" s="17"/>
      <c r="M471" s="83"/>
      <c r="N471" s="84" t="str">
        <f t="shared" si="107"/>
        <v/>
      </c>
      <c r="O471" s="20" t="str">
        <f t="shared" si="108"/>
        <v/>
      </c>
      <c r="P471" s="64" t="str">
        <f t="shared" si="109"/>
        <v/>
      </c>
      <c r="Q471" s="85" t="str">
        <f t="shared" ca="1" si="110"/>
        <v/>
      </c>
      <c r="R471" s="86" t="str">
        <f t="shared" si="111"/>
        <v/>
      </c>
      <c r="S471" s="86" t="str">
        <f t="shared" si="112"/>
        <v/>
      </c>
      <c r="T471" s="104" t="str">
        <f t="shared" si="113"/>
        <v/>
      </c>
      <c r="U471" s="19" t="str">
        <f>IF(AND(M471&lt;&gt;"",M471&lt;&gt;0), IF(E471 = "Muni", T471, IF(E471="Corp", T471*(1 -'Investor Input'!$C$4-'Investor Input'!$C$5), T471*(1 -'Investor Input'!$C$4))), T471)</f>
        <v/>
      </c>
      <c r="V471" s="84" t="str">
        <f t="shared" si="114"/>
        <v/>
      </c>
      <c r="W471" s="84" t="str">
        <f t="shared" si="105"/>
        <v/>
      </c>
      <c r="X471" s="21" t="str">
        <f t="shared" si="106"/>
        <v/>
      </c>
      <c r="Y471" s="60" t="str">
        <f t="shared" si="115"/>
        <v/>
      </c>
      <c r="Z471" s="60" t="str">
        <f t="shared" si="116"/>
        <v/>
      </c>
      <c r="AA471" s="64" t="str">
        <f t="shared" si="117"/>
        <v/>
      </c>
      <c r="AB471" s="64" t="str">
        <f>IF(AND(AA471&lt;&gt;"",AA471&lt;&gt;0), IF(E471="Muni", AA471, IF(E471 = "Corp", (1-'Investor Input'!$C$4-'Investor Input'!$C$5)*AA471, (1-'Investor Input'!$C$4)*AA471)), AA471)</f>
        <v/>
      </c>
      <c r="AC471" s="94" t="str">
        <f t="shared" si="118"/>
        <v/>
      </c>
      <c r="AD471" s="60" t="str">
        <f>IF(AND(M471&lt;&gt;"", M471&lt;&gt;0), N471/$N$505*MATCH(AC471,'Misc Lists'!$K$2:$K$25,0), "")</f>
        <v/>
      </c>
      <c r="AE471" s="90" t="str">
        <f t="shared" si="119"/>
        <v/>
      </c>
      <c r="AF471" s="99" t="str">
        <f>IF(AND(M471&lt;&gt;"", M471&lt;&gt;0), N471/$N$505*MATCH(AE471,'Misc Lists'!$L$2:$L$25,0), "")</f>
        <v/>
      </c>
    </row>
    <row r="472" spans="2:32" hidden="1" outlineLevel="1" x14ac:dyDescent="0.5">
      <c r="B472" s="60"/>
      <c r="C472" s="61"/>
      <c r="D472" s="60"/>
      <c r="E472" s="61"/>
      <c r="F472" s="62"/>
      <c r="G472" s="63"/>
      <c r="H472" s="61"/>
      <c r="I472" s="61"/>
      <c r="J472" s="64"/>
      <c r="K472" s="17"/>
      <c r="L472" s="17"/>
      <c r="M472" s="83"/>
      <c r="N472" s="84" t="str">
        <f t="shared" si="107"/>
        <v/>
      </c>
      <c r="O472" s="20" t="str">
        <f t="shared" si="108"/>
        <v/>
      </c>
      <c r="P472" s="64" t="str">
        <f t="shared" si="109"/>
        <v/>
      </c>
      <c r="Q472" s="85" t="str">
        <f t="shared" ca="1" si="110"/>
        <v/>
      </c>
      <c r="R472" s="86" t="str">
        <f t="shared" si="111"/>
        <v/>
      </c>
      <c r="S472" s="86" t="str">
        <f t="shared" si="112"/>
        <v/>
      </c>
      <c r="T472" s="104" t="str">
        <f t="shared" si="113"/>
        <v/>
      </c>
      <c r="U472" s="19" t="str">
        <f>IF(AND(M472&lt;&gt;"",M472&lt;&gt;0), IF(E472 = "Muni", T472, IF(E472="Corp", T472*(1 -'Investor Input'!$C$4-'Investor Input'!$C$5), T472*(1 -'Investor Input'!$C$4))), T472)</f>
        <v/>
      </c>
      <c r="V472" s="84" t="str">
        <f t="shared" si="114"/>
        <v/>
      </c>
      <c r="W472" s="84" t="str">
        <f t="shared" si="105"/>
        <v/>
      </c>
      <c r="X472" s="21" t="str">
        <f t="shared" si="106"/>
        <v/>
      </c>
      <c r="Y472" s="60" t="str">
        <f t="shared" si="115"/>
        <v/>
      </c>
      <c r="Z472" s="60" t="str">
        <f t="shared" si="116"/>
        <v/>
      </c>
      <c r="AA472" s="64" t="str">
        <f t="shared" si="117"/>
        <v/>
      </c>
      <c r="AB472" s="64" t="str">
        <f>IF(AND(AA472&lt;&gt;"",AA472&lt;&gt;0), IF(E472="Muni", AA472, IF(E472 = "Corp", (1-'Investor Input'!$C$4-'Investor Input'!$C$5)*AA472, (1-'Investor Input'!$C$4)*AA472)), AA472)</f>
        <v/>
      </c>
      <c r="AC472" s="94" t="str">
        <f t="shared" si="118"/>
        <v/>
      </c>
      <c r="AD472" s="60" t="str">
        <f>IF(AND(M472&lt;&gt;"", M472&lt;&gt;0), N472/$N$505*MATCH(AC472,'Misc Lists'!$K$2:$K$25,0), "")</f>
        <v/>
      </c>
      <c r="AE472" s="90" t="str">
        <f t="shared" si="119"/>
        <v/>
      </c>
      <c r="AF472" s="99" t="str">
        <f>IF(AND(M472&lt;&gt;"", M472&lt;&gt;0), N472/$N$505*MATCH(AE472,'Misc Lists'!$L$2:$L$25,0), "")</f>
        <v/>
      </c>
    </row>
    <row r="473" spans="2:32" hidden="1" outlineLevel="1" x14ac:dyDescent="0.5">
      <c r="B473" s="60"/>
      <c r="C473" s="61"/>
      <c r="D473" s="60"/>
      <c r="E473" s="61"/>
      <c r="F473" s="62"/>
      <c r="G473" s="63"/>
      <c r="H473" s="61"/>
      <c r="I473" s="61"/>
      <c r="J473" s="64"/>
      <c r="K473" s="17"/>
      <c r="L473" s="17"/>
      <c r="M473" s="83"/>
      <c r="N473" s="84" t="str">
        <f t="shared" si="107"/>
        <v/>
      </c>
      <c r="O473" s="20" t="str">
        <f t="shared" si="108"/>
        <v/>
      </c>
      <c r="P473" s="64" t="str">
        <f t="shared" si="109"/>
        <v/>
      </c>
      <c r="Q473" s="85" t="str">
        <f t="shared" ca="1" si="110"/>
        <v/>
      </c>
      <c r="R473" s="86" t="str">
        <f t="shared" si="111"/>
        <v/>
      </c>
      <c r="S473" s="86" t="str">
        <f t="shared" si="112"/>
        <v/>
      </c>
      <c r="T473" s="104" t="str">
        <f t="shared" si="113"/>
        <v/>
      </c>
      <c r="U473" s="19" t="str">
        <f>IF(AND(M473&lt;&gt;"",M473&lt;&gt;0), IF(E473 = "Muni", T473, IF(E473="Corp", T473*(1 -'Investor Input'!$C$4-'Investor Input'!$C$5), T473*(1 -'Investor Input'!$C$4))), T473)</f>
        <v/>
      </c>
      <c r="V473" s="84" t="str">
        <f t="shared" si="114"/>
        <v/>
      </c>
      <c r="W473" s="84" t="str">
        <f t="shared" si="105"/>
        <v/>
      </c>
      <c r="X473" s="21" t="str">
        <f t="shared" si="106"/>
        <v/>
      </c>
      <c r="Y473" s="60" t="str">
        <f t="shared" si="115"/>
        <v/>
      </c>
      <c r="Z473" s="60" t="str">
        <f t="shared" si="116"/>
        <v/>
      </c>
      <c r="AA473" s="64" t="str">
        <f t="shared" si="117"/>
        <v/>
      </c>
      <c r="AB473" s="64" t="str">
        <f>IF(AND(AA473&lt;&gt;"",AA473&lt;&gt;0), IF(E473="Muni", AA473, IF(E473 = "Corp", (1-'Investor Input'!$C$4-'Investor Input'!$C$5)*AA473, (1-'Investor Input'!$C$4)*AA473)), AA473)</f>
        <v/>
      </c>
      <c r="AC473" s="94" t="str">
        <f t="shared" si="118"/>
        <v/>
      </c>
      <c r="AD473" s="60" t="str">
        <f>IF(AND(M473&lt;&gt;"", M473&lt;&gt;0), N473/$N$505*MATCH(AC473,'Misc Lists'!$K$2:$K$25,0), "")</f>
        <v/>
      </c>
      <c r="AE473" s="90" t="str">
        <f t="shared" si="119"/>
        <v/>
      </c>
      <c r="AF473" s="99" t="str">
        <f>IF(AND(M473&lt;&gt;"", M473&lt;&gt;0), N473/$N$505*MATCH(AE473,'Misc Lists'!$L$2:$L$25,0), "")</f>
        <v/>
      </c>
    </row>
    <row r="474" spans="2:32" hidden="1" outlineLevel="1" x14ac:dyDescent="0.5">
      <c r="B474" s="60"/>
      <c r="C474" s="61"/>
      <c r="D474" s="60"/>
      <c r="E474" s="61"/>
      <c r="F474" s="62"/>
      <c r="G474" s="63"/>
      <c r="H474" s="61"/>
      <c r="I474" s="61"/>
      <c r="J474" s="64"/>
      <c r="K474" s="17"/>
      <c r="L474" s="17"/>
      <c r="M474" s="83"/>
      <c r="N474" s="84" t="str">
        <f t="shared" si="107"/>
        <v/>
      </c>
      <c r="O474" s="20" t="str">
        <f t="shared" si="108"/>
        <v/>
      </c>
      <c r="P474" s="64" t="str">
        <f t="shared" si="109"/>
        <v/>
      </c>
      <c r="Q474" s="85" t="str">
        <f t="shared" ca="1" si="110"/>
        <v/>
      </c>
      <c r="R474" s="86" t="str">
        <f t="shared" si="111"/>
        <v/>
      </c>
      <c r="S474" s="86" t="str">
        <f t="shared" si="112"/>
        <v/>
      </c>
      <c r="T474" s="104" t="str">
        <f t="shared" si="113"/>
        <v/>
      </c>
      <c r="U474" s="19" t="str">
        <f>IF(AND(M474&lt;&gt;"",M474&lt;&gt;0), IF(E474 = "Muni", T474, IF(E474="Corp", T474*(1 -'Investor Input'!$C$4-'Investor Input'!$C$5), T474*(1 -'Investor Input'!$C$4))), T474)</f>
        <v/>
      </c>
      <c r="V474" s="84" t="str">
        <f t="shared" si="114"/>
        <v/>
      </c>
      <c r="W474" s="84" t="str">
        <f t="shared" si="105"/>
        <v/>
      </c>
      <c r="X474" s="21" t="str">
        <f t="shared" si="106"/>
        <v/>
      </c>
      <c r="Y474" s="60" t="str">
        <f t="shared" si="115"/>
        <v/>
      </c>
      <c r="Z474" s="60" t="str">
        <f t="shared" si="116"/>
        <v/>
      </c>
      <c r="AA474" s="64" t="str">
        <f t="shared" si="117"/>
        <v/>
      </c>
      <c r="AB474" s="64" t="str">
        <f>IF(AND(AA474&lt;&gt;"",AA474&lt;&gt;0), IF(E474="Muni", AA474, IF(E474 = "Corp", (1-'Investor Input'!$C$4-'Investor Input'!$C$5)*AA474, (1-'Investor Input'!$C$4)*AA474)), AA474)</f>
        <v/>
      </c>
      <c r="AC474" s="94" t="str">
        <f t="shared" si="118"/>
        <v/>
      </c>
      <c r="AD474" s="60" t="str">
        <f>IF(AND(M474&lt;&gt;"", M474&lt;&gt;0), N474/$N$505*MATCH(AC474,'Misc Lists'!$K$2:$K$25,0), "")</f>
        <v/>
      </c>
      <c r="AE474" s="90" t="str">
        <f t="shared" si="119"/>
        <v/>
      </c>
      <c r="AF474" s="99" t="str">
        <f>IF(AND(M474&lt;&gt;"", M474&lt;&gt;0), N474/$N$505*MATCH(AE474,'Misc Lists'!$L$2:$L$25,0), "")</f>
        <v/>
      </c>
    </row>
    <row r="475" spans="2:32" hidden="1" outlineLevel="1" x14ac:dyDescent="0.5">
      <c r="B475" s="60"/>
      <c r="C475" s="61"/>
      <c r="D475" s="60"/>
      <c r="E475" s="61"/>
      <c r="F475" s="62"/>
      <c r="G475" s="63"/>
      <c r="H475" s="61"/>
      <c r="I475" s="61"/>
      <c r="J475" s="64"/>
      <c r="K475" s="17"/>
      <c r="L475" s="17"/>
      <c r="M475" s="83"/>
      <c r="N475" s="84" t="str">
        <f t="shared" si="107"/>
        <v/>
      </c>
      <c r="O475" s="20" t="str">
        <f t="shared" si="108"/>
        <v/>
      </c>
      <c r="P475" s="64" t="str">
        <f t="shared" si="109"/>
        <v/>
      </c>
      <c r="Q475" s="85" t="str">
        <f t="shared" ca="1" si="110"/>
        <v/>
      </c>
      <c r="R475" s="86" t="str">
        <f t="shared" si="111"/>
        <v/>
      </c>
      <c r="S475" s="86" t="str">
        <f t="shared" si="112"/>
        <v/>
      </c>
      <c r="T475" s="104" t="str">
        <f t="shared" si="113"/>
        <v/>
      </c>
      <c r="U475" s="19" t="str">
        <f>IF(AND(M475&lt;&gt;"",M475&lt;&gt;0), IF(E475 = "Muni", T475, IF(E475="Corp", T475*(1 -'Investor Input'!$C$4-'Investor Input'!$C$5), T475*(1 -'Investor Input'!$C$4))), T475)</f>
        <v/>
      </c>
      <c r="V475" s="84" t="str">
        <f t="shared" si="114"/>
        <v/>
      </c>
      <c r="W475" s="84" t="str">
        <f t="shared" si="105"/>
        <v/>
      </c>
      <c r="X475" s="21" t="str">
        <f t="shared" si="106"/>
        <v/>
      </c>
      <c r="Y475" s="60" t="str">
        <f t="shared" si="115"/>
        <v/>
      </c>
      <c r="Z475" s="60" t="str">
        <f t="shared" si="116"/>
        <v/>
      </c>
      <c r="AA475" s="64" t="str">
        <f t="shared" si="117"/>
        <v/>
      </c>
      <c r="AB475" s="64" t="str">
        <f>IF(AND(AA475&lt;&gt;"",AA475&lt;&gt;0), IF(E475="Muni", AA475, IF(E475 = "Corp", (1-'Investor Input'!$C$4-'Investor Input'!$C$5)*AA475, (1-'Investor Input'!$C$4)*AA475)), AA475)</f>
        <v/>
      </c>
      <c r="AC475" s="94" t="str">
        <f t="shared" si="118"/>
        <v/>
      </c>
      <c r="AD475" s="60" t="str">
        <f>IF(AND(M475&lt;&gt;"", M475&lt;&gt;0), N475/$N$505*MATCH(AC475,'Misc Lists'!$K$2:$K$25,0), "")</f>
        <v/>
      </c>
      <c r="AE475" s="90" t="str">
        <f t="shared" si="119"/>
        <v/>
      </c>
      <c r="AF475" s="99" t="str">
        <f>IF(AND(M475&lt;&gt;"", M475&lt;&gt;0), N475/$N$505*MATCH(AE475,'Misc Lists'!$L$2:$L$25,0), "")</f>
        <v/>
      </c>
    </row>
    <row r="476" spans="2:32" hidden="1" outlineLevel="1" x14ac:dyDescent="0.5">
      <c r="B476" s="60"/>
      <c r="C476" s="61"/>
      <c r="D476" s="60"/>
      <c r="E476" s="61"/>
      <c r="F476" s="62"/>
      <c r="G476" s="63"/>
      <c r="H476" s="61"/>
      <c r="I476" s="61"/>
      <c r="J476" s="64"/>
      <c r="K476" s="17"/>
      <c r="L476" s="17"/>
      <c r="M476" s="83"/>
      <c r="N476" s="84" t="str">
        <f t="shared" si="107"/>
        <v/>
      </c>
      <c r="O476" s="20" t="str">
        <f t="shared" si="108"/>
        <v/>
      </c>
      <c r="P476" s="64" t="str">
        <f t="shared" si="109"/>
        <v/>
      </c>
      <c r="Q476" s="85" t="str">
        <f t="shared" ca="1" si="110"/>
        <v/>
      </c>
      <c r="R476" s="86" t="str">
        <f t="shared" si="111"/>
        <v/>
      </c>
      <c r="S476" s="86" t="str">
        <f t="shared" si="112"/>
        <v/>
      </c>
      <c r="T476" s="104" t="str">
        <f t="shared" si="113"/>
        <v/>
      </c>
      <c r="U476" s="19" t="str">
        <f>IF(AND(M476&lt;&gt;"",M476&lt;&gt;0), IF(E476 = "Muni", T476, IF(E476="Corp", T476*(1 -'Investor Input'!$C$4-'Investor Input'!$C$5), T476*(1 -'Investor Input'!$C$4))), T476)</f>
        <v/>
      </c>
      <c r="V476" s="84" t="str">
        <f t="shared" si="114"/>
        <v/>
      </c>
      <c r="W476" s="84" t="str">
        <f t="shared" si="105"/>
        <v/>
      </c>
      <c r="X476" s="21" t="str">
        <f t="shared" si="106"/>
        <v/>
      </c>
      <c r="Y476" s="60" t="str">
        <f t="shared" si="115"/>
        <v/>
      </c>
      <c r="Z476" s="60" t="str">
        <f t="shared" si="116"/>
        <v/>
      </c>
      <c r="AA476" s="64" t="str">
        <f t="shared" si="117"/>
        <v/>
      </c>
      <c r="AB476" s="64" t="str">
        <f>IF(AND(AA476&lt;&gt;"",AA476&lt;&gt;0), IF(E476="Muni", AA476, IF(E476 = "Corp", (1-'Investor Input'!$C$4-'Investor Input'!$C$5)*AA476, (1-'Investor Input'!$C$4)*AA476)), AA476)</f>
        <v/>
      </c>
      <c r="AC476" s="94" t="str">
        <f t="shared" si="118"/>
        <v/>
      </c>
      <c r="AD476" s="60" t="str">
        <f>IF(AND(M476&lt;&gt;"", M476&lt;&gt;0), N476/$N$505*MATCH(AC476,'Misc Lists'!$K$2:$K$25,0), "")</f>
        <v/>
      </c>
      <c r="AE476" s="90" t="str">
        <f t="shared" si="119"/>
        <v/>
      </c>
      <c r="AF476" s="99" t="str">
        <f>IF(AND(M476&lt;&gt;"", M476&lt;&gt;0), N476/$N$505*MATCH(AE476,'Misc Lists'!$L$2:$L$25,0), "")</f>
        <v/>
      </c>
    </row>
    <row r="477" spans="2:32" hidden="1" outlineLevel="1" x14ac:dyDescent="0.5">
      <c r="B477" s="60"/>
      <c r="C477" s="61"/>
      <c r="D477" s="60"/>
      <c r="E477" s="61"/>
      <c r="F477" s="62"/>
      <c r="G477" s="63"/>
      <c r="H477" s="61"/>
      <c r="I477" s="61"/>
      <c r="J477" s="64"/>
      <c r="K477" s="17"/>
      <c r="L477" s="17"/>
      <c r="M477" s="83"/>
      <c r="N477" s="84" t="str">
        <f t="shared" si="107"/>
        <v/>
      </c>
      <c r="O477" s="20" t="str">
        <f t="shared" si="108"/>
        <v/>
      </c>
      <c r="P477" s="64" t="str">
        <f t="shared" si="109"/>
        <v/>
      </c>
      <c r="Q477" s="85" t="str">
        <f t="shared" ca="1" si="110"/>
        <v/>
      </c>
      <c r="R477" s="86" t="str">
        <f t="shared" si="111"/>
        <v/>
      </c>
      <c r="S477" s="86" t="str">
        <f t="shared" si="112"/>
        <v/>
      </c>
      <c r="T477" s="104" t="str">
        <f t="shared" si="113"/>
        <v/>
      </c>
      <c r="U477" s="19" t="str">
        <f>IF(AND(M477&lt;&gt;"",M477&lt;&gt;0), IF(E477 = "Muni", T477, IF(E477="Corp", T477*(1 -'Investor Input'!$C$4-'Investor Input'!$C$5), T477*(1 -'Investor Input'!$C$4))), T477)</f>
        <v/>
      </c>
      <c r="V477" s="84" t="str">
        <f t="shared" si="114"/>
        <v/>
      </c>
      <c r="W477" s="84" t="str">
        <f t="shared" si="105"/>
        <v/>
      </c>
      <c r="X477" s="21" t="str">
        <f t="shared" si="106"/>
        <v/>
      </c>
      <c r="Y477" s="60" t="str">
        <f t="shared" si="115"/>
        <v/>
      </c>
      <c r="Z477" s="60" t="str">
        <f t="shared" si="116"/>
        <v/>
      </c>
      <c r="AA477" s="64" t="str">
        <f t="shared" si="117"/>
        <v/>
      </c>
      <c r="AB477" s="64" t="str">
        <f>IF(AND(AA477&lt;&gt;"",AA477&lt;&gt;0), IF(E477="Muni", AA477, IF(E477 = "Corp", (1-'Investor Input'!$C$4-'Investor Input'!$C$5)*AA477, (1-'Investor Input'!$C$4)*AA477)), AA477)</f>
        <v/>
      </c>
      <c r="AC477" s="94" t="str">
        <f t="shared" si="118"/>
        <v/>
      </c>
      <c r="AD477" s="60" t="str">
        <f>IF(AND(M477&lt;&gt;"", M477&lt;&gt;0), N477/$N$505*MATCH(AC477,'Misc Lists'!$K$2:$K$25,0), "")</f>
        <v/>
      </c>
      <c r="AE477" s="90" t="str">
        <f t="shared" si="119"/>
        <v/>
      </c>
      <c r="AF477" s="99" t="str">
        <f>IF(AND(M477&lt;&gt;"", M477&lt;&gt;0), N477/$N$505*MATCH(AE477,'Misc Lists'!$L$2:$L$25,0), "")</f>
        <v/>
      </c>
    </row>
    <row r="478" spans="2:32" hidden="1" outlineLevel="1" x14ac:dyDescent="0.5">
      <c r="B478" s="60"/>
      <c r="C478" s="61"/>
      <c r="D478" s="60"/>
      <c r="E478" s="61"/>
      <c r="F478" s="62"/>
      <c r="G478" s="63"/>
      <c r="H478" s="61"/>
      <c r="I478" s="61"/>
      <c r="J478" s="64"/>
      <c r="K478" s="17"/>
      <c r="L478" s="17"/>
      <c r="M478" s="83"/>
      <c r="N478" s="84" t="str">
        <f t="shared" si="107"/>
        <v/>
      </c>
      <c r="O478" s="20" t="str">
        <f t="shared" si="108"/>
        <v/>
      </c>
      <c r="P478" s="64" t="str">
        <f t="shared" si="109"/>
        <v/>
      </c>
      <c r="Q478" s="85" t="str">
        <f t="shared" ca="1" si="110"/>
        <v/>
      </c>
      <c r="R478" s="86" t="str">
        <f t="shared" si="111"/>
        <v/>
      </c>
      <c r="S478" s="86" t="str">
        <f t="shared" si="112"/>
        <v/>
      </c>
      <c r="T478" s="104" t="str">
        <f t="shared" si="113"/>
        <v/>
      </c>
      <c r="U478" s="19" t="str">
        <f>IF(AND(M478&lt;&gt;"",M478&lt;&gt;0), IF(E478 = "Muni", T478, IF(E478="Corp", T478*(1 -'Investor Input'!$C$4-'Investor Input'!$C$5), T478*(1 -'Investor Input'!$C$4))), T478)</f>
        <v/>
      </c>
      <c r="V478" s="84" t="str">
        <f t="shared" si="114"/>
        <v/>
      </c>
      <c r="W478" s="84" t="str">
        <f t="shared" si="105"/>
        <v/>
      </c>
      <c r="X478" s="21" t="str">
        <f t="shared" si="106"/>
        <v/>
      </c>
      <c r="Y478" s="60" t="str">
        <f t="shared" si="115"/>
        <v/>
      </c>
      <c r="Z478" s="60" t="str">
        <f t="shared" si="116"/>
        <v/>
      </c>
      <c r="AA478" s="64" t="str">
        <f t="shared" si="117"/>
        <v/>
      </c>
      <c r="AB478" s="64" t="str">
        <f>IF(AND(AA478&lt;&gt;"",AA478&lt;&gt;0), IF(E478="Muni", AA478, IF(E478 = "Corp", (1-'Investor Input'!$C$4-'Investor Input'!$C$5)*AA478, (1-'Investor Input'!$C$4)*AA478)), AA478)</f>
        <v/>
      </c>
      <c r="AC478" s="94" t="str">
        <f t="shared" si="118"/>
        <v/>
      </c>
      <c r="AD478" s="60" t="str">
        <f>IF(AND(M478&lt;&gt;"", M478&lt;&gt;0), N478/$N$505*MATCH(AC478,'Misc Lists'!$K$2:$K$25,0), "")</f>
        <v/>
      </c>
      <c r="AE478" s="90" t="str">
        <f t="shared" si="119"/>
        <v/>
      </c>
      <c r="AF478" s="99" t="str">
        <f>IF(AND(M478&lt;&gt;"", M478&lt;&gt;0), N478/$N$505*MATCH(AE478,'Misc Lists'!$L$2:$L$25,0), "")</f>
        <v/>
      </c>
    </row>
    <row r="479" spans="2:32" hidden="1" outlineLevel="1" x14ac:dyDescent="0.5">
      <c r="B479" s="60"/>
      <c r="C479" s="61"/>
      <c r="D479" s="60"/>
      <c r="E479" s="61"/>
      <c r="F479" s="62"/>
      <c r="G479" s="63"/>
      <c r="H479" s="61"/>
      <c r="I479" s="61"/>
      <c r="J479" s="64"/>
      <c r="K479" s="17"/>
      <c r="L479" s="17"/>
      <c r="M479" s="83"/>
      <c r="N479" s="84" t="str">
        <f t="shared" si="107"/>
        <v/>
      </c>
      <c r="O479" s="20" t="str">
        <f t="shared" si="108"/>
        <v/>
      </c>
      <c r="P479" s="64" t="str">
        <f t="shared" si="109"/>
        <v/>
      </c>
      <c r="Q479" s="85" t="str">
        <f t="shared" ca="1" si="110"/>
        <v/>
      </c>
      <c r="R479" s="86" t="str">
        <f t="shared" si="111"/>
        <v/>
      </c>
      <c r="S479" s="86" t="str">
        <f t="shared" si="112"/>
        <v/>
      </c>
      <c r="T479" s="104" t="str">
        <f t="shared" si="113"/>
        <v/>
      </c>
      <c r="U479" s="19" t="str">
        <f>IF(AND(M479&lt;&gt;"",M479&lt;&gt;0), IF(E479 = "Muni", T479, IF(E479="Corp", T479*(1 -'Investor Input'!$C$4-'Investor Input'!$C$5), T479*(1 -'Investor Input'!$C$4))), T479)</f>
        <v/>
      </c>
      <c r="V479" s="84" t="str">
        <f t="shared" si="114"/>
        <v/>
      </c>
      <c r="W479" s="84" t="str">
        <f t="shared" si="105"/>
        <v/>
      </c>
      <c r="X479" s="21" t="str">
        <f t="shared" si="106"/>
        <v/>
      </c>
      <c r="Y479" s="60" t="str">
        <f t="shared" si="115"/>
        <v/>
      </c>
      <c r="Z479" s="60" t="str">
        <f t="shared" si="116"/>
        <v/>
      </c>
      <c r="AA479" s="64" t="str">
        <f t="shared" si="117"/>
        <v/>
      </c>
      <c r="AB479" s="64" t="str">
        <f>IF(AND(AA479&lt;&gt;"",AA479&lt;&gt;0), IF(E479="Muni", AA479, IF(E479 = "Corp", (1-'Investor Input'!$C$4-'Investor Input'!$C$5)*AA479, (1-'Investor Input'!$C$4)*AA479)), AA479)</f>
        <v/>
      </c>
      <c r="AC479" s="94" t="str">
        <f t="shared" si="118"/>
        <v/>
      </c>
      <c r="AD479" s="60" t="str">
        <f>IF(AND(M479&lt;&gt;"", M479&lt;&gt;0), N479/$N$505*MATCH(AC479,'Misc Lists'!$K$2:$K$25,0), "")</f>
        <v/>
      </c>
      <c r="AE479" s="90" t="str">
        <f t="shared" si="119"/>
        <v/>
      </c>
      <c r="AF479" s="99" t="str">
        <f>IF(AND(M479&lt;&gt;"", M479&lt;&gt;0), N479/$N$505*MATCH(AE479,'Misc Lists'!$L$2:$L$25,0), "")</f>
        <v/>
      </c>
    </row>
    <row r="480" spans="2:32" hidden="1" outlineLevel="1" x14ac:dyDescent="0.5">
      <c r="B480" s="60"/>
      <c r="C480" s="61"/>
      <c r="D480" s="60"/>
      <c r="E480" s="61"/>
      <c r="F480" s="62"/>
      <c r="G480" s="63"/>
      <c r="H480" s="61"/>
      <c r="I480" s="61"/>
      <c r="J480" s="64"/>
      <c r="K480" s="17"/>
      <c r="L480" s="17"/>
      <c r="M480" s="83"/>
      <c r="N480" s="84" t="str">
        <f t="shared" si="107"/>
        <v/>
      </c>
      <c r="O480" s="20" t="str">
        <f t="shared" si="108"/>
        <v/>
      </c>
      <c r="P480" s="64" t="str">
        <f t="shared" si="109"/>
        <v/>
      </c>
      <c r="Q480" s="85" t="str">
        <f t="shared" ca="1" si="110"/>
        <v/>
      </c>
      <c r="R480" s="86" t="str">
        <f t="shared" si="111"/>
        <v/>
      </c>
      <c r="S480" s="86" t="str">
        <f t="shared" si="112"/>
        <v/>
      </c>
      <c r="T480" s="104" t="str">
        <f t="shared" si="113"/>
        <v/>
      </c>
      <c r="U480" s="19" t="str">
        <f>IF(AND(M480&lt;&gt;"",M480&lt;&gt;0), IF(E480 = "Muni", T480, IF(E480="Corp", T480*(1 -'Investor Input'!$C$4-'Investor Input'!$C$5), T480*(1 -'Investor Input'!$C$4))), T480)</f>
        <v/>
      </c>
      <c r="V480" s="84" t="str">
        <f t="shared" si="114"/>
        <v/>
      </c>
      <c r="W480" s="84" t="str">
        <f t="shared" si="105"/>
        <v/>
      </c>
      <c r="X480" s="21" t="str">
        <f t="shared" si="106"/>
        <v/>
      </c>
      <c r="Y480" s="60" t="str">
        <f t="shared" si="115"/>
        <v/>
      </c>
      <c r="Z480" s="60" t="str">
        <f t="shared" si="116"/>
        <v/>
      </c>
      <c r="AA480" s="64" t="str">
        <f t="shared" si="117"/>
        <v/>
      </c>
      <c r="AB480" s="64" t="str">
        <f>IF(AND(AA480&lt;&gt;"",AA480&lt;&gt;0), IF(E480="Muni", AA480, IF(E480 = "Corp", (1-'Investor Input'!$C$4-'Investor Input'!$C$5)*AA480, (1-'Investor Input'!$C$4)*AA480)), AA480)</f>
        <v/>
      </c>
      <c r="AC480" s="94" t="str">
        <f t="shared" si="118"/>
        <v/>
      </c>
      <c r="AD480" s="60" t="str">
        <f>IF(AND(M480&lt;&gt;"", M480&lt;&gt;0), N480/$N$505*MATCH(AC480,'Misc Lists'!$K$2:$K$25,0), "")</f>
        <v/>
      </c>
      <c r="AE480" s="90" t="str">
        <f t="shared" si="119"/>
        <v/>
      </c>
      <c r="AF480" s="99" t="str">
        <f>IF(AND(M480&lt;&gt;"", M480&lt;&gt;0), N480/$N$505*MATCH(AE480,'Misc Lists'!$L$2:$L$25,0), "")</f>
        <v/>
      </c>
    </row>
    <row r="481" spans="2:32" hidden="1" outlineLevel="1" x14ac:dyDescent="0.5">
      <c r="B481" s="60"/>
      <c r="C481" s="61"/>
      <c r="D481" s="60"/>
      <c r="E481" s="61"/>
      <c r="F481" s="62"/>
      <c r="G481" s="63"/>
      <c r="H481" s="61"/>
      <c r="I481" s="61"/>
      <c r="J481" s="64"/>
      <c r="K481" s="17"/>
      <c r="L481" s="17"/>
      <c r="M481" s="83"/>
      <c r="N481" s="84" t="str">
        <f t="shared" si="107"/>
        <v/>
      </c>
      <c r="O481" s="20" t="str">
        <f t="shared" si="108"/>
        <v/>
      </c>
      <c r="P481" s="64" t="str">
        <f t="shared" si="109"/>
        <v/>
      </c>
      <c r="Q481" s="85" t="str">
        <f t="shared" ca="1" si="110"/>
        <v/>
      </c>
      <c r="R481" s="86" t="str">
        <f t="shared" si="111"/>
        <v/>
      </c>
      <c r="S481" s="86" t="str">
        <f t="shared" si="112"/>
        <v/>
      </c>
      <c r="T481" s="104" t="str">
        <f t="shared" si="113"/>
        <v/>
      </c>
      <c r="U481" s="19" t="str">
        <f>IF(AND(M481&lt;&gt;"",M481&lt;&gt;0), IF(E481 = "Muni", T481, IF(E481="Corp", T481*(1 -'Investor Input'!$C$4-'Investor Input'!$C$5), T481*(1 -'Investor Input'!$C$4))), T481)</f>
        <v/>
      </c>
      <c r="V481" s="84" t="str">
        <f t="shared" si="114"/>
        <v/>
      </c>
      <c r="W481" s="84" t="str">
        <f t="shared" si="105"/>
        <v/>
      </c>
      <c r="X481" s="21" t="str">
        <f t="shared" si="106"/>
        <v/>
      </c>
      <c r="Y481" s="60" t="str">
        <f t="shared" si="115"/>
        <v/>
      </c>
      <c r="Z481" s="60" t="str">
        <f t="shared" si="116"/>
        <v/>
      </c>
      <c r="AA481" s="64" t="str">
        <f t="shared" si="117"/>
        <v/>
      </c>
      <c r="AB481" s="64" t="str">
        <f>IF(AND(AA481&lt;&gt;"",AA481&lt;&gt;0), IF(E481="Muni", AA481, IF(E481 = "Corp", (1-'Investor Input'!$C$4-'Investor Input'!$C$5)*AA481, (1-'Investor Input'!$C$4)*AA481)), AA481)</f>
        <v/>
      </c>
      <c r="AC481" s="94" t="str">
        <f t="shared" si="118"/>
        <v/>
      </c>
      <c r="AD481" s="60" t="str">
        <f>IF(AND(M481&lt;&gt;"", M481&lt;&gt;0), N481/$N$505*MATCH(AC481,'Misc Lists'!$K$2:$K$25,0), "")</f>
        <v/>
      </c>
      <c r="AE481" s="90" t="str">
        <f t="shared" si="119"/>
        <v/>
      </c>
      <c r="AF481" s="99" t="str">
        <f>IF(AND(M481&lt;&gt;"", M481&lt;&gt;0), N481/$N$505*MATCH(AE481,'Misc Lists'!$L$2:$L$25,0), "")</f>
        <v/>
      </c>
    </row>
    <row r="482" spans="2:32" hidden="1" outlineLevel="1" x14ac:dyDescent="0.5">
      <c r="B482" s="60"/>
      <c r="C482" s="61"/>
      <c r="D482" s="60"/>
      <c r="E482" s="61"/>
      <c r="F482" s="62"/>
      <c r="G482" s="63"/>
      <c r="H482" s="61"/>
      <c r="I482" s="61"/>
      <c r="J482" s="64"/>
      <c r="K482" s="17"/>
      <c r="L482" s="17"/>
      <c r="M482" s="83"/>
      <c r="N482" s="84" t="str">
        <f t="shared" si="107"/>
        <v/>
      </c>
      <c r="O482" s="20" t="str">
        <f t="shared" si="108"/>
        <v/>
      </c>
      <c r="P482" s="64" t="str">
        <f t="shared" si="109"/>
        <v/>
      </c>
      <c r="Q482" s="85" t="str">
        <f t="shared" ca="1" si="110"/>
        <v/>
      </c>
      <c r="R482" s="86" t="str">
        <f t="shared" si="111"/>
        <v/>
      </c>
      <c r="S482" s="86" t="str">
        <f t="shared" si="112"/>
        <v/>
      </c>
      <c r="T482" s="104" t="str">
        <f t="shared" si="113"/>
        <v/>
      </c>
      <c r="U482" s="19" t="str">
        <f>IF(AND(M482&lt;&gt;"",M482&lt;&gt;0), IF(E482 = "Muni", T482, IF(E482="Corp", T482*(1 -'Investor Input'!$C$4-'Investor Input'!$C$5), T482*(1 -'Investor Input'!$C$4))), T482)</f>
        <v/>
      </c>
      <c r="V482" s="84" t="str">
        <f t="shared" si="114"/>
        <v/>
      </c>
      <c r="W482" s="84" t="str">
        <f t="shared" si="105"/>
        <v/>
      </c>
      <c r="X482" s="21" t="str">
        <f t="shared" si="106"/>
        <v/>
      </c>
      <c r="Y482" s="60" t="str">
        <f t="shared" si="115"/>
        <v/>
      </c>
      <c r="Z482" s="60" t="str">
        <f t="shared" si="116"/>
        <v/>
      </c>
      <c r="AA482" s="64" t="str">
        <f t="shared" si="117"/>
        <v/>
      </c>
      <c r="AB482" s="64" t="str">
        <f>IF(AND(AA482&lt;&gt;"",AA482&lt;&gt;0), IF(E482="Muni", AA482, IF(E482 = "Corp", (1-'Investor Input'!$C$4-'Investor Input'!$C$5)*AA482, (1-'Investor Input'!$C$4)*AA482)), AA482)</f>
        <v/>
      </c>
      <c r="AC482" s="94" t="str">
        <f t="shared" si="118"/>
        <v/>
      </c>
      <c r="AD482" s="60" t="str">
        <f>IF(AND(M482&lt;&gt;"", M482&lt;&gt;0), N482/$N$505*MATCH(AC482,'Misc Lists'!$K$2:$K$25,0), "")</f>
        <v/>
      </c>
      <c r="AE482" s="90" t="str">
        <f t="shared" si="119"/>
        <v/>
      </c>
      <c r="AF482" s="99" t="str">
        <f>IF(AND(M482&lt;&gt;"", M482&lt;&gt;0), N482/$N$505*MATCH(AE482,'Misc Lists'!$L$2:$L$25,0), "")</f>
        <v/>
      </c>
    </row>
    <row r="483" spans="2:32" hidden="1" outlineLevel="1" x14ac:dyDescent="0.5">
      <c r="B483" s="60"/>
      <c r="C483" s="61"/>
      <c r="D483" s="60"/>
      <c r="E483" s="61"/>
      <c r="F483" s="62"/>
      <c r="G483" s="63"/>
      <c r="H483" s="61"/>
      <c r="I483" s="61"/>
      <c r="J483" s="64"/>
      <c r="K483" s="17"/>
      <c r="L483" s="17"/>
      <c r="M483" s="83"/>
      <c r="N483" s="84" t="str">
        <f t="shared" si="107"/>
        <v/>
      </c>
      <c r="O483" s="20" t="str">
        <f t="shared" si="108"/>
        <v/>
      </c>
      <c r="P483" s="64" t="str">
        <f t="shared" si="109"/>
        <v/>
      </c>
      <c r="Q483" s="85" t="str">
        <f t="shared" ca="1" si="110"/>
        <v/>
      </c>
      <c r="R483" s="86" t="str">
        <f t="shared" si="111"/>
        <v/>
      </c>
      <c r="S483" s="86" t="str">
        <f t="shared" si="112"/>
        <v/>
      </c>
      <c r="T483" s="104" t="str">
        <f t="shared" si="113"/>
        <v/>
      </c>
      <c r="U483" s="19" t="str">
        <f>IF(AND(M483&lt;&gt;"",M483&lt;&gt;0), IF(E483 = "Muni", T483, IF(E483="Corp", T483*(1 -'Investor Input'!$C$4-'Investor Input'!$C$5), T483*(1 -'Investor Input'!$C$4))), T483)</f>
        <v/>
      </c>
      <c r="V483" s="84" t="str">
        <f t="shared" si="114"/>
        <v/>
      </c>
      <c r="W483" s="84" t="str">
        <f t="shared" si="105"/>
        <v/>
      </c>
      <c r="X483" s="21" t="str">
        <f t="shared" si="106"/>
        <v/>
      </c>
      <c r="Y483" s="60" t="str">
        <f t="shared" si="115"/>
        <v/>
      </c>
      <c r="Z483" s="60" t="str">
        <f t="shared" si="116"/>
        <v/>
      </c>
      <c r="AA483" s="64" t="str">
        <f t="shared" si="117"/>
        <v/>
      </c>
      <c r="AB483" s="64" t="str">
        <f>IF(AND(AA483&lt;&gt;"",AA483&lt;&gt;0), IF(E483="Muni", AA483, IF(E483 = "Corp", (1-'Investor Input'!$C$4-'Investor Input'!$C$5)*AA483, (1-'Investor Input'!$C$4)*AA483)), AA483)</f>
        <v/>
      </c>
      <c r="AC483" s="94" t="str">
        <f t="shared" si="118"/>
        <v/>
      </c>
      <c r="AD483" s="60" t="str">
        <f>IF(AND(M483&lt;&gt;"", M483&lt;&gt;0), N483/$N$505*MATCH(AC483,'Misc Lists'!$K$2:$K$25,0), "")</f>
        <v/>
      </c>
      <c r="AE483" s="90" t="str">
        <f t="shared" si="119"/>
        <v/>
      </c>
      <c r="AF483" s="99" t="str">
        <f>IF(AND(M483&lt;&gt;"", M483&lt;&gt;0), N483/$N$505*MATCH(AE483,'Misc Lists'!$L$2:$L$25,0), "")</f>
        <v/>
      </c>
    </row>
    <row r="484" spans="2:32" hidden="1" outlineLevel="1" x14ac:dyDescent="0.5">
      <c r="B484" s="60"/>
      <c r="C484" s="61"/>
      <c r="D484" s="60"/>
      <c r="E484" s="61"/>
      <c r="F484" s="62"/>
      <c r="G484" s="63"/>
      <c r="H484" s="61"/>
      <c r="I484" s="61"/>
      <c r="J484" s="64"/>
      <c r="K484" s="17"/>
      <c r="L484" s="17"/>
      <c r="M484" s="83"/>
      <c r="N484" s="84" t="str">
        <f t="shared" si="107"/>
        <v/>
      </c>
      <c r="O484" s="20" t="str">
        <f t="shared" si="108"/>
        <v/>
      </c>
      <c r="P484" s="64" t="str">
        <f t="shared" si="109"/>
        <v/>
      </c>
      <c r="Q484" s="85" t="str">
        <f t="shared" ca="1" si="110"/>
        <v/>
      </c>
      <c r="R484" s="86" t="str">
        <f t="shared" si="111"/>
        <v/>
      </c>
      <c r="S484" s="86" t="str">
        <f t="shared" si="112"/>
        <v/>
      </c>
      <c r="T484" s="104" t="str">
        <f t="shared" si="113"/>
        <v/>
      </c>
      <c r="U484" s="19" t="str">
        <f>IF(AND(M484&lt;&gt;"",M484&lt;&gt;0), IF(E484 = "Muni", T484, IF(E484="Corp", T484*(1 -'Investor Input'!$C$4-'Investor Input'!$C$5), T484*(1 -'Investor Input'!$C$4))), T484)</f>
        <v/>
      </c>
      <c r="V484" s="84" t="str">
        <f t="shared" si="114"/>
        <v/>
      </c>
      <c r="W484" s="84" t="str">
        <f t="shared" si="105"/>
        <v/>
      </c>
      <c r="X484" s="21" t="str">
        <f t="shared" si="106"/>
        <v/>
      </c>
      <c r="Y484" s="60" t="str">
        <f t="shared" si="115"/>
        <v/>
      </c>
      <c r="Z484" s="60" t="str">
        <f t="shared" si="116"/>
        <v/>
      </c>
      <c r="AA484" s="64" t="str">
        <f t="shared" si="117"/>
        <v/>
      </c>
      <c r="AB484" s="64" t="str">
        <f>IF(AND(AA484&lt;&gt;"",AA484&lt;&gt;0), IF(E484="Muni", AA484, IF(E484 = "Corp", (1-'Investor Input'!$C$4-'Investor Input'!$C$5)*AA484, (1-'Investor Input'!$C$4)*AA484)), AA484)</f>
        <v/>
      </c>
      <c r="AC484" s="94" t="str">
        <f t="shared" si="118"/>
        <v/>
      </c>
      <c r="AD484" s="60" t="str">
        <f>IF(AND(M484&lt;&gt;"", M484&lt;&gt;0), N484/$N$505*MATCH(AC484,'Misc Lists'!$K$2:$K$25,0), "")</f>
        <v/>
      </c>
      <c r="AE484" s="90" t="str">
        <f t="shared" si="119"/>
        <v/>
      </c>
      <c r="AF484" s="99" t="str">
        <f>IF(AND(M484&lt;&gt;"", M484&lt;&gt;0), N484/$N$505*MATCH(AE484,'Misc Lists'!$L$2:$L$25,0), "")</f>
        <v/>
      </c>
    </row>
    <row r="485" spans="2:32" hidden="1" outlineLevel="1" x14ac:dyDescent="0.5">
      <c r="B485" s="60"/>
      <c r="C485" s="61"/>
      <c r="D485" s="60"/>
      <c r="E485" s="61"/>
      <c r="F485" s="62"/>
      <c r="G485" s="63"/>
      <c r="H485" s="61"/>
      <c r="I485" s="61"/>
      <c r="J485" s="64"/>
      <c r="K485" s="17"/>
      <c r="L485" s="17"/>
      <c r="M485" s="83"/>
      <c r="N485" s="84" t="str">
        <f t="shared" si="107"/>
        <v/>
      </c>
      <c r="O485" s="20" t="str">
        <f t="shared" si="108"/>
        <v/>
      </c>
      <c r="P485" s="64" t="str">
        <f t="shared" si="109"/>
        <v/>
      </c>
      <c r="Q485" s="85" t="str">
        <f t="shared" ca="1" si="110"/>
        <v/>
      </c>
      <c r="R485" s="86" t="str">
        <f t="shared" si="111"/>
        <v/>
      </c>
      <c r="S485" s="86" t="str">
        <f t="shared" si="112"/>
        <v/>
      </c>
      <c r="T485" s="104" t="str">
        <f t="shared" si="113"/>
        <v/>
      </c>
      <c r="U485" s="19" t="str">
        <f>IF(AND(M485&lt;&gt;"",M485&lt;&gt;0), IF(E485 = "Muni", T485, IF(E485="Corp", T485*(1 -'Investor Input'!$C$4-'Investor Input'!$C$5), T485*(1 -'Investor Input'!$C$4))), T485)</f>
        <v/>
      </c>
      <c r="V485" s="84" t="str">
        <f t="shared" si="114"/>
        <v/>
      </c>
      <c r="W485" s="84" t="str">
        <f t="shared" si="105"/>
        <v/>
      </c>
      <c r="X485" s="21" t="str">
        <f t="shared" si="106"/>
        <v/>
      </c>
      <c r="Y485" s="60" t="str">
        <f t="shared" si="115"/>
        <v/>
      </c>
      <c r="Z485" s="60" t="str">
        <f t="shared" si="116"/>
        <v/>
      </c>
      <c r="AA485" s="64" t="str">
        <f t="shared" si="117"/>
        <v/>
      </c>
      <c r="AB485" s="64" t="str">
        <f>IF(AND(AA485&lt;&gt;"",AA485&lt;&gt;0), IF(E485="Muni", AA485, IF(E485 = "Corp", (1-'Investor Input'!$C$4-'Investor Input'!$C$5)*AA485, (1-'Investor Input'!$C$4)*AA485)), AA485)</f>
        <v/>
      </c>
      <c r="AC485" s="94" t="str">
        <f t="shared" si="118"/>
        <v/>
      </c>
      <c r="AD485" s="60" t="str">
        <f>IF(AND(M485&lt;&gt;"", M485&lt;&gt;0), N485/$N$505*MATCH(AC485,'Misc Lists'!$K$2:$K$25,0), "")</f>
        <v/>
      </c>
      <c r="AE485" s="90" t="str">
        <f t="shared" si="119"/>
        <v/>
      </c>
      <c r="AF485" s="99" t="str">
        <f>IF(AND(M485&lt;&gt;"", M485&lt;&gt;0), N485/$N$505*MATCH(AE485,'Misc Lists'!$L$2:$L$25,0), "")</f>
        <v/>
      </c>
    </row>
    <row r="486" spans="2:32" hidden="1" outlineLevel="1" x14ac:dyDescent="0.5">
      <c r="B486" s="60"/>
      <c r="C486" s="61"/>
      <c r="D486" s="60"/>
      <c r="E486" s="61"/>
      <c r="F486" s="62"/>
      <c r="G486" s="63"/>
      <c r="H486" s="61"/>
      <c r="I486" s="61"/>
      <c r="J486" s="64"/>
      <c r="K486" s="17"/>
      <c r="L486" s="17"/>
      <c r="M486" s="83"/>
      <c r="N486" s="84" t="str">
        <f t="shared" si="107"/>
        <v/>
      </c>
      <c r="O486" s="20" t="str">
        <f t="shared" si="108"/>
        <v/>
      </c>
      <c r="P486" s="64" t="str">
        <f t="shared" si="109"/>
        <v/>
      </c>
      <c r="Q486" s="85" t="str">
        <f t="shared" ca="1" si="110"/>
        <v/>
      </c>
      <c r="R486" s="86" t="str">
        <f t="shared" si="111"/>
        <v/>
      </c>
      <c r="S486" s="86" t="str">
        <f t="shared" si="112"/>
        <v/>
      </c>
      <c r="T486" s="104" t="str">
        <f t="shared" si="113"/>
        <v/>
      </c>
      <c r="U486" s="19" t="str">
        <f>IF(AND(M486&lt;&gt;"",M486&lt;&gt;0), IF(E486 = "Muni", T486, IF(E486="Corp", T486*(1 -'Investor Input'!$C$4-'Investor Input'!$C$5), T486*(1 -'Investor Input'!$C$4))), T486)</f>
        <v/>
      </c>
      <c r="V486" s="84" t="str">
        <f t="shared" si="114"/>
        <v/>
      </c>
      <c r="W486" s="84" t="str">
        <f t="shared" si="105"/>
        <v/>
      </c>
      <c r="X486" s="21" t="str">
        <f t="shared" si="106"/>
        <v/>
      </c>
      <c r="Y486" s="60" t="str">
        <f t="shared" si="115"/>
        <v/>
      </c>
      <c r="Z486" s="60" t="str">
        <f t="shared" si="116"/>
        <v/>
      </c>
      <c r="AA486" s="64" t="str">
        <f t="shared" si="117"/>
        <v/>
      </c>
      <c r="AB486" s="64" t="str">
        <f>IF(AND(AA486&lt;&gt;"",AA486&lt;&gt;0), IF(E486="Muni", AA486, IF(E486 = "Corp", (1-'Investor Input'!$C$4-'Investor Input'!$C$5)*AA486, (1-'Investor Input'!$C$4)*AA486)), AA486)</f>
        <v/>
      </c>
      <c r="AC486" s="94" t="str">
        <f t="shared" si="118"/>
        <v/>
      </c>
      <c r="AD486" s="60" t="str">
        <f>IF(AND(M486&lt;&gt;"", M486&lt;&gt;0), N486/$N$505*MATCH(AC486,'Misc Lists'!$K$2:$K$25,0), "")</f>
        <v/>
      </c>
      <c r="AE486" s="90" t="str">
        <f t="shared" si="119"/>
        <v/>
      </c>
      <c r="AF486" s="99" t="str">
        <f>IF(AND(M486&lt;&gt;"", M486&lt;&gt;0), N486/$N$505*MATCH(AE486,'Misc Lists'!$L$2:$L$25,0), "")</f>
        <v/>
      </c>
    </row>
    <row r="487" spans="2:32" hidden="1" outlineLevel="1" x14ac:dyDescent="0.5">
      <c r="B487" s="60"/>
      <c r="C487" s="61"/>
      <c r="D487" s="60"/>
      <c r="E487" s="61"/>
      <c r="F487" s="62"/>
      <c r="G487" s="63"/>
      <c r="H487" s="61"/>
      <c r="I487" s="61"/>
      <c r="J487" s="64"/>
      <c r="K487" s="17"/>
      <c r="L487" s="17"/>
      <c r="M487" s="83"/>
      <c r="N487" s="84" t="str">
        <f t="shared" si="107"/>
        <v/>
      </c>
      <c r="O487" s="20" t="str">
        <f t="shared" si="108"/>
        <v/>
      </c>
      <c r="P487" s="64" t="str">
        <f t="shared" si="109"/>
        <v/>
      </c>
      <c r="Q487" s="85" t="str">
        <f t="shared" ca="1" si="110"/>
        <v/>
      </c>
      <c r="R487" s="86" t="str">
        <f t="shared" si="111"/>
        <v/>
      </c>
      <c r="S487" s="86" t="str">
        <f t="shared" si="112"/>
        <v/>
      </c>
      <c r="T487" s="104" t="str">
        <f t="shared" si="113"/>
        <v/>
      </c>
      <c r="U487" s="19" t="str">
        <f>IF(AND(M487&lt;&gt;"",M487&lt;&gt;0), IF(E487 = "Muni", T487, IF(E487="Corp", T487*(1 -'Investor Input'!$C$4-'Investor Input'!$C$5), T487*(1 -'Investor Input'!$C$4))), T487)</f>
        <v/>
      </c>
      <c r="V487" s="84" t="str">
        <f t="shared" si="114"/>
        <v/>
      </c>
      <c r="W487" s="84" t="str">
        <f t="shared" si="105"/>
        <v/>
      </c>
      <c r="X487" s="21" t="str">
        <f t="shared" si="106"/>
        <v/>
      </c>
      <c r="Y487" s="60" t="str">
        <f t="shared" si="115"/>
        <v/>
      </c>
      <c r="Z487" s="60" t="str">
        <f t="shared" si="116"/>
        <v/>
      </c>
      <c r="AA487" s="64" t="str">
        <f t="shared" si="117"/>
        <v/>
      </c>
      <c r="AB487" s="64" t="str">
        <f>IF(AND(AA487&lt;&gt;"",AA487&lt;&gt;0), IF(E487="Muni", AA487, IF(E487 = "Corp", (1-'Investor Input'!$C$4-'Investor Input'!$C$5)*AA487, (1-'Investor Input'!$C$4)*AA487)), AA487)</f>
        <v/>
      </c>
      <c r="AC487" s="94" t="str">
        <f t="shared" si="118"/>
        <v/>
      </c>
      <c r="AD487" s="60" t="str">
        <f>IF(AND(M487&lt;&gt;"", M487&lt;&gt;0), N487/$N$505*MATCH(AC487,'Misc Lists'!$K$2:$K$25,0), "")</f>
        <v/>
      </c>
      <c r="AE487" s="90" t="str">
        <f t="shared" si="119"/>
        <v/>
      </c>
      <c r="AF487" s="99" t="str">
        <f>IF(AND(M487&lt;&gt;"", M487&lt;&gt;0), N487/$N$505*MATCH(AE487,'Misc Lists'!$L$2:$L$25,0), "")</f>
        <v/>
      </c>
    </row>
    <row r="488" spans="2:32" hidden="1" outlineLevel="1" x14ac:dyDescent="0.5">
      <c r="B488" s="60"/>
      <c r="C488" s="61"/>
      <c r="D488" s="60"/>
      <c r="E488" s="61"/>
      <c r="F488" s="62"/>
      <c r="G488" s="63"/>
      <c r="H488" s="61"/>
      <c r="I488" s="61"/>
      <c r="J488" s="64"/>
      <c r="K488" s="17"/>
      <c r="L488" s="17"/>
      <c r="M488" s="83"/>
      <c r="N488" s="84" t="str">
        <f t="shared" si="107"/>
        <v/>
      </c>
      <c r="O488" s="20" t="str">
        <f t="shared" si="108"/>
        <v/>
      </c>
      <c r="P488" s="64" t="str">
        <f t="shared" si="109"/>
        <v/>
      </c>
      <c r="Q488" s="85" t="str">
        <f t="shared" ca="1" si="110"/>
        <v/>
      </c>
      <c r="R488" s="86" t="str">
        <f t="shared" si="111"/>
        <v/>
      </c>
      <c r="S488" s="86" t="str">
        <f t="shared" si="112"/>
        <v/>
      </c>
      <c r="T488" s="104" t="str">
        <f t="shared" si="113"/>
        <v/>
      </c>
      <c r="U488" s="19" t="str">
        <f>IF(AND(M488&lt;&gt;"",M488&lt;&gt;0), IF(E488 = "Muni", T488, IF(E488="Corp", T488*(1 -'Investor Input'!$C$4-'Investor Input'!$C$5), T488*(1 -'Investor Input'!$C$4))), T488)</f>
        <v/>
      </c>
      <c r="V488" s="84" t="str">
        <f t="shared" si="114"/>
        <v/>
      </c>
      <c r="W488" s="84" t="str">
        <f t="shared" si="105"/>
        <v/>
      </c>
      <c r="X488" s="21" t="str">
        <f t="shared" si="106"/>
        <v/>
      </c>
      <c r="Y488" s="60" t="str">
        <f t="shared" si="115"/>
        <v/>
      </c>
      <c r="Z488" s="60" t="str">
        <f t="shared" si="116"/>
        <v/>
      </c>
      <c r="AA488" s="64" t="str">
        <f t="shared" si="117"/>
        <v/>
      </c>
      <c r="AB488" s="64" t="str">
        <f>IF(AND(AA488&lt;&gt;"",AA488&lt;&gt;0), IF(E488="Muni", AA488, IF(E488 = "Corp", (1-'Investor Input'!$C$4-'Investor Input'!$C$5)*AA488, (1-'Investor Input'!$C$4)*AA488)), AA488)</f>
        <v/>
      </c>
      <c r="AC488" s="94" t="str">
        <f t="shared" si="118"/>
        <v/>
      </c>
      <c r="AD488" s="60" t="str">
        <f>IF(AND(M488&lt;&gt;"", M488&lt;&gt;0), N488/$N$505*MATCH(AC488,'Misc Lists'!$K$2:$K$25,0), "")</f>
        <v/>
      </c>
      <c r="AE488" s="90" t="str">
        <f t="shared" si="119"/>
        <v/>
      </c>
      <c r="AF488" s="99" t="str">
        <f>IF(AND(M488&lt;&gt;"", M488&lt;&gt;0), N488/$N$505*MATCH(AE488,'Misc Lists'!$L$2:$L$25,0), "")</f>
        <v/>
      </c>
    </row>
    <row r="489" spans="2:32" hidden="1" outlineLevel="1" x14ac:dyDescent="0.5">
      <c r="B489" s="60"/>
      <c r="C489" s="61"/>
      <c r="D489" s="60"/>
      <c r="E489" s="61"/>
      <c r="F489" s="62"/>
      <c r="G489" s="63"/>
      <c r="H489" s="61"/>
      <c r="I489" s="61"/>
      <c r="J489" s="64"/>
      <c r="K489" s="17"/>
      <c r="L489" s="17"/>
      <c r="M489" s="83"/>
      <c r="N489" s="84" t="str">
        <f t="shared" si="107"/>
        <v/>
      </c>
      <c r="O489" s="20" t="str">
        <f t="shared" si="108"/>
        <v/>
      </c>
      <c r="P489" s="64" t="str">
        <f t="shared" si="109"/>
        <v/>
      </c>
      <c r="Q489" s="85" t="str">
        <f t="shared" ca="1" si="110"/>
        <v/>
      </c>
      <c r="R489" s="86" t="str">
        <f t="shared" si="111"/>
        <v/>
      </c>
      <c r="S489" s="86" t="str">
        <f t="shared" si="112"/>
        <v/>
      </c>
      <c r="T489" s="104" t="str">
        <f t="shared" si="113"/>
        <v/>
      </c>
      <c r="U489" s="19" t="str">
        <f>IF(AND(M489&lt;&gt;"",M489&lt;&gt;0), IF(E489 = "Muni", T489, IF(E489="Corp", T489*(1 -'Investor Input'!$C$4-'Investor Input'!$C$5), T489*(1 -'Investor Input'!$C$4))), T489)</f>
        <v/>
      </c>
      <c r="V489" s="84" t="str">
        <f t="shared" si="114"/>
        <v/>
      </c>
      <c r="W489" s="84" t="str">
        <f t="shared" si="105"/>
        <v/>
      </c>
      <c r="X489" s="21" t="str">
        <f t="shared" si="106"/>
        <v/>
      </c>
      <c r="Y489" s="60" t="str">
        <f t="shared" si="115"/>
        <v/>
      </c>
      <c r="Z489" s="60" t="str">
        <f t="shared" si="116"/>
        <v/>
      </c>
      <c r="AA489" s="64" t="str">
        <f t="shared" si="117"/>
        <v/>
      </c>
      <c r="AB489" s="64" t="str">
        <f>IF(AND(AA489&lt;&gt;"",AA489&lt;&gt;0), IF(E489="Muni", AA489, IF(E489 = "Corp", (1-'Investor Input'!$C$4-'Investor Input'!$C$5)*AA489, (1-'Investor Input'!$C$4)*AA489)), AA489)</f>
        <v/>
      </c>
      <c r="AC489" s="94" t="str">
        <f t="shared" si="118"/>
        <v/>
      </c>
      <c r="AD489" s="60" t="str">
        <f>IF(AND(M489&lt;&gt;"", M489&lt;&gt;0), N489/$N$505*MATCH(AC489,'Misc Lists'!$K$2:$K$25,0), "")</f>
        <v/>
      </c>
      <c r="AE489" s="90" t="str">
        <f t="shared" si="119"/>
        <v/>
      </c>
      <c r="AF489" s="99" t="str">
        <f>IF(AND(M489&lt;&gt;"", M489&lt;&gt;0), N489/$N$505*MATCH(AE489,'Misc Lists'!$L$2:$L$25,0), "")</f>
        <v/>
      </c>
    </row>
    <row r="490" spans="2:32" hidden="1" outlineLevel="1" x14ac:dyDescent="0.5">
      <c r="B490" s="60"/>
      <c r="C490" s="61"/>
      <c r="D490" s="60"/>
      <c r="E490" s="61"/>
      <c r="F490" s="62"/>
      <c r="G490" s="63"/>
      <c r="H490" s="61"/>
      <c r="I490" s="61"/>
      <c r="J490" s="64"/>
      <c r="K490" s="17"/>
      <c r="L490" s="17"/>
      <c r="M490" s="83"/>
      <c r="N490" s="84" t="str">
        <f t="shared" si="107"/>
        <v/>
      </c>
      <c r="O490" s="20" t="str">
        <f t="shared" si="108"/>
        <v/>
      </c>
      <c r="P490" s="64" t="str">
        <f t="shared" si="109"/>
        <v/>
      </c>
      <c r="Q490" s="85" t="str">
        <f t="shared" ca="1" si="110"/>
        <v/>
      </c>
      <c r="R490" s="86" t="str">
        <f t="shared" si="111"/>
        <v/>
      </c>
      <c r="S490" s="86" t="str">
        <f t="shared" si="112"/>
        <v/>
      </c>
      <c r="T490" s="104" t="str">
        <f t="shared" si="113"/>
        <v/>
      </c>
      <c r="U490" s="19" t="str">
        <f>IF(AND(M490&lt;&gt;"",M490&lt;&gt;0), IF(E490 = "Muni", T490, IF(E490="Corp", T490*(1 -'Investor Input'!$C$4-'Investor Input'!$C$5), T490*(1 -'Investor Input'!$C$4))), T490)</f>
        <v/>
      </c>
      <c r="V490" s="84" t="str">
        <f t="shared" si="114"/>
        <v/>
      </c>
      <c r="W490" s="84" t="str">
        <f t="shared" si="105"/>
        <v/>
      </c>
      <c r="X490" s="21" t="str">
        <f t="shared" si="106"/>
        <v/>
      </c>
      <c r="Y490" s="60" t="str">
        <f t="shared" si="115"/>
        <v/>
      </c>
      <c r="Z490" s="60" t="str">
        <f t="shared" si="116"/>
        <v/>
      </c>
      <c r="AA490" s="64" t="str">
        <f t="shared" si="117"/>
        <v/>
      </c>
      <c r="AB490" s="64" t="str">
        <f>IF(AND(AA490&lt;&gt;"",AA490&lt;&gt;0), IF(E490="Muni", AA490, IF(E490 = "Corp", (1-'Investor Input'!$C$4-'Investor Input'!$C$5)*AA490, (1-'Investor Input'!$C$4)*AA490)), AA490)</f>
        <v/>
      </c>
      <c r="AC490" s="94" t="str">
        <f t="shared" si="118"/>
        <v/>
      </c>
      <c r="AD490" s="60" t="str">
        <f>IF(AND(M490&lt;&gt;"", M490&lt;&gt;0), N490/$N$505*MATCH(AC490,'Misc Lists'!$K$2:$K$25,0), "")</f>
        <v/>
      </c>
      <c r="AE490" s="90" t="str">
        <f t="shared" si="119"/>
        <v/>
      </c>
      <c r="AF490" s="99" t="str">
        <f>IF(AND(M490&lt;&gt;"", M490&lt;&gt;0), N490/$N$505*MATCH(AE490,'Misc Lists'!$L$2:$L$25,0), "")</f>
        <v/>
      </c>
    </row>
    <row r="491" spans="2:32" hidden="1" outlineLevel="1" x14ac:dyDescent="0.5">
      <c r="B491" s="60"/>
      <c r="C491" s="61"/>
      <c r="D491" s="60"/>
      <c r="E491" s="61"/>
      <c r="F491" s="62"/>
      <c r="G491" s="63"/>
      <c r="H491" s="61"/>
      <c r="I491" s="61"/>
      <c r="J491" s="64"/>
      <c r="K491" s="17"/>
      <c r="L491" s="17"/>
      <c r="M491" s="83"/>
      <c r="N491" s="84" t="str">
        <f t="shared" si="107"/>
        <v/>
      </c>
      <c r="O491" s="20" t="str">
        <f t="shared" si="108"/>
        <v/>
      </c>
      <c r="P491" s="64" t="str">
        <f t="shared" si="109"/>
        <v/>
      </c>
      <c r="Q491" s="85" t="str">
        <f t="shared" ca="1" si="110"/>
        <v/>
      </c>
      <c r="R491" s="86" t="str">
        <f t="shared" si="111"/>
        <v/>
      </c>
      <c r="S491" s="86" t="str">
        <f t="shared" si="112"/>
        <v/>
      </c>
      <c r="T491" s="104" t="str">
        <f t="shared" si="113"/>
        <v/>
      </c>
      <c r="U491" s="19" t="str">
        <f>IF(AND(M491&lt;&gt;"",M491&lt;&gt;0), IF(E491 = "Muni", T491, IF(E491="Corp", T491*(1 -'Investor Input'!$C$4-'Investor Input'!$C$5), T491*(1 -'Investor Input'!$C$4))), T491)</f>
        <v/>
      </c>
      <c r="V491" s="84" t="str">
        <f t="shared" si="114"/>
        <v/>
      </c>
      <c r="W491" s="84" t="str">
        <f t="shared" si="105"/>
        <v/>
      </c>
      <c r="X491" s="21" t="str">
        <f t="shared" si="106"/>
        <v/>
      </c>
      <c r="Y491" s="60" t="str">
        <f t="shared" si="115"/>
        <v/>
      </c>
      <c r="Z491" s="60" t="str">
        <f t="shared" si="116"/>
        <v/>
      </c>
      <c r="AA491" s="64" t="str">
        <f t="shared" si="117"/>
        <v/>
      </c>
      <c r="AB491" s="64" t="str">
        <f>IF(AND(AA491&lt;&gt;"",AA491&lt;&gt;0), IF(E491="Muni", AA491, IF(E491 = "Corp", (1-'Investor Input'!$C$4-'Investor Input'!$C$5)*AA491, (1-'Investor Input'!$C$4)*AA491)), AA491)</f>
        <v/>
      </c>
      <c r="AC491" s="94" t="str">
        <f t="shared" si="118"/>
        <v/>
      </c>
      <c r="AD491" s="60" t="str">
        <f>IF(AND(M491&lt;&gt;"", M491&lt;&gt;0), N491/$N$505*MATCH(AC491,'Misc Lists'!$K$2:$K$25,0), "")</f>
        <v/>
      </c>
      <c r="AE491" s="90" t="str">
        <f t="shared" si="119"/>
        <v/>
      </c>
      <c r="AF491" s="99" t="str">
        <f>IF(AND(M491&lt;&gt;"", M491&lt;&gt;0), N491/$N$505*MATCH(AE491,'Misc Lists'!$L$2:$L$25,0), "")</f>
        <v/>
      </c>
    </row>
    <row r="492" spans="2:32" hidden="1" outlineLevel="1" x14ac:dyDescent="0.5">
      <c r="B492" s="60"/>
      <c r="C492" s="61"/>
      <c r="D492" s="60"/>
      <c r="E492" s="61"/>
      <c r="F492" s="62"/>
      <c r="G492" s="63"/>
      <c r="H492" s="61"/>
      <c r="I492" s="61"/>
      <c r="J492" s="64"/>
      <c r="K492" s="17"/>
      <c r="L492" s="17"/>
      <c r="M492" s="83"/>
      <c r="N492" s="84" t="str">
        <f t="shared" si="107"/>
        <v/>
      </c>
      <c r="O492" s="20" t="str">
        <f t="shared" si="108"/>
        <v/>
      </c>
      <c r="P492" s="64" t="str">
        <f t="shared" si="109"/>
        <v/>
      </c>
      <c r="Q492" s="85" t="str">
        <f t="shared" ca="1" si="110"/>
        <v/>
      </c>
      <c r="R492" s="86" t="str">
        <f t="shared" si="111"/>
        <v/>
      </c>
      <c r="S492" s="86" t="str">
        <f t="shared" si="112"/>
        <v/>
      </c>
      <c r="T492" s="104" t="str">
        <f t="shared" si="113"/>
        <v/>
      </c>
      <c r="U492" s="19" t="str">
        <f>IF(AND(M492&lt;&gt;"",M492&lt;&gt;0), IF(E492 = "Muni", T492, IF(E492="Corp", T492*(1 -'Investor Input'!$C$4-'Investor Input'!$C$5), T492*(1 -'Investor Input'!$C$4))), T492)</f>
        <v/>
      </c>
      <c r="V492" s="84" t="str">
        <f t="shared" si="114"/>
        <v/>
      </c>
      <c r="W492" s="84" t="str">
        <f t="shared" si="105"/>
        <v/>
      </c>
      <c r="X492" s="21" t="str">
        <f t="shared" si="106"/>
        <v/>
      </c>
      <c r="Y492" s="60" t="str">
        <f t="shared" si="115"/>
        <v/>
      </c>
      <c r="Z492" s="60" t="str">
        <f t="shared" si="116"/>
        <v/>
      </c>
      <c r="AA492" s="64" t="str">
        <f t="shared" si="117"/>
        <v/>
      </c>
      <c r="AB492" s="64" t="str">
        <f>IF(AND(AA492&lt;&gt;"",AA492&lt;&gt;0), IF(E492="Muni", AA492, IF(E492 = "Corp", (1-'Investor Input'!$C$4-'Investor Input'!$C$5)*AA492, (1-'Investor Input'!$C$4)*AA492)), AA492)</f>
        <v/>
      </c>
      <c r="AC492" s="94" t="str">
        <f t="shared" si="118"/>
        <v/>
      </c>
      <c r="AD492" s="60" t="str">
        <f>IF(AND(M492&lt;&gt;"", M492&lt;&gt;0), N492/$N$505*MATCH(AC492,'Misc Lists'!$K$2:$K$25,0), "")</f>
        <v/>
      </c>
      <c r="AE492" s="90" t="str">
        <f t="shared" si="119"/>
        <v/>
      </c>
      <c r="AF492" s="99" t="str">
        <f>IF(AND(M492&lt;&gt;"", M492&lt;&gt;0), N492/$N$505*MATCH(AE492,'Misc Lists'!$L$2:$L$25,0), "")</f>
        <v/>
      </c>
    </row>
    <row r="493" spans="2:32" hidden="1" outlineLevel="1" x14ac:dyDescent="0.5">
      <c r="B493" s="60"/>
      <c r="C493" s="61"/>
      <c r="D493" s="60"/>
      <c r="E493" s="61"/>
      <c r="F493" s="62"/>
      <c r="G493" s="63"/>
      <c r="H493" s="61"/>
      <c r="I493" s="61"/>
      <c r="J493" s="64"/>
      <c r="K493" s="17"/>
      <c r="L493" s="17"/>
      <c r="M493" s="83"/>
      <c r="N493" s="84" t="str">
        <f t="shared" si="107"/>
        <v/>
      </c>
      <c r="O493" s="20" t="str">
        <f t="shared" si="108"/>
        <v/>
      </c>
      <c r="P493" s="64" t="str">
        <f t="shared" si="109"/>
        <v/>
      </c>
      <c r="Q493" s="85" t="str">
        <f t="shared" ca="1" si="110"/>
        <v/>
      </c>
      <c r="R493" s="86" t="str">
        <f t="shared" si="111"/>
        <v/>
      </c>
      <c r="S493" s="86" t="str">
        <f t="shared" si="112"/>
        <v/>
      </c>
      <c r="T493" s="104" t="str">
        <f t="shared" si="113"/>
        <v/>
      </c>
      <c r="U493" s="19" t="str">
        <f>IF(AND(M493&lt;&gt;"",M493&lt;&gt;0), IF(E493 = "Muni", T493, IF(E493="Corp", T493*(1 -'Investor Input'!$C$4-'Investor Input'!$C$5), T493*(1 -'Investor Input'!$C$4))), T493)</f>
        <v/>
      </c>
      <c r="V493" s="84" t="str">
        <f t="shared" si="114"/>
        <v/>
      </c>
      <c r="W493" s="84" t="str">
        <f t="shared" si="105"/>
        <v/>
      </c>
      <c r="X493" s="21" t="str">
        <f t="shared" si="106"/>
        <v/>
      </c>
      <c r="Y493" s="60" t="str">
        <f t="shared" si="115"/>
        <v/>
      </c>
      <c r="Z493" s="60" t="str">
        <f t="shared" si="116"/>
        <v/>
      </c>
      <c r="AA493" s="64" t="str">
        <f t="shared" si="117"/>
        <v/>
      </c>
      <c r="AB493" s="64" t="str">
        <f>IF(AND(AA493&lt;&gt;"",AA493&lt;&gt;0), IF(E493="Muni", AA493, IF(E493 = "Corp", (1-'Investor Input'!$C$4-'Investor Input'!$C$5)*AA493, (1-'Investor Input'!$C$4)*AA493)), AA493)</f>
        <v/>
      </c>
      <c r="AC493" s="94" t="str">
        <f t="shared" si="118"/>
        <v/>
      </c>
      <c r="AD493" s="60" t="str">
        <f>IF(AND(M493&lt;&gt;"", M493&lt;&gt;0), N493/$N$505*MATCH(AC493,'Misc Lists'!$K$2:$K$25,0), "")</f>
        <v/>
      </c>
      <c r="AE493" s="90" t="str">
        <f t="shared" si="119"/>
        <v/>
      </c>
      <c r="AF493" s="99" t="str">
        <f>IF(AND(M493&lt;&gt;"", M493&lt;&gt;0), N493/$N$505*MATCH(AE493,'Misc Lists'!$L$2:$L$25,0), "")</f>
        <v/>
      </c>
    </row>
    <row r="494" spans="2:32" hidden="1" outlineLevel="1" x14ac:dyDescent="0.5">
      <c r="B494" s="60"/>
      <c r="C494" s="61"/>
      <c r="D494" s="60"/>
      <c r="E494" s="61"/>
      <c r="F494" s="62"/>
      <c r="G494" s="63"/>
      <c r="H494" s="61"/>
      <c r="I494" s="61"/>
      <c r="J494" s="64"/>
      <c r="K494" s="17"/>
      <c r="L494" s="17"/>
      <c r="M494" s="83"/>
      <c r="N494" s="84" t="str">
        <f t="shared" si="107"/>
        <v/>
      </c>
      <c r="O494" s="20" t="str">
        <f t="shared" si="108"/>
        <v/>
      </c>
      <c r="P494" s="64" t="str">
        <f t="shared" si="109"/>
        <v/>
      </c>
      <c r="Q494" s="85" t="str">
        <f t="shared" ca="1" si="110"/>
        <v/>
      </c>
      <c r="R494" s="86" t="str">
        <f t="shared" si="111"/>
        <v/>
      </c>
      <c r="S494" s="86" t="str">
        <f t="shared" si="112"/>
        <v/>
      </c>
      <c r="T494" s="104" t="str">
        <f t="shared" si="113"/>
        <v/>
      </c>
      <c r="U494" s="19" t="str">
        <f>IF(AND(M494&lt;&gt;"",M494&lt;&gt;0), IF(E494 = "Muni", T494, IF(E494="Corp", T494*(1 -'Investor Input'!$C$4-'Investor Input'!$C$5), T494*(1 -'Investor Input'!$C$4))), T494)</f>
        <v/>
      </c>
      <c r="V494" s="84" t="str">
        <f t="shared" si="114"/>
        <v/>
      </c>
      <c r="W494" s="84" t="str">
        <f t="shared" si="105"/>
        <v/>
      </c>
      <c r="X494" s="21" t="str">
        <f t="shared" si="106"/>
        <v/>
      </c>
      <c r="Y494" s="60" t="str">
        <f t="shared" si="115"/>
        <v/>
      </c>
      <c r="Z494" s="60" t="str">
        <f t="shared" si="116"/>
        <v/>
      </c>
      <c r="AA494" s="64" t="str">
        <f t="shared" si="117"/>
        <v/>
      </c>
      <c r="AB494" s="64" t="str">
        <f>IF(AND(AA494&lt;&gt;"",AA494&lt;&gt;0), IF(E494="Muni", AA494, IF(E494 = "Corp", (1-'Investor Input'!$C$4-'Investor Input'!$C$5)*AA494, (1-'Investor Input'!$C$4)*AA494)), AA494)</f>
        <v/>
      </c>
      <c r="AC494" s="94" t="str">
        <f t="shared" si="118"/>
        <v/>
      </c>
      <c r="AD494" s="60" t="str">
        <f>IF(AND(M494&lt;&gt;"", M494&lt;&gt;0), N494/$N$505*MATCH(AC494,'Misc Lists'!$K$2:$K$25,0), "")</f>
        <v/>
      </c>
      <c r="AE494" s="90" t="str">
        <f t="shared" si="119"/>
        <v/>
      </c>
      <c r="AF494" s="99" t="str">
        <f>IF(AND(M494&lt;&gt;"", M494&lt;&gt;0), N494/$N$505*MATCH(AE494,'Misc Lists'!$L$2:$L$25,0), "")</f>
        <v/>
      </c>
    </row>
    <row r="495" spans="2:32" hidden="1" outlineLevel="1" x14ac:dyDescent="0.5">
      <c r="B495" s="60"/>
      <c r="C495" s="61"/>
      <c r="D495" s="60"/>
      <c r="E495" s="61"/>
      <c r="F495" s="62"/>
      <c r="G495" s="63"/>
      <c r="H495" s="61"/>
      <c r="I495" s="61"/>
      <c r="J495" s="64"/>
      <c r="K495" s="17"/>
      <c r="L495" s="17"/>
      <c r="M495" s="83"/>
      <c r="N495" s="84" t="str">
        <f t="shared" si="107"/>
        <v/>
      </c>
      <c r="O495" s="20" t="str">
        <f t="shared" si="108"/>
        <v/>
      </c>
      <c r="P495" s="64" t="str">
        <f t="shared" si="109"/>
        <v/>
      </c>
      <c r="Q495" s="85" t="str">
        <f t="shared" ca="1" si="110"/>
        <v/>
      </c>
      <c r="R495" s="86" t="str">
        <f t="shared" si="111"/>
        <v/>
      </c>
      <c r="S495" s="86" t="str">
        <f t="shared" si="112"/>
        <v/>
      </c>
      <c r="T495" s="104" t="str">
        <f t="shared" si="113"/>
        <v/>
      </c>
      <c r="U495" s="19" t="str">
        <f>IF(AND(M495&lt;&gt;"",M495&lt;&gt;0), IF(E495 = "Muni", T495, IF(E495="Corp", T495*(1 -'Investor Input'!$C$4-'Investor Input'!$C$5), T495*(1 -'Investor Input'!$C$4))), T495)</f>
        <v/>
      </c>
      <c r="V495" s="84" t="str">
        <f t="shared" si="114"/>
        <v/>
      </c>
      <c r="W495" s="84" t="str">
        <f t="shared" si="105"/>
        <v/>
      </c>
      <c r="X495" s="21" t="str">
        <f t="shared" si="106"/>
        <v/>
      </c>
      <c r="Y495" s="60" t="str">
        <f t="shared" si="115"/>
        <v/>
      </c>
      <c r="Z495" s="60" t="str">
        <f t="shared" si="116"/>
        <v/>
      </c>
      <c r="AA495" s="64" t="str">
        <f t="shared" si="117"/>
        <v/>
      </c>
      <c r="AB495" s="64" t="str">
        <f>IF(AND(AA495&lt;&gt;"",AA495&lt;&gt;0), IF(E495="Muni", AA495, IF(E495 = "Corp", (1-'Investor Input'!$C$4-'Investor Input'!$C$5)*AA495, (1-'Investor Input'!$C$4)*AA495)), AA495)</f>
        <v/>
      </c>
      <c r="AC495" s="94" t="str">
        <f t="shared" si="118"/>
        <v/>
      </c>
      <c r="AD495" s="60" t="str">
        <f>IF(AND(M495&lt;&gt;"", M495&lt;&gt;0), N495/$N$505*MATCH(AC495,'Misc Lists'!$K$2:$K$25,0), "")</f>
        <v/>
      </c>
      <c r="AE495" s="90" t="str">
        <f t="shared" si="119"/>
        <v/>
      </c>
      <c r="AF495" s="99" t="str">
        <f>IF(AND(M495&lt;&gt;"", M495&lt;&gt;0), N495/$N$505*MATCH(AE495,'Misc Lists'!$L$2:$L$25,0), "")</f>
        <v/>
      </c>
    </row>
    <row r="496" spans="2:32" hidden="1" outlineLevel="1" x14ac:dyDescent="0.5">
      <c r="B496" s="60"/>
      <c r="C496" s="61"/>
      <c r="D496" s="60"/>
      <c r="E496" s="61"/>
      <c r="F496" s="62"/>
      <c r="G496" s="63"/>
      <c r="H496" s="61"/>
      <c r="I496" s="61"/>
      <c r="J496" s="64"/>
      <c r="K496" s="17"/>
      <c r="L496" s="17"/>
      <c r="M496" s="83"/>
      <c r="N496" s="84" t="str">
        <f t="shared" si="107"/>
        <v/>
      </c>
      <c r="O496" s="20" t="str">
        <f t="shared" si="108"/>
        <v/>
      </c>
      <c r="P496" s="64" t="str">
        <f t="shared" si="109"/>
        <v/>
      </c>
      <c r="Q496" s="85" t="str">
        <f t="shared" ca="1" si="110"/>
        <v/>
      </c>
      <c r="R496" s="86" t="str">
        <f t="shared" si="111"/>
        <v/>
      </c>
      <c r="S496" s="86" t="str">
        <f t="shared" si="112"/>
        <v/>
      </c>
      <c r="T496" s="104" t="str">
        <f t="shared" si="113"/>
        <v/>
      </c>
      <c r="U496" s="19" t="str">
        <f>IF(AND(M496&lt;&gt;"",M496&lt;&gt;0), IF(E496 = "Muni", T496, IF(E496="Corp", T496*(1 -'Investor Input'!$C$4-'Investor Input'!$C$5), T496*(1 -'Investor Input'!$C$4))), T496)</f>
        <v/>
      </c>
      <c r="V496" s="84" t="str">
        <f t="shared" si="114"/>
        <v/>
      </c>
      <c r="W496" s="84" t="str">
        <f t="shared" si="105"/>
        <v/>
      </c>
      <c r="X496" s="21" t="str">
        <f t="shared" si="106"/>
        <v/>
      </c>
      <c r="Y496" s="60" t="str">
        <f t="shared" si="115"/>
        <v/>
      </c>
      <c r="Z496" s="60" t="str">
        <f t="shared" si="116"/>
        <v/>
      </c>
      <c r="AA496" s="64" t="str">
        <f t="shared" si="117"/>
        <v/>
      </c>
      <c r="AB496" s="64" t="str">
        <f>IF(AND(AA496&lt;&gt;"",AA496&lt;&gt;0), IF(E496="Muni", AA496, IF(E496 = "Corp", (1-'Investor Input'!$C$4-'Investor Input'!$C$5)*AA496, (1-'Investor Input'!$C$4)*AA496)), AA496)</f>
        <v/>
      </c>
      <c r="AC496" s="94" t="str">
        <f t="shared" si="118"/>
        <v/>
      </c>
      <c r="AD496" s="60" t="str">
        <f>IF(AND(M496&lt;&gt;"", M496&lt;&gt;0), N496/$N$505*MATCH(AC496,'Misc Lists'!$K$2:$K$25,0), "")</f>
        <v/>
      </c>
      <c r="AE496" s="90" t="str">
        <f t="shared" si="119"/>
        <v/>
      </c>
      <c r="AF496" s="99" t="str">
        <f>IF(AND(M496&lt;&gt;"", M496&lt;&gt;0), N496/$N$505*MATCH(AE496,'Misc Lists'!$L$2:$L$25,0), "")</f>
        <v/>
      </c>
    </row>
    <row r="497" spans="2:32" hidden="1" outlineLevel="1" x14ac:dyDescent="0.5">
      <c r="B497" s="60"/>
      <c r="C497" s="61"/>
      <c r="D497" s="60"/>
      <c r="E497" s="61"/>
      <c r="F497" s="62"/>
      <c r="G497" s="63"/>
      <c r="H497" s="61"/>
      <c r="I497" s="61"/>
      <c r="J497" s="64"/>
      <c r="K497" s="17"/>
      <c r="L497" s="17"/>
      <c r="M497" s="83"/>
      <c r="N497" s="84" t="str">
        <f t="shared" si="107"/>
        <v/>
      </c>
      <c r="O497" s="20" t="str">
        <f t="shared" si="108"/>
        <v/>
      </c>
      <c r="P497" s="64" t="str">
        <f t="shared" si="109"/>
        <v/>
      </c>
      <c r="Q497" s="85" t="str">
        <f t="shared" ca="1" si="110"/>
        <v/>
      </c>
      <c r="R497" s="86" t="str">
        <f t="shared" si="111"/>
        <v/>
      </c>
      <c r="S497" s="86" t="str">
        <f t="shared" si="112"/>
        <v/>
      </c>
      <c r="T497" s="104" t="str">
        <f t="shared" si="113"/>
        <v/>
      </c>
      <c r="U497" s="19" t="str">
        <f>IF(AND(M497&lt;&gt;"",M497&lt;&gt;0), IF(E497 = "Muni", T497, IF(E497="Corp", T497*(1 -'Investor Input'!$C$4-'Investor Input'!$C$5), T497*(1 -'Investor Input'!$C$4))), T497)</f>
        <v/>
      </c>
      <c r="V497" s="84" t="str">
        <f t="shared" si="114"/>
        <v/>
      </c>
      <c r="W497" s="84" t="str">
        <f t="shared" si="105"/>
        <v/>
      </c>
      <c r="X497" s="21" t="str">
        <f t="shared" si="106"/>
        <v/>
      </c>
      <c r="Y497" s="60" t="str">
        <f t="shared" si="115"/>
        <v/>
      </c>
      <c r="Z497" s="60" t="str">
        <f t="shared" si="116"/>
        <v/>
      </c>
      <c r="AA497" s="64" t="str">
        <f t="shared" si="117"/>
        <v/>
      </c>
      <c r="AB497" s="64" t="str">
        <f>IF(AND(AA497&lt;&gt;"",AA497&lt;&gt;0), IF(E497="Muni", AA497, IF(E497 = "Corp", (1-'Investor Input'!$C$4-'Investor Input'!$C$5)*AA497, (1-'Investor Input'!$C$4)*AA497)), AA497)</f>
        <v/>
      </c>
      <c r="AC497" s="94" t="str">
        <f t="shared" si="118"/>
        <v/>
      </c>
      <c r="AD497" s="60" t="str">
        <f>IF(AND(M497&lt;&gt;"", M497&lt;&gt;0), N497/$N$505*MATCH(AC497,'Misc Lists'!$K$2:$K$25,0), "")</f>
        <v/>
      </c>
      <c r="AE497" s="90" t="str">
        <f t="shared" si="119"/>
        <v/>
      </c>
      <c r="AF497" s="99" t="str">
        <f>IF(AND(M497&lt;&gt;"", M497&lt;&gt;0), N497/$N$505*MATCH(AE497,'Misc Lists'!$L$2:$L$25,0), "")</f>
        <v/>
      </c>
    </row>
    <row r="498" spans="2:32" hidden="1" outlineLevel="1" x14ac:dyDescent="0.5">
      <c r="B498" s="60"/>
      <c r="C498" s="61"/>
      <c r="D498" s="60"/>
      <c r="E498" s="61"/>
      <c r="F498" s="62"/>
      <c r="G498" s="63"/>
      <c r="H498" s="61"/>
      <c r="I498" s="61"/>
      <c r="J498" s="64"/>
      <c r="K498" s="17"/>
      <c r="L498" s="17"/>
      <c r="M498" s="83"/>
      <c r="N498" s="84" t="str">
        <f t="shared" si="107"/>
        <v/>
      </c>
      <c r="O498" s="20" t="str">
        <f t="shared" si="108"/>
        <v/>
      </c>
      <c r="P498" s="64" t="str">
        <f t="shared" si="109"/>
        <v/>
      </c>
      <c r="Q498" s="85" t="str">
        <f t="shared" ca="1" si="110"/>
        <v/>
      </c>
      <c r="R498" s="86" t="str">
        <f t="shared" si="111"/>
        <v/>
      </c>
      <c r="S498" s="86" t="str">
        <f t="shared" si="112"/>
        <v/>
      </c>
      <c r="T498" s="104" t="str">
        <f t="shared" si="113"/>
        <v/>
      </c>
      <c r="U498" s="19" t="str">
        <f>IF(AND(M498&lt;&gt;"",M498&lt;&gt;0), IF(E498 = "Muni", T498, IF(E498="Corp", T498*(1 -'Investor Input'!$C$4-'Investor Input'!$C$5), T498*(1 -'Investor Input'!$C$4))), T498)</f>
        <v/>
      </c>
      <c r="V498" s="84" t="str">
        <f t="shared" si="114"/>
        <v/>
      </c>
      <c r="W498" s="84" t="str">
        <f t="shared" si="105"/>
        <v/>
      </c>
      <c r="X498" s="21" t="str">
        <f t="shared" si="106"/>
        <v/>
      </c>
      <c r="Y498" s="60" t="str">
        <f t="shared" si="115"/>
        <v/>
      </c>
      <c r="Z498" s="60" t="str">
        <f t="shared" si="116"/>
        <v/>
      </c>
      <c r="AA498" s="64" t="str">
        <f t="shared" si="117"/>
        <v/>
      </c>
      <c r="AB498" s="64" t="str">
        <f>IF(AND(AA498&lt;&gt;"",AA498&lt;&gt;0), IF(E498="Muni", AA498, IF(E498 = "Corp", (1-'Investor Input'!$C$4-'Investor Input'!$C$5)*AA498, (1-'Investor Input'!$C$4)*AA498)), AA498)</f>
        <v/>
      </c>
      <c r="AC498" s="94" t="str">
        <f t="shared" si="118"/>
        <v/>
      </c>
      <c r="AD498" s="60" t="str">
        <f>IF(AND(M498&lt;&gt;"", M498&lt;&gt;0), N498/$N$505*MATCH(AC498,'Misc Lists'!$K$2:$K$25,0), "")</f>
        <v/>
      </c>
      <c r="AE498" s="90" t="str">
        <f t="shared" si="119"/>
        <v/>
      </c>
      <c r="AF498" s="99" t="str">
        <f>IF(AND(M498&lt;&gt;"", M498&lt;&gt;0), N498/$N$505*MATCH(AE498,'Misc Lists'!$L$2:$L$25,0), "")</f>
        <v/>
      </c>
    </row>
    <row r="499" spans="2:32" hidden="1" outlineLevel="1" x14ac:dyDescent="0.5">
      <c r="B499" s="60"/>
      <c r="C499" s="61"/>
      <c r="D499" s="60"/>
      <c r="E499" s="61"/>
      <c r="F499" s="62"/>
      <c r="G499" s="63"/>
      <c r="H499" s="61"/>
      <c r="I499" s="61"/>
      <c r="J499" s="64"/>
      <c r="K499" s="17"/>
      <c r="L499" s="17"/>
      <c r="M499" s="83"/>
      <c r="N499" s="84" t="str">
        <f t="shared" si="107"/>
        <v/>
      </c>
      <c r="O499" s="20" t="str">
        <f t="shared" si="108"/>
        <v/>
      </c>
      <c r="P499" s="64" t="str">
        <f t="shared" si="109"/>
        <v/>
      </c>
      <c r="Q499" s="85" t="str">
        <f t="shared" ca="1" si="110"/>
        <v/>
      </c>
      <c r="R499" s="86" t="str">
        <f t="shared" si="111"/>
        <v/>
      </c>
      <c r="S499" s="86" t="str">
        <f t="shared" si="112"/>
        <v/>
      </c>
      <c r="T499" s="104" t="str">
        <f t="shared" si="113"/>
        <v/>
      </c>
      <c r="U499" s="19" t="str">
        <f>IF(AND(M499&lt;&gt;"",M499&lt;&gt;0), IF(E499 = "Muni", T499, IF(E499="Corp", T499*(1 -'Investor Input'!$C$4-'Investor Input'!$C$5), T499*(1 -'Investor Input'!$C$4))), T499)</f>
        <v/>
      </c>
      <c r="V499" s="84" t="str">
        <f t="shared" si="114"/>
        <v/>
      </c>
      <c r="W499" s="84" t="str">
        <f t="shared" si="105"/>
        <v/>
      </c>
      <c r="X499" s="21" t="str">
        <f t="shared" si="106"/>
        <v/>
      </c>
      <c r="Y499" s="60" t="str">
        <f t="shared" si="115"/>
        <v/>
      </c>
      <c r="Z499" s="60" t="str">
        <f t="shared" si="116"/>
        <v/>
      </c>
      <c r="AA499" s="64" t="str">
        <f t="shared" si="117"/>
        <v/>
      </c>
      <c r="AB499" s="64" t="str">
        <f>IF(AND(AA499&lt;&gt;"",AA499&lt;&gt;0), IF(E499="Muni", AA499, IF(E499 = "Corp", (1-'Investor Input'!$C$4-'Investor Input'!$C$5)*AA499, (1-'Investor Input'!$C$4)*AA499)), AA499)</f>
        <v/>
      </c>
      <c r="AC499" s="94" t="str">
        <f t="shared" si="118"/>
        <v/>
      </c>
      <c r="AD499" s="60" t="str">
        <f>IF(AND(M499&lt;&gt;"", M499&lt;&gt;0), N499/$N$505*MATCH(AC499,'Misc Lists'!$K$2:$K$25,0), "")</f>
        <v/>
      </c>
      <c r="AE499" s="90" t="str">
        <f t="shared" si="119"/>
        <v/>
      </c>
      <c r="AF499" s="99" t="str">
        <f>IF(AND(M499&lt;&gt;"", M499&lt;&gt;0), N499/$N$505*MATCH(AE499,'Misc Lists'!$L$2:$L$25,0), "")</f>
        <v/>
      </c>
    </row>
    <row r="500" spans="2:32" hidden="1" outlineLevel="1" x14ac:dyDescent="0.5">
      <c r="B500" s="60"/>
      <c r="C500" s="61"/>
      <c r="D500" s="60"/>
      <c r="E500" s="61"/>
      <c r="F500" s="62"/>
      <c r="G500" s="63"/>
      <c r="H500" s="61"/>
      <c r="I500" s="61"/>
      <c r="J500" s="64"/>
      <c r="K500" s="17"/>
      <c r="L500" s="17"/>
      <c r="M500" s="83"/>
      <c r="N500" s="84" t="str">
        <f t="shared" si="107"/>
        <v/>
      </c>
      <c r="O500" s="20" t="str">
        <f t="shared" si="108"/>
        <v/>
      </c>
      <c r="P500" s="64" t="str">
        <f t="shared" si="109"/>
        <v/>
      </c>
      <c r="Q500" s="85" t="str">
        <f t="shared" ca="1" si="110"/>
        <v/>
      </c>
      <c r="R500" s="86" t="str">
        <f t="shared" si="111"/>
        <v/>
      </c>
      <c r="S500" s="86" t="str">
        <f t="shared" si="112"/>
        <v/>
      </c>
      <c r="T500" s="104" t="str">
        <f t="shared" si="113"/>
        <v/>
      </c>
      <c r="U500" s="19" t="str">
        <f>IF(AND(M500&lt;&gt;"",M500&lt;&gt;0), IF(E500 = "Muni", T500, IF(E500="Corp", T500*(1 -'Investor Input'!$C$4-'Investor Input'!$C$5), T500*(1 -'Investor Input'!$C$4))), T500)</f>
        <v/>
      </c>
      <c r="V500" s="84" t="str">
        <f t="shared" si="114"/>
        <v/>
      </c>
      <c r="W500" s="84" t="str">
        <f t="shared" si="105"/>
        <v/>
      </c>
      <c r="X500" s="21" t="str">
        <f t="shared" si="106"/>
        <v/>
      </c>
      <c r="Y500" s="60" t="str">
        <f t="shared" si="115"/>
        <v/>
      </c>
      <c r="Z500" s="60" t="str">
        <f t="shared" si="116"/>
        <v/>
      </c>
      <c r="AA500" s="64" t="str">
        <f t="shared" si="117"/>
        <v/>
      </c>
      <c r="AB500" s="64" t="str">
        <f>IF(AND(AA500&lt;&gt;"",AA500&lt;&gt;0), IF(E500="Muni", AA500, IF(E500 = "Corp", (1-'Investor Input'!$C$4-'Investor Input'!$C$5)*AA500, (1-'Investor Input'!$C$4)*AA500)), AA500)</f>
        <v/>
      </c>
      <c r="AC500" s="94" t="str">
        <f t="shared" si="118"/>
        <v/>
      </c>
      <c r="AD500" s="60" t="str">
        <f>IF(AND(M500&lt;&gt;"", M500&lt;&gt;0), N500/$N$505*MATCH(AC500,'Misc Lists'!$K$2:$K$25,0), "")</f>
        <v/>
      </c>
      <c r="AE500" s="90" t="str">
        <f t="shared" si="119"/>
        <v/>
      </c>
      <c r="AF500" s="99" t="str">
        <f>IF(AND(M500&lt;&gt;"", M500&lt;&gt;0), N500/$N$505*MATCH(AE500,'Misc Lists'!$L$2:$L$25,0), "")</f>
        <v/>
      </c>
    </row>
    <row r="501" spans="2:32" hidden="1" outlineLevel="1" x14ac:dyDescent="0.5">
      <c r="B501" s="60"/>
      <c r="C501" s="61"/>
      <c r="D501" s="60"/>
      <c r="E501" s="61"/>
      <c r="F501" s="62"/>
      <c r="G501" s="63"/>
      <c r="H501" s="61"/>
      <c r="I501" s="61"/>
      <c r="J501" s="64"/>
      <c r="K501" s="17"/>
      <c r="L501" s="17"/>
      <c r="M501" s="83"/>
      <c r="N501" s="84" t="str">
        <f t="shared" si="107"/>
        <v/>
      </c>
      <c r="O501" s="20" t="str">
        <f t="shared" si="108"/>
        <v/>
      </c>
      <c r="P501" s="64" t="str">
        <f t="shared" si="109"/>
        <v/>
      </c>
      <c r="Q501" s="85" t="str">
        <f t="shared" ca="1" si="110"/>
        <v/>
      </c>
      <c r="R501" s="86" t="str">
        <f t="shared" si="111"/>
        <v/>
      </c>
      <c r="S501" s="86" t="str">
        <f t="shared" si="112"/>
        <v/>
      </c>
      <c r="T501" s="104" t="str">
        <f t="shared" si="113"/>
        <v/>
      </c>
      <c r="U501" s="19" t="str">
        <f>IF(AND(M501&lt;&gt;"",M501&lt;&gt;0), IF(E501 = "Muni", T501, IF(E501="Corp", T501*(1 -'Investor Input'!$C$4-'Investor Input'!$C$5), T501*(1 -'Investor Input'!$C$4))), T501)</f>
        <v/>
      </c>
      <c r="V501" s="84" t="str">
        <f t="shared" si="114"/>
        <v/>
      </c>
      <c r="W501" s="84" t="str">
        <f t="shared" si="105"/>
        <v/>
      </c>
      <c r="X501" s="21" t="str">
        <f t="shared" si="106"/>
        <v/>
      </c>
      <c r="Y501" s="60" t="str">
        <f t="shared" si="115"/>
        <v/>
      </c>
      <c r="Z501" s="60" t="str">
        <f t="shared" si="116"/>
        <v/>
      </c>
      <c r="AA501" s="64" t="str">
        <f t="shared" si="117"/>
        <v/>
      </c>
      <c r="AB501" s="64" t="str">
        <f>IF(AND(AA501&lt;&gt;"",AA501&lt;&gt;0), IF(E501="Muni", AA501, IF(E501 = "Corp", (1-'Investor Input'!$C$4-'Investor Input'!$C$5)*AA501, (1-'Investor Input'!$C$4)*AA501)), AA501)</f>
        <v/>
      </c>
      <c r="AC501" s="94" t="str">
        <f t="shared" si="118"/>
        <v/>
      </c>
      <c r="AD501" s="60" t="str">
        <f>IF(AND(M501&lt;&gt;"", M501&lt;&gt;0), N501/$N$505*MATCH(AC501,'Misc Lists'!$K$2:$K$25,0), "")</f>
        <v/>
      </c>
      <c r="AE501" s="90" t="str">
        <f t="shared" si="119"/>
        <v/>
      </c>
      <c r="AF501" s="99" t="str">
        <f>IF(AND(M501&lt;&gt;"", M501&lt;&gt;0), N501/$N$505*MATCH(AE501,'Misc Lists'!$L$2:$L$25,0), "")</f>
        <v/>
      </c>
    </row>
    <row r="502" spans="2:32" hidden="1" outlineLevel="1" x14ac:dyDescent="0.5">
      <c r="B502" s="60"/>
      <c r="C502" s="61"/>
      <c r="D502" s="60"/>
      <c r="E502" s="61"/>
      <c r="F502" s="62"/>
      <c r="G502" s="63"/>
      <c r="H502" s="61"/>
      <c r="I502" s="61"/>
      <c r="J502" s="64"/>
      <c r="K502" s="17"/>
      <c r="L502" s="17"/>
      <c r="M502" s="83"/>
      <c r="N502" s="84" t="str">
        <f t="shared" si="107"/>
        <v/>
      </c>
      <c r="O502" s="20" t="str">
        <f t="shared" si="108"/>
        <v/>
      </c>
      <c r="P502" s="64" t="str">
        <f t="shared" si="109"/>
        <v/>
      </c>
      <c r="Q502" s="85" t="str">
        <f t="shared" ca="1" si="110"/>
        <v/>
      </c>
      <c r="R502" s="86" t="str">
        <f t="shared" si="111"/>
        <v/>
      </c>
      <c r="S502" s="86" t="str">
        <f t="shared" si="112"/>
        <v/>
      </c>
      <c r="T502" s="104" t="str">
        <f t="shared" si="113"/>
        <v/>
      </c>
      <c r="U502" s="19" t="str">
        <f>IF(AND(M502&lt;&gt;"",M502&lt;&gt;0), IF(E502 = "Muni", T502, IF(E502="Corp", T502*(1 -'Investor Input'!$C$4-'Investor Input'!$C$5), T502*(1 -'Investor Input'!$C$4))), T502)</f>
        <v/>
      </c>
      <c r="V502" s="84" t="str">
        <f t="shared" si="114"/>
        <v/>
      </c>
      <c r="W502" s="84" t="str">
        <f t="shared" si="105"/>
        <v/>
      </c>
      <c r="X502" s="21" t="str">
        <f t="shared" si="106"/>
        <v/>
      </c>
      <c r="Y502" s="60" t="str">
        <f t="shared" si="115"/>
        <v/>
      </c>
      <c r="Z502" s="60" t="str">
        <f t="shared" si="116"/>
        <v/>
      </c>
      <c r="AA502" s="64" t="str">
        <f t="shared" si="117"/>
        <v/>
      </c>
      <c r="AB502" s="64" t="str">
        <f>IF(AND(AA502&lt;&gt;"",AA502&lt;&gt;0), IF(E502="Muni", AA502, IF(E502 = "Corp", (1-'Investor Input'!$C$4-'Investor Input'!$C$5)*AA502, (1-'Investor Input'!$C$4)*AA502)), AA502)</f>
        <v/>
      </c>
      <c r="AC502" s="94" t="str">
        <f t="shared" si="118"/>
        <v/>
      </c>
      <c r="AD502" s="60" t="str">
        <f>IF(AND(M502&lt;&gt;"", M502&lt;&gt;0), N502/$N$505*MATCH(AC502,'Misc Lists'!$K$2:$K$25,0), "")</f>
        <v/>
      </c>
      <c r="AE502" s="90" t="str">
        <f t="shared" si="119"/>
        <v/>
      </c>
      <c r="AF502" s="99" t="str">
        <f>IF(AND(M502&lt;&gt;"", M502&lt;&gt;0), N502/$N$505*MATCH(AE502,'Misc Lists'!$L$2:$L$25,0), "")</f>
        <v/>
      </c>
    </row>
    <row r="503" spans="2:32" hidden="1" outlineLevel="1" x14ac:dyDescent="0.5">
      <c r="B503" s="60"/>
      <c r="C503" s="61"/>
      <c r="D503" s="60"/>
      <c r="E503" s="61"/>
      <c r="F503" s="62"/>
      <c r="G503" s="63"/>
      <c r="H503" s="61"/>
      <c r="I503" s="61"/>
      <c r="J503" s="64"/>
      <c r="K503" s="17"/>
      <c r="L503" s="17"/>
      <c r="M503" s="83"/>
      <c r="N503" s="84" t="str">
        <f t="shared" si="107"/>
        <v/>
      </c>
      <c r="O503" s="20" t="str">
        <f t="shared" si="108"/>
        <v/>
      </c>
      <c r="P503" s="64" t="str">
        <f t="shared" si="109"/>
        <v/>
      </c>
      <c r="Q503" s="85" t="str">
        <f t="shared" ca="1" si="110"/>
        <v/>
      </c>
      <c r="R503" s="86" t="str">
        <f t="shared" si="111"/>
        <v/>
      </c>
      <c r="S503" s="86" t="str">
        <f t="shared" si="112"/>
        <v/>
      </c>
      <c r="T503" s="104" t="str">
        <f t="shared" si="113"/>
        <v/>
      </c>
      <c r="U503" s="19" t="str">
        <f>IF(AND(M503&lt;&gt;"",M503&lt;&gt;0), IF(E503 = "Muni", T503, IF(E503="Corp", T503*(1 -'Investor Input'!$C$4-'Investor Input'!$C$5), T503*(1 -'Investor Input'!$C$4))), T503)</f>
        <v/>
      </c>
      <c r="V503" s="84" t="str">
        <f t="shared" si="114"/>
        <v/>
      </c>
      <c r="W503" s="84" t="str">
        <f t="shared" si="105"/>
        <v/>
      </c>
      <c r="X503" s="21" t="str">
        <f t="shared" si="106"/>
        <v/>
      </c>
      <c r="Y503" s="60" t="str">
        <f t="shared" si="115"/>
        <v/>
      </c>
      <c r="Z503" s="60" t="str">
        <f t="shared" si="116"/>
        <v/>
      </c>
      <c r="AA503" s="64" t="str">
        <f t="shared" si="117"/>
        <v/>
      </c>
      <c r="AB503" s="64" t="str">
        <f>IF(AND(AA503&lt;&gt;"",AA503&lt;&gt;0), IF(E503="Muni", AA503, IF(E503 = "Corp", (1-'Investor Input'!$C$4-'Investor Input'!$C$5)*AA503, (1-'Investor Input'!$C$4)*AA503)), AA503)</f>
        <v/>
      </c>
      <c r="AC503" s="94" t="str">
        <f t="shared" si="118"/>
        <v/>
      </c>
      <c r="AD503" s="60" t="str">
        <f>IF(AND(M503&lt;&gt;"", M503&lt;&gt;0), N503/$N$505*MATCH(AC503,'Misc Lists'!$K$2:$K$25,0), "")</f>
        <v/>
      </c>
      <c r="AE503" s="90" t="str">
        <f t="shared" si="119"/>
        <v/>
      </c>
      <c r="AF503" s="99" t="str">
        <f>IF(AND(M503&lt;&gt;"", M503&lt;&gt;0), N503/$N$505*MATCH(AE503,'Misc Lists'!$L$2:$L$25,0), "")</f>
        <v/>
      </c>
    </row>
    <row r="504" spans="2:32" outlineLevel="1" x14ac:dyDescent="0.5">
      <c r="B504" s="60"/>
      <c r="C504" s="61"/>
      <c r="D504" s="60"/>
      <c r="E504" s="61"/>
      <c r="F504" s="62"/>
      <c r="G504" s="63"/>
      <c r="H504" s="61"/>
      <c r="I504" s="61"/>
      <c r="J504" s="64"/>
      <c r="K504" s="17"/>
      <c r="L504" s="17"/>
      <c r="M504" s="64"/>
      <c r="N504" s="84"/>
      <c r="O504" s="20"/>
      <c r="P504" s="64"/>
      <c r="Q504" s="85"/>
      <c r="R504" s="86"/>
      <c r="S504" s="86"/>
      <c r="T504" s="104"/>
      <c r="U504" s="19"/>
      <c r="V504" s="84"/>
      <c r="W504" s="84"/>
      <c r="X504" s="21"/>
      <c r="AC504" s="95"/>
      <c r="AD504" s="60"/>
      <c r="AE504" s="60"/>
      <c r="AF504" s="99"/>
    </row>
    <row r="505" spans="2:32" ht="14.7" thickBot="1" x14ac:dyDescent="0.55000000000000004">
      <c r="B505" s="22"/>
      <c r="C505" s="23"/>
      <c r="D505" s="22"/>
      <c r="E505" s="23"/>
      <c r="F505" s="24"/>
      <c r="G505" s="25"/>
      <c r="H505" s="23"/>
      <c r="I505" s="23"/>
      <c r="J505" s="26"/>
      <c r="K505" s="27"/>
      <c r="L505" s="28"/>
      <c r="M505" s="29">
        <f>SUM(M4:M503)</f>
        <v>1055</v>
      </c>
      <c r="N505" s="30">
        <f ca="1">SUM(N4:N503)</f>
        <v>993194.90000000014</v>
      </c>
      <c r="O505" s="32">
        <f ca="1">SUM(O4:O503)</f>
        <v>0.99999999999999978</v>
      </c>
      <c r="P505" s="31"/>
      <c r="Q505" s="31"/>
      <c r="R505" s="31"/>
      <c r="S505" s="110">
        <f ca="1">SUMPRODUCT(O4:O503, S4:S503)</f>
        <v>3.3445142011522297</v>
      </c>
      <c r="T505" s="105">
        <f ca="1">AVERAGE(T4:T503)</f>
        <v>3.8806658048372612E-2</v>
      </c>
      <c r="U505" s="101">
        <f ca="1">AVERAGE(U4:U503)</f>
        <v>3.8806658048372612E-2</v>
      </c>
      <c r="V505" s="30">
        <f ca="1">SUM(V4:V503)</f>
        <v>1050882.5631032982</v>
      </c>
      <c r="W505" s="30">
        <f ca="1">SUM(W4:W503)</f>
        <v>57687.663103298051</v>
      </c>
      <c r="X505" s="33">
        <f ca="1">W505/N505</f>
        <v>5.8082923203993539E-2</v>
      </c>
      <c r="Y505" s="23"/>
      <c r="Z505" s="23"/>
      <c r="AA505" s="45">
        <f ca="1">SUM(AA4:AA503)</f>
        <v>11084.375</v>
      </c>
      <c r="AB505" s="45">
        <f ca="1">SUM(AB4:AB503)</f>
        <v>11084.375</v>
      </c>
      <c r="AC505" s="96" t="str">
        <f ca="1">VLOOKUP(AD505, 'Misc Lists'!$J$2:$L$25, 2, 1)</f>
        <v>BA2</v>
      </c>
      <c r="AD505" s="91">
        <f ca="1">SUM(AD4:AD503)</f>
        <v>13.468761015587171</v>
      </c>
      <c r="AE505" s="45" t="str">
        <f ca="1">VLOOKUP(AF505, 'Misc Lists'!$J$2:$L$25, 3, 1)</f>
        <v>BBB+</v>
      </c>
      <c r="AF505" s="100">
        <f ca="1">SUM(AF4:AF503)</f>
        <v>9.4304168295668838</v>
      </c>
    </row>
    <row r="506" spans="2:32" ht="14.7" thickTop="1" x14ac:dyDescent="0.5"/>
  </sheetData>
  <sheetProtection selectLockedCells="1"/>
  <autoFilter ref="B3:AB503" xr:uid="{DF35780D-81C2-4BE0-8BA6-2AA9BB9B3D25}">
    <filterColumn colId="11">
      <customFilters>
        <customFilter operator="notEqual" val=" "/>
      </customFilters>
    </filterColumn>
  </autoFilter>
  <dataValidations count="3">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4:M503" xr:uid="{A5DF5CC6-E4EC-47B7-8495-72917B1AA985}">
      <formula1>IF(L4 &lt;&gt;"N/A", VALUE(MID(L4,FIND("(",L4)+1,LEN(L4)-FIND("(",L4)-1)), 0)</formula1>
    </dataValidation>
    <dataValidation operator="lessThanOrEqual" allowBlank="1" showInputMessage="1" showErrorMessage="1" sqref="N505:O505" xr:uid="{8F3FC9E8-D75C-432C-BB3F-2E5DF813B202}"/>
    <dataValidation type="whole" operator="greaterThanOrEqual" allowBlank="1" showInputMessage="1" showErrorMessage="1" errorTitle="Invalid Input" error="Purchase quantity must be a whole number and cannot be less than the minimum quantity specified. Leave the field blank to exclude this bond from purchase." sqref="M504" xr:uid="{C8C3F3D5-4206-42C6-A99F-2FFAE27E1EA4}">
      <formula1>VALUE(MID(L504, FIND("(", L504) + 1, LEN(L504) - FIND("(", L504)-1))</formula1>
    </dataValidation>
  </dataValidations>
  <pageMargins left="0.7" right="0.7" top="0.75" bottom="0.75" header="0.3" footer="0.3"/>
  <ignoredErrors>
    <ignoredError sqref="AC505 AE505" formula="1"/>
  </ignoredErrors>
  <legacyDrawing r:id="rId1"/>
  <extLst>
    <ext xmlns:x14="http://schemas.microsoft.com/office/spreadsheetml/2009/9/main" uri="{78C0D931-6437-407d-A8EE-F0AAD7539E65}">
      <x14:conditionalFormattings>
        <x14:conditionalFormatting xmlns:xm="http://schemas.microsoft.com/office/excel/2006/main">
          <x14:cfRule type="cellIs" priority="1" operator="greaterThan" id="{7E7B5F2A-1EF3-4B2B-8325-FFB486481E5D}">
            <xm:f>'Investor Input'!$C$6</xm:f>
            <x14:dxf>
              <font>
                <color rgb="FF9C0006"/>
              </font>
              <fill>
                <patternFill>
                  <bgColor rgb="FFFFC7CE"/>
                </patternFill>
              </fill>
            </x14:dxf>
          </x14:cfRule>
          <xm:sqref>N505:O505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7A92-902B-4654-9794-D7F517745AC8}">
  <dimension ref="B2:O29"/>
  <sheetViews>
    <sheetView showGridLines="0" workbookViewId="0">
      <selection activeCell="O16" sqref="O16"/>
    </sheetView>
  </sheetViews>
  <sheetFormatPr defaultRowHeight="14.35" x14ac:dyDescent="0.5"/>
  <cols>
    <col min="1" max="1" width="2.703125" customWidth="1"/>
    <col min="2" max="2" width="21.234375" bestFit="1" customWidth="1"/>
    <col min="14" max="14" width="11.29296875" bestFit="1" customWidth="1"/>
    <col min="15" max="15" width="29.703125" bestFit="1" customWidth="1"/>
  </cols>
  <sheetData>
    <row r="2" spans="2:11" ht="15.7" x14ac:dyDescent="0.55000000000000004">
      <c r="B2" s="108" t="s">
        <v>64</v>
      </c>
      <c r="C2" s="107" t="s">
        <v>65</v>
      </c>
      <c r="E2" s="113" t="s">
        <v>66</v>
      </c>
      <c r="F2" s="114"/>
      <c r="G2" s="114"/>
      <c r="H2" s="114"/>
      <c r="I2" s="114"/>
      <c r="J2" s="114"/>
      <c r="K2" s="114"/>
    </row>
    <row r="25" spans="2:15" x14ac:dyDescent="0.5">
      <c r="B25" s="42" t="s">
        <v>67</v>
      </c>
      <c r="C25" s="39"/>
      <c r="D25" s="39"/>
      <c r="E25" s="39"/>
      <c r="F25" s="39"/>
      <c r="G25" s="39"/>
      <c r="H25" s="39"/>
      <c r="I25" s="39"/>
      <c r="J25" s="39"/>
      <c r="K25" s="39"/>
      <c r="L25" s="39"/>
      <c r="M25" s="39"/>
      <c r="N25" s="39"/>
      <c r="O25" s="39"/>
    </row>
    <row r="26" spans="2:15" x14ac:dyDescent="0.5">
      <c r="B26" s="42" t="s">
        <v>68</v>
      </c>
      <c r="C26" s="103">
        <v>1</v>
      </c>
      <c r="D26" s="103">
        <v>2</v>
      </c>
      <c r="E26" s="103">
        <v>3</v>
      </c>
      <c r="F26" s="103">
        <v>4</v>
      </c>
      <c r="G26" s="103">
        <v>5</v>
      </c>
      <c r="H26" s="103">
        <v>6</v>
      </c>
      <c r="I26" s="103">
        <v>7</v>
      </c>
      <c r="J26" s="103">
        <v>8</v>
      </c>
      <c r="K26" s="103">
        <v>9</v>
      </c>
      <c r="L26" s="103">
        <v>10</v>
      </c>
      <c r="M26" s="50" t="s">
        <v>69</v>
      </c>
      <c r="N26" s="50" t="s">
        <v>70</v>
      </c>
      <c r="O26" s="50" t="s">
        <v>71</v>
      </c>
    </row>
    <row r="27" spans="2:15" x14ac:dyDescent="0.5">
      <c r="B27" s="49" t="str">
        <f ca="1">'High Yield Scenario'!$A$1</f>
        <v>High Yield Scenario</v>
      </c>
      <c r="C27" s="102">
        <f ca="1">IF($C$2="Pre-Tax",IFERROR(AVERAGEIF('High Yield Scenario'!$R$4:$R$503,'YTM &amp; Duration Analysis'!C26,'High Yield Scenario'!$T$4:$T$503),0),IFERROR(AVERAGEIF('High Yield Scenario'!$R$4:$R$503,'YTM &amp; Duration Analysis'!C26,'High Yield Scenario'!$U$4:$U$503),0))</f>
        <v>3.4450900247063022E-2</v>
      </c>
      <c r="D27" s="102">
        <f ca="1">IF($C$2="Pre-Tax",IFERROR(AVERAGEIF('High Yield Scenario'!$R$4:$R$503,'YTM &amp; Duration Analysis'!D26,'High Yield Scenario'!$T$4:$T$503),0),IFERROR(AVERAGEIF('High Yield Scenario'!$R$4:$R$503,'YTM &amp; Duration Analysis'!D26,'High Yield Scenario'!$U$4:$U$503),0))</f>
        <v>0</v>
      </c>
      <c r="E27" s="102">
        <f ca="1">IF($C$2="Pre-Tax",IFERROR(AVERAGEIF('High Yield Scenario'!$R$4:$R$503,'YTM &amp; Duration Analysis'!E26,'High Yield Scenario'!$T$4:$T$503),0),IFERROR(AVERAGEIF('High Yield Scenario'!$R$4:$R$503,'YTM &amp; Duration Analysis'!E26,'High Yield Scenario'!$U$4:$U$503),0))</f>
        <v>4.7609998543667598E-2</v>
      </c>
      <c r="F27" s="102">
        <f ca="1">IF($C$2="Pre-Tax",IFERROR(AVERAGEIF('High Yield Scenario'!$R$4:$R$503,'YTM &amp; Duration Analysis'!F26,'High Yield Scenario'!$T$4:$T$503),0),IFERROR(AVERAGEIF('High Yield Scenario'!$R$4:$R$503,'YTM &amp; Duration Analysis'!F26,'High Yield Scenario'!$U$4:$U$503),0))</f>
        <v>5.0310633492316764E-2</v>
      </c>
      <c r="G27" s="102">
        <f ca="1">IF($C$2="Pre-Tax",IFERROR(AVERAGEIF('High Yield Scenario'!$R$4:$R$503,'YTM &amp; Duration Analysis'!G26,'High Yield Scenario'!$T$4:$T$503),0),IFERROR(AVERAGEIF('High Yield Scenario'!$R$4:$R$503,'YTM &amp; Duration Analysis'!G26,'High Yield Scenario'!$U$4:$U$503),0))</f>
        <v>3.7969136813224995E-2</v>
      </c>
      <c r="H27" s="102">
        <f ca="1">IF($C$2="Pre-Tax",IFERROR(AVERAGEIF('High Yield Scenario'!$R$4:$R$503,'YTM &amp; Duration Analysis'!H26,'High Yield Scenario'!$T$4:$T$503),0),IFERROR(AVERAGEIF('High Yield Scenario'!$R$4:$R$503,'YTM &amp; Duration Analysis'!H26,'High Yield Scenario'!$U$4:$U$503),0))</f>
        <v>0</v>
      </c>
      <c r="I27" s="102">
        <f ca="1">IF($C$2="Pre-Tax",IFERROR(AVERAGEIF('High Yield Scenario'!$R$4:$R$503,'YTM &amp; Duration Analysis'!I26,'High Yield Scenario'!$T$4:$T$503),0),IFERROR(AVERAGEIF('High Yield Scenario'!$R$4:$R$503,'YTM &amp; Duration Analysis'!I26,'High Yield Scenario'!$U$4:$U$503),0))</f>
        <v>0</v>
      </c>
      <c r="J27" s="102">
        <f ca="1">IF($C$2="Pre-Tax",IFERROR(AVERAGEIF('High Yield Scenario'!$R$4:$R$503,'YTM &amp; Duration Analysis'!J26,'High Yield Scenario'!$T$4:$T$503),0),IFERROR(AVERAGEIF('High Yield Scenario'!$R$4:$R$503,'YTM &amp; Duration Analysis'!J26,'High Yield Scenario'!$U$4:$U$503),0))</f>
        <v>0</v>
      </c>
      <c r="K27" s="102">
        <f ca="1">IF($C$2="Pre-Tax",IFERROR(AVERAGEIF('High Yield Scenario'!$R$4:$R$503,'YTM &amp; Duration Analysis'!K26,'High Yield Scenario'!$T$4:$T$503),0),IFERROR(AVERAGEIF('High Yield Scenario'!$R$4:$R$503,'YTM &amp; Duration Analysis'!K26,'High Yield Scenario'!$U$4:$U$503),0))</f>
        <v>0</v>
      </c>
      <c r="L27" s="102">
        <f ca="1">IF($C$2="Pre-Tax",IFERROR(AVERAGEIF('High Yield Scenario'!$R$4:$R$503,'YTM &amp; Duration Analysis'!L26,'High Yield Scenario'!$T$4:$T$503),0),IFERROR(AVERAGEIF('High Yield Scenario'!$R$4:$R$503,'YTM &amp; Duration Analysis'!L26,'High Yield Scenario'!$U$4:$U$503),0))</f>
        <v>0</v>
      </c>
      <c r="M27" s="106">
        <f ca="1">IF($C$2="Pre-Tax",'High Yield Scenario'!T505, 'High Yield Scenario'!U505)</f>
        <v>4.5350327229702267E-2</v>
      </c>
      <c r="N27" s="111">
        <f ca="1">'High Yield Scenario'!$S$505</f>
        <v>3.9389517811479431</v>
      </c>
      <c r="O27" s="72" t="str">
        <f ca="1">VLOOKUP(MIN('High Yield Scenario'!AD505, 'High Yield Scenario'!AF505), 'Misc Lists'!$J$2:$L$25, 2, 1) &amp; " / " &amp; VLOOKUP(MIN('High Yield Scenario'!AD505, 'High Yield Scenario'!AF505), 'Misc Lists'!$J$2:$L$25, 3, 1) &amp; " (" &amp; VLOOKUP(MIN('High Yield Scenario'!AD505, 'High Yield Scenario'!AF505), 'Misc Lists'!$J$2:$N$25, 5, 1) &amp; ")"</f>
        <v>A2 / A (Upper Medium Grade)</v>
      </c>
    </row>
    <row r="28" spans="2:15" x14ac:dyDescent="0.5">
      <c r="B28" s="49" t="str">
        <f ca="1">'Secure Bonds Scenario'!$A$1</f>
        <v>Secure Bonds Scenario</v>
      </c>
      <c r="C28" s="102">
        <f ca="1">IF($C$2="Pre-Tax",IFERROR(AVERAGEIF('Secure Bonds Scenario'!$R$4:$R$503, 'YTM &amp; Duration Analysis'!C26, 'Secure Bonds Scenario'!$T$4:$T$503), 0), IFERROR(AVERAGEIF('Secure Bonds Scenario'!$R$4:$R$503, 'YTM &amp; Duration Analysis'!C26, 'Secure Bonds Scenario'!$U$4:$U$503), 0))</f>
        <v>0</v>
      </c>
      <c r="D28" s="102">
        <f ca="1">IF($C$2="Pre-Tax",IFERROR(AVERAGEIF('Secure Bonds Scenario'!$R$4:$R$503, 'YTM &amp; Duration Analysis'!D26, 'Secure Bonds Scenario'!$T$4:$T$503), 0), IFERROR(AVERAGEIF('Secure Bonds Scenario'!$R$4:$R$503, 'YTM &amp; Duration Analysis'!D26, 'Secure Bonds Scenario'!$U$4:$U$503), 0))</f>
        <v>3.7722874053644405E-2</v>
      </c>
      <c r="E28" s="102">
        <f ca="1">IF($C$2="Pre-Tax",IFERROR(AVERAGEIF('Secure Bonds Scenario'!$R$4:$R$503, 'YTM &amp; Duration Analysis'!E26, 'Secure Bonds Scenario'!$T$4:$T$503), 0), IFERROR(AVERAGEIF('Secure Bonds Scenario'!$R$4:$R$503, 'YTM &amp; Duration Analysis'!E26, 'Secure Bonds Scenario'!$U$4:$U$503), 0))</f>
        <v>3.7267803139544226E-2</v>
      </c>
      <c r="F28" s="102">
        <f ca="1">IF($C$2="Pre-Tax",IFERROR(AVERAGEIF('Secure Bonds Scenario'!$R$4:$R$503, 'YTM &amp; Duration Analysis'!F26, 'Secure Bonds Scenario'!$T$4:$T$503), 0), IFERROR(AVERAGEIF('Secure Bonds Scenario'!$R$4:$R$503, 'YTM &amp; Duration Analysis'!F26, 'Secure Bonds Scenario'!$U$4:$U$503), 0))</f>
        <v>3.0378068054482583E-2</v>
      </c>
      <c r="G28" s="102">
        <f ca="1">IF($C$2="Pre-Tax",IFERROR(AVERAGEIF('Secure Bonds Scenario'!$R$4:$R$503, 'YTM &amp; Duration Analysis'!G26, 'Secure Bonds Scenario'!$T$4:$T$503), 0), IFERROR(AVERAGEIF('Secure Bonds Scenario'!$R$4:$R$503, 'YTM &amp; Duration Analysis'!G26, 'Secure Bonds Scenario'!$U$4:$U$503), 0))</f>
        <v>2.5495521546848088E-2</v>
      </c>
      <c r="H28" s="102">
        <f ca="1">IF($C$2="Pre-Tax",IFERROR(AVERAGEIF('Secure Bonds Scenario'!$R$4:$R$503, 'YTM &amp; Duration Analysis'!H26, 'Secure Bonds Scenario'!$T$4:$T$503), 0), IFERROR(AVERAGEIF('Secure Bonds Scenario'!$R$4:$R$503, 'YTM &amp; Duration Analysis'!H26, 'Secure Bonds Scenario'!$U$4:$U$503), 0))</f>
        <v>0</v>
      </c>
      <c r="I28" s="102">
        <f ca="1">IF($C$2="Pre-Tax",IFERROR(AVERAGEIF('Secure Bonds Scenario'!$R$4:$R$503, 'YTM &amp; Duration Analysis'!I26, 'Secure Bonds Scenario'!$T$4:$T$503), 0), IFERROR(AVERAGEIF('Secure Bonds Scenario'!$R$4:$R$503, 'YTM &amp; Duration Analysis'!I26, 'Secure Bonds Scenario'!$U$4:$U$503), 0))</f>
        <v>0</v>
      </c>
      <c r="J28" s="102">
        <f ca="1">IF($C$2="Pre-Tax",IFERROR(AVERAGEIF('Secure Bonds Scenario'!$R$4:$R$503, 'YTM &amp; Duration Analysis'!J26, 'Secure Bonds Scenario'!$T$4:$T$503), 0), IFERROR(AVERAGEIF('Secure Bonds Scenario'!$R$4:$R$503, 'YTM &amp; Duration Analysis'!J26, 'Secure Bonds Scenario'!$U$4:$U$503), 0))</f>
        <v>0</v>
      </c>
      <c r="K28" s="102">
        <f ca="1">IF($C$2="Pre-Tax",IFERROR(AVERAGEIF('Secure Bonds Scenario'!$R$4:$R$503, 'YTM &amp; Duration Analysis'!K26, 'Secure Bonds Scenario'!$T$4:$T$503), 0), IFERROR(AVERAGEIF('Secure Bonds Scenario'!$R$4:$R$503, 'YTM &amp; Duration Analysis'!K26, 'Secure Bonds Scenario'!$U$4:$U$503), 0))</f>
        <v>0</v>
      </c>
      <c r="L28" s="102">
        <f ca="1">IF($C$2="Pre-Tax",IFERROR(AVERAGEIF('Secure Bonds Scenario'!$R$4:$R$503, 'YTM &amp; Duration Analysis'!L26, 'Secure Bonds Scenario'!$T$4:$T$503), 0), IFERROR(AVERAGEIF('Secure Bonds Scenario'!$R$4:$R$503, 'YTM &amp; Duration Analysis'!L26, 'Secure Bonds Scenario'!$U$4:$U$503), 0))</f>
        <v>0</v>
      </c>
      <c r="M28" s="106" t="e">
        <f ca="1">IF($C$2="Pre-Tax", 'Secure Bonds Scenario'!T505, 'Secure Bonds Scenario'!U505)</f>
        <v>#NUM!</v>
      </c>
      <c r="N28" s="111" t="e">
        <f ca="1">'Secure Bonds Scenario'!$S$505</f>
        <v>#NUM!</v>
      </c>
      <c r="O28" s="72" t="str">
        <f ca="1">VLOOKUP(MIN('Secure Bonds Scenario'!AD505, 'Secure Bonds Scenario'!AF505), 'Misc Lists'!$J$2:$L$25, 2, 1) &amp; " / " &amp; VLOOKUP(MIN('Secure Bonds Scenario'!AD505, 'Secure Bonds Scenario'!AF505), 'Misc Lists'!$J$2:$L$25, 3, 1) &amp; " (" &amp; VLOOKUP(MIN('Secure Bonds Scenario'!AD505, 'Secure Bonds Scenario'!AF505), 'Misc Lists'!$J$2:$N$25, 5, 1) &amp; ")"</f>
        <v>AA1 / AA+ (High Grade. High Quality)</v>
      </c>
    </row>
    <row r="29" spans="2:15" x14ac:dyDescent="0.5">
      <c r="B29" s="49" t="str">
        <f ca="1">'Stable Income Scenario'!$A$1</f>
        <v>Stable Income Scenario</v>
      </c>
      <c r="C29" s="102">
        <f ca="1">IF($C$2="Pre-Tax",IFERROR(AVERAGEIF('Stable Income Scenario'!$R$4:$R$503, 'YTM &amp; Duration Analysis'!C26,'Stable Income Scenario'!$T$4:$T$503), 0), IFERROR(AVERAGEIF('Stable Income Scenario'!$R$4:$R$503, 'YTM &amp; Duration Analysis'!C26,'Stable Income Scenario'!$U$4:$U$503), 0))</f>
        <v>3.8480496863385963E-2</v>
      </c>
      <c r="D29" s="102">
        <f ca="1">IF($C$2="Pre-Tax",IFERROR(AVERAGEIF('Stable Income Scenario'!$R$4:$R$503, 'YTM &amp; Duration Analysis'!D26,'Stable Income Scenario'!$T$4:$T$503), 0), IFERROR(AVERAGEIF('Stable Income Scenario'!$R$4:$R$503, 'YTM &amp; Duration Analysis'!D26,'Stable Income Scenario'!$U$4:$U$503), 0))</f>
        <v>3.7943554918326697E-2</v>
      </c>
      <c r="E29" s="102">
        <f ca="1">IF($C$2="Pre-Tax",IFERROR(AVERAGEIF('Stable Income Scenario'!$R$4:$R$503, 'YTM &amp; Duration Analysis'!E26,'Stable Income Scenario'!$T$4:$T$503), 0), IFERROR(AVERAGEIF('Stable Income Scenario'!$R$4:$R$503, 'YTM &amp; Duration Analysis'!E26,'Stable Income Scenario'!$U$4:$U$503), 0))</f>
        <v>3.8779717875532742E-2</v>
      </c>
      <c r="F29" s="102">
        <f ca="1">IF($C$2="Pre-Tax",IFERROR(AVERAGEIF('Stable Income Scenario'!$R$4:$R$503, 'YTM &amp; Duration Analysis'!F26,'Stable Income Scenario'!$T$4:$T$503), 0), IFERROR(AVERAGEIF('Stable Income Scenario'!$R$4:$R$503, 'YTM &amp; Duration Analysis'!F26,'Stable Income Scenario'!$U$4:$U$503), 0))</f>
        <v>3.905254155490092E-2</v>
      </c>
      <c r="G29" s="102">
        <f ca="1">IF($C$2="Pre-Tax",IFERROR(AVERAGEIF('Stable Income Scenario'!$R$4:$R$503, 'YTM &amp; Duration Analysis'!G26,'Stable Income Scenario'!$T$4:$T$503), 0), IFERROR(AVERAGEIF('Stable Income Scenario'!$R$4:$R$503, 'YTM &amp; Duration Analysis'!G26,'Stable Income Scenario'!$U$4:$U$503), 0))</f>
        <v>3.8643834497530144E-2</v>
      </c>
      <c r="H29" s="102">
        <f ca="1">IF($C$2="Pre-Tax",IFERROR(AVERAGEIF('Stable Income Scenario'!$R$4:$R$503, 'YTM &amp; Duration Analysis'!H26,'Stable Income Scenario'!$T$4:$T$503), 0), IFERROR(AVERAGEIF('Stable Income Scenario'!$R$4:$R$503, 'YTM &amp; Duration Analysis'!H26,'Stable Income Scenario'!$U$4:$U$503), 0))</f>
        <v>0</v>
      </c>
      <c r="I29" s="102">
        <f ca="1">IF($C$2="Pre-Tax",IFERROR(AVERAGEIF('Stable Income Scenario'!$R$4:$R$503, 'YTM &amp; Duration Analysis'!I26,'Stable Income Scenario'!$T$4:$T$503), 0), IFERROR(AVERAGEIF('Stable Income Scenario'!$R$4:$R$503, 'YTM &amp; Duration Analysis'!I26,'Stable Income Scenario'!$U$4:$U$503), 0))</f>
        <v>0</v>
      </c>
      <c r="J29" s="102">
        <f ca="1">IF($C$2="Pre-Tax",IFERROR(AVERAGEIF('Stable Income Scenario'!$R$4:$R$503, 'YTM &amp; Duration Analysis'!J26,'Stable Income Scenario'!$T$4:$T$503), 0), IFERROR(AVERAGEIF('Stable Income Scenario'!$R$4:$R$503, 'YTM &amp; Duration Analysis'!J26,'Stable Income Scenario'!$U$4:$U$503), 0))</f>
        <v>0</v>
      </c>
      <c r="K29" s="102">
        <f ca="1">IF($C$2="Pre-Tax",IFERROR(AVERAGEIF('Stable Income Scenario'!$R$4:$R$503, 'YTM &amp; Duration Analysis'!K26,'Stable Income Scenario'!$T$4:$T$503), 0), IFERROR(AVERAGEIF('Stable Income Scenario'!$R$4:$R$503, 'YTM &amp; Duration Analysis'!K26,'Stable Income Scenario'!$U$4:$U$503), 0))</f>
        <v>0</v>
      </c>
      <c r="L29" s="102">
        <f ca="1">IF($C$2="Pre-Tax",IFERROR(AVERAGEIF('Stable Income Scenario'!$R$4:$R$503, 'YTM &amp; Duration Analysis'!L26,'Stable Income Scenario'!$T$4:$T$503), 0), IFERROR(AVERAGEIF('Stable Income Scenario'!$R$4:$R$503, 'YTM &amp; Duration Analysis'!L26,'Stable Income Scenario'!$U$4:$U$503), 0))</f>
        <v>0</v>
      </c>
      <c r="M29" s="106">
        <f ca="1">IF($C$2="Pre-Tax", 'Stable Income Scenario'!T505, 'Stable Income Scenario'!U505)</f>
        <v>3.8806658048372612E-2</v>
      </c>
      <c r="N29" s="111">
        <f ca="1">'Stable Income Scenario'!$S$505</f>
        <v>3.3445142011522297</v>
      </c>
      <c r="O29" s="72" t="str">
        <f ca="1">VLOOKUP(MIN('Stable Income Scenario'!AD505, 'Stable Income Scenario'!AF505), 'Misc Lists'!$J$2:$L$25, 2, 1) &amp; " / " &amp; VLOOKUP(MIN('Stable Income Scenario'!AD505, 'Stable Income Scenario'!AF505), 'Misc Lists'!$J$2:$L$25, 3, 1) &amp; " (" &amp; VLOOKUP(MIN('Stable Income Scenario'!AD505, 'Stable Income Scenario'!AF505), 'Misc Lists'!$J$2:$N$25, 5, 1) &amp; ")"</f>
        <v>BAA1 / BBB+ (Lower Medium Grade)</v>
      </c>
    </row>
  </sheetData>
  <mergeCells count="1">
    <mergeCell ref="E2:K2"/>
  </mergeCells>
  <phoneticPr fontId="5" type="noConversion"/>
  <dataValidations count="1">
    <dataValidation type="list" allowBlank="1" showInputMessage="1" showErrorMessage="1" sqref="C2" xr:uid="{79A483E3-DCCA-422F-9BC5-83D1675EA432}">
      <formula1>"Pre-Tax, After-Tax"</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A5DD-4CEC-4DCA-843E-24CAA14388E4}">
  <dimension ref="B2:P29"/>
  <sheetViews>
    <sheetView showGridLines="0" zoomScaleNormal="100" workbookViewId="0">
      <selection activeCell="C2" sqref="C2"/>
    </sheetView>
  </sheetViews>
  <sheetFormatPr defaultRowHeight="14.35" x14ac:dyDescent="0.5"/>
  <cols>
    <col min="1" max="1" width="2.703125" customWidth="1"/>
    <col min="2" max="2" width="20.17578125" customWidth="1"/>
    <col min="3" max="14" width="8.76171875" customWidth="1"/>
    <col min="15" max="15" width="13.87890625" customWidth="1"/>
    <col min="16" max="16" width="30" bestFit="1" customWidth="1"/>
    <col min="17" max="17" width="32.41015625" customWidth="1"/>
  </cols>
  <sheetData>
    <row r="2" spans="2:14" ht="15.7" x14ac:dyDescent="0.55000000000000004">
      <c r="B2" s="108" t="s">
        <v>72</v>
      </c>
      <c r="C2" s="107" t="s">
        <v>65</v>
      </c>
      <c r="E2" s="113" t="s">
        <v>73</v>
      </c>
      <c r="F2" s="113"/>
      <c r="G2" s="113"/>
      <c r="H2" s="113"/>
      <c r="I2" s="113"/>
      <c r="J2" s="113"/>
      <c r="K2" s="113"/>
      <c r="L2" s="113"/>
      <c r="M2" s="113"/>
    </row>
    <row r="3" spans="2:14" x14ac:dyDescent="0.5">
      <c r="N3" s="109"/>
    </row>
    <row r="5" spans="2:14" ht="22.2" customHeight="1" x14ac:dyDescent="0.5"/>
    <row r="25" spans="2:16" x14ac:dyDescent="0.5">
      <c r="B25" s="42" t="s">
        <v>67</v>
      </c>
      <c r="C25" s="39"/>
      <c r="D25" s="39"/>
      <c r="E25" s="39"/>
      <c r="F25" s="39"/>
      <c r="G25" s="39"/>
      <c r="H25" s="39"/>
      <c r="I25" s="39"/>
      <c r="J25" s="39"/>
      <c r="K25" s="39"/>
      <c r="L25" s="39"/>
      <c r="M25" s="39"/>
      <c r="N25" s="39"/>
      <c r="O25" s="39"/>
      <c r="P25" s="39"/>
    </row>
    <row r="26" spans="2:16" x14ac:dyDescent="0.5">
      <c r="B26" s="42" t="s">
        <v>74</v>
      </c>
      <c r="C26" s="50" t="s">
        <v>75</v>
      </c>
      <c r="D26" s="50" t="s">
        <v>76</v>
      </c>
      <c r="E26" s="50" t="s">
        <v>77</v>
      </c>
      <c r="F26" s="50" t="s">
        <v>78</v>
      </c>
      <c r="G26" s="50" t="s">
        <v>79</v>
      </c>
      <c r="H26" s="50" t="s">
        <v>80</v>
      </c>
      <c r="I26" s="50" t="s">
        <v>81</v>
      </c>
      <c r="J26" s="50" t="s">
        <v>82</v>
      </c>
      <c r="K26" s="50" t="s">
        <v>83</v>
      </c>
      <c r="L26" s="50" t="s">
        <v>84</v>
      </c>
      <c r="M26" s="50" t="s">
        <v>85</v>
      </c>
      <c r="N26" s="50" t="s">
        <v>86</v>
      </c>
      <c r="O26" s="50" t="s">
        <v>87</v>
      </c>
      <c r="P26" s="50" t="s">
        <v>71</v>
      </c>
    </row>
    <row r="27" spans="2:16" x14ac:dyDescent="0.5">
      <c r="B27" s="49" t="str">
        <f ca="1">'High Yield Scenario'!$A$1</f>
        <v>High Yield Scenario</v>
      </c>
      <c r="C27" s="47">
        <f ca="1">IF($C$2="Pre-Tax", SUMIF('High Yield Scenario'!$Y$4:$Y$503, MONTH(C26 &amp; "1, 2025"), 'High Yield Scenario'!$AA$4:$AA$503) + SUMIF('High Yield Scenario'!$Z$4:$Z$503, MONTH(C26 &amp; "1, 2025"), 'High Yield Scenario'!$AA$4:$AA$503), SUMIF('High Yield Scenario'!$Y$4:$Y$503, MONTH(C26 &amp; "1, 2025"), 'High Yield Scenario'!$AB$4:$AB$503) + SUMIF('High Yield Scenario'!$Z$4:$Z$503, MONTH(C26 &amp; "1, 2025"), 'High Yield Scenario'!$AB$4:$AB$503))</f>
        <v>397.5</v>
      </c>
      <c r="D27" s="47">
        <f ca="1">IF($C$2="Pre-Tax", SUMIF('High Yield Scenario'!$Y$4:$Y$503, MONTH(D26 &amp; "1, 2025"), 'High Yield Scenario'!$AA$4:$AA$503) + SUMIF('High Yield Scenario'!$Z$4:$Z$503, MONTH(D26 &amp; "1, 2025"), 'High Yield Scenario'!$AA$4:$AA$503), SUMIF('High Yield Scenario'!$Y$4:$Y$503, MONTH(D26 &amp; "1, 2025"), 'High Yield Scenario'!$AB$4:$AB$503) + SUMIF('High Yield Scenario'!$Z$4:$Z$503, MONTH(D26 &amp; "1, 2025"), 'High Yield Scenario'!$AB$4:$AB$503))</f>
        <v>1357.5</v>
      </c>
      <c r="E27" s="47">
        <f ca="1">IF($C$2="Pre-Tax", SUMIF('High Yield Scenario'!$Y$4:$Y$503, MONTH(E26 &amp; "1, 2025"), 'High Yield Scenario'!$AA$4:$AA$503) + SUMIF('High Yield Scenario'!$Z$4:$Z$503, MONTH(E26 &amp; "1, 2025"), 'High Yield Scenario'!$AA$4:$AA$503), SUMIF('High Yield Scenario'!$Y$4:$Y$503, MONTH(E26 &amp; "1, 2025"), 'High Yield Scenario'!$AB$4:$AB$503) + SUMIF('High Yield Scenario'!$Z$4:$Z$503, MONTH(E26 &amp; "1, 2025"), 'High Yield Scenario'!$AB$4:$AB$503))</f>
        <v>10285</v>
      </c>
      <c r="F27" s="47">
        <f ca="1">IF($C$2="Pre-Tax", SUMIF('High Yield Scenario'!$Y$4:$Y$503, MONTH(F26 &amp; "1, 2025"), 'High Yield Scenario'!$AA$4:$AA$503) + SUMIF('High Yield Scenario'!$Z$4:$Z$503, MONTH(F26 &amp; "1, 2025"), 'High Yield Scenario'!$AA$4:$AA$503), SUMIF('High Yield Scenario'!$Y$4:$Y$503, MONTH(F26 &amp; "1, 2025"), 'High Yield Scenario'!$AB$4:$AB$503) + SUMIF('High Yield Scenario'!$Z$4:$Z$503, MONTH(F26 &amp; "1, 2025"), 'High Yield Scenario'!$AB$4:$AB$503))</f>
        <v>1050.5</v>
      </c>
      <c r="G27" s="47">
        <f ca="1">IF($C$2="Pre-Tax", SUMIF('High Yield Scenario'!$Y$4:$Y$503, MONTH(G26 &amp; "1, 2025"), 'High Yield Scenario'!$AA$4:$AA$503) + SUMIF('High Yield Scenario'!$Z$4:$Z$503, MONTH(G26 &amp; "1, 2025"), 'High Yield Scenario'!$AA$4:$AA$503), SUMIF('High Yield Scenario'!$Y$4:$Y$503, MONTH(G26 &amp; "1, 2025"), 'High Yield Scenario'!$AB$4:$AB$503) + SUMIF('High Yield Scenario'!$Z$4:$Z$503, MONTH(G26 &amp; "1, 2025"), 'High Yield Scenario'!$AB$4:$AB$503))</f>
        <v>406.05</v>
      </c>
      <c r="H27" s="47">
        <f ca="1">IF($C$2="Pre-Tax", SUMIF('High Yield Scenario'!$Y$4:$Y$503, MONTH(H26 &amp; "1, 2025"), 'High Yield Scenario'!$AA$4:$AA$503) + SUMIF('High Yield Scenario'!$Z$4:$Z$503, MONTH(H26 &amp; "1, 2025"), 'High Yield Scenario'!$AA$4:$AA$503), SUMIF('High Yield Scenario'!$Y$4:$Y$503, MONTH(H26 &amp; "1, 2025"), 'High Yield Scenario'!$AB$4:$AB$503) + SUMIF('High Yield Scenario'!$Z$4:$Z$503, MONTH(H26 &amp; "1, 2025"), 'High Yield Scenario'!$AB$4:$AB$503))</f>
        <v>3491.25</v>
      </c>
      <c r="I27" s="47">
        <f ca="1">IF($C$2="Pre-Tax", SUMIF('High Yield Scenario'!$Y$4:$Y$503, MONTH(I26 &amp; "1, 2025"), 'High Yield Scenario'!$AA$4:$AA$503) + SUMIF('High Yield Scenario'!$Z$4:$Z$503, MONTH(I26 &amp; "1, 2025"), 'High Yield Scenario'!$AA$4:$AA$503), SUMIF('High Yield Scenario'!$Y$4:$Y$503, MONTH(I26 &amp; "1, 2025"), 'High Yield Scenario'!$AB$4:$AB$503) + SUMIF('High Yield Scenario'!$Z$4:$Z$503, MONTH(I26 &amp; "1, 2025"), 'High Yield Scenario'!$AB$4:$AB$503))</f>
        <v>397.5</v>
      </c>
      <c r="J27" s="47">
        <f ca="1">IF($C$2="Pre-Tax", SUMIF('High Yield Scenario'!$Y$4:$Y$503, MONTH(J26 &amp; "1, 2025"), 'High Yield Scenario'!$AA$4:$AA$503) + SUMIF('High Yield Scenario'!$Z$4:$Z$503, MONTH(J26 &amp; "1, 2025"), 'High Yield Scenario'!$AA$4:$AA$503), SUMIF('High Yield Scenario'!$Y$4:$Y$503, MONTH(J26 &amp; "1, 2025"), 'High Yield Scenario'!$AB$4:$AB$503) + SUMIF('High Yield Scenario'!$Z$4:$Z$503, MONTH(J26 &amp; "1, 2025"), 'High Yield Scenario'!$AB$4:$AB$503))</f>
        <v>1357.5</v>
      </c>
      <c r="K27" s="47">
        <f ca="1">IF($C$2="Pre-Tax", SUMIF('High Yield Scenario'!$Y$4:$Y$503, MONTH(K26 &amp; "1, 2025"), 'High Yield Scenario'!$AA$4:$AA$503) + SUMIF('High Yield Scenario'!$Z$4:$Z$503, MONTH(K26 &amp; "1, 2025"), 'High Yield Scenario'!$AA$4:$AA$503), SUMIF('High Yield Scenario'!$Y$4:$Y$503, MONTH(K26 &amp; "1, 2025"), 'High Yield Scenario'!$AB$4:$AB$503) + SUMIF('High Yield Scenario'!$Z$4:$Z$503, MONTH(K26 &amp; "1, 2025"), 'High Yield Scenario'!$AB$4:$AB$503))</f>
        <v>10285</v>
      </c>
      <c r="L27" s="47">
        <f ca="1">IF($C$2="Pre-Tax", SUMIF('High Yield Scenario'!$Y$4:$Y$503, MONTH(L26 &amp; "1, 2025"), 'High Yield Scenario'!$AA$4:$AA$503) + SUMIF('High Yield Scenario'!$Z$4:$Z$503, MONTH(L26 &amp; "1, 2025"), 'High Yield Scenario'!$AA$4:$AA$503), SUMIF('High Yield Scenario'!$Y$4:$Y$503, MONTH(L26 &amp; "1, 2025"), 'High Yield Scenario'!$AB$4:$AB$503) + SUMIF('High Yield Scenario'!$Z$4:$Z$503, MONTH(L26 &amp; "1, 2025"), 'High Yield Scenario'!$AB$4:$AB$503))</f>
        <v>1050.5</v>
      </c>
      <c r="M27" s="47">
        <f ca="1">IF($C$2="Pre-Tax", SUMIF('High Yield Scenario'!$Y$4:$Y$503, MONTH(M26 &amp; "1, 2025"), 'High Yield Scenario'!$AA$4:$AA$503) + SUMIF('High Yield Scenario'!$Z$4:$Z$503, MONTH(M26 &amp; "1, 2025"), 'High Yield Scenario'!$AA$4:$AA$503), SUMIF('High Yield Scenario'!$Y$4:$Y$503, MONTH(M26 &amp; "1, 2025"), 'High Yield Scenario'!$AB$4:$AB$503) + SUMIF('High Yield Scenario'!$Z$4:$Z$503, MONTH(M26 &amp; "1, 2025"), 'High Yield Scenario'!$AB$4:$AB$503))</f>
        <v>406.05</v>
      </c>
      <c r="N27" s="47">
        <f ca="1">IF($C$2="Pre-Tax", SUMIF('High Yield Scenario'!$Y$4:$Y$503, MONTH(N26 &amp; "1, 2025"), 'High Yield Scenario'!$AA$4:$AA$503) + SUMIF('High Yield Scenario'!$Z$4:$Z$503, MONTH(N26 &amp; "1, 2025"), 'High Yield Scenario'!$AA$4:$AA$503), SUMIF('High Yield Scenario'!$Y$4:$Y$503, MONTH(N26 &amp; "1, 2025"), 'High Yield Scenario'!$AB$4:$AB$503) + SUMIF('High Yield Scenario'!$Z$4:$Z$503, MONTH(N26 &amp; "1, 2025"), 'High Yield Scenario'!$AB$4:$AB$503))</f>
        <v>3491.25</v>
      </c>
      <c r="O27" s="51">
        <f ca="1">SUM(C27:N27)</f>
        <v>33975.599999999999</v>
      </c>
      <c r="P27" s="72" t="str">
        <f ca="1">VLOOKUP(MIN('High Yield Scenario'!AD505, 'High Yield Scenario'!AF505), 'Misc Lists'!$J$2:$L$25, 2, 1) &amp; " / " &amp; VLOOKUP(MIN('High Yield Scenario'!AD505, 'High Yield Scenario'!AF505), 'Misc Lists'!$J$2:$L$25, 3, 1) &amp; " (" &amp; VLOOKUP(MIN('High Yield Scenario'!AD505, 'High Yield Scenario'!AF505), 'Misc Lists'!$J$2:$N$25, 5, 1) &amp; ")"</f>
        <v>A2 / A (Upper Medium Grade)</v>
      </c>
    </row>
    <row r="28" spans="2:16" x14ac:dyDescent="0.5">
      <c r="B28" s="49" t="str">
        <f ca="1">'Secure Bonds Scenario'!$A$1</f>
        <v>Secure Bonds Scenario</v>
      </c>
      <c r="C28" s="48">
        <f ca="1">IF($C$2="Pre-Tax", SUMIF('Secure Bonds Scenario'!$Y$4:$Y$503, MONTH(C26 &amp; "1, 2025"), 'Secure Bonds Scenario'!$AA$4:$AA$503) + SUMIF('Secure Bonds Scenario'!$Z$4:$Z$503, MONTH(C26 &amp; "1, 2025"), 'Secure Bonds Scenario'!$AA$4:$AA$503), SUMIF('Secure Bonds Scenario'!$Y$4:$Y$503, MONTH(C26 &amp; "1, 2025"), 'Secure Bonds Scenario'!$AB$4:$AB$503) + SUMIF('Secure Bonds Scenario'!$Z$4:$Z$503, MONTH(C26 &amp; "1, 2025"), 'Secure Bonds Scenario'!$AB$4:$AB$503))</f>
        <v>0</v>
      </c>
      <c r="D28" s="48">
        <f ca="1">IF($C$2="Pre-Tax", SUMIF('Secure Bonds Scenario'!$Y$4:$Y$503, MONTH(D26 &amp; "1, 2025"), 'Secure Bonds Scenario'!$AA$4:$AA$503) + SUMIF('Secure Bonds Scenario'!$Z$4:$Z$503, MONTH(D26 &amp; "1, 2025"), 'Secure Bonds Scenario'!$AA$4:$AA$503), SUMIF('Secure Bonds Scenario'!$Y$4:$Y$503, MONTH(D26 &amp; "1, 2025"), 'Secure Bonds Scenario'!$AB$4:$AB$503) + SUMIF('Secure Bonds Scenario'!$Z$4:$Z$503, MONTH(D26 &amp; "1, 2025"), 'Secure Bonds Scenario'!$AB$4:$AB$503))</f>
        <v>7181.25</v>
      </c>
      <c r="E28" s="48">
        <f ca="1">IF($C$2="Pre-Tax", SUMIF('Secure Bonds Scenario'!$Y$4:$Y$503, MONTH(E26 &amp; "1, 2025"), 'Secure Bonds Scenario'!$AA$4:$AA$503) + SUMIF('Secure Bonds Scenario'!$Z$4:$Z$503, MONTH(E26 &amp; "1, 2025"), 'Secure Bonds Scenario'!$AA$4:$AA$503), SUMIF('Secure Bonds Scenario'!$Y$4:$Y$503, MONTH(E26 &amp; "1, 2025"), 'Secure Bonds Scenario'!$AB$4:$AB$503) + SUMIF('Secure Bonds Scenario'!$Z$4:$Z$503, MONTH(E26 &amp; "1, 2025"), 'Secure Bonds Scenario'!$AB$4:$AB$503))</f>
        <v>2412.5</v>
      </c>
      <c r="F28" s="48">
        <f ca="1">IF($C$2="Pre-Tax", SUMIF('Secure Bonds Scenario'!$Y$4:$Y$503, MONTH(F26 &amp; "1, 2025"), 'Secure Bonds Scenario'!$AA$4:$AA$503) + SUMIF('Secure Bonds Scenario'!$Z$4:$Z$503, MONTH(F26 &amp; "1, 2025"), 'Secure Bonds Scenario'!$AA$4:$AA$503), SUMIF('Secure Bonds Scenario'!$Y$4:$Y$503, MONTH(F26 &amp; "1, 2025"), 'Secure Bonds Scenario'!$AB$4:$AB$503) + SUMIF('Secure Bonds Scenario'!$Z$4:$Z$503, MONTH(F26 &amp; "1, 2025"), 'Secure Bonds Scenario'!$AB$4:$AB$503))</f>
        <v>500</v>
      </c>
      <c r="G28" s="48">
        <f ca="1">IF($C$2="Pre-Tax", SUMIF('Secure Bonds Scenario'!$Y$4:$Y$503, MONTH(G26 &amp; "1, 2025"), 'Secure Bonds Scenario'!$AA$4:$AA$503) + SUMIF('Secure Bonds Scenario'!$Z$4:$Z$503, MONTH(G26 &amp; "1, 2025"), 'Secure Bonds Scenario'!$AA$4:$AA$503), SUMIF('Secure Bonds Scenario'!$Y$4:$Y$503, MONTH(G26 &amp; "1, 2025"), 'Secure Bonds Scenario'!$AB$4:$AB$503) + SUMIF('Secure Bonds Scenario'!$Z$4:$Z$503, MONTH(G26 &amp; "1, 2025"), 'Secure Bonds Scenario'!$AB$4:$AB$503))</f>
        <v>4435</v>
      </c>
      <c r="H28" s="48">
        <f ca="1">IF($C$2="Pre-Tax", SUMIF('Secure Bonds Scenario'!$Y$4:$Y$503, MONTH(H26 &amp; "1, 2025"), 'Secure Bonds Scenario'!$AA$4:$AA$503) + SUMIF('Secure Bonds Scenario'!$Z$4:$Z$503, MONTH(H26 &amp; "1, 2025"), 'Secure Bonds Scenario'!$AA$4:$AA$503), SUMIF('Secure Bonds Scenario'!$Y$4:$Y$503, MONTH(H26 &amp; "1, 2025"), 'Secure Bonds Scenario'!$AB$4:$AB$503) + SUMIF('Secure Bonds Scenario'!$Z$4:$Z$503, MONTH(H26 &amp; "1, 2025"), 'Secure Bonds Scenario'!$AB$4:$AB$503))</f>
        <v>737.5</v>
      </c>
      <c r="I28" s="48">
        <f ca="1">IF($C$2="Pre-Tax", SUMIF('Secure Bonds Scenario'!$Y$4:$Y$503, MONTH(I26 &amp; "1, 2025"), 'Secure Bonds Scenario'!$AA$4:$AA$503) + SUMIF('Secure Bonds Scenario'!$Z$4:$Z$503, MONTH(I26 &amp; "1, 2025"), 'Secure Bonds Scenario'!$AA$4:$AA$503), SUMIF('Secure Bonds Scenario'!$Y$4:$Y$503, MONTH(I26 &amp; "1, 2025"), 'Secure Bonds Scenario'!$AB$4:$AB$503) + SUMIF('Secure Bonds Scenario'!$Z$4:$Z$503, MONTH(I26 &amp; "1, 2025"), 'Secure Bonds Scenario'!$AB$4:$AB$503))</f>
        <v>0</v>
      </c>
      <c r="J28" s="48">
        <f ca="1">IF($C$2="Pre-Tax", SUMIF('Secure Bonds Scenario'!$Y$4:$Y$503, MONTH(J26 &amp; "1, 2025"), 'Secure Bonds Scenario'!$AA$4:$AA$503) + SUMIF('Secure Bonds Scenario'!$Z$4:$Z$503, MONTH(J26 &amp; "1, 2025"), 'Secure Bonds Scenario'!$AA$4:$AA$503), SUMIF('Secure Bonds Scenario'!$Y$4:$Y$503, MONTH(J26 &amp; "1, 2025"), 'Secure Bonds Scenario'!$AB$4:$AB$503) + SUMIF('Secure Bonds Scenario'!$Z$4:$Z$503, MONTH(J26 &amp; "1, 2025"), 'Secure Bonds Scenario'!$AB$4:$AB$503))</f>
        <v>7181.25</v>
      </c>
      <c r="K28" s="48">
        <f ca="1">IF($C$2="Pre-Tax", SUMIF('Secure Bonds Scenario'!$Y$4:$Y$503, MONTH(K26 &amp; "1, 2025"), 'Secure Bonds Scenario'!$AA$4:$AA$503) + SUMIF('Secure Bonds Scenario'!$Z$4:$Z$503, MONTH(K26 &amp; "1, 2025"), 'Secure Bonds Scenario'!$AA$4:$AA$503), SUMIF('Secure Bonds Scenario'!$Y$4:$Y$503, MONTH(K26 &amp; "1, 2025"), 'Secure Bonds Scenario'!$AB$4:$AB$503) + SUMIF('Secure Bonds Scenario'!$Z$4:$Z$503, MONTH(K26 &amp; "1, 2025"), 'Secure Bonds Scenario'!$AB$4:$AB$503))</f>
        <v>2412.5</v>
      </c>
      <c r="L28" s="48">
        <f ca="1">IF($C$2="Pre-Tax", SUMIF('Secure Bonds Scenario'!$Y$4:$Y$503, MONTH(L26 &amp; "1, 2025"), 'Secure Bonds Scenario'!$AA$4:$AA$503) + SUMIF('Secure Bonds Scenario'!$Z$4:$Z$503, MONTH(L26 &amp; "1, 2025"), 'Secure Bonds Scenario'!$AA$4:$AA$503), SUMIF('Secure Bonds Scenario'!$Y$4:$Y$503, MONTH(L26 &amp; "1, 2025"), 'Secure Bonds Scenario'!$AB$4:$AB$503) + SUMIF('Secure Bonds Scenario'!$Z$4:$Z$503, MONTH(L26 &amp; "1, 2025"), 'Secure Bonds Scenario'!$AB$4:$AB$503))</f>
        <v>500</v>
      </c>
      <c r="M28" s="48">
        <f ca="1">IF($C$2="Pre-Tax", SUMIF('Secure Bonds Scenario'!$Y$4:$Y$503, MONTH(M26 &amp; "1, 2025"), 'Secure Bonds Scenario'!$AA$4:$AA$503) + SUMIF('Secure Bonds Scenario'!$Z$4:$Z$503, MONTH(M26 &amp; "1, 2025"), 'Secure Bonds Scenario'!$AA$4:$AA$503), SUMIF('Secure Bonds Scenario'!$Y$4:$Y$503, MONTH(M26 &amp; "1, 2025"), 'Secure Bonds Scenario'!$AB$4:$AB$503) + SUMIF('Secure Bonds Scenario'!$Z$4:$Z$503, MONTH(M26 &amp; "1, 2025"), 'Secure Bonds Scenario'!$AB$4:$AB$503))</f>
        <v>4435</v>
      </c>
      <c r="N28" s="48">
        <f ca="1">IF($C$2="Pre-Tax", SUMIF('Secure Bonds Scenario'!$Y$4:$Y$503, MONTH(N26 &amp; "1, 2025"), 'Secure Bonds Scenario'!$AA$4:$AA$503) + SUMIF('Secure Bonds Scenario'!$Z$4:$Z$503, MONTH(N26 &amp; "1, 2025"), 'Secure Bonds Scenario'!$AA$4:$AA$503), SUMIF('Secure Bonds Scenario'!$Y$4:$Y$503, MONTH(N26 &amp; "1, 2025"), 'Secure Bonds Scenario'!$AB$4:$AB$503) + SUMIF('Secure Bonds Scenario'!$Z$4:$Z$503, MONTH(N26 &amp; "1, 2025"), 'Secure Bonds Scenario'!$AB$4:$AB$503))</f>
        <v>737.5</v>
      </c>
      <c r="O28" s="51">
        <f ca="1">SUM(C28:N28)</f>
        <v>30532.5</v>
      </c>
      <c r="P28" s="72" t="str">
        <f ca="1">VLOOKUP(MIN('Secure Bonds Scenario'!AD505, 'Secure Bonds Scenario'!AF505), 'Misc Lists'!$J$2:$L$25, 2, 1) &amp; " / " &amp; VLOOKUP(MIN('Secure Bonds Scenario'!AD505, 'Secure Bonds Scenario'!AF505), 'Misc Lists'!$J$2:$L$25, 3, 1) &amp; " (" &amp; VLOOKUP(MIN('Secure Bonds Scenario'!AD505, 'Secure Bonds Scenario'!AF505), 'Misc Lists'!$J$2:$N$25, 5, 1) &amp; ")"</f>
        <v>AA1 / AA+ (High Grade. High Quality)</v>
      </c>
    </row>
    <row r="29" spans="2:16" x14ac:dyDescent="0.5">
      <c r="B29" s="49" t="str">
        <f ca="1">'Stable Income Scenario'!$A$1</f>
        <v>Stable Income Scenario</v>
      </c>
      <c r="C29" s="48">
        <f ca="1">IF($C$2="Pre-Tax", SUMIF('Stable Income Scenario'!$Y$4:$Y$503, MONTH(C26 &amp; "1, 2025"), 'Stable Income Scenario'!$AA$4:$AA$503) + SUMIF('Stable Income Scenario'!$Z$4:$Z$503, MONTH(C26 &amp; "1, 2025"), 'Stable Income Scenario'!$AA$4:$AA$503), SUMIF('Stable Income Scenario'!$Y$4:$Y$503, MONTH(C26 &amp; "1, 2025"), 'Stable Income Scenario'!$AB$4:$AB$503) + SUMIF('Stable Income Scenario'!$Z$4:$Z$503, MONTH(C26 &amp; "1, 2025"), 'Stable Income Scenario'!$AB$4:$AB$503))</f>
        <v>1781.25</v>
      </c>
      <c r="D29" s="48">
        <f ca="1">IF($C$2="Pre-Tax", SUMIF('Stable Income Scenario'!$Y$4:$Y$503, MONTH(D26 &amp; "1, 2025"), 'Stable Income Scenario'!$AA$4:$AA$503) + SUMIF('Stable Income Scenario'!$Z$4:$Z$503, MONTH(D26 &amp; "1, 2025"), 'Stable Income Scenario'!$AA$4:$AA$503), SUMIF('Stable Income Scenario'!$Y$4:$Y$503, MONTH(D26 &amp; "1, 2025"), 'Stable Income Scenario'!$AB$4:$AB$503) + SUMIF('Stable Income Scenario'!$Z$4:$Z$503, MONTH(D26 &amp; "1, 2025"), 'Stable Income Scenario'!$AB$4:$AB$503))</f>
        <v>1750</v>
      </c>
      <c r="E29" s="48">
        <f ca="1">IF($C$2="Pre-Tax", SUMIF('Stable Income Scenario'!$Y$4:$Y$503, MONTH(E26 &amp; "1, 2025"), 'Stable Income Scenario'!$AA$4:$AA$503) + SUMIF('Stable Income Scenario'!$Z$4:$Z$503, MONTH(E26 &amp; "1, 2025"), 'Stable Income Scenario'!$AA$4:$AA$503), SUMIF('Stable Income Scenario'!$Y$4:$Y$503, MONTH(E26 &amp; "1, 2025"), 'Stable Income Scenario'!$AB$4:$AB$503) + SUMIF('Stable Income Scenario'!$Z$4:$Z$503, MONTH(E26 &amp; "1, 2025"), 'Stable Income Scenario'!$AB$4:$AB$503))</f>
        <v>1725</v>
      </c>
      <c r="F29" s="48">
        <f ca="1">IF($C$2="Pre-Tax", SUMIF('Stable Income Scenario'!$Y$4:$Y$503, MONTH(F26 &amp; "1, 2025"), 'Stable Income Scenario'!$AA$4:$AA$503) + SUMIF('Stable Income Scenario'!$Z$4:$Z$503, MONTH(F26 &amp; "1, 2025"), 'Stable Income Scenario'!$AA$4:$AA$503), SUMIF('Stable Income Scenario'!$Y$4:$Y$503, MONTH(F26 &amp; "1, 2025"), 'Stable Income Scenario'!$AB$4:$AB$503) + SUMIF('Stable Income Scenario'!$Z$4:$Z$503, MONTH(F26 &amp; "1, 2025"), 'Stable Income Scenario'!$AB$4:$AB$503))</f>
        <v>1750</v>
      </c>
      <c r="G29" s="48">
        <f ca="1">IF($C$2="Pre-Tax", SUMIF('Stable Income Scenario'!$Y$4:$Y$503, MONTH(G26 &amp; "1, 2025"), 'Stable Income Scenario'!$AA$4:$AA$503) + SUMIF('Stable Income Scenario'!$Z$4:$Z$503, MONTH(G26 &amp; "1, 2025"), 'Stable Income Scenario'!$AA$4:$AA$503), SUMIF('Stable Income Scenario'!$Y$4:$Y$503, MONTH(G26 &amp; "1, 2025"), 'Stable Income Scenario'!$AB$4:$AB$503) + SUMIF('Stable Income Scenario'!$Z$4:$Z$503, MONTH(G26 &amp; "1, 2025"), 'Stable Income Scenario'!$AB$4:$AB$503))</f>
        <v>2096.875</v>
      </c>
      <c r="H29" s="48">
        <f ca="1">IF($C$2="Pre-Tax", SUMIF('Stable Income Scenario'!$Y$4:$Y$503, MONTH(H26 &amp; "1, 2025"), 'Stable Income Scenario'!$AA$4:$AA$503) + SUMIF('Stable Income Scenario'!$Z$4:$Z$503, MONTH(H26 &amp; "1, 2025"), 'Stable Income Scenario'!$AA$4:$AA$503), SUMIF('Stable Income Scenario'!$Y$4:$Y$503, MONTH(H26 &amp; "1, 2025"), 'Stable Income Scenario'!$AB$4:$AB$503) + SUMIF('Stable Income Scenario'!$Z$4:$Z$503, MONTH(H26 &amp; "1, 2025"), 'Stable Income Scenario'!$AB$4:$AB$503))</f>
        <v>1981.25</v>
      </c>
      <c r="I29" s="48">
        <f ca="1">IF($C$2="Pre-Tax", SUMIF('Stable Income Scenario'!$Y$4:$Y$503, MONTH(I26 &amp; "1, 2025"), 'Stable Income Scenario'!$AA$4:$AA$503) + SUMIF('Stable Income Scenario'!$Z$4:$Z$503, MONTH(I26 &amp; "1, 2025"), 'Stable Income Scenario'!$AA$4:$AA$503), SUMIF('Stable Income Scenario'!$Y$4:$Y$503, MONTH(I26 &amp; "1, 2025"), 'Stable Income Scenario'!$AB$4:$AB$503) + SUMIF('Stable Income Scenario'!$Z$4:$Z$503, MONTH(I26 &amp; "1, 2025"), 'Stable Income Scenario'!$AB$4:$AB$503))</f>
        <v>1781.25</v>
      </c>
      <c r="J29" s="48">
        <f ca="1">IF($C$2="Pre-Tax", SUMIF('Stable Income Scenario'!$Y$4:$Y$503, MONTH(J26 &amp; "1, 2025"), 'Stable Income Scenario'!$AA$4:$AA$503) + SUMIF('Stable Income Scenario'!$Z$4:$Z$503, MONTH(J26 &amp; "1, 2025"), 'Stable Income Scenario'!$AA$4:$AA$503), SUMIF('Stable Income Scenario'!$Y$4:$Y$503, MONTH(J26 &amp; "1, 2025"), 'Stable Income Scenario'!$AB$4:$AB$503) + SUMIF('Stable Income Scenario'!$Z$4:$Z$503, MONTH(J26 &amp; "1, 2025"), 'Stable Income Scenario'!$AB$4:$AB$503))</f>
        <v>1750</v>
      </c>
      <c r="K29" s="48">
        <f ca="1">IF($C$2="Pre-Tax", SUMIF('Stable Income Scenario'!$Y$4:$Y$503, MONTH(K26 &amp; "1, 2025"), 'Stable Income Scenario'!$AA$4:$AA$503) + SUMIF('Stable Income Scenario'!$Z$4:$Z$503, MONTH(K26 &amp; "1, 2025"), 'Stable Income Scenario'!$AA$4:$AA$503), SUMIF('Stable Income Scenario'!$Y$4:$Y$503, MONTH(K26 &amp; "1, 2025"), 'Stable Income Scenario'!$AB$4:$AB$503) + SUMIF('Stable Income Scenario'!$Z$4:$Z$503, MONTH(K26 &amp; "1, 2025"), 'Stable Income Scenario'!$AB$4:$AB$503))</f>
        <v>1725</v>
      </c>
      <c r="L29" s="48">
        <f ca="1">IF($C$2="Pre-Tax", SUMIF('Stable Income Scenario'!$Y$4:$Y$503, MONTH(L26 &amp; "1, 2025"), 'Stable Income Scenario'!$AA$4:$AA$503) + SUMIF('Stable Income Scenario'!$Z$4:$Z$503, MONTH(L26 &amp; "1, 2025"), 'Stable Income Scenario'!$AA$4:$AA$503), SUMIF('Stable Income Scenario'!$Y$4:$Y$503, MONTH(L26 &amp; "1, 2025"), 'Stable Income Scenario'!$AB$4:$AB$503) + SUMIF('Stable Income Scenario'!$Z$4:$Z$503, MONTH(L26 &amp; "1, 2025"), 'Stable Income Scenario'!$AB$4:$AB$503))</f>
        <v>1750</v>
      </c>
      <c r="M29" s="48">
        <f ca="1">IF($C$2="Pre-Tax", SUMIF('Stable Income Scenario'!$Y$4:$Y$503, MONTH(M26 &amp; "1, 2025"), 'Stable Income Scenario'!$AA$4:$AA$503) + SUMIF('Stable Income Scenario'!$Z$4:$Z$503, MONTH(M26 &amp; "1, 2025"), 'Stable Income Scenario'!$AA$4:$AA$503), SUMIF('Stable Income Scenario'!$Y$4:$Y$503, MONTH(M26 &amp; "1, 2025"), 'Stable Income Scenario'!$AB$4:$AB$503) + SUMIF('Stable Income Scenario'!$Z$4:$Z$503, MONTH(M26 &amp; "1, 2025"), 'Stable Income Scenario'!$AB$4:$AB$503))</f>
        <v>2096.875</v>
      </c>
      <c r="N29" s="48">
        <f ca="1">IF($C$2="Pre-Tax", SUMIF('Stable Income Scenario'!$Y$4:$Y$503, MONTH(N26 &amp; "1, 2025"), 'Stable Income Scenario'!$AA$4:$AA$503) + SUMIF('Stable Income Scenario'!$Z$4:$Z$503, MONTH(N26 &amp; "1, 2025"), 'Stable Income Scenario'!$AA$4:$AA$503), SUMIF('Stable Income Scenario'!$Y$4:$Y$503, MONTH(N26 &amp; "1, 2025"), 'Stable Income Scenario'!$AB$4:$AB$503) + SUMIF('Stable Income Scenario'!$Z$4:$Z$503, MONTH(N26 &amp; "1, 2025"), 'Stable Income Scenario'!$AB$4:$AB$503))</f>
        <v>1981.25</v>
      </c>
      <c r="O29" s="51">
        <f ca="1">SUM(C29:N29)</f>
        <v>22168.75</v>
      </c>
      <c r="P29" s="72" t="str">
        <f ca="1">VLOOKUP(MIN('Stable Income Scenario'!AD505, 'Stable Income Scenario'!AF505), 'Misc Lists'!$J$2:$L$25, 2, 1) &amp; " / " &amp; VLOOKUP(MIN('Stable Income Scenario'!AD505, 'Stable Income Scenario'!AF505), 'Misc Lists'!$J$2:$L$25, 3, 1) &amp; " (" &amp; VLOOKUP(MIN('Stable Income Scenario'!AD505, 'Stable Income Scenario'!AF505), 'Misc Lists'!$J$2:$N$25, 5, 1) &amp; ")"</f>
        <v>BAA1 / BBB+ (Lower Medium Grade)</v>
      </c>
    </row>
  </sheetData>
  <mergeCells count="1">
    <mergeCell ref="E2:M2"/>
  </mergeCells>
  <phoneticPr fontId="5" type="noConversion"/>
  <dataValidations count="1">
    <dataValidation type="list" allowBlank="1" showInputMessage="1" showErrorMessage="1" sqref="C2" xr:uid="{7A04A712-1A98-4496-8660-017F81512A70}">
      <formula1>"Pre-Tax, After-Tax"</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B2AC-A0F7-432B-9ED0-E4634662FA38}">
  <dimension ref="A1:R4488"/>
  <sheetViews>
    <sheetView topLeftCell="C1" workbookViewId="0">
      <selection activeCell="H1" sqref="H1"/>
    </sheetView>
  </sheetViews>
  <sheetFormatPr defaultRowHeight="14.35" x14ac:dyDescent="0.5"/>
  <cols>
    <col min="1" max="1" width="12.52734375" bestFit="1" customWidth="1"/>
    <col min="2" max="2" width="8.3515625" bestFit="1" customWidth="1"/>
    <col min="3" max="3" width="120.41015625" bestFit="1" customWidth="1"/>
    <col min="4" max="4" width="8.17578125" bestFit="1" customWidth="1"/>
    <col min="5" max="5" width="10.76171875" bestFit="1" customWidth="1"/>
    <col min="6" max="6" width="16.29296875" bestFit="1" customWidth="1"/>
    <col min="7" max="7" width="17.05859375" bestFit="1" customWidth="1"/>
    <col min="8" max="8" width="18.29296875" bestFit="1" customWidth="1"/>
    <col min="9" max="9" width="14.1171875" bestFit="1" customWidth="1"/>
    <col min="10" max="10" width="12" bestFit="1" customWidth="1"/>
    <col min="11" max="11" width="12.3515625" bestFit="1" customWidth="1"/>
    <col min="12" max="12" width="12" bestFit="1" customWidth="1"/>
    <col min="13" max="13" width="21.234375" bestFit="1" customWidth="1"/>
    <col min="14" max="14" width="23.64453125" bestFit="1" customWidth="1"/>
    <col min="15" max="15" width="17.76171875" bestFit="1" customWidth="1"/>
    <col min="16" max="16" width="20.46875" bestFit="1" customWidth="1"/>
    <col min="17" max="17" width="20.8203125" bestFit="1" customWidth="1"/>
    <col min="18" max="18" width="16.41015625" bestFit="1" customWidth="1"/>
  </cols>
  <sheetData>
    <row r="1" spans="1:18" x14ac:dyDescent="0.5">
      <c r="A1" t="s">
        <v>88</v>
      </c>
      <c r="B1" t="s">
        <v>35</v>
      </c>
      <c r="C1" t="s">
        <v>36</v>
      </c>
      <c r="D1" t="s">
        <v>37</v>
      </c>
      <c r="E1" t="s">
        <v>89</v>
      </c>
      <c r="F1" t="s">
        <v>39</v>
      </c>
      <c r="G1" t="s">
        <v>90</v>
      </c>
      <c r="H1" t="s">
        <v>91</v>
      </c>
      <c r="I1" t="s">
        <v>62</v>
      </c>
      <c r="J1" t="s">
        <v>92</v>
      </c>
      <c r="K1" t="s">
        <v>93</v>
      </c>
      <c r="L1" t="s">
        <v>94</v>
      </c>
      <c r="M1" t="s">
        <v>95</v>
      </c>
      <c r="N1" t="s">
        <v>96</v>
      </c>
      <c r="O1" t="s">
        <v>97</v>
      </c>
      <c r="P1" t="s">
        <v>98</v>
      </c>
      <c r="Q1" t="s">
        <v>99</v>
      </c>
      <c r="R1" t="s">
        <v>100</v>
      </c>
    </row>
    <row r="2" spans="1:18" x14ac:dyDescent="0.5">
      <c r="A2" t="str">
        <f>"91282CLW9"</f>
        <v>91282CLW9</v>
      </c>
      <c r="B2" t="s">
        <v>101</v>
      </c>
      <c r="C2" t="s">
        <v>102</v>
      </c>
      <c r="D2" t="s">
        <v>103</v>
      </c>
      <c r="E2">
        <v>4.25</v>
      </c>
      <c r="F2" s="2">
        <v>49263</v>
      </c>
      <c r="G2" t="s">
        <v>101</v>
      </c>
      <c r="H2" t="s">
        <v>104</v>
      </c>
      <c r="I2" t="s">
        <v>105</v>
      </c>
      <c r="J2">
        <v>98.186999999999998</v>
      </c>
      <c r="K2">
        <v>98.207999999999998</v>
      </c>
      <c r="L2">
        <v>4.4809999999999999</v>
      </c>
      <c r="M2">
        <v>4.4779999999999998</v>
      </c>
      <c r="N2">
        <v>4.4779999999999998</v>
      </c>
      <c r="O2" t="s">
        <v>101</v>
      </c>
      <c r="P2" t="s">
        <v>106</v>
      </c>
      <c r="Q2" t="s">
        <v>107</v>
      </c>
      <c r="R2" t="s">
        <v>108</v>
      </c>
    </row>
    <row r="3" spans="1:18" x14ac:dyDescent="0.5">
      <c r="A3" t="str">
        <f>"91282CLF6"</f>
        <v>91282CLF6</v>
      </c>
      <c r="B3" t="s">
        <v>101</v>
      </c>
      <c r="C3" t="s">
        <v>109</v>
      </c>
      <c r="D3" t="s">
        <v>103</v>
      </c>
      <c r="E3">
        <v>3.875</v>
      </c>
      <c r="F3" s="2">
        <v>49171</v>
      </c>
      <c r="G3" t="s">
        <v>101</v>
      </c>
      <c r="H3" t="s">
        <v>104</v>
      </c>
      <c r="I3" t="s">
        <v>105</v>
      </c>
      <c r="J3">
        <v>95.39</v>
      </c>
      <c r="K3">
        <v>95.406999999999996</v>
      </c>
      <c r="L3">
        <v>4.476</v>
      </c>
      <c r="M3">
        <v>4.4740000000000002</v>
      </c>
      <c r="N3">
        <v>4.4740000000000002</v>
      </c>
      <c r="O3" t="s">
        <v>101</v>
      </c>
      <c r="P3" t="s">
        <v>110</v>
      </c>
      <c r="Q3" t="s">
        <v>111</v>
      </c>
      <c r="R3" t="s">
        <v>108</v>
      </c>
    </row>
    <row r="4" spans="1:18" x14ac:dyDescent="0.5">
      <c r="A4" t="str">
        <f>"91282CKQ3"</f>
        <v>91282CKQ3</v>
      </c>
      <c r="B4" t="s">
        <v>101</v>
      </c>
      <c r="C4" t="s">
        <v>112</v>
      </c>
      <c r="D4" t="s">
        <v>103</v>
      </c>
      <c r="E4">
        <v>4.375</v>
      </c>
      <c r="F4" s="2">
        <v>49079</v>
      </c>
      <c r="G4" t="s">
        <v>101</v>
      </c>
      <c r="H4" t="s">
        <v>104</v>
      </c>
      <c r="I4" t="s">
        <v>105</v>
      </c>
      <c r="J4">
        <v>99.289000000000001</v>
      </c>
      <c r="K4">
        <v>99.316999999999993</v>
      </c>
      <c r="L4">
        <v>4.4690000000000003</v>
      </c>
      <c r="M4">
        <v>4.4649999999999999</v>
      </c>
      <c r="N4">
        <v>4.4649999999999999</v>
      </c>
      <c r="O4" t="s">
        <v>101</v>
      </c>
      <c r="P4" t="s">
        <v>111</v>
      </c>
      <c r="Q4" t="s">
        <v>111</v>
      </c>
      <c r="R4" t="s">
        <v>108</v>
      </c>
    </row>
    <row r="5" spans="1:18" x14ac:dyDescent="0.5">
      <c r="A5" t="str">
        <f>"91282CJZ5"</f>
        <v>91282CJZ5</v>
      </c>
      <c r="B5" t="s">
        <v>101</v>
      </c>
      <c r="C5" t="s">
        <v>113</v>
      </c>
      <c r="D5" t="s">
        <v>103</v>
      </c>
      <c r="E5">
        <v>4</v>
      </c>
      <c r="F5" s="2">
        <v>48990</v>
      </c>
      <c r="G5" t="s">
        <v>101</v>
      </c>
      <c r="H5" t="s">
        <v>104</v>
      </c>
      <c r="I5" t="s">
        <v>105</v>
      </c>
      <c r="J5">
        <v>96.584999999999994</v>
      </c>
      <c r="K5">
        <v>96.602000000000004</v>
      </c>
      <c r="L5">
        <v>4.4649999999999999</v>
      </c>
      <c r="M5">
        <v>4.4619999999999997</v>
      </c>
      <c r="N5">
        <v>4.4619999999999997</v>
      </c>
      <c r="O5" t="s">
        <v>101</v>
      </c>
      <c r="P5" t="s">
        <v>114</v>
      </c>
      <c r="Q5" t="s">
        <v>114</v>
      </c>
      <c r="R5" t="s">
        <v>108</v>
      </c>
    </row>
    <row r="6" spans="1:18" x14ac:dyDescent="0.5">
      <c r="A6" t="str">
        <f>"91282CJJ1"</f>
        <v>91282CJJ1</v>
      </c>
      <c r="B6" t="s">
        <v>101</v>
      </c>
      <c r="C6" t="s">
        <v>115</v>
      </c>
      <c r="D6" t="s">
        <v>103</v>
      </c>
      <c r="E6">
        <v>4.5</v>
      </c>
      <c r="F6" s="2">
        <v>48898</v>
      </c>
      <c r="G6" t="s">
        <v>101</v>
      </c>
      <c r="H6" t="s">
        <v>104</v>
      </c>
      <c r="I6" t="s">
        <v>105</v>
      </c>
      <c r="J6">
        <v>100.32</v>
      </c>
      <c r="K6">
        <v>100.34399999999999</v>
      </c>
      <c r="L6">
        <v>4.4539999999999997</v>
      </c>
      <c r="M6">
        <v>4.4509999999999996</v>
      </c>
      <c r="N6">
        <v>4.4509999999999996</v>
      </c>
      <c r="O6" t="s">
        <v>101</v>
      </c>
      <c r="P6" t="s">
        <v>114</v>
      </c>
      <c r="Q6" t="s">
        <v>114</v>
      </c>
      <c r="R6" t="s">
        <v>108</v>
      </c>
    </row>
    <row r="7" spans="1:18" x14ac:dyDescent="0.5">
      <c r="A7" t="str">
        <f>"91282CHT1"</f>
        <v>91282CHT1</v>
      </c>
      <c r="B7" t="s">
        <v>101</v>
      </c>
      <c r="C7" t="s">
        <v>116</v>
      </c>
      <c r="D7" t="s">
        <v>103</v>
      </c>
      <c r="E7">
        <v>3.875</v>
      </c>
      <c r="F7" s="2">
        <v>48806</v>
      </c>
      <c r="G7" t="s">
        <v>101</v>
      </c>
      <c r="H7" t="s">
        <v>104</v>
      </c>
      <c r="I7" t="s">
        <v>105</v>
      </c>
      <c r="J7">
        <v>95.963999999999999</v>
      </c>
      <c r="K7">
        <v>95.989000000000004</v>
      </c>
      <c r="L7">
        <v>4.4509999999999996</v>
      </c>
      <c r="M7">
        <v>4.4470000000000001</v>
      </c>
      <c r="N7">
        <v>4.4470000000000001</v>
      </c>
      <c r="O7" t="s">
        <v>101</v>
      </c>
      <c r="P7" t="s">
        <v>114</v>
      </c>
      <c r="Q7" t="s">
        <v>114</v>
      </c>
      <c r="R7" t="s">
        <v>108</v>
      </c>
    </row>
    <row r="8" spans="1:18" x14ac:dyDescent="0.5">
      <c r="A8" t="str">
        <f>"91282CHC8"</f>
        <v>91282CHC8</v>
      </c>
      <c r="B8" t="s">
        <v>101</v>
      </c>
      <c r="C8" t="s">
        <v>117</v>
      </c>
      <c r="D8" t="s">
        <v>103</v>
      </c>
      <c r="E8">
        <v>3.375</v>
      </c>
      <c r="F8" s="2">
        <v>48714</v>
      </c>
      <c r="G8" t="s">
        <v>101</v>
      </c>
      <c r="H8" t="s">
        <v>104</v>
      </c>
      <c r="I8" t="s">
        <v>105</v>
      </c>
      <c r="J8">
        <v>92.674999999999997</v>
      </c>
      <c r="K8">
        <v>92.718999999999994</v>
      </c>
      <c r="L8">
        <v>4.4459999999999997</v>
      </c>
      <c r="M8">
        <v>4.4390000000000001</v>
      </c>
      <c r="N8">
        <v>4.4390000000000001</v>
      </c>
      <c r="O8" t="s">
        <v>101</v>
      </c>
      <c r="P8" t="s">
        <v>114</v>
      </c>
      <c r="Q8" t="s">
        <v>114</v>
      </c>
      <c r="R8" t="s">
        <v>108</v>
      </c>
    </row>
    <row r="9" spans="1:18" x14ac:dyDescent="0.5">
      <c r="A9" t="str">
        <f>"91282CGM7"</f>
        <v>91282CGM7</v>
      </c>
      <c r="B9" t="s">
        <v>101</v>
      </c>
      <c r="C9" t="s">
        <v>118</v>
      </c>
      <c r="D9" t="s">
        <v>103</v>
      </c>
      <c r="E9">
        <v>3.5</v>
      </c>
      <c r="F9" s="2">
        <v>48625</v>
      </c>
      <c r="G9" t="s">
        <v>101</v>
      </c>
      <c r="H9" t="s">
        <v>104</v>
      </c>
      <c r="I9" t="s">
        <v>105</v>
      </c>
      <c r="J9">
        <v>93.75</v>
      </c>
      <c r="K9">
        <v>93.805000000000007</v>
      </c>
      <c r="L9">
        <v>4.4370000000000003</v>
      </c>
      <c r="M9">
        <v>4.4279999999999999</v>
      </c>
      <c r="N9">
        <v>4.4279999999999999</v>
      </c>
      <c r="O9" t="s">
        <v>101</v>
      </c>
      <c r="P9" t="s">
        <v>114</v>
      </c>
      <c r="Q9" t="s">
        <v>114</v>
      </c>
      <c r="R9" t="s">
        <v>108</v>
      </c>
    </row>
    <row r="10" spans="1:18" x14ac:dyDescent="0.5">
      <c r="A10" t="str">
        <f>"91282CFF3"</f>
        <v>91282CFF3</v>
      </c>
      <c r="B10" t="s">
        <v>101</v>
      </c>
      <c r="C10" t="s">
        <v>119</v>
      </c>
      <c r="D10" t="s">
        <v>103</v>
      </c>
      <c r="E10">
        <v>2.75</v>
      </c>
      <c r="F10" s="2">
        <v>48441</v>
      </c>
      <c r="G10" t="s">
        <v>101</v>
      </c>
      <c r="H10" t="s">
        <v>104</v>
      </c>
      <c r="I10" t="s">
        <v>105</v>
      </c>
      <c r="J10">
        <v>89.41</v>
      </c>
      <c r="K10">
        <v>89.468999999999994</v>
      </c>
      <c r="L10">
        <v>4.4260000000000002</v>
      </c>
      <c r="M10">
        <v>4.4160000000000004</v>
      </c>
      <c r="N10">
        <v>4.4160000000000004</v>
      </c>
      <c r="O10" t="s">
        <v>101</v>
      </c>
      <c r="P10" t="s">
        <v>114</v>
      </c>
      <c r="Q10" t="s">
        <v>114</v>
      </c>
      <c r="R10" t="s">
        <v>108</v>
      </c>
    </row>
    <row r="11" spans="1:18" x14ac:dyDescent="0.5">
      <c r="A11" t="str">
        <f>"91282CEP2"</f>
        <v>91282CEP2</v>
      </c>
      <c r="B11" t="s">
        <v>101</v>
      </c>
      <c r="C11" t="s">
        <v>120</v>
      </c>
      <c r="D11" t="s">
        <v>103</v>
      </c>
      <c r="E11">
        <v>2.875</v>
      </c>
      <c r="F11" s="2">
        <v>48349</v>
      </c>
      <c r="G11" t="s">
        <v>101</v>
      </c>
      <c r="H11" t="s">
        <v>104</v>
      </c>
      <c r="I11" t="s">
        <v>105</v>
      </c>
      <c r="J11">
        <v>90.515000000000001</v>
      </c>
      <c r="K11">
        <v>90.566999999999993</v>
      </c>
      <c r="L11">
        <v>4.42</v>
      </c>
      <c r="M11">
        <v>4.4109999999999996</v>
      </c>
      <c r="N11">
        <v>4.4109999999999996</v>
      </c>
      <c r="O11" t="s">
        <v>101</v>
      </c>
      <c r="P11" t="s">
        <v>114</v>
      </c>
      <c r="Q11" t="s">
        <v>114</v>
      </c>
      <c r="R11" t="s">
        <v>108</v>
      </c>
    </row>
    <row r="12" spans="1:18" x14ac:dyDescent="0.5">
      <c r="A12" t="str">
        <f>"91282CDY4"</f>
        <v>91282CDY4</v>
      </c>
      <c r="B12" t="s">
        <v>101</v>
      </c>
      <c r="C12" t="s">
        <v>121</v>
      </c>
      <c r="D12" t="s">
        <v>103</v>
      </c>
      <c r="E12">
        <v>1.875</v>
      </c>
      <c r="F12" s="2">
        <v>48259</v>
      </c>
      <c r="G12" t="s">
        <v>101</v>
      </c>
      <c r="H12" t="s">
        <v>104</v>
      </c>
      <c r="I12" t="s">
        <v>105</v>
      </c>
      <c r="J12">
        <v>84.850999999999999</v>
      </c>
      <c r="K12">
        <v>84.894999999999996</v>
      </c>
      <c r="L12">
        <v>4.4169999999999998</v>
      </c>
      <c r="M12">
        <v>4.4089999999999998</v>
      </c>
      <c r="N12">
        <v>4.4089999999999998</v>
      </c>
      <c r="O12" t="s">
        <v>101</v>
      </c>
      <c r="P12" t="s">
        <v>122</v>
      </c>
      <c r="Q12" t="s">
        <v>110</v>
      </c>
      <c r="R12" t="s">
        <v>108</v>
      </c>
    </row>
    <row r="13" spans="1:18" x14ac:dyDescent="0.5">
      <c r="A13" t="str">
        <f>"91282CDJ7"</f>
        <v>91282CDJ7</v>
      </c>
      <c r="B13" t="s">
        <v>101</v>
      </c>
      <c r="C13" t="s">
        <v>123</v>
      </c>
      <c r="D13" t="s">
        <v>103</v>
      </c>
      <c r="E13">
        <v>1.375</v>
      </c>
      <c r="F13" s="2">
        <v>48167</v>
      </c>
      <c r="G13" t="s">
        <v>101</v>
      </c>
      <c r="H13" t="s">
        <v>104</v>
      </c>
      <c r="I13" t="s">
        <v>105</v>
      </c>
      <c r="J13">
        <v>82.456999999999994</v>
      </c>
      <c r="K13">
        <v>82.507999999999996</v>
      </c>
      <c r="L13">
        <v>4.4130000000000003</v>
      </c>
      <c r="M13">
        <v>4.4029999999999996</v>
      </c>
      <c r="N13">
        <v>4.4029999999999996</v>
      </c>
      <c r="O13" t="s">
        <v>101</v>
      </c>
      <c r="P13" t="s">
        <v>114</v>
      </c>
      <c r="Q13" t="s">
        <v>114</v>
      </c>
      <c r="R13" t="s">
        <v>108</v>
      </c>
    </row>
    <row r="14" spans="1:18" x14ac:dyDescent="0.5">
      <c r="A14" t="str">
        <f>"91282CFV8"</f>
        <v>91282CFV8</v>
      </c>
      <c r="B14" t="s">
        <v>101</v>
      </c>
      <c r="C14" t="s">
        <v>124</v>
      </c>
      <c r="D14" t="s">
        <v>103</v>
      </c>
      <c r="E14">
        <v>4.125</v>
      </c>
      <c r="F14" s="2">
        <v>48533</v>
      </c>
      <c r="G14" t="s">
        <v>101</v>
      </c>
      <c r="H14" t="s">
        <v>104</v>
      </c>
      <c r="I14" t="s">
        <v>105</v>
      </c>
      <c r="J14">
        <v>98.14</v>
      </c>
      <c r="K14">
        <v>98.188000000000002</v>
      </c>
      <c r="L14">
        <v>4.41</v>
      </c>
      <c r="M14">
        <v>4.4029999999999996</v>
      </c>
      <c r="N14">
        <v>4.4029999999999996</v>
      </c>
      <c r="O14" t="s">
        <v>101</v>
      </c>
      <c r="P14" t="s">
        <v>114</v>
      </c>
      <c r="Q14" t="s">
        <v>114</v>
      </c>
      <c r="R14" t="s">
        <v>108</v>
      </c>
    </row>
    <row r="15" spans="1:18" x14ac:dyDescent="0.5">
      <c r="A15" t="str">
        <f>"91282CMK4"</f>
        <v>91282CMK4</v>
      </c>
      <c r="B15" t="s">
        <v>101</v>
      </c>
      <c r="C15" t="s">
        <v>125</v>
      </c>
      <c r="D15" t="s">
        <v>103</v>
      </c>
      <c r="E15">
        <v>4.375</v>
      </c>
      <c r="F15" s="2">
        <v>48244</v>
      </c>
      <c r="G15" t="s">
        <v>101</v>
      </c>
      <c r="H15" t="s">
        <v>105</v>
      </c>
      <c r="I15" t="s">
        <v>105</v>
      </c>
      <c r="J15">
        <v>99.831999999999994</v>
      </c>
      <c r="K15">
        <v>99.847999999999999</v>
      </c>
      <c r="L15">
        <v>4.4029999999999996</v>
      </c>
      <c r="M15">
        <v>4.4000000000000004</v>
      </c>
      <c r="N15">
        <v>4.4000000000000004</v>
      </c>
      <c r="O15" t="s">
        <v>101</v>
      </c>
      <c r="P15" t="s">
        <v>126</v>
      </c>
      <c r="Q15" t="s">
        <v>126</v>
      </c>
      <c r="R15" t="s">
        <v>108</v>
      </c>
    </row>
    <row r="16" spans="1:18" x14ac:dyDescent="0.5">
      <c r="A16" t="str">
        <f>"91282CLZ2"</f>
        <v>91282CLZ2</v>
      </c>
      <c r="B16" t="s">
        <v>101</v>
      </c>
      <c r="C16" t="s">
        <v>127</v>
      </c>
      <c r="D16" t="s">
        <v>103</v>
      </c>
      <c r="E16">
        <v>4.125</v>
      </c>
      <c r="F16" s="2">
        <v>48182</v>
      </c>
      <c r="G16" t="s">
        <v>101</v>
      </c>
      <c r="H16" t="s">
        <v>104</v>
      </c>
      <c r="I16" t="s">
        <v>105</v>
      </c>
      <c r="J16">
        <v>98.375</v>
      </c>
      <c r="K16">
        <v>98.411000000000001</v>
      </c>
      <c r="L16">
        <v>4.4039999999999999</v>
      </c>
      <c r="M16">
        <v>4.3970000000000002</v>
      </c>
      <c r="N16">
        <v>4.3970000000000002</v>
      </c>
      <c r="O16" t="s">
        <v>101</v>
      </c>
      <c r="P16" t="s">
        <v>128</v>
      </c>
      <c r="Q16" t="s">
        <v>129</v>
      </c>
      <c r="R16" t="s">
        <v>108</v>
      </c>
    </row>
    <row r="17" spans="1:18" x14ac:dyDescent="0.5">
      <c r="A17" t="str">
        <f>"91282CMC2"</f>
        <v>91282CMC2</v>
      </c>
      <c r="B17" t="s">
        <v>101</v>
      </c>
      <c r="C17" t="s">
        <v>130</v>
      </c>
      <c r="D17" t="s">
        <v>103</v>
      </c>
      <c r="E17">
        <v>4.5</v>
      </c>
      <c r="F17" s="2">
        <v>48213</v>
      </c>
      <c r="G17" t="s">
        <v>101</v>
      </c>
      <c r="H17" t="s">
        <v>104</v>
      </c>
      <c r="I17" t="s">
        <v>105</v>
      </c>
      <c r="J17">
        <v>100.578</v>
      </c>
      <c r="K17">
        <v>100.602</v>
      </c>
      <c r="L17">
        <v>4.4009999999999998</v>
      </c>
      <c r="M17">
        <v>4.3959999999999999</v>
      </c>
      <c r="N17">
        <v>4.3959999999999999</v>
      </c>
      <c r="O17" t="s">
        <v>101</v>
      </c>
      <c r="P17" t="s">
        <v>131</v>
      </c>
      <c r="Q17" t="s">
        <v>132</v>
      </c>
      <c r="R17" t="s">
        <v>108</v>
      </c>
    </row>
    <row r="18" spans="1:18" x14ac:dyDescent="0.5">
      <c r="A18" t="str">
        <f>"91282CLU3"</f>
        <v>91282CLU3</v>
      </c>
      <c r="B18" t="s">
        <v>101</v>
      </c>
      <c r="C18" t="s">
        <v>133</v>
      </c>
      <c r="D18" t="s">
        <v>103</v>
      </c>
      <c r="E18">
        <v>4.125</v>
      </c>
      <c r="F18" s="2">
        <v>48152</v>
      </c>
      <c r="G18" t="s">
        <v>101</v>
      </c>
      <c r="H18" t="s">
        <v>104</v>
      </c>
      <c r="I18" t="s">
        <v>105</v>
      </c>
      <c r="J18">
        <v>98.4</v>
      </c>
      <c r="K18">
        <v>98.445999999999998</v>
      </c>
      <c r="L18">
        <v>4.4029999999999996</v>
      </c>
      <c r="M18">
        <v>4.3940000000000001</v>
      </c>
      <c r="N18">
        <v>4.3940000000000001</v>
      </c>
      <c r="O18" t="s">
        <v>101</v>
      </c>
      <c r="P18" t="s">
        <v>134</v>
      </c>
      <c r="Q18" t="s">
        <v>126</v>
      </c>
      <c r="R18" t="s">
        <v>108</v>
      </c>
    </row>
    <row r="19" spans="1:18" x14ac:dyDescent="0.5">
      <c r="A19" t="str">
        <f>"91282CCS8"</f>
        <v>91282CCS8</v>
      </c>
      <c r="B19" t="s">
        <v>101</v>
      </c>
      <c r="C19" t="s">
        <v>135</v>
      </c>
      <c r="D19" t="s">
        <v>103</v>
      </c>
      <c r="E19">
        <v>1.25</v>
      </c>
      <c r="F19" s="2">
        <v>48075</v>
      </c>
      <c r="G19" t="s">
        <v>101</v>
      </c>
      <c r="H19" t="s">
        <v>104</v>
      </c>
      <c r="I19" t="s">
        <v>105</v>
      </c>
      <c r="J19">
        <v>82.36</v>
      </c>
      <c r="K19">
        <v>82.414000000000001</v>
      </c>
      <c r="L19">
        <v>4.4039999999999999</v>
      </c>
      <c r="M19">
        <v>4.3929999999999998</v>
      </c>
      <c r="N19">
        <v>4.3929999999999998</v>
      </c>
      <c r="O19" t="s">
        <v>101</v>
      </c>
      <c r="P19" t="s">
        <v>134</v>
      </c>
      <c r="Q19" t="s">
        <v>134</v>
      </c>
      <c r="R19" t="s">
        <v>108</v>
      </c>
    </row>
    <row r="20" spans="1:18" x14ac:dyDescent="0.5">
      <c r="A20" t="str">
        <f>"91282CLJ8"</f>
        <v>91282CLJ8</v>
      </c>
      <c r="B20" t="s">
        <v>101</v>
      </c>
      <c r="C20" t="s">
        <v>136</v>
      </c>
      <c r="D20" t="s">
        <v>103</v>
      </c>
      <c r="E20">
        <v>3.75</v>
      </c>
      <c r="F20" s="2">
        <v>48091</v>
      </c>
      <c r="G20" t="s">
        <v>101</v>
      </c>
      <c r="H20" t="s">
        <v>105</v>
      </c>
      <c r="I20" t="s">
        <v>105</v>
      </c>
      <c r="J20">
        <v>96.338999999999999</v>
      </c>
      <c r="K20">
        <v>96.382999999999996</v>
      </c>
      <c r="L20">
        <v>4.4009999999999998</v>
      </c>
      <c r="M20">
        <v>4.3929999999999998</v>
      </c>
      <c r="N20">
        <v>4.3929999999999998</v>
      </c>
      <c r="O20" t="s">
        <v>101</v>
      </c>
      <c r="P20" t="s">
        <v>126</v>
      </c>
      <c r="Q20" t="s">
        <v>126</v>
      </c>
      <c r="R20" t="s">
        <v>108</v>
      </c>
    </row>
    <row r="21" spans="1:18" x14ac:dyDescent="0.5">
      <c r="A21" t="str">
        <f>"91282CLM1"</f>
        <v>91282CLM1</v>
      </c>
      <c r="B21" t="s">
        <v>101</v>
      </c>
      <c r="C21" t="s">
        <v>137</v>
      </c>
      <c r="D21" t="s">
        <v>103</v>
      </c>
      <c r="E21">
        <v>3.625</v>
      </c>
      <c r="F21" s="2">
        <v>48121</v>
      </c>
      <c r="G21" t="s">
        <v>101</v>
      </c>
      <c r="H21" t="s">
        <v>105</v>
      </c>
      <c r="I21" t="s">
        <v>105</v>
      </c>
      <c r="J21">
        <v>95.588999999999999</v>
      </c>
      <c r="K21">
        <v>95.626000000000005</v>
      </c>
      <c r="L21">
        <v>4.4000000000000004</v>
      </c>
      <c r="M21">
        <v>4.3929999999999998</v>
      </c>
      <c r="N21">
        <v>4.3929999999999998</v>
      </c>
      <c r="O21" t="s">
        <v>101</v>
      </c>
      <c r="P21" t="s">
        <v>126</v>
      </c>
      <c r="Q21" t="s">
        <v>126</v>
      </c>
      <c r="R21" t="s">
        <v>108</v>
      </c>
    </row>
    <row r="22" spans="1:18" x14ac:dyDescent="0.5">
      <c r="A22" t="str">
        <f>"91282CLD1"</f>
        <v>91282CLD1</v>
      </c>
      <c r="B22" t="s">
        <v>101</v>
      </c>
      <c r="C22" t="s">
        <v>138</v>
      </c>
      <c r="D22" t="s">
        <v>103</v>
      </c>
      <c r="E22">
        <v>4.125</v>
      </c>
      <c r="F22" s="2">
        <v>48060</v>
      </c>
      <c r="G22" t="s">
        <v>101</v>
      </c>
      <c r="H22" t="s">
        <v>104</v>
      </c>
      <c r="I22" t="s">
        <v>105</v>
      </c>
      <c r="J22">
        <v>98.497</v>
      </c>
      <c r="K22">
        <v>98.54</v>
      </c>
      <c r="L22">
        <v>4.3949999999999996</v>
      </c>
      <c r="M22">
        <v>4.3869999999999996</v>
      </c>
      <c r="N22">
        <v>4.3869999999999996</v>
      </c>
      <c r="O22" t="s">
        <v>101</v>
      </c>
      <c r="P22" t="s">
        <v>139</v>
      </c>
      <c r="Q22" t="s">
        <v>140</v>
      </c>
      <c r="R22" t="s">
        <v>108</v>
      </c>
    </row>
    <row r="23" spans="1:18" x14ac:dyDescent="0.5">
      <c r="A23" t="str">
        <f>"91282CKU4"</f>
        <v>91282CKU4</v>
      </c>
      <c r="B23" t="s">
        <v>101</v>
      </c>
      <c r="C23" t="s">
        <v>141</v>
      </c>
      <c r="D23" t="s">
        <v>103</v>
      </c>
      <c r="E23">
        <v>4.625</v>
      </c>
      <c r="F23" s="2">
        <v>47999</v>
      </c>
      <c r="G23" t="s">
        <v>101</v>
      </c>
      <c r="H23" t="s">
        <v>104</v>
      </c>
      <c r="I23" t="s">
        <v>105</v>
      </c>
      <c r="J23">
        <v>101.246</v>
      </c>
      <c r="K23">
        <v>101.29</v>
      </c>
      <c r="L23">
        <v>4.3949999999999996</v>
      </c>
      <c r="M23">
        <v>4.3860000000000001</v>
      </c>
      <c r="N23">
        <v>4.3860000000000001</v>
      </c>
      <c r="O23" t="s">
        <v>101</v>
      </c>
      <c r="P23" t="s">
        <v>142</v>
      </c>
      <c r="Q23" t="s">
        <v>142</v>
      </c>
      <c r="R23" t="s">
        <v>108</v>
      </c>
    </row>
    <row r="24" spans="1:18" x14ac:dyDescent="0.5">
      <c r="A24" t="str">
        <f>"91282CKW0"</f>
        <v>91282CKW0</v>
      </c>
      <c r="B24" t="s">
        <v>101</v>
      </c>
      <c r="C24" t="s">
        <v>143</v>
      </c>
      <c r="D24" t="s">
        <v>103</v>
      </c>
      <c r="E24">
        <v>4.25</v>
      </c>
      <c r="F24" s="2">
        <v>48029</v>
      </c>
      <c r="G24" t="s">
        <v>101</v>
      </c>
      <c r="H24" t="s">
        <v>104</v>
      </c>
      <c r="I24" t="s">
        <v>105</v>
      </c>
      <c r="J24">
        <v>99.21</v>
      </c>
      <c r="K24">
        <v>99.257999999999996</v>
      </c>
      <c r="L24">
        <v>4.3929999999999998</v>
      </c>
      <c r="M24">
        <v>4.3840000000000003</v>
      </c>
      <c r="N24">
        <v>4.3840000000000003</v>
      </c>
      <c r="O24" t="s">
        <v>101</v>
      </c>
      <c r="P24" t="s">
        <v>140</v>
      </c>
      <c r="Q24" t="s">
        <v>144</v>
      </c>
      <c r="R24" t="s">
        <v>108</v>
      </c>
    </row>
    <row r="25" spans="1:18" x14ac:dyDescent="0.5">
      <c r="A25" t="str">
        <f>"91282CKF7"</f>
        <v>91282CKF7</v>
      </c>
      <c r="B25" t="s">
        <v>101</v>
      </c>
      <c r="C25" t="s">
        <v>145</v>
      </c>
      <c r="D25" t="s">
        <v>103</v>
      </c>
      <c r="E25">
        <v>4.125</v>
      </c>
      <c r="F25" s="2">
        <v>47938</v>
      </c>
      <c r="G25" t="s">
        <v>101</v>
      </c>
      <c r="H25" t="s">
        <v>104</v>
      </c>
      <c r="I25" t="s">
        <v>105</v>
      </c>
      <c r="J25">
        <v>98.591999999999999</v>
      </c>
      <c r="K25">
        <v>98.632999999999996</v>
      </c>
      <c r="L25">
        <v>4.3890000000000002</v>
      </c>
      <c r="M25">
        <v>4.3810000000000002</v>
      </c>
      <c r="N25">
        <v>4.3810000000000002</v>
      </c>
      <c r="O25" t="s">
        <v>101</v>
      </c>
      <c r="P25" t="s">
        <v>134</v>
      </c>
      <c r="Q25" t="s">
        <v>142</v>
      </c>
      <c r="R25" t="s">
        <v>108</v>
      </c>
    </row>
    <row r="26" spans="1:18" x14ac:dyDescent="0.5">
      <c r="A26" t="str">
        <f>"91282CCB5"</f>
        <v>91282CCB5</v>
      </c>
      <c r="B26" t="s">
        <v>101</v>
      </c>
      <c r="C26" t="s">
        <v>146</v>
      </c>
      <c r="D26" t="s">
        <v>103</v>
      </c>
      <c r="E26">
        <v>1.625</v>
      </c>
      <c r="F26" s="2">
        <v>47983</v>
      </c>
      <c r="G26" t="s">
        <v>101</v>
      </c>
      <c r="H26" t="s">
        <v>104</v>
      </c>
      <c r="I26" t="s">
        <v>105</v>
      </c>
      <c r="J26">
        <v>85.04</v>
      </c>
      <c r="K26">
        <v>85.093999999999994</v>
      </c>
      <c r="L26">
        <v>4.3929999999999998</v>
      </c>
      <c r="M26">
        <v>4.3810000000000002</v>
      </c>
      <c r="N26">
        <v>4.3810000000000002</v>
      </c>
      <c r="O26" t="s">
        <v>101</v>
      </c>
      <c r="P26" t="s">
        <v>134</v>
      </c>
      <c r="Q26" t="s">
        <v>134</v>
      </c>
      <c r="R26" t="s">
        <v>108</v>
      </c>
    </row>
    <row r="27" spans="1:18" x14ac:dyDescent="0.5">
      <c r="A27" t="str">
        <f>"91282CKN0"</f>
        <v>91282CKN0</v>
      </c>
      <c r="B27" t="s">
        <v>101</v>
      </c>
      <c r="C27" t="s">
        <v>147</v>
      </c>
      <c r="D27" t="s">
        <v>103</v>
      </c>
      <c r="E27">
        <v>4.625</v>
      </c>
      <c r="F27" s="2">
        <v>47968</v>
      </c>
      <c r="G27" t="s">
        <v>101</v>
      </c>
      <c r="H27" t="s">
        <v>104</v>
      </c>
      <c r="I27" t="s">
        <v>105</v>
      </c>
      <c r="J27">
        <v>101.26</v>
      </c>
      <c r="K27">
        <v>101.31399999999999</v>
      </c>
      <c r="L27">
        <v>4.3890000000000002</v>
      </c>
      <c r="M27">
        <v>4.3789999999999996</v>
      </c>
      <c r="N27">
        <v>4.3789999999999996</v>
      </c>
      <c r="O27" t="s">
        <v>101</v>
      </c>
      <c r="P27" t="s">
        <v>148</v>
      </c>
      <c r="Q27" t="s">
        <v>148</v>
      </c>
      <c r="R27" t="s">
        <v>108</v>
      </c>
    </row>
    <row r="28" spans="1:18" x14ac:dyDescent="0.5">
      <c r="A28" t="str">
        <f>"91282CJQ5"</f>
        <v>91282CJQ5</v>
      </c>
      <c r="B28" t="s">
        <v>101</v>
      </c>
      <c r="C28" t="s">
        <v>149</v>
      </c>
      <c r="D28" t="s">
        <v>103</v>
      </c>
      <c r="E28">
        <v>3.75</v>
      </c>
      <c r="F28" s="2">
        <v>47848</v>
      </c>
      <c r="G28" t="s">
        <v>101</v>
      </c>
      <c r="H28" t="s">
        <v>104</v>
      </c>
      <c r="I28" t="s">
        <v>105</v>
      </c>
      <c r="J28">
        <v>96.759</v>
      </c>
      <c r="K28">
        <v>96.793999999999997</v>
      </c>
      <c r="L28">
        <v>4.3819999999999997</v>
      </c>
      <c r="M28">
        <v>4.375</v>
      </c>
      <c r="N28">
        <v>4.375</v>
      </c>
      <c r="O28" t="s">
        <v>101</v>
      </c>
      <c r="P28" t="s">
        <v>148</v>
      </c>
      <c r="Q28" t="s">
        <v>150</v>
      </c>
      <c r="R28" t="s">
        <v>108</v>
      </c>
    </row>
    <row r="29" spans="1:18" x14ac:dyDescent="0.5">
      <c r="A29" t="str">
        <f>"91282CKC4"</f>
        <v>91282CKC4</v>
      </c>
      <c r="B29" t="s">
        <v>101</v>
      </c>
      <c r="C29" t="s">
        <v>151</v>
      </c>
      <c r="D29" t="s">
        <v>103</v>
      </c>
      <c r="E29">
        <v>4.25</v>
      </c>
      <c r="F29" s="2">
        <v>47907</v>
      </c>
      <c r="G29" t="s">
        <v>101</v>
      </c>
      <c r="H29" t="s">
        <v>104</v>
      </c>
      <c r="I29" t="s">
        <v>105</v>
      </c>
      <c r="J29">
        <v>99.286000000000001</v>
      </c>
      <c r="K29">
        <v>99.338999999999999</v>
      </c>
      <c r="L29">
        <v>4.3860000000000001</v>
      </c>
      <c r="M29">
        <v>4.375</v>
      </c>
      <c r="N29">
        <v>4.375</v>
      </c>
      <c r="O29" t="s">
        <v>101</v>
      </c>
      <c r="P29" t="s">
        <v>134</v>
      </c>
      <c r="Q29" t="s">
        <v>134</v>
      </c>
      <c r="R29" t="s">
        <v>108</v>
      </c>
    </row>
    <row r="30" spans="1:18" x14ac:dyDescent="0.5">
      <c r="A30" t="str">
        <f>"91282CJX0"</f>
        <v>91282CJX0</v>
      </c>
      <c r="B30" t="s">
        <v>101</v>
      </c>
      <c r="C30" t="s">
        <v>152</v>
      </c>
      <c r="D30" t="s">
        <v>103</v>
      </c>
      <c r="E30">
        <v>4</v>
      </c>
      <c r="F30" s="2">
        <v>47879</v>
      </c>
      <c r="G30" t="s">
        <v>101</v>
      </c>
      <c r="H30" t="s">
        <v>104</v>
      </c>
      <c r="I30" t="s">
        <v>105</v>
      </c>
      <c r="J30">
        <v>98.019000000000005</v>
      </c>
      <c r="K30">
        <v>98.070999999999998</v>
      </c>
      <c r="L30">
        <v>4.3810000000000002</v>
      </c>
      <c r="M30">
        <v>4.3710000000000004</v>
      </c>
      <c r="N30">
        <v>4.3710000000000004</v>
      </c>
      <c r="O30" t="s">
        <v>101</v>
      </c>
      <c r="P30" t="s">
        <v>142</v>
      </c>
      <c r="Q30" t="s">
        <v>153</v>
      </c>
      <c r="R30" t="s">
        <v>108</v>
      </c>
    </row>
    <row r="31" spans="1:18" x14ac:dyDescent="0.5">
      <c r="A31" t="str">
        <f>"91282CJM4"</f>
        <v>91282CJM4</v>
      </c>
      <c r="B31" t="s">
        <v>101</v>
      </c>
      <c r="C31" t="s">
        <v>154</v>
      </c>
      <c r="D31" t="s">
        <v>103</v>
      </c>
      <c r="E31">
        <v>4.375</v>
      </c>
      <c r="F31" s="2">
        <v>47817</v>
      </c>
      <c r="G31" t="s">
        <v>101</v>
      </c>
      <c r="H31" t="s">
        <v>104</v>
      </c>
      <c r="I31" t="s">
        <v>105</v>
      </c>
      <c r="J31">
        <v>99.971999999999994</v>
      </c>
      <c r="K31">
        <v>100.01600000000001</v>
      </c>
      <c r="L31">
        <v>4.3789999999999996</v>
      </c>
      <c r="M31">
        <v>4.37</v>
      </c>
      <c r="N31">
        <v>4.37</v>
      </c>
      <c r="O31" t="s">
        <v>101</v>
      </c>
      <c r="P31" t="s">
        <v>142</v>
      </c>
      <c r="Q31" t="s">
        <v>142</v>
      </c>
      <c r="R31" t="s">
        <v>108</v>
      </c>
    </row>
    <row r="32" spans="1:18" x14ac:dyDescent="0.5">
      <c r="A32" t="str">
        <f>"91282CJG7"</f>
        <v>91282CJG7</v>
      </c>
      <c r="B32" t="s">
        <v>101</v>
      </c>
      <c r="C32" t="s">
        <v>155</v>
      </c>
      <c r="D32" t="s">
        <v>103</v>
      </c>
      <c r="E32">
        <v>4.875</v>
      </c>
      <c r="F32" s="2">
        <v>47787</v>
      </c>
      <c r="G32" t="s">
        <v>101</v>
      </c>
      <c r="H32" t="s">
        <v>104</v>
      </c>
      <c r="I32" t="s">
        <v>105</v>
      </c>
      <c r="J32">
        <v>102.496</v>
      </c>
      <c r="K32">
        <v>102.547</v>
      </c>
      <c r="L32">
        <v>4.3739999999999997</v>
      </c>
      <c r="M32">
        <v>4.3630000000000004</v>
      </c>
      <c r="N32">
        <v>4.3630000000000004</v>
      </c>
      <c r="O32" t="s">
        <v>101</v>
      </c>
      <c r="P32" t="s">
        <v>142</v>
      </c>
      <c r="Q32" t="s">
        <v>156</v>
      </c>
      <c r="R32" t="s">
        <v>108</v>
      </c>
    </row>
    <row r="33" spans="1:18" x14ac:dyDescent="0.5">
      <c r="A33" t="str">
        <f>"91282CHW4"</f>
        <v>91282CHW4</v>
      </c>
      <c r="B33" t="s">
        <v>101</v>
      </c>
      <c r="C33" t="s">
        <v>157</v>
      </c>
      <c r="D33" t="s">
        <v>103</v>
      </c>
      <c r="E33">
        <v>4.125</v>
      </c>
      <c r="F33" s="2">
        <v>47726</v>
      </c>
      <c r="G33" t="s">
        <v>101</v>
      </c>
      <c r="H33" t="s">
        <v>104</v>
      </c>
      <c r="I33" t="s">
        <v>105</v>
      </c>
      <c r="J33">
        <v>98.796000000000006</v>
      </c>
      <c r="K33">
        <v>98.846000000000004</v>
      </c>
      <c r="L33">
        <v>4.3719999999999999</v>
      </c>
      <c r="M33">
        <v>4.3620000000000001</v>
      </c>
      <c r="N33">
        <v>4.3620000000000001</v>
      </c>
      <c r="O33" t="s">
        <v>101</v>
      </c>
      <c r="P33" t="s">
        <v>142</v>
      </c>
      <c r="Q33" t="s">
        <v>148</v>
      </c>
      <c r="R33" t="s">
        <v>108</v>
      </c>
    </row>
    <row r="34" spans="1:18" x14ac:dyDescent="0.5">
      <c r="A34" t="str">
        <f>"91282CHZ7"</f>
        <v>91282CHZ7</v>
      </c>
      <c r="B34" t="s">
        <v>101</v>
      </c>
      <c r="C34" t="s">
        <v>158</v>
      </c>
      <c r="D34" t="s">
        <v>103</v>
      </c>
      <c r="E34">
        <v>4.625</v>
      </c>
      <c r="F34" s="2">
        <v>47756</v>
      </c>
      <c r="G34" t="s">
        <v>101</v>
      </c>
      <c r="H34" t="s">
        <v>104</v>
      </c>
      <c r="I34" t="s">
        <v>105</v>
      </c>
      <c r="J34">
        <v>101.246</v>
      </c>
      <c r="K34">
        <v>101.29</v>
      </c>
      <c r="L34">
        <v>4.3710000000000004</v>
      </c>
      <c r="M34">
        <v>4.3620000000000001</v>
      </c>
      <c r="N34">
        <v>4.3620000000000001</v>
      </c>
      <c r="O34" t="s">
        <v>101</v>
      </c>
      <c r="P34" t="s">
        <v>142</v>
      </c>
      <c r="Q34" t="s">
        <v>142</v>
      </c>
      <c r="R34" t="s">
        <v>108</v>
      </c>
    </row>
    <row r="35" spans="1:18" x14ac:dyDescent="0.5">
      <c r="A35" t="str">
        <f>"91282CHR5"</f>
        <v>91282CHR5</v>
      </c>
      <c r="B35" t="s">
        <v>101</v>
      </c>
      <c r="C35" t="s">
        <v>159</v>
      </c>
      <c r="D35" t="s">
        <v>103</v>
      </c>
      <c r="E35">
        <v>4</v>
      </c>
      <c r="F35" s="2">
        <v>47695</v>
      </c>
      <c r="G35" t="s">
        <v>101</v>
      </c>
      <c r="H35" t="s">
        <v>104</v>
      </c>
      <c r="I35" t="s">
        <v>105</v>
      </c>
      <c r="J35">
        <v>98.233999999999995</v>
      </c>
      <c r="K35">
        <v>98.278000000000006</v>
      </c>
      <c r="L35">
        <v>4.367</v>
      </c>
      <c r="M35">
        <v>4.3579999999999997</v>
      </c>
      <c r="N35">
        <v>4.3579999999999997</v>
      </c>
      <c r="O35" t="s">
        <v>101</v>
      </c>
      <c r="P35" t="s">
        <v>142</v>
      </c>
      <c r="Q35" t="s">
        <v>142</v>
      </c>
      <c r="R35" t="s">
        <v>108</v>
      </c>
    </row>
    <row r="36" spans="1:18" x14ac:dyDescent="0.5">
      <c r="A36" t="str">
        <f>"91282CHJ3"</f>
        <v>91282CHJ3</v>
      </c>
      <c r="B36" t="s">
        <v>101</v>
      </c>
      <c r="C36" t="s">
        <v>160</v>
      </c>
      <c r="D36" t="s">
        <v>103</v>
      </c>
      <c r="E36">
        <v>3.75</v>
      </c>
      <c r="F36" s="2">
        <v>47664</v>
      </c>
      <c r="G36" t="s">
        <v>101</v>
      </c>
      <c r="H36" t="s">
        <v>104</v>
      </c>
      <c r="I36" t="s">
        <v>105</v>
      </c>
      <c r="J36">
        <v>97.093000000000004</v>
      </c>
      <c r="K36">
        <v>97.132999999999996</v>
      </c>
      <c r="L36">
        <v>4.3630000000000004</v>
      </c>
      <c r="M36">
        <v>4.3540000000000001</v>
      </c>
      <c r="N36">
        <v>4.3540000000000001</v>
      </c>
      <c r="O36" t="s">
        <v>101</v>
      </c>
      <c r="P36" t="s">
        <v>142</v>
      </c>
      <c r="Q36" t="s">
        <v>142</v>
      </c>
      <c r="R36" t="s">
        <v>108</v>
      </c>
    </row>
    <row r="37" spans="1:18" x14ac:dyDescent="0.5">
      <c r="A37" t="str">
        <f>"91282CAE1"</f>
        <v>91282CAE1</v>
      </c>
      <c r="B37" t="s">
        <v>101</v>
      </c>
      <c r="C37" t="s">
        <v>161</v>
      </c>
      <c r="D37" t="s">
        <v>103</v>
      </c>
      <c r="E37">
        <v>0.625</v>
      </c>
      <c r="F37" s="2">
        <v>47710</v>
      </c>
      <c r="G37" t="s">
        <v>101</v>
      </c>
      <c r="H37" t="s">
        <v>104</v>
      </c>
      <c r="I37" t="s">
        <v>105</v>
      </c>
      <c r="J37">
        <v>81.900999999999996</v>
      </c>
      <c r="K37">
        <v>81.966999999999999</v>
      </c>
      <c r="L37">
        <v>4.367</v>
      </c>
      <c r="M37">
        <v>4.3520000000000003</v>
      </c>
      <c r="N37">
        <v>4.3520000000000003</v>
      </c>
      <c r="O37" t="s">
        <v>101</v>
      </c>
      <c r="P37" t="s">
        <v>148</v>
      </c>
      <c r="Q37" t="s">
        <v>148</v>
      </c>
      <c r="R37" t="s">
        <v>108</v>
      </c>
    </row>
    <row r="38" spans="1:18" x14ac:dyDescent="0.5">
      <c r="A38" t="str">
        <f>"91282CHF1"</f>
        <v>91282CHF1</v>
      </c>
      <c r="B38" t="s">
        <v>101</v>
      </c>
      <c r="C38" t="s">
        <v>162</v>
      </c>
      <c r="D38" t="s">
        <v>103</v>
      </c>
      <c r="E38">
        <v>3.75</v>
      </c>
      <c r="F38" s="2">
        <v>47634</v>
      </c>
      <c r="G38" t="s">
        <v>101</v>
      </c>
      <c r="H38" t="s">
        <v>104</v>
      </c>
      <c r="I38" t="s">
        <v>105</v>
      </c>
      <c r="J38">
        <v>97.132000000000005</v>
      </c>
      <c r="K38">
        <v>97.191999999999993</v>
      </c>
      <c r="L38">
        <v>4.3630000000000004</v>
      </c>
      <c r="M38">
        <v>4.3499999999999996</v>
      </c>
      <c r="N38">
        <v>4.3499999999999996</v>
      </c>
      <c r="O38" t="s">
        <v>101</v>
      </c>
      <c r="P38" t="s">
        <v>142</v>
      </c>
      <c r="Q38" t="s">
        <v>142</v>
      </c>
      <c r="R38" t="s">
        <v>108</v>
      </c>
    </row>
    <row r="39" spans="1:18" x14ac:dyDescent="0.5">
      <c r="A39" t="str">
        <f>"91282CGZ8"</f>
        <v>91282CGZ8</v>
      </c>
      <c r="B39" t="s">
        <v>101</v>
      </c>
      <c r="C39" t="s">
        <v>163</v>
      </c>
      <c r="D39" t="s">
        <v>103</v>
      </c>
      <c r="E39">
        <v>3.5</v>
      </c>
      <c r="F39" s="2">
        <v>47603</v>
      </c>
      <c r="G39" t="s">
        <v>101</v>
      </c>
      <c r="H39" t="s">
        <v>104</v>
      </c>
      <c r="I39" t="s">
        <v>105</v>
      </c>
      <c r="J39">
        <v>96.034999999999997</v>
      </c>
      <c r="K39">
        <v>96.087000000000003</v>
      </c>
      <c r="L39">
        <v>4.3600000000000003</v>
      </c>
      <c r="M39">
        <v>4.3479999999999999</v>
      </c>
      <c r="N39">
        <v>4.3479999999999999</v>
      </c>
      <c r="O39" t="s">
        <v>101</v>
      </c>
      <c r="P39" t="s">
        <v>142</v>
      </c>
      <c r="Q39" t="s">
        <v>164</v>
      </c>
      <c r="R39" t="s">
        <v>108</v>
      </c>
    </row>
    <row r="40" spans="1:18" x14ac:dyDescent="0.5">
      <c r="A40" t="str">
        <f>"912828ZQ6"</f>
        <v>912828ZQ6</v>
      </c>
      <c r="B40" t="s">
        <v>101</v>
      </c>
      <c r="C40" t="s">
        <v>165</v>
      </c>
      <c r="D40" t="s">
        <v>103</v>
      </c>
      <c r="E40">
        <v>0.625</v>
      </c>
      <c r="F40" s="2">
        <v>47618</v>
      </c>
      <c r="G40" t="s">
        <v>101</v>
      </c>
      <c r="H40" t="s">
        <v>104</v>
      </c>
      <c r="I40" t="s">
        <v>105</v>
      </c>
      <c r="J40">
        <v>82.662999999999997</v>
      </c>
      <c r="K40">
        <v>82.728999999999999</v>
      </c>
      <c r="L40">
        <v>4.3630000000000004</v>
      </c>
      <c r="M40">
        <v>4.3470000000000004</v>
      </c>
      <c r="N40">
        <v>4.3470000000000004</v>
      </c>
      <c r="O40" t="s">
        <v>101</v>
      </c>
      <c r="P40" t="s">
        <v>148</v>
      </c>
      <c r="Q40" t="s">
        <v>148</v>
      </c>
      <c r="R40" t="s">
        <v>108</v>
      </c>
    </row>
    <row r="41" spans="1:18" x14ac:dyDescent="0.5">
      <c r="A41" t="str">
        <f>"91282CAV3"</f>
        <v>91282CAV3</v>
      </c>
      <c r="B41" t="s">
        <v>101</v>
      </c>
      <c r="C41" t="s">
        <v>166</v>
      </c>
      <c r="D41" t="s">
        <v>103</v>
      </c>
      <c r="E41">
        <v>0.875</v>
      </c>
      <c r="F41" s="2">
        <v>47802</v>
      </c>
      <c r="G41" t="s">
        <v>101</v>
      </c>
      <c r="H41" t="s">
        <v>104</v>
      </c>
      <c r="I41" t="s">
        <v>105</v>
      </c>
      <c r="J41">
        <v>82.471999999999994</v>
      </c>
      <c r="K41">
        <v>82.537999999999997</v>
      </c>
      <c r="L41">
        <v>4.3609999999999998</v>
      </c>
      <c r="M41">
        <v>4.3460000000000001</v>
      </c>
      <c r="N41">
        <v>4.3460000000000001</v>
      </c>
      <c r="O41" t="s">
        <v>101</v>
      </c>
      <c r="P41" t="s">
        <v>167</v>
      </c>
      <c r="Q41" t="s">
        <v>167</v>
      </c>
      <c r="R41" t="s">
        <v>108</v>
      </c>
    </row>
    <row r="42" spans="1:18" x14ac:dyDescent="0.5">
      <c r="A42" t="str">
        <f>"91282CGS4"</f>
        <v>91282CGS4</v>
      </c>
      <c r="B42" t="s">
        <v>101</v>
      </c>
      <c r="C42" t="s">
        <v>168</v>
      </c>
      <c r="D42" t="s">
        <v>103</v>
      </c>
      <c r="E42">
        <v>3.625</v>
      </c>
      <c r="F42" s="2">
        <v>47573</v>
      </c>
      <c r="G42" t="s">
        <v>101</v>
      </c>
      <c r="H42" t="s">
        <v>104</v>
      </c>
      <c r="I42" t="s">
        <v>105</v>
      </c>
      <c r="J42">
        <v>96.674999999999997</v>
      </c>
      <c r="K42">
        <v>96.727000000000004</v>
      </c>
      <c r="L42">
        <v>4.3570000000000002</v>
      </c>
      <c r="M42">
        <v>4.3449999999999998</v>
      </c>
      <c r="N42">
        <v>4.3449999999999998</v>
      </c>
      <c r="O42" t="s">
        <v>101</v>
      </c>
      <c r="P42" t="s">
        <v>142</v>
      </c>
      <c r="Q42" t="s">
        <v>142</v>
      </c>
      <c r="R42" t="s">
        <v>108</v>
      </c>
    </row>
    <row r="43" spans="1:18" x14ac:dyDescent="0.5">
      <c r="A43" t="str">
        <f>"91282CGJ4"</f>
        <v>91282CGJ4</v>
      </c>
      <c r="B43" t="s">
        <v>101</v>
      </c>
      <c r="C43" t="s">
        <v>169</v>
      </c>
      <c r="D43" t="s">
        <v>103</v>
      </c>
      <c r="E43">
        <v>3.5</v>
      </c>
      <c r="F43" s="2">
        <v>47514</v>
      </c>
      <c r="G43" t="s">
        <v>101</v>
      </c>
      <c r="H43" t="s">
        <v>104</v>
      </c>
      <c r="I43" t="s">
        <v>105</v>
      </c>
      <c r="J43">
        <v>96.245999999999995</v>
      </c>
      <c r="K43">
        <v>96.281999999999996</v>
      </c>
      <c r="L43">
        <v>4.351</v>
      </c>
      <c r="M43">
        <v>4.3419999999999996</v>
      </c>
      <c r="N43">
        <v>4.3419999999999996</v>
      </c>
      <c r="O43" t="s">
        <v>101</v>
      </c>
      <c r="P43" t="s">
        <v>142</v>
      </c>
      <c r="Q43" t="s">
        <v>142</v>
      </c>
      <c r="R43" t="s">
        <v>108</v>
      </c>
    </row>
    <row r="44" spans="1:18" x14ac:dyDescent="0.5">
      <c r="A44" t="str">
        <f>"91282CAJ0"</f>
        <v>91282CAJ0</v>
      </c>
      <c r="B44" t="s">
        <v>101</v>
      </c>
      <c r="C44" t="s">
        <v>170</v>
      </c>
      <c r="D44" t="s">
        <v>103</v>
      </c>
      <c r="E44">
        <v>0.25</v>
      </c>
      <c r="F44" s="2">
        <v>45900</v>
      </c>
      <c r="G44" t="s">
        <v>101</v>
      </c>
      <c r="H44" t="s">
        <v>104</v>
      </c>
      <c r="I44" t="s">
        <v>105</v>
      </c>
      <c r="J44">
        <v>97.863</v>
      </c>
      <c r="K44">
        <v>97.888999999999996</v>
      </c>
      <c r="L44">
        <v>4.391</v>
      </c>
      <c r="M44">
        <v>4.34</v>
      </c>
      <c r="N44">
        <v>4.34</v>
      </c>
      <c r="O44" t="s">
        <v>101</v>
      </c>
      <c r="P44" t="s">
        <v>171</v>
      </c>
      <c r="Q44" t="s">
        <v>172</v>
      </c>
      <c r="R44" t="s">
        <v>108</v>
      </c>
    </row>
    <row r="45" spans="1:18" x14ac:dyDescent="0.5">
      <c r="A45" t="str">
        <f>"91282CGB1"</f>
        <v>91282CGB1</v>
      </c>
      <c r="B45" t="s">
        <v>101</v>
      </c>
      <c r="C45" t="s">
        <v>173</v>
      </c>
      <c r="D45" t="s">
        <v>103</v>
      </c>
      <c r="E45">
        <v>3.875</v>
      </c>
      <c r="F45" s="2">
        <v>47483</v>
      </c>
      <c r="G45" t="s">
        <v>101</v>
      </c>
      <c r="H45" t="s">
        <v>104</v>
      </c>
      <c r="I45" t="s">
        <v>105</v>
      </c>
      <c r="J45">
        <v>97.921000000000006</v>
      </c>
      <c r="K45">
        <v>97.972999999999999</v>
      </c>
      <c r="L45">
        <v>4.3529999999999998</v>
      </c>
      <c r="M45">
        <v>4.34</v>
      </c>
      <c r="N45">
        <v>4.34</v>
      </c>
      <c r="O45" t="s">
        <v>101</v>
      </c>
      <c r="P45" t="s">
        <v>174</v>
      </c>
      <c r="Q45" t="s">
        <v>175</v>
      </c>
      <c r="R45" t="s">
        <v>108</v>
      </c>
    </row>
    <row r="46" spans="1:18" x14ac:dyDescent="0.5">
      <c r="A46" t="str">
        <f>"91282CGQ8"</f>
        <v>91282CGQ8</v>
      </c>
      <c r="B46" t="s">
        <v>101</v>
      </c>
      <c r="C46" t="s">
        <v>176</v>
      </c>
      <c r="D46" t="s">
        <v>103</v>
      </c>
      <c r="E46">
        <v>4</v>
      </c>
      <c r="F46" s="2">
        <v>47542</v>
      </c>
      <c r="G46" t="s">
        <v>101</v>
      </c>
      <c r="H46" t="s">
        <v>104</v>
      </c>
      <c r="I46" t="s">
        <v>105</v>
      </c>
      <c r="J46">
        <v>98.417000000000002</v>
      </c>
      <c r="K46">
        <v>98.474999999999994</v>
      </c>
      <c r="L46">
        <v>4.3540000000000001</v>
      </c>
      <c r="M46">
        <v>4.34</v>
      </c>
      <c r="N46">
        <v>4.34</v>
      </c>
      <c r="O46" t="s">
        <v>101</v>
      </c>
      <c r="P46" t="s">
        <v>142</v>
      </c>
      <c r="Q46" t="s">
        <v>148</v>
      </c>
      <c r="R46" t="s">
        <v>108</v>
      </c>
    </row>
    <row r="47" spans="1:18" x14ac:dyDescent="0.5">
      <c r="A47" t="str">
        <f>"9128284Z0"</f>
        <v>9128284Z0</v>
      </c>
      <c r="B47" t="s">
        <v>101</v>
      </c>
      <c r="C47" t="s">
        <v>177</v>
      </c>
      <c r="D47" t="s">
        <v>103</v>
      </c>
      <c r="E47">
        <v>2.75</v>
      </c>
      <c r="F47" s="2">
        <v>45900</v>
      </c>
      <c r="G47" t="s">
        <v>101</v>
      </c>
      <c r="H47" t="s">
        <v>104</v>
      </c>
      <c r="I47" t="s">
        <v>105</v>
      </c>
      <c r="J47">
        <v>99.152000000000001</v>
      </c>
      <c r="K47">
        <v>99.18</v>
      </c>
      <c r="L47">
        <v>4.391</v>
      </c>
      <c r="M47">
        <v>4.3369999999999997</v>
      </c>
      <c r="N47">
        <v>4.3369999999999997</v>
      </c>
      <c r="O47" t="s">
        <v>101</v>
      </c>
      <c r="P47" t="s">
        <v>178</v>
      </c>
      <c r="Q47" t="s">
        <v>171</v>
      </c>
      <c r="R47" t="s">
        <v>108</v>
      </c>
    </row>
    <row r="48" spans="1:18" x14ac:dyDescent="0.5">
      <c r="A48" t="str">
        <f>"91282CBL4"</f>
        <v>91282CBL4</v>
      </c>
      <c r="B48" t="s">
        <v>101</v>
      </c>
      <c r="C48" t="s">
        <v>179</v>
      </c>
      <c r="D48" t="s">
        <v>103</v>
      </c>
      <c r="E48">
        <v>1.125</v>
      </c>
      <c r="F48" s="2">
        <v>47894</v>
      </c>
      <c r="G48" t="s">
        <v>101</v>
      </c>
      <c r="H48" t="s">
        <v>104</v>
      </c>
      <c r="I48" t="s">
        <v>105</v>
      </c>
      <c r="J48">
        <v>83.144000000000005</v>
      </c>
      <c r="K48">
        <v>83.21</v>
      </c>
      <c r="L48">
        <v>4.351</v>
      </c>
      <c r="M48">
        <v>4.3369999999999997</v>
      </c>
      <c r="N48">
        <v>4.3369999999999997</v>
      </c>
      <c r="O48" t="s">
        <v>101</v>
      </c>
      <c r="P48" t="s">
        <v>134</v>
      </c>
      <c r="Q48" t="s">
        <v>134</v>
      </c>
      <c r="R48" t="s">
        <v>108</v>
      </c>
    </row>
    <row r="49" spans="1:18" x14ac:dyDescent="0.5">
      <c r="A49" t="str">
        <f>"91282CFY2"</f>
        <v>91282CFY2</v>
      </c>
      <c r="B49" t="s">
        <v>101</v>
      </c>
      <c r="C49" t="s">
        <v>180</v>
      </c>
      <c r="D49" t="s">
        <v>103</v>
      </c>
      <c r="E49">
        <v>3.875</v>
      </c>
      <c r="F49" s="2">
        <v>47452</v>
      </c>
      <c r="G49" t="s">
        <v>101</v>
      </c>
      <c r="H49" t="s">
        <v>104</v>
      </c>
      <c r="I49" t="s">
        <v>105</v>
      </c>
      <c r="J49">
        <v>97.98</v>
      </c>
      <c r="K49">
        <v>98.028000000000006</v>
      </c>
      <c r="L49">
        <v>4.3460000000000001</v>
      </c>
      <c r="M49">
        <v>4.335</v>
      </c>
      <c r="N49">
        <v>4.335</v>
      </c>
      <c r="O49" t="s">
        <v>101</v>
      </c>
      <c r="P49" t="s">
        <v>142</v>
      </c>
      <c r="Q49" t="s">
        <v>142</v>
      </c>
      <c r="R49" t="s">
        <v>108</v>
      </c>
    </row>
    <row r="50" spans="1:18" x14ac:dyDescent="0.5">
      <c r="A50" t="str">
        <f>"912828Z94"</f>
        <v>912828Z94</v>
      </c>
      <c r="B50" t="s">
        <v>101</v>
      </c>
      <c r="C50" t="s">
        <v>181</v>
      </c>
      <c r="D50" t="s">
        <v>103</v>
      </c>
      <c r="E50">
        <v>1.5</v>
      </c>
      <c r="F50" s="2">
        <v>47529</v>
      </c>
      <c r="G50" t="s">
        <v>101</v>
      </c>
      <c r="H50" t="s">
        <v>104</v>
      </c>
      <c r="I50" t="s">
        <v>182</v>
      </c>
      <c r="J50">
        <v>87.338999999999999</v>
      </c>
      <c r="K50">
        <v>87.403999999999996</v>
      </c>
      <c r="L50">
        <v>4.3490000000000002</v>
      </c>
      <c r="M50">
        <v>4.3330000000000002</v>
      </c>
      <c r="N50">
        <v>4.3330000000000002</v>
      </c>
      <c r="O50" t="s">
        <v>101</v>
      </c>
      <c r="P50" t="s">
        <v>148</v>
      </c>
      <c r="Q50" t="s">
        <v>148</v>
      </c>
      <c r="R50" t="s">
        <v>108</v>
      </c>
    </row>
    <row r="51" spans="1:18" x14ac:dyDescent="0.5">
      <c r="A51" t="str">
        <f>"91282CFT3"</f>
        <v>91282CFT3</v>
      </c>
      <c r="B51" t="s">
        <v>101</v>
      </c>
      <c r="C51" t="s">
        <v>183</v>
      </c>
      <c r="D51" t="s">
        <v>103</v>
      </c>
      <c r="E51">
        <v>4</v>
      </c>
      <c r="F51" s="2">
        <v>47422</v>
      </c>
      <c r="G51" t="s">
        <v>101</v>
      </c>
      <c r="H51" t="s">
        <v>104</v>
      </c>
      <c r="I51" t="s">
        <v>105</v>
      </c>
      <c r="J51">
        <v>98.55</v>
      </c>
      <c r="K51">
        <v>98.597999999999999</v>
      </c>
      <c r="L51">
        <v>4.343</v>
      </c>
      <c r="M51">
        <v>4.3319999999999999</v>
      </c>
      <c r="N51">
        <v>4.3319999999999999</v>
      </c>
      <c r="O51" t="s">
        <v>101</v>
      </c>
      <c r="P51" t="s">
        <v>142</v>
      </c>
      <c r="Q51" t="s">
        <v>142</v>
      </c>
      <c r="R51" t="s">
        <v>108</v>
      </c>
    </row>
    <row r="52" spans="1:18" x14ac:dyDescent="0.5">
      <c r="A52" t="str">
        <f>"91282CFL0"</f>
        <v>91282CFL0</v>
      </c>
      <c r="B52" t="s">
        <v>101</v>
      </c>
      <c r="C52" t="s">
        <v>184</v>
      </c>
      <c r="D52" t="s">
        <v>103</v>
      </c>
      <c r="E52">
        <v>3.875</v>
      </c>
      <c r="F52" s="2">
        <v>47391</v>
      </c>
      <c r="G52" t="s">
        <v>101</v>
      </c>
      <c r="H52" t="s">
        <v>104</v>
      </c>
      <c r="I52" t="s">
        <v>105</v>
      </c>
      <c r="J52">
        <v>98.058000000000007</v>
      </c>
      <c r="K52">
        <v>98.105999999999995</v>
      </c>
      <c r="L52">
        <v>4.343</v>
      </c>
      <c r="M52">
        <v>4.3310000000000004</v>
      </c>
      <c r="N52">
        <v>4.3310000000000004</v>
      </c>
      <c r="O52" t="s">
        <v>101</v>
      </c>
      <c r="P52" t="s">
        <v>142</v>
      </c>
      <c r="Q52" t="s">
        <v>142</v>
      </c>
      <c r="R52" t="s">
        <v>108</v>
      </c>
    </row>
    <row r="53" spans="1:18" x14ac:dyDescent="0.5">
      <c r="A53" t="str">
        <f>"91282CMD0"</f>
        <v>91282CMD0</v>
      </c>
      <c r="B53" t="s">
        <v>101</v>
      </c>
      <c r="C53" t="s">
        <v>185</v>
      </c>
      <c r="D53" t="s">
        <v>103</v>
      </c>
      <c r="E53">
        <v>4.375</v>
      </c>
      <c r="F53" s="2">
        <v>47483</v>
      </c>
      <c r="G53" t="s">
        <v>101</v>
      </c>
      <c r="H53" t="s">
        <v>104</v>
      </c>
      <c r="I53" t="s">
        <v>105</v>
      </c>
      <c r="J53">
        <v>100.17100000000001</v>
      </c>
      <c r="K53">
        <v>100.188</v>
      </c>
      <c r="L53">
        <v>4.3339999999999996</v>
      </c>
      <c r="M53">
        <v>4.33</v>
      </c>
      <c r="N53">
        <v>4.33</v>
      </c>
      <c r="O53" t="s">
        <v>101</v>
      </c>
      <c r="P53" t="s">
        <v>186</v>
      </c>
      <c r="Q53" t="s">
        <v>142</v>
      </c>
      <c r="R53" t="s">
        <v>108</v>
      </c>
    </row>
    <row r="54" spans="1:18" x14ac:dyDescent="0.5">
      <c r="A54" t="str">
        <f>"91282CLN9"</f>
        <v>91282CLN9</v>
      </c>
      <c r="B54" t="s">
        <v>101</v>
      </c>
      <c r="C54" t="s">
        <v>187</v>
      </c>
      <c r="D54" t="s">
        <v>103</v>
      </c>
      <c r="E54">
        <v>3.5</v>
      </c>
      <c r="F54" s="2">
        <v>47391</v>
      </c>
      <c r="G54" t="s">
        <v>101</v>
      </c>
      <c r="H54" t="s">
        <v>104</v>
      </c>
      <c r="I54" t="s">
        <v>105</v>
      </c>
      <c r="J54">
        <v>96.534999999999997</v>
      </c>
      <c r="K54">
        <v>96.563000000000002</v>
      </c>
      <c r="L54">
        <v>4.3360000000000003</v>
      </c>
      <c r="M54">
        <v>4.3289999999999997</v>
      </c>
      <c r="N54">
        <v>4.3289999999999997</v>
      </c>
      <c r="O54" t="s">
        <v>101</v>
      </c>
      <c r="P54" t="s">
        <v>142</v>
      </c>
      <c r="Q54" t="s">
        <v>142</v>
      </c>
      <c r="R54" t="s">
        <v>108</v>
      </c>
    </row>
    <row r="55" spans="1:18" x14ac:dyDescent="0.5">
      <c r="A55" t="str">
        <f>"91282CFJ5"</f>
        <v>91282CFJ5</v>
      </c>
      <c r="B55" t="s">
        <v>101</v>
      </c>
      <c r="C55" t="s">
        <v>188</v>
      </c>
      <c r="D55" t="s">
        <v>103</v>
      </c>
      <c r="E55">
        <v>3.125</v>
      </c>
      <c r="F55" s="2">
        <v>47361</v>
      </c>
      <c r="G55" t="s">
        <v>101</v>
      </c>
      <c r="H55" t="s">
        <v>104</v>
      </c>
      <c r="I55" t="s">
        <v>105</v>
      </c>
      <c r="J55">
        <v>95.058000000000007</v>
      </c>
      <c r="K55">
        <v>95.097999999999999</v>
      </c>
      <c r="L55">
        <v>4.3390000000000004</v>
      </c>
      <c r="M55">
        <v>4.3280000000000003</v>
      </c>
      <c r="N55">
        <v>4.3280000000000003</v>
      </c>
      <c r="O55" t="s">
        <v>101</v>
      </c>
      <c r="P55" t="s">
        <v>142</v>
      </c>
      <c r="Q55" t="s">
        <v>142</v>
      </c>
      <c r="R55" t="s">
        <v>108</v>
      </c>
    </row>
    <row r="56" spans="1:18" x14ac:dyDescent="0.5">
      <c r="A56" t="str">
        <f>"91282CMG3"</f>
        <v>91282CMG3</v>
      </c>
      <c r="B56" t="s">
        <v>101</v>
      </c>
      <c r="C56" t="s">
        <v>189</v>
      </c>
      <c r="D56" t="s">
        <v>103</v>
      </c>
      <c r="E56">
        <v>4.25</v>
      </c>
      <c r="F56" s="2">
        <v>47514</v>
      </c>
      <c r="G56" t="s">
        <v>101</v>
      </c>
      <c r="H56" t="s">
        <v>104</v>
      </c>
      <c r="I56" t="s">
        <v>105</v>
      </c>
      <c r="J56">
        <v>99.647999999999996</v>
      </c>
      <c r="K56">
        <v>99.653000000000006</v>
      </c>
      <c r="L56">
        <v>4.3289999999999997</v>
      </c>
      <c r="M56">
        <v>4.3280000000000003</v>
      </c>
      <c r="N56">
        <v>4.3280000000000003</v>
      </c>
      <c r="O56" t="s">
        <v>101</v>
      </c>
      <c r="P56" t="s">
        <v>126</v>
      </c>
      <c r="Q56" t="s">
        <v>126</v>
      </c>
      <c r="R56" t="s">
        <v>108</v>
      </c>
    </row>
    <row r="57" spans="1:18" x14ac:dyDescent="0.5">
      <c r="A57" t="str">
        <f>"91282CLR0"</f>
        <v>91282CLR0</v>
      </c>
      <c r="B57" t="s">
        <v>101</v>
      </c>
      <c r="C57" t="s">
        <v>190</v>
      </c>
      <c r="D57" t="s">
        <v>103</v>
      </c>
      <c r="E57">
        <v>4.125</v>
      </c>
      <c r="F57" s="2">
        <v>47422</v>
      </c>
      <c r="G57" t="s">
        <v>101</v>
      </c>
      <c r="H57" t="s">
        <v>104</v>
      </c>
      <c r="I57" t="s">
        <v>105</v>
      </c>
      <c r="J57">
        <v>99.117000000000004</v>
      </c>
      <c r="K57">
        <v>99.149000000000001</v>
      </c>
      <c r="L57">
        <v>4.3339999999999996</v>
      </c>
      <c r="M57">
        <v>4.3259999999999996</v>
      </c>
      <c r="N57">
        <v>4.3259999999999996</v>
      </c>
      <c r="O57" t="s">
        <v>101</v>
      </c>
      <c r="P57" t="s">
        <v>142</v>
      </c>
      <c r="Q57" t="s">
        <v>142</v>
      </c>
      <c r="R57" t="s">
        <v>108</v>
      </c>
    </row>
    <row r="58" spans="1:18" x14ac:dyDescent="0.5">
      <c r="A58" t="str">
        <f>"91282CEV9"</f>
        <v>91282CEV9</v>
      </c>
      <c r="B58" t="s">
        <v>101</v>
      </c>
      <c r="C58" t="s">
        <v>191</v>
      </c>
      <c r="D58" t="s">
        <v>103</v>
      </c>
      <c r="E58">
        <v>3.25</v>
      </c>
      <c r="F58" s="2">
        <v>47299</v>
      </c>
      <c r="G58" t="s">
        <v>101</v>
      </c>
      <c r="H58" t="s">
        <v>104</v>
      </c>
      <c r="I58" t="s">
        <v>105</v>
      </c>
      <c r="J58">
        <v>95.713999999999999</v>
      </c>
      <c r="K58">
        <v>95.762</v>
      </c>
      <c r="L58">
        <v>4.3369999999999997</v>
      </c>
      <c r="M58">
        <v>4.3250000000000002</v>
      </c>
      <c r="N58">
        <v>4.3250000000000002</v>
      </c>
      <c r="O58" t="s">
        <v>101</v>
      </c>
      <c r="P58" t="s">
        <v>142</v>
      </c>
      <c r="Q58" t="s">
        <v>142</v>
      </c>
      <c r="R58" t="s">
        <v>108</v>
      </c>
    </row>
    <row r="59" spans="1:18" x14ac:dyDescent="0.5">
      <c r="A59" t="str">
        <f>"91282CKX8"</f>
        <v>91282CKX8</v>
      </c>
      <c r="B59" t="s">
        <v>101</v>
      </c>
      <c r="C59" t="s">
        <v>192</v>
      </c>
      <c r="D59" t="s">
        <v>103</v>
      </c>
      <c r="E59">
        <v>4.25</v>
      </c>
      <c r="F59" s="2">
        <v>47299</v>
      </c>
      <c r="G59" t="s">
        <v>101</v>
      </c>
      <c r="H59" t="s">
        <v>104</v>
      </c>
      <c r="I59" t="s">
        <v>105</v>
      </c>
      <c r="J59">
        <v>99.66</v>
      </c>
      <c r="K59">
        <v>99.7</v>
      </c>
      <c r="L59">
        <v>4.335</v>
      </c>
      <c r="M59">
        <v>4.3250000000000002</v>
      </c>
      <c r="N59">
        <v>4.3250000000000002</v>
      </c>
      <c r="O59" t="s">
        <v>101</v>
      </c>
      <c r="P59" t="s">
        <v>193</v>
      </c>
      <c r="Q59" t="s">
        <v>193</v>
      </c>
      <c r="R59" t="s">
        <v>108</v>
      </c>
    </row>
    <row r="60" spans="1:18" x14ac:dyDescent="0.5">
      <c r="A60" t="str">
        <f>"91282CMA6"</f>
        <v>91282CMA6</v>
      </c>
      <c r="B60" t="s">
        <v>101</v>
      </c>
      <c r="C60" t="s">
        <v>194</v>
      </c>
      <c r="D60" t="s">
        <v>103</v>
      </c>
      <c r="E60">
        <v>4.125</v>
      </c>
      <c r="F60" s="2">
        <v>47452</v>
      </c>
      <c r="G60" t="s">
        <v>101</v>
      </c>
      <c r="H60" t="s">
        <v>104</v>
      </c>
      <c r="I60" t="s">
        <v>105</v>
      </c>
      <c r="J60">
        <v>99.125</v>
      </c>
      <c r="K60">
        <v>99.137</v>
      </c>
      <c r="L60">
        <v>4.3280000000000003</v>
      </c>
      <c r="M60">
        <v>4.3250000000000002</v>
      </c>
      <c r="N60">
        <v>4.3250000000000002</v>
      </c>
      <c r="O60" t="s">
        <v>101</v>
      </c>
      <c r="P60" t="s">
        <v>195</v>
      </c>
      <c r="Q60" t="s">
        <v>142</v>
      </c>
      <c r="R60" t="s">
        <v>108</v>
      </c>
    </row>
    <row r="61" spans="1:18" x14ac:dyDescent="0.5">
      <c r="A61" t="str">
        <f>"912810FP8"</f>
        <v>912810FP8</v>
      </c>
      <c r="B61" t="s">
        <v>101</v>
      </c>
      <c r="C61" t="s">
        <v>196</v>
      </c>
      <c r="D61" t="s">
        <v>103</v>
      </c>
      <c r="E61">
        <v>5.375</v>
      </c>
      <c r="F61" s="2">
        <v>47894</v>
      </c>
      <c r="G61" t="s">
        <v>101</v>
      </c>
      <c r="H61" t="s">
        <v>104</v>
      </c>
      <c r="I61" t="s">
        <v>105</v>
      </c>
      <c r="J61">
        <v>105.136</v>
      </c>
      <c r="K61">
        <v>105.492</v>
      </c>
      <c r="L61">
        <v>4.391</v>
      </c>
      <c r="M61">
        <v>4.3239999999999998</v>
      </c>
      <c r="N61">
        <v>4.3239999999999998</v>
      </c>
      <c r="O61" t="s">
        <v>101</v>
      </c>
      <c r="P61" t="s">
        <v>197</v>
      </c>
      <c r="Q61" t="s">
        <v>198</v>
      </c>
      <c r="R61" t="s">
        <v>108</v>
      </c>
    </row>
    <row r="62" spans="1:18" x14ac:dyDescent="0.5">
      <c r="A62" t="str">
        <f>"91282CFC0"</f>
        <v>91282CFC0</v>
      </c>
      <c r="B62" t="s">
        <v>101</v>
      </c>
      <c r="C62" t="s">
        <v>199</v>
      </c>
      <c r="D62" t="s">
        <v>103</v>
      </c>
      <c r="E62">
        <v>2.625</v>
      </c>
      <c r="F62" s="2">
        <v>47330</v>
      </c>
      <c r="G62" t="s">
        <v>101</v>
      </c>
      <c r="H62" t="s">
        <v>104</v>
      </c>
      <c r="I62" t="s">
        <v>105</v>
      </c>
      <c r="J62">
        <v>93.144000000000005</v>
      </c>
      <c r="K62">
        <v>93.188000000000002</v>
      </c>
      <c r="L62">
        <v>4.335</v>
      </c>
      <c r="M62">
        <v>4.3230000000000004</v>
      </c>
      <c r="N62">
        <v>4.3230000000000004</v>
      </c>
      <c r="O62" t="s">
        <v>101</v>
      </c>
      <c r="P62" t="s">
        <v>142</v>
      </c>
      <c r="Q62" t="s">
        <v>142</v>
      </c>
      <c r="R62" t="s">
        <v>108</v>
      </c>
    </row>
    <row r="63" spans="1:18" x14ac:dyDescent="0.5">
      <c r="A63" t="str">
        <f>"91282CLK5"</f>
        <v>91282CLK5</v>
      </c>
      <c r="B63" t="s">
        <v>101</v>
      </c>
      <c r="C63" t="s">
        <v>200</v>
      </c>
      <c r="D63" t="s">
        <v>103</v>
      </c>
      <c r="E63">
        <v>3.625</v>
      </c>
      <c r="F63" s="2">
        <v>47361</v>
      </c>
      <c r="G63" t="s">
        <v>101</v>
      </c>
      <c r="H63" t="s">
        <v>104</v>
      </c>
      <c r="I63" t="s">
        <v>105</v>
      </c>
      <c r="J63">
        <v>97.135999999999996</v>
      </c>
      <c r="K63">
        <v>97.156999999999996</v>
      </c>
      <c r="L63">
        <v>4.3280000000000003</v>
      </c>
      <c r="M63">
        <v>4.3230000000000004</v>
      </c>
      <c r="N63">
        <v>4.3230000000000004</v>
      </c>
      <c r="O63" t="s">
        <v>101</v>
      </c>
      <c r="P63" t="s">
        <v>142</v>
      </c>
      <c r="Q63" t="s">
        <v>142</v>
      </c>
      <c r="R63" t="s">
        <v>108</v>
      </c>
    </row>
    <row r="64" spans="1:18" x14ac:dyDescent="0.5">
      <c r="A64" t="str">
        <f>"91282CHV6"</f>
        <v>91282CHV6</v>
      </c>
      <c r="B64" t="s">
        <v>101</v>
      </c>
      <c r="C64" t="s">
        <v>201</v>
      </c>
      <c r="D64" t="s">
        <v>103</v>
      </c>
      <c r="E64">
        <v>5</v>
      </c>
      <c r="F64" s="2">
        <v>45900</v>
      </c>
      <c r="G64" t="s">
        <v>101</v>
      </c>
      <c r="H64" t="s">
        <v>104</v>
      </c>
      <c r="I64" t="s">
        <v>105</v>
      </c>
      <c r="J64">
        <v>100.324</v>
      </c>
      <c r="K64">
        <v>100.349</v>
      </c>
      <c r="L64">
        <v>4.3689999999999998</v>
      </c>
      <c r="M64">
        <v>4.3220000000000001</v>
      </c>
      <c r="N64">
        <v>4.3220000000000001</v>
      </c>
      <c r="O64" t="s">
        <v>101</v>
      </c>
      <c r="P64" t="s">
        <v>171</v>
      </c>
      <c r="Q64" t="s">
        <v>202</v>
      </c>
      <c r="R64" t="s">
        <v>108</v>
      </c>
    </row>
    <row r="65" spans="1:18" x14ac:dyDescent="0.5">
      <c r="A65" t="str">
        <f>"91282CKG5"</f>
        <v>91282CKG5</v>
      </c>
      <c r="B65" t="s">
        <v>101</v>
      </c>
      <c r="C65" t="s">
        <v>203</v>
      </c>
      <c r="D65" t="s">
        <v>103</v>
      </c>
      <c r="E65">
        <v>4.125</v>
      </c>
      <c r="F65" s="2">
        <v>47208</v>
      </c>
      <c r="G65" t="s">
        <v>101</v>
      </c>
      <c r="H65" t="s">
        <v>104</v>
      </c>
      <c r="I65" t="s">
        <v>105</v>
      </c>
      <c r="J65">
        <v>99.225999999999999</v>
      </c>
      <c r="K65">
        <v>99.262</v>
      </c>
      <c r="L65">
        <v>4.3310000000000004</v>
      </c>
      <c r="M65">
        <v>4.3209999999999997</v>
      </c>
      <c r="N65">
        <v>4.3209999999999997</v>
      </c>
      <c r="O65" t="s">
        <v>101</v>
      </c>
      <c r="P65" t="s">
        <v>142</v>
      </c>
      <c r="Q65" t="s">
        <v>142</v>
      </c>
      <c r="R65" t="s">
        <v>108</v>
      </c>
    </row>
    <row r="66" spans="1:18" x14ac:dyDescent="0.5">
      <c r="A66" t="str">
        <f>"91282CES6"</f>
        <v>91282CES6</v>
      </c>
      <c r="B66" t="s">
        <v>101</v>
      </c>
      <c r="C66" t="s">
        <v>204</v>
      </c>
      <c r="D66" t="s">
        <v>103</v>
      </c>
      <c r="E66">
        <v>2.75</v>
      </c>
      <c r="F66" s="2">
        <v>47269</v>
      </c>
      <c r="G66" t="s">
        <v>101</v>
      </c>
      <c r="H66" t="s">
        <v>104</v>
      </c>
      <c r="I66" t="s">
        <v>105</v>
      </c>
      <c r="J66">
        <v>93.863</v>
      </c>
      <c r="K66">
        <v>93.915000000000006</v>
      </c>
      <c r="L66">
        <v>4.335</v>
      </c>
      <c r="M66">
        <v>4.3209999999999997</v>
      </c>
      <c r="N66">
        <v>4.3209999999999997</v>
      </c>
      <c r="O66" t="s">
        <v>101</v>
      </c>
      <c r="P66" t="s">
        <v>142</v>
      </c>
      <c r="Q66" t="s">
        <v>142</v>
      </c>
      <c r="R66" t="s">
        <v>108</v>
      </c>
    </row>
    <row r="67" spans="1:18" x14ac:dyDescent="0.5">
      <c r="A67" t="str">
        <f>"91282CKT7"</f>
        <v>91282CKT7</v>
      </c>
      <c r="B67" t="s">
        <v>101</v>
      </c>
      <c r="C67" t="s">
        <v>205</v>
      </c>
      <c r="D67" t="s">
        <v>103</v>
      </c>
      <c r="E67">
        <v>4.5</v>
      </c>
      <c r="F67" s="2">
        <v>47269</v>
      </c>
      <c r="G67" t="s">
        <v>101</v>
      </c>
      <c r="H67" t="s">
        <v>104</v>
      </c>
      <c r="I67" t="s">
        <v>105</v>
      </c>
      <c r="J67">
        <v>100.66</v>
      </c>
      <c r="K67">
        <v>100.684</v>
      </c>
      <c r="L67">
        <v>4.3280000000000003</v>
      </c>
      <c r="M67">
        <v>4.3209999999999997</v>
      </c>
      <c r="N67">
        <v>4.3209999999999997</v>
      </c>
      <c r="O67" t="s">
        <v>101</v>
      </c>
      <c r="P67" t="s">
        <v>142</v>
      </c>
      <c r="Q67" t="s">
        <v>142</v>
      </c>
      <c r="R67" t="s">
        <v>108</v>
      </c>
    </row>
    <row r="68" spans="1:18" x14ac:dyDescent="0.5">
      <c r="A68" t="str">
        <f>"91282CLC3"</f>
        <v>91282CLC3</v>
      </c>
      <c r="B68" t="s">
        <v>101</v>
      </c>
      <c r="C68" t="s">
        <v>206</v>
      </c>
      <c r="D68" t="s">
        <v>103</v>
      </c>
      <c r="E68">
        <v>4</v>
      </c>
      <c r="F68" s="2">
        <v>47330</v>
      </c>
      <c r="G68" t="s">
        <v>101</v>
      </c>
      <c r="H68" t="s">
        <v>104</v>
      </c>
      <c r="I68" t="s">
        <v>105</v>
      </c>
      <c r="J68">
        <v>98.691000000000003</v>
      </c>
      <c r="K68">
        <v>98.712000000000003</v>
      </c>
      <c r="L68">
        <v>4.3259999999999996</v>
      </c>
      <c r="M68">
        <v>4.3209999999999997</v>
      </c>
      <c r="N68">
        <v>4.3209999999999997</v>
      </c>
      <c r="O68" t="s">
        <v>101</v>
      </c>
      <c r="P68" t="s">
        <v>142</v>
      </c>
      <c r="Q68" t="s">
        <v>142</v>
      </c>
      <c r="R68" t="s">
        <v>108</v>
      </c>
    </row>
    <row r="69" spans="1:18" x14ac:dyDescent="0.5">
      <c r="A69" t="str">
        <f>"91282CEM9"</f>
        <v>91282CEM9</v>
      </c>
      <c r="B69" t="s">
        <v>101</v>
      </c>
      <c r="C69" t="s">
        <v>207</v>
      </c>
      <c r="D69" t="s">
        <v>103</v>
      </c>
      <c r="E69">
        <v>2.875</v>
      </c>
      <c r="F69" s="2">
        <v>47238</v>
      </c>
      <c r="G69" t="s">
        <v>101</v>
      </c>
      <c r="H69" t="s">
        <v>104</v>
      </c>
      <c r="I69" t="s">
        <v>105</v>
      </c>
      <c r="J69">
        <v>94.463999999999999</v>
      </c>
      <c r="K69">
        <v>94.504999999999995</v>
      </c>
      <c r="L69">
        <v>4.3310000000000004</v>
      </c>
      <c r="M69">
        <v>4.32</v>
      </c>
      <c r="N69">
        <v>4.32</v>
      </c>
      <c r="O69" t="s">
        <v>101</v>
      </c>
      <c r="P69" t="s">
        <v>142</v>
      </c>
      <c r="Q69" t="s">
        <v>142</v>
      </c>
      <c r="R69" t="s">
        <v>108</v>
      </c>
    </row>
    <row r="70" spans="1:18" x14ac:dyDescent="0.5">
      <c r="A70" t="str">
        <f>"91282CKP5"</f>
        <v>91282CKP5</v>
      </c>
      <c r="B70" t="s">
        <v>101</v>
      </c>
      <c r="C70" t="s">
        <v>208</v>
      </c>
      <c r="D70" t="s">
        <v>103</v>
      </c>
      <c r="E70">
        <v>4.625</v>
      </c>
      <c r="F70" s="2">
        <v>47238</v>
      </c>
      <c r="G70" t="s">
        <v>101</v>
      </c>
      <c r="H70" t="s">
        <v>104</v>
      </c>
      <c r="I70" t="s">
        <v>105</v>
      </c>
      <c r="J70">
        <v>101.136</v>
      </c>
      <c r="K70">
        <v>101.15300000000001</v>
      </c>
      <c r="L70">
        <v>4.3239999999999998</v>
      </c>
      <c r="M70">
        <v>4.32</v>
      </c>
      <c r="N70">
        <v>4.32</v>
      </c>
      <c r="O70" t="s">
        <v>101</v>
      </c>
      <c r="P70" t="s">
        <v>142</v>
      </c>
      <c r="Q70" t="s">
        <v>142</v>
      </c>
      <c r="R70" t="s">
        <v>108</v>
      </c>
    </row>
    <row r="71" spans="1:18" x14ac:dyDescent="0.5">
      <c r="A71" t="str">
        <f>"91282CEE7"</f>
        <v>91282CEE7</v>
      </c>
      <c r="B71" t="s">
        <v>101</v>
      </c>
      <c r="C71" t="s">
        <v>209</v>
      </c>
      <c r="D71" t="s">
        <v>103</v>
      </c>
      <c r="E71">
        <v>2.375</v>
      </c>
      <c r="F71" s="2">
        <v>47208</v>
      </c>
      <c r="G71" t="s">
        <v>101</v>
      </c>
      <c r="H71" t="s">
        <v>104</v>
      </c>
      <c r="I71" t="s">
        <v>105</v>
      </c>
      <c r="J71">
        <v>92.698999999999998</v>
      </c>
      <c r="K71">
        <v>92.754999999999995</v>
      </c>
      <c r="L71">
        <v>4.3319999999999999</v>
      </c>
      <c r="M71">
        <v>4.3159999999999998</v>
      </c>
      <c r="N71">
        <v>4.3159999999999998</v>
      </c>
      <c r="O71" t="s">
        <v>101</v>
      </c>
      <c r="P71" t="s">
        <v>142</v>
      </c>
      <c r="Q71" t="s">
        <v>142</v>
      </c>
      <c r="R71" t="s">
        <v>108</v>
      </c>
    </row>
    <row r="72" spans="1:18" x14ac:dyDescent="0.5">
      <c r="A72" t="str">
        <f>"91282CKD2"</f>
        <v>91282CKD2</v>
      </c>
      <c r="B72" t="s">
        <v>101</v>
      </c>
      <c r="C72" t="s">
        <v>210</v>
      </c>
      <c r="D72" t="s">
        <v>103</v>
      </c>
      <c r="E72">
        <v>4.25</v>
      </c>
      <c r="F72" s="2">
        <v>47177</v>
      </c>
      <c r="G72" t="s">
        <v>101</v>
      </c>
      <c r="H72" t="s">
        <v>104</v>
      </c>
      <c r="I72" t="s">
        <v>105</v>
      </c>
      <c r="J72">
        <v>99.718000000000004</v>
      </c>
      <c r="K72">
        <v>99.757999999999996</v>
      </c>
      <c r="L72">
        <v>4.327</v>
      </c>
      <c r="M72">
        <v>4.3150000000000004</v>
      </c>
      <c r="N72">
        <v>4.3150000000000004</v>
      </c>
      <c r="O72" t="s">
        <v>101</v>
      </c>
      <c r="P72" t="s">
        <v>142</v>
      </c>
      <c r="Q72" t="s">
        <v>142</v>
      </c>
      <c r="R72" t="s">
        <v>108</v>
      </c>
    </row>
    <row r="73" spans="1:18" x14ac:dyDescent="0.5">
      <c r="A73" t="str">
        <f>"91282CJB8"</f>
        <v>91282CJB8</v>
      </c>
      <c r="B73" t="s">
        <v>101</v>
      </c>
      <c r="C73" t="s">
        <v>211</v>
      </c>
      <c r="D73" t="s">
        <v>103</v>
      </c>
      <c r="E73">
        <v>5</v>
      </c>
      <c r="F73" s="2">
        <v>45930</v>
      </c>
      <c r="G73" t="s">
        <v>101</v>
      </c>
      <c r="H73" t="s">
        <v>104</v>
      </c>
      <c r="I73" t="s">
        <v>105</v>
      </c>
      <c r="J73">
        <v>100.378</v>
      </c>
      <c r="K73">
        <v>100.407</v>
      </c>
      <c r="L73">
        <v>4.359</v>
      </c>
      <c r="M73">
        <v>4.3129999999999997</v>
      </c>
      <c r="N73">
        <v>4.3129999999999997</v>
      </c>
      <c r="O73" t="s">
        <v>101</v>
      </c>
      <c r="P73" t="s">
        <v>172</v>
      </c>
      <c r="Q73" t="s">
        <v>171</v>
      </c>
      <c r="R73" t="s">
        <v>108</v>
      </c>
    </row>
    <row r="74" spans="1:18" x14ac:dyDescent="0.5">
      <c r="A74" t="str">
        <f>"9128286B1"</f>
        <v>9128286B1</v>
      </c>
      <c r="B74" t="s">
        <v>101</v>
      </c>
      <c r="C74" t="s">
        <v>212</v>
      </c>
      <c r="D74" t="s">
        <v>103</v>
      </c>
      <c r="E74">
        <v>2.625</v>
      </c>
      <c r="F74" s="2">
        <v>47164</v>
      </c>
      <c r="G74" t="s">
        <v>101</v>
      </c>
      <c r="H74" t="s">
        <v>104</v>
      </c>
      <c r="I74" t="s">
        <v>105</v>
      </c>
      <c r="J74">
        <v>93.828000000000003</v>
      </c>
      <c r="K74">
        <v>93.872</v>
      </c>
      <c r="L74">
        <v>4.3250000000000002</v>
      </c>
      <c r="M74">
        <v>4.3120000000000003</v>
      </c>
      <c r="N74">
        <v>4.3120000000000003</v>
      </c>
      <c r="O74" t="s">
        <v>101</v>
      </c>
      <c r="P74" t="s">
        <v>142</v>
      </c>
      <c r="Q74" t="s">
        <v>142</v>
      </c>
      <c r="R74" t="s">
        <v>108</v>
      </c>
    </row>
    <row r="75" spans="1:18" x14ac:dyDescent="0.5">
      <c r="A75" t="str">
        <f>"91282CEB3"</f>
        <v>91282CEB3</v>
      </c>
      <c r="B75" t="s">
        <v>101</v>
      </c>
      <c r="C75" t="s">
        <v>213</v>
      </c>
      <c r="D75" t="s">
        <v>103</v>
      </c>
      <c r="E75">
        <v>1.875</v>
      </c>
      <c r="F75" s="2">
        <v>47177</v>
      </c>
      <c r="G75" t="s">
        <v>101</v>
      </c>
      <c r="H75" t="s">
        <v>104</v>
      </c>
      <c r="I75" t="s">
        <v>105</v>
      </c>
      <c r="J75">
        <v>91.019000000000005</v>
      </c>
      <c r="K75">
        <v>91.075000000000003</v>
      </c>
      <c r="L75">
        <v>4.3289999999999997</v>
      </c>
      <c r="M75">
        <v>4.3120000000000003</v>
      </c>
      <c r="N75">
        <v>4.3120000000000003</v>
      </c>
      <c r="O75" t="s">
        <v>101</v>
      </c>
      <c r="P75" t="s">
        <v>142</v>
      </c>
      <c r="Q75" t="s">
        <v>142</v>
      </c>
      <c r="R75" t="s">
        <v>108</v>
      </c>
    </row>
    <row r="76" spans="1:18" x14ac:dyDescent="0.5">
      <c r="A76" t="str">
        <f>"9128286T2"</f>
        <v>9128286T2</v>
      </c>
      <c r="B76" t="s">
        <v>101</v>
      </c>
      <c r="C76" t="s">
        <v>214</v>
      </c>
      <c r="D76" t="s">
        <v>103</v>
      </c>
      <c r="E76">
        <v>2.375</v>
      </c>
      <c r="F76" s="2">
        <v>47253</v>
      </c>
      <c r="G76" t="s">
        <v>101</v>
      </c>
      <c r="H76" t="s">
        <v>104</v>
      </c>
      <c r="I76" t="s">
        <v>105</v>
      </c>
      <c r="J76">
        <v>92.503</v>
      </c>
      <c r="K76">
        <v>92.566999999999993</v>
      </c>
      <c r="L76">
        <v>4.3289999999999997</v>
      </c>
      <c r="M76">
        <v>4.3120000000000003</v>
      </c>
      <c r="N76">
        <v>4.3120000000000003</v>
      </c>
      <c r="O76" t="s">
        <v>101</v>
      </c>
      <c r="P76" t="s">
        <v>142</v>
      </c>
      <c r="Q76" t="s">
        <v>142</v>
      </c>
      <c r="R76" t="s">
        <v>108</v>
      </c>
    </row>
    <row r="77" spans="1:18" x14ac:dyDescent="0.5">
      <c r="A77" t="str">
        <f>"91282CJW2"</f>
        <v>91282CJW2</v>
      </c>
      <c r="B77" t="s">
        <v>101</v>
      </c>
      <c r="C77" t="s">
        <v>215</v>
      </c>
      <c r="D77" t="s">
        <v>103</v>
      </c>
      <c r="E77">
        <v>4</v>
      </c>
      <c r="F77" s="2">
        <v>47149</v>
      </c>
      <c r="G77" t="s">
        <v>101</v>
      </c>
      <c r="H77" t="s">
        <v>104</v>
      </c>
      <c r="I77" t="s">
        <v>105</v>
      </c>
      <c r="J77">
        <v>98.838999999999999</v>
      </c>
      <c r="K77">
        <v>98.88</v>
      </c>
      <c r="L77">
        <v>4.3220000000000001</v>
      </c>
      <c r="M77">
        <v>4.3109999999999999</v>
      </c>
      <c r="N77">
        <v>4.3109999999999999</v>
      </c>
      <c r="O77" t="s">
        <v>101</v>
      </c>
      <c r="P77" t="s">
        <v>142</v>
      </c>
      <c r="Q77" t="s">
        <v>142</v>
      </c>
      <c r="R77" t="s">
        <v>108</v>
      </c>
    </row>
    <row r="78" spans="1:18" x14ac:dyDescent="0.5">
      <c r="A78" t="str">
        <f>"91282CAM3"</f>
        <v>91282CAM3</v>
      </c>
      <c r="B78" t="s">
        <v>101</v>
      </c>
      <c r="C78" t="s">
        <v>216</v>
      </c>
      <c r="D78" t="s">
        <v>103</v>
      </c>
      <c r="E78">
        <v>0.25</v>
      </c>
      <c r="F78" s="2">
        <v>45930</v>
      </c>
      <c r="G78" t="s">
        <v>101</v>
      </c>
      <c r="H78" t="s">
        <v>104</v>
      </c>
      <c r="I78" t="s">
        <v>105</v>
      </c>
      <c r="J78">
        <v>97.55</v>
      </c>
      <c r="K78">
        <v>97.570999999999998</v>
      </c>
      <c r="L78">
        <v>4.3440000000000003</v>
      </c>
      <c r="M78">
        <v>4.3099999999999996</v>
      </c>
      <c r="N78">
        <v>4.3099999999999996</v>
      </c>
      <c r="O78" t="s">
        <v>101</v>
      </c>
      <c r="P78" t="s">
        <v>171</v>
      </c>
      <c r="Q78" t="s">
        <v>171</v>
      </c>
      <c r="R78" t="s">
        <v>108</v>
      </c>
    </row>
    <row r="79" spans="1:18" x14ac:dyDescent="0.5">
      <c r="A79" t="str">
        <f>"91282CAZ4"</f>
        <v>91282CAZ4</v>
      </c>
      <c r="B79" t="s">
        <v>101</v>
      </c>
      <c r="C79" t="s">
        <v>217</v>
      </c>
      <c r="D79" t="s">
        <v>103</v>
      </c>
      <c r="E79">
        <v>0.375</v>
      </c>
      <c r="F79" s="2">
        <v>45991</v>
      </c>
      <c r="G79" t="s">
        <v>101</v>
      </c>
      <c r="H79" t="s">
        <v>104</v>
      </c>
      <c r="I79" t="s">
        <v>105</v>
      </c>
      <c r="J79">
        <v>96.992999999999995</v>
      </c>
      <c r="K79">
        <v>97.012</v>
      </c>
      <c r="L79">
        <v>4.335</v>
      </c>
      <c r="M79">
        <v>4.3099999999999996</v>
      </c>
      <c r="N79">
        <v>4.3099999999999996</v>
      </c>
      <c r="O79" t="s">
        <v>101</v>
      </c>
      <c r="P79" t="s">
        <v>218</v>
      </c>
      <c r="Q79" t="s">
        <v>171</v>
      </c>
      <c r="R79" t="s">
        <v>108</v>
      </c>
    </row>
    <row r="80" spans="1:18" x14ac:dyDescent="0.5">
      <c r="A80" t="str">
        <f>"91282CJR3"</f>
        <v>91282CJR3</v>
      </c>
      <c r="B80" t="s">
        <v>101</v>
      </c>
      <c r="C80" t="s">
        <v>219</v>
      </c>
      <c r="D80" t="s">
        <v>103</v>
      </c>
      <c r="E80">
        <v>3.75</v>
      </c>
      <c r="F80" s="2">
        <v>47118</v>
      </c>
      <c r="G80" t="s">
        <v>101</v>
      </c>
      <c r="H80" t="s">
        <v>104</v>
      </c>
      <c r="I80" t="s">
        <v>105</v>
      </c>
      <c r="J80">
        <v>97.971999999999994</v>
      </c>
      <c r="K80">
        <v>98.02</v>
      </c>
      <c r="L80">
        <v>4.3239999999999998</v>
      </c>
      <c r="M80">
        <v>4.3099999999999996</v>
      </c>
      <c r="N80">
        <v>4.3099999999999996</v>
      </c>
      <c r="O80" t="s">
        <v>101</v>
      </c>
      <c r="P80" t="s">
        <v>142</v>
      </c>
      <c r="Q80" t="s">
        <v>142</v>
      </c>
      <c r="R80" t="s">
        <v>108</v>
      </c>
    </row>
    <row r="81" spans="1:18" x14ac:dyDescent="0.5">
      <c r="A81" t="str">
        <f>"91282CDW8"</f>
        <v>91282CDW8</v>
      </c>
      <c r="B81" t="s">
        <v>101</v>
      </c>
      <c r="C81" t="s">
        <v>220</v>
      </c>
      <c r="D81" t="s">
        <v>103</v>
      </c>
      <c r="E81">
        <v>1.75</v>
      </c>
      <c r="F81" s="2">
        <v>47149</v>
      </c>
      <c r="G81" t="s">
        <v>101</v>
      </c>
      <c r="H81" t="s">
        <v>104</v>
      </c>
      <c r="I81" t="s">
        <v>105</v>
      </c>
      <c r="J81">
        <v>90.738</v>
      </c>
      <c r="K81">
        <v>90.79</v>
      </c>
      <c r="L81">
        <v>4.3259999999999996</v>
      </c>
      <c r="M81">
        <v>4.3099999999999996</v>
      </c>
      <c r="N81">
        <v>4.3099999999999996</v>
      </c>
      <c r="O81" t="s">
        <v>101</v>
      </c>
      <c r="P81" t="s">
        <v>142</v>
      </c>
      <c r="Q81" t="s">
        <v>142</v>
      </c>
      <c r="R81" t="s">
        <v>108</v>
      </c>
    </row>
    <row r="82" spans="1:18" x14ac:dyDescent="0.5">
      <c r="A82" t="str">
        <f>"91282CDP3"</f>
        <v>91282CDP3</v>
      </c>
      <c r="B82" t="s">
        <v>101</v>
      </c>
      <c r="C82" t="s">
        <v>221</v>
      </c>
      <c r="D82" t="s">
        <v>103</v>
      </c>
      <c r="E82">
        <v>1.375</v>
      </c>
      <c r="F82" s="2">
        <v>47118</v>
      </c>
      <c r="G82" t="s">
        <v>101</v>
      </c>
      <c r="H82" t="s">
        <v>104</v>
      </c>
      <c r="I82" t="s">
        <v>105</v>
      </c>
      <c r="J82">
        <v>89.617000000000004</v>
      </c>
      <c r="K82">
        <v>89.653000000000006</v>
      </c>
      <c r="L82">
        <v>4.3209999999999997</v>
      </c>
      <c r="M82">
        <v>4.3090000000000002</v>
      </c>
      <c r="N82">
        <v>4.3090000000000002</v>
      </c>
      <c r="O82" t="s">
        <v>101</v>
      </c>
      <c r="P82" t="s">
        <v>142</v>
      </c>
      <c r="Q82" t="s">
        <v>142</v>
      </c>
      <c r="R82" t="s">
        <v>108</v>
      </c>
    </row>
    <row r="83" spans="1:18" x14ac:dyDescent="0.5">
      <c r="A83" t="str">
        <f>"91282CJN2"</f>
        <v>91282CJN2</v>
      </c>
      <c r="B83" t="s">
        <v>101</v>
      </c>
      <c r="C83" t="s">
        <v>222</v>
      </c>
      <c r="D83" t="s">
        <v>103</v>
      </c>
      <c r="E83">
        <v>4.375</v>
      </c>
      <c r="F83" s="2">
        <v>47087</v>
      </c>
      <c r="G83" t="s">
        <v>101</v>
      </c>
      <c r="H83" t="s">
        <v>104</v>
      </c>
      <c r="I83" t="s">
        <v>105</v>
      </c>
      <c r="J83">
        <v>100.19499999999999</v>
      </c>
      <c r="K83">
        <v>100.223</v>
      </c>
      <c r="L83">
        <v>4.3170000000000002</v>
      </c>
      <c r="M83">
        <v>4.3079999999999998</v>
      </c>
      <c r="N83">
        <v>4.3079999999999998</v>
      </c>
      <c r="O83" t="s">
        <v>101</v>
      </c>
      <c r="P83" t="s">
        <v>142</v>
      </c>
      <c r="Q83" t="s">
        <v>142</v>
      </c>
      <c r="R83" t="s">
        <v>108</v>
      </c>
    </row>
    <row r="84" spans="1:18" x14ac:dyDescent="0.5">
      <c r="A84" t="str">
        <f>"91282CFK2"</f>
        <v>91282CFK2</v>
      </c>
      <c r="B84" t="s">
        <v>101</v>
      </c>
      <c r="C84" t="s">
        <v>223</v>
      </c>
      <c r="D84" t="s">
        <v>103</v>
      </c>
      <c r="E84">
        <v>3.5</v>
      </c>
      <c r="F84" s="2">
        <v>45915</v>
      </c>
      <c r="G84" t="s">
        <v>101</v>
      </c>
      <c r="H84" t="s">
        <v>104</v>
      </c>
      <c r="I84" t="s">
        <v>105</v>
      </c>
      <c r="J84">
        <v>99.522999999999996</v>
      </c>
      <c r="K84">
        <v>99.55</v>
      </c>
      <c r="L84">
        <v>4.3529999999999998</v>
      </c>
      <c r="M84">
        <v>4.306</v>
      </c>
      <c r="N84">
        <v>4.306</v>
      </c>
      <c r="O84" t="s">
        <v>101</v>
      </c>
      <c r="P84" t="s">
        <v>171</v>
      </c>
      <c r="Q84" t="s">
        <v>172</v>
      </c>
      <c r="R84" t="s">
        <v>108</v>
      </c>
    </row>
    <row r="85" spans="1:18" x14ac:dyDescent="0.5">
      <c r="A85" t="str">
        <f>"9128285M8"</f>
        <v>9128285M8</v>
      </c>
      <c r="B85" t="s">
        <v>101</v>
      </c>
      <c r="C85" t="s">
        <v>224</v>
      </c>
      <c r="D85" t="s">
        <v>103</v>
      </c>
      <c r="E85">
        <v>3.125</v>
      </c>
      <c r="F85" s="2">
        <v>47072</v>
      </c>
      <c r="G85" t="s">
        <v>101</v>
      </c>
      <c r="H85" t="s">
        <v>104</v>
      </c>
      <c r="I85" t="s">
        <v>105</v>
      </c>
      <c r="J85">
        <v>95.902000000000001</v>
      </c>
      <c r="K85">
        <v>95.957999999999998</v>
      </c>
      <c r="L85">
        <v>4.3230000000000004</v>
      </c>
      <c r="M85">
        <v>4.306</v>
      </c>
      <c r="N85">
        <v>4.306</v>
      </c>
      <c r="O85" t="s">
        <v>101</v>
      </c>
      <c r="P85" t="s">
        <v>142</v>
      </c>
      <c r="Q85" t="s">
        <v>142</v>
      </c>
      <c r="R85" t="s">
        <v>108</v>
      </c>
    </row>
    <row r="86" spans="1:18" x14ac:dyDescent="0.5">
      <c r="A86" t="str">
        <f>"91282CDL2"</f>
        <v>91282CDL2</v>
      </c>
      <c r="B86" t="s">
        <v>101</v>
      </c>
      <c r="C86" t="s">
        <v>225</v>
      </c>
      <c r="D86" t="s">
        <v>103</v>
      </c>
      <c r="E86">
        <v>1.5</v>
      </c>
      <c r="F86" s="2">
        <v>47087</v>
      </c>
      <c r="G86" t="s">
        <v>101</v>
      </c>
      <c r="H86" t="s">
        <v>104</v>
      </c>
      <c r="I86" t="s">
        <v>105</v>
      </c>
      <c r="J86">
        <v>90.257000000000005</v>
      </c>
      <c r="K86">
        <v>90.305000000000007</v>
      </c>
      <c r="L86">
        <v>4.32</v>
      </c>
      <c r="M86">
        <v>4.306</v>
      </c>
      <c r="N86">
        <v>4.306</v>
      </c>
      <c r="O86" t="s">
        <v>101</v>
      </c>
      <c r="P86" t="s">
        <v>142</v>
      </c>
      <c r="Q86" t="s">
        <v>226</v>
      </c>
      <c r="R86" t="s">
        <v>108</v>
      </c>
    </row>
    <row r="87" spans="1:18" x14ac:dyDescent="0.5">
      <c r="A87" t="str">
        <f>"91282CDF5"</f>
        <v>91282CDF5</v>
      </c>
      <c r="B87" t="s">
        <v>101</v>
      </c>
      <c r="C87" t="s">
        <v>227</v>
      </c>
      <c r="D87" t="s">
        <v>103</v>
      </c>
      <c r="E87">
        <v>1.375</v>
      </c>
      <c r="F87" s="2">
        <v>47057</v>
      </c>
      <c r="G87" t="s">
        <v>101</v>
      </c>
      <c r="H87" t="s">
        <v>104</v>
      </c>
      <c r="I87" t="s">
        <v>105</v>
      </c>
      <c r="J87">
        <v>90.027000000000001</v>
      </c>
      <c r="K87">
        <v>90.087000000000003</v>
      </c>
      <c r="L87">
        <v>4.3230000000000004</v>
      </c>
      <c r="M87">
        <v>4.3040000000000003</v>
      </c>
      <c r="N87">
        <v>4.3040000000000003</v>
      </c>
      <c r="O87" t="s">
        <v>101</v>
      </c>
      <c r="P87" t="s">
        <v>142</v>
      </c>
      <c r="Q87" t="s">
        <v>228</v>
      </c>
      <c r="R87" t="s">
        <v>108</v>
      </c>
    </row>
    <row r="88" spans="1:18" x14ac:dyDescent="0.5">
      <c r="A88" t="str">
        <f>"91282CCY5"</f>
        <v>91282CCY5</v>
      </c>
      <c r="B88" t="s">
        <v>101</v>
      </c>
      <c r="C88" t="s">
        <v>229</v>
      </c>
      <c r="D88" t="s">
        <v>103</v>
      </c>
      <c r="E88">
        <v>1.25</v>
      </c>
      <c r="F88" s="2">
        <v>47026</v>
      </c>
      <c r="G88" t="s">
        <v>101</v>
      </c>
      <c r="H88" t="s">
        <v>104</v>
      </c>
      <c r="I88" t="s">
        <v>105</v>
      </c>
      <c r="J88">
        <v>89.838999999999999</v>
      </c>
      <c r="K88">
        <v>89.887</v>
      </c>
      <c r="L88">
        <v>4.3170000000000002</v>
      </c>
      <c r="M88">
        <v>4.3019999999999996</v>
      </c>
      <c r="N88">
        <v>4.3019999999999996</v>
      </c>
      <c r="O88" t="s">
        <v>101</v>
      </c>
      <c r="P88" t="s">
        <v>142</v>
      </c>
      <c r="Q88" t="s">
        <v>142</v>
      </c>
      <c r="R88" t="s">
        <v>108</v>
      </c>
    </row>
    <row r="89" spans="1:18" x14ac:dyDescent="0.5">
      <c r="A89" t="str">
        <f>"91282CJF9"</f>
        <v>91282CJF9</v>
      </c>
      <c r="B89" t="s">
        <v>101</v>
      </c>
      <c r="C89" t="s">
        <v>230</v>
      </c>
      <c r="D89" t="s">
        <v>103</v>
      </c>
      <c r="E89">
        <v>4.875</v>
      </c>
      <c r="F89" s="2">
        <v>47057</v>
      </c>
      <c r="G89" t="s">
        <v>101</v>
      </c>
      <c r="H89" t="s">
        <v>104</v>
      </c>
      <c r="I89" t="s">
        <v>105</v>
      </c>
      <c r="J89">
        <v>101.898</v>
      </c>
      <c r="K89">
        <v>101.934</v>
      </c>
      <c r="L89">
        <v>4.3120000000000003</v>
      </c>
      <c r="M89">
        <v>4.3010000000000002</v>
      </c>
      <c r="N89">
        <v>4.3010000000000002</v>
      </c>
      <c r="O89" t="s">
        <v>101</v>
      </c>
      <c r="P89" t="s">
        <v>142</v>
      </c>
      <c r="Q89" t="s">
        <v>142</v>
      </c>
      <c r="R89" t="s">
        <v>108</v>
      </c>
    </row>
    <row r="90" spans="1:18" x14ac:dyDescent="0.5">
      <c r="A90" t="str">
        <f>"91282CJL6"</f>
        <v>91282CJL6</v>
      </c>
      <c r="B90" t="s">
        <v>101</v>
      </c>
      <c r="C90" t="s">
        <v>231</v>
      </c>
      <c r="D90" t="s">
        <v>103</v>
      </c>
      <c r="E90">
        <v>4.875</v>
      </c>
      <c r="F90" s="2">
        <v>45991</v>
      </c>
      <c r="G90" t="s">
        <v>101</v>
      </c>
      <c r="H90" t="s">
        <v>104</v>
      </c>
      <c r="I90" t="s">
        <v>105</v>
      </c>
      <c r="J90">
        <v>100.401</v>
      </c>
      <c r="K90">
        <v>100.43</v>
      </c>
      <c r="L90">
        <v>4.3369999999999997</v>
      </c>
      <c r="M90">
        <v>4.3</v>
      </c>
      <c r="N90">
        <v>4.3</v>
      </c>
      <c r="O90" t="s">
        <v>101</v>
      </c>
      <c r="P90" t="s">
        <v>218</v>
      </c>
      <c r="Q90" t="s">
        <v>171</v>
      </c>
      <c r="R90" t="s">
        <v>108</v>
      </c>
    </row>
    <row r="91" spans="1:18" x14ac:dyDescent="0.5">
      <c r="A91" t="str">
        <f>"9128285N6"</f>
        <v>9128285N6</v>
      </c>
      <c r="B91" t="s">
        <v>101</v>
      </c>
      <c r="C91" t="s">
        <v>232</v>
      </c>
      <c r="D91" t="s">
        <v>103</v>
      </c>
      <c r="E91">
        <v>2.875</v>
      </c>
      <c r="F91" s="2">
        <v>45991</v>
      </c>
      <c r="G91" t="s">
        <v>101</v>
      </c>
      <c r="H91" t="s">
        <v>104</v>
      </c>
      <c r="I91" t="s">
        <v>105</v>
      </c>
      <c r="J91">
        <v>98.888000000000005</v>
      </c>
      <c r="K91">
        <v>98.915000000000006</v>
      </c>
      <c r="L91">
        <v>4.3339999999999996</v>
      </c>
      <c r="M91">
        <v>4.3</v>
      </c>
      <c r="N91">
        <v>4.3</v>
      </c>
      <c r="O91" t="s">
        <v>101</v>
      </c>
      <c r="P91" t="s">
        <v>172</v>
      </c>
      <c r="Q91" t="s">
        <v>171</v>
      </c>
      <c r="R91" t="s">
        <v>108</v>
      </c>
    </row>
    <row r="92" spans="1:18" x14ac:dyDescent="0.5">
      <c r="A92" t="str">
        <f>"91282CJA0"</f>
        <v>91282CJA0</v>
      </c>
      <c r="B92" t="s">
        <v>101</v>
      </c>
      <c r="C92" t="s">
        <v>233</v>
      </c>
      <c r="D92" t="s">
        <v>103</v>
      </c>
      <c r="E92">
        <v>4.625</v>
      </c>
      <c r="F92" s="2">
        <v>47026</v>
      </c>
      <c r="G92" t="s">
        <v>101</v>
      </c>
      <c r="H92" t="s">
        <v>104</v>
      </c>
      <c r="I92" t="s">
        <v>105</v>
      </c>
      <c r="J92">
        <v>101.039</v>
      </c>
      <c r="K92">
        <v>101.071</v>
      </c>
      <c r="L92">
        <v>4.3099999999999996</v>
      </c>
      <c r="M92">
        <v>4.3</v>
      </c>
      <c r="N92">
        <v>4.3</v>
      </c>
      <c r="O92" t="s">
        <v>101</v>
      </c>
      <c r="P92" t="s">
        <v>142</v>
      </c>
      <c r="Q92" t="s">
        <v>142</v>
      </c>
      <c r="R92" t="s">
        <v>108</v>
      </c>
    </row>
    <row r="93" spans="1:18" x14ac:dyDescent="0.5">
      <c r="A93" t="str">
        <f>"912810FM5"</f>
        <v>912810FM5</v>
      </c>
      <c r="B93" t="s">
        <v>101</v>
      </c>
      <c r="C93" t="s">
        <v>234</v>
      </c>
      <c r="D93" t="s">
        <v>103</v>
      </c>
      <c r="E93">
        <v>6.25</v>
      </c>
      <c r="F93" s="2">
        <v>47618</v>
      </c>
      <c r="G93" t="s">
        <v>101</v>
      </c>
      <c r="H93" t="s">
        <v>104</v>
      </c>
      <c r="I93" t="s">
        <v>105</v>
      </c>
      <c r="J93">
        <v>108.714</v>
      </c>
      <c r="K93">
        <v>109.04600000000001</v>
      </c>
      <c r="L93">
        <v>4.3689999999999998</v>
      </c>
      <c r="M93">
        <v>4.3</v>
      </c>
      <c r="N93">
        <v>4.3</v>
      </c>
      <c r="O93" t="s">
        <v>101</v>
      </c>
      <c r="P93" t="s">
        <v>235</v>
      </c>
      <c r="Q93" t="s">
        <v>198</v>
      </c>
      <c r="R93" t="s">
        <v>108</v>
      </c>
    </row>
    <row r="94" spans="1:18" x14ac:dyDescent="0.5">
      <c r="A94" t="str">
        <f>"91282CCV1"</f>
        <v>91282CCV1</v>
      </c>
      <c r="B94" t="s">
        <v>101</v>
      </c>
      <c r="C94" t="s">
        <v>236</v>
      </c>
      <c r="D94" t="s">
        <v>103</v>
      </c>
      <c r="E94">
        <v>1.125</v>
      </c>
      <c r="F94" s="2">
        <v>46996</v>
      </c>
      <c r="G94" t="s">
        <v>101</v>
      </c>
      <c r="H94" t="s">
        <v>104</v>
      </c>
      <c r="I94" t="s">
        <v>105</v>
      </c>
      <c r="J94">
        <v>89.652000000000001</v>
      </c>
      <c r="K94">
        <v>89.712000000000003</v>
      </c>
      <c r="L94">
        <v>4.319</v>
      </c>
      <c r="M94">
        <v>4.2990000000000004</v>
      </c>
      <c r="N94">
        <v>4.2990000000000004</v>
      </c>
      <c r="O94" t="s">
        <v>101</v>
      </c>
      <c r="P94" t="s">
        <v>142</v>
      </c>
      <c r="Q94" t="s">
        <v>142</v>
      </c>
      <c r="R94" t="s">
        <v>108</v>
      </c>
    </row>
    <row r="95" spans="1:18" x14ac:dyDescent="0.5">
      <c r="A95" t="str">
        <f>"91282CHX2"</f>
        <v>91282CHX2</v>
      </c>
      <c r="B95" t="s">
        <v>101</v>
      </c>
      <c r="C95" t="s">
        <v>237</v>
      </c>
      <c r="D95" t="s">
        <v>103</v>
      </c>
      <c r="E95">
        <v>4.375</v>
      </c>
      <c r="F95" s="2">
        <v>46996</v>
      </c>
      <c r="G95" t="s">
        <v>101</v>
      </c>
      <c r="H95" t="s">
        <v>104</v>
      </c>
      <c r="I95" t="s">
        <v>105</v>
      </c>
      <c r="J95">
        <v>100.203</v>
      </c>
      <c r="K95">
        <v>100.24299999999999</v>
      </c>
      <c r="L95">
        <v>4.3120000000000003</v>
      </c>
      <c r="M95">
        <v>4.2990000000000004</v>
      </c>
      <c r="N95">
        <v>4.2990000000000004</v>
      </c>
      <c r="O95" t="s">
        <v>101</v>
      </c>
      <c r="P95" t="s">
        <v>142</v>
      </c>
      <c r="Q95" t="s">
        <v>238</v>
      </c>
      <c r="R95" t="s">
        <v>108</v>
      </c>
    </row>
    <row r="96" spans="1:18" x14ac:dyDescent="0.5">
      <c r="A96" t="str">
        <f>"9128285C0"</f>
        <v>9128285C0</v>
      </c>
      <c r="B96" t="s">
        <v>101</v>
      </c>
      <c r="C96" t="s">
        <v>239</v>
      </c>
      <c r="D96" t="s">
        <v>103</v>
      </c>
      <c r="E96">
        <v>3</v>
      </c>
      <c r="F96" s="2">
        <v>45930</v>
      </c>
      <c r="G96" t="s">
        <v>101</v>
      </c>
      <c r="H96" t="s">
        <v>104</v>
      </c>
      <c r="I96" t="s">
        <v>105</v>
      </c>
      <c r="J96">
        <v>99.194999999999993</v>
      </c>
      <c r="K96">
        <v>99.222999999999999</v>
      </c>
      <c r="L96">
        <v>4.3410000000000002</v>
      </c>
      <c r="M96">
        <v>4.2939999999999996</v>
      </c>
      <c r="N96">
        <v>4.2939999999999996</v>
      </c>
      <c r="O96" t="s">
        <v>101</v>
      </c>
      <c r="P96" t="s">
        <v>171</v>
      </c>
      <c r="Q96" t="s">
        <v>171</v>
      </c>
      <c r="R96" t="s">
        <v>108</v>
      </c>
    </row>
    <row r="97" spans="1:18" x14ac:dyDescent="0.5">
      <c r="A97" t="str">
        <f>"91282CJE2"</f>
        <v>91282CJE2</v>
      </c>
      <c r="B97" t="s">
        <v>101</v>
      </c>
      <c r="C97" t="s">
        <v>240</v>
      </c>
      <c r="D97" t="s">
        <v>103</v>
      </c>
      <c r="E97">
        <v>5</v>
      </c>
      <c r="F97" s="2">
        <v>45961</v>
      </c>
      <c r="G97" t="s">
        <v>101</v>
      </c>
      <c r="H97" t="s">
        <v>104</v>
      </c>
      <c r="I97" t="s">
        <v>105</v>
      </c>
      <c r="J97">
        <v>100.453</v>
      </c>
      <c r="K97">
        <v>100.473</v>
      </c>
      <c r="L97">
        <v>4.3230000000000004</v>
      </c>
      <c r="M97">
        <v>4.2939999999999996</v>
      </c>
      <c r="N97">
        <v>4.2939999999999996</v>
      </c>
      <c r="O97" t="s">
        <v>101</v>
      </c>
      <c r="P97" t="s">
        <v>171</v>
      </c>
      <c r="Q97" t="s">
        <v>171</v>
      </c>
      <c r="R97" t="s">
        <v>108</v>
      </c>
    </row>
    <row r="98" spans="1:18" x14ac:dyDescent="0.5">
      <c r="A98" t="str">
        <f>"91282CFW6"</f>
        <v>91282CFW6</v>
      </c>
      <c r="B98" t="s">
        <v>101</v>
      </c>
      <c r="C98" t="s">
        <v>241</v>
      </c>
      <c r="D98" t="s">
        <v>103</v>
      </c>
      <c r="E98">
        <v>4.5</v>
      </c>
      <c r="F98" s="2">
        <v>45976</v>
      </c>
      <c r="G98" t="s">
        <v>101</v>
      </c>
      <c r="H98" t="s">
        <v>105</v>
      </c>
      <c r="I98" t="s">
        <v>105</v>
      </c>
      <c r="J98">
        <v>100.10899999999999</v>
      </c>
      <c r="K98">
        <v>100.142</v>
      </c>
      <c r="L98">
        <v>4.3390000000000004</v>
      </c>
      <c r="M98">
        <v>4.2939999999999996</v>
      </c>
      <c r="N98">
        <v>4.2939999999999996</v>
      </c>
      <c r="O98" t="s">
        <v>101</v>
      </c>
      <c r="P98" t="s">
        <v>171</v>
      </c>
      <c r="Q98" t="s">
        <v>202</v>
      </c>
      <c r="R98" t="s">
        <v>108</v>
      </c>
    </row>
    <row r="99" spans="1:18" x14ac:dyDescent="0.5">
      <c r="A99" t="str">
        <f>"9128284V9"</f>
        <v>9128284V9</v>
      </c>
      <c r="B99" t="s">
        <v>101</v>
      </c>
      <c r="C99" t="s">
        <v>242</v>
      </c>
      <c r="D99" t="s">
        <v>103</v>
      </c>
      <c r="E99">
        <v>2.875</v>
      </c>
      <c r="F99" s="2">
        <v>46980</v>
      </c>
      <c r="G99" t="s">
        <v>101</v>
      </c>
      <c r="H99" t="s">
        <v>104</v>
      </c>
      <c r="I99" t="s">
        <v>105</v>
      </c>
      <c r="J99">
        <v>95.378</v>
      </c>
      <c r="K99">
        <v>95.441999999999993</v>
      </c>
      <c r="L99">
        <v>4.3150000000000004</v>
      </c>
      <c r="M99">
        <v>4.2939999999999996</v>
      </c>
      <c r="N99">
        <v>4.2939999999999996</v>
      </c>
      <c r="O99" t="s">
        <v>101</v>
      </c>
      <c r="P99" t="s">
        <v>142</v>
      </c>
      <c r="Q99" t="s">
        <v>228</v>
      </c>
      <c r="R99" t="s">
        <v>108</v>
      </c>
    </row>
    <row r="100" spans="1:18" x14ac:dyDescent="0.5">
      <c r="A100" t="str">
        <f>"91282CHQ7"</f>
        <v>91282CHQ7</v>
      </c>
      <c r="B100" t="s">
        <v>101</v>
      </c>
      <c r="C100" t="s">
        <v>243</v>
      </c>
      <c r="D100" t="s">
        <v>103</v>
      </c>
      <c r="E100">
        <v>4.125</v>
      </c>
      <c r="F100" s="2">
        <v>46965</v>
      </c>
      <c r="G100" t="s">
        <v>101</v>
      </c>
      <c r="H100" t="s">
        <v>104</v>
      </c>
      <c r="I100" t="s">
        <v>105</v>
      </c>
      <c r="J100">
        <v>99.436999999999998</v>
      </c>
      <c r="K100">
        <v>99.477000000000004</v>
      </c>
      <c r="L100">
        <v>4.3019999999999996</v>
      </c>
      <c r="M100">
        <v>4.2889999999999997</v>
      </c>
      <c r="N100">
        <v>4.2889999999999997</v>
      </c>
      <c r="O100" t="s">
        <v>101</v>
      </c>
      <c r="P100" t="s">
        <v>142</v>
      </c>
      <c r="Q100" t="s">
        <v>142</v>
      </c>
      <c r="R100" t="s">
        <v>108</v>
      </c>
    </row>
    <row r="101" spans="1:18" x14ac:dyDescent="0.5">
      <c r="A101" t="str">
        <f>"912828YS3"</f>
        <v>912828YS3</v>
      </c>
      <c r="B101" t="s">
        <v>101</v>
      </c>
      <c r="C101" t="s">
        <v>244</v>
      </c>
      <c r="D101" t="s">
        <v>103</v>
      </c>
      <c r="E101">
        <v>1.75</v>
      </c>
      <c r="F101" s="2">
        <v>47437</v>
      </c>
      <c r="G101" t="s">
        <v>101</v>
      </c>
      <c r="H101" t="s">
        <v>104</v>
      </c>
      <c r="I101" t="s">
        <v>105</v>
      </c>
      <c r="J101">
        <v>89.158000000000001</v>
      </c>
      <c r="K101">
        <v>89.222999999999999</v>
      </c>
      <c r="L101">
        <v>4.3029999999999999</v>
      </c>
      <c r="M101">
        <v>4.2869999999999999</v>
      </c>
      <c r="N101">
        <v>4.2869999999999999</v>
      </c>
      <c r="O101" t="s">
        <v>101</v>
      </c>
      <c r="P101" t="s">
        <v>148</v>
      </c>
      <c r="Q101" t="s">
        <v>142</v>
      </c>
      <c r="R101" t="s">
        <v>108</v>
      </c>
    </row>
    <row r="102" spans="1:18" x14ac:dyDescent="0.5">
      <c r="A102" t="str">
        <f>"9128284N7"</f>
        <v>9128284N7</v>
      </c>
      <c r="B102" t="s">
        <v>101</v>
      </c>
      <c r="C102" t="s">
        <v>245</v>
      </c>
      <c r="D102" t="s">
        <v>103</v>
      </c>
      <c r="E102">
        <v>2.875</v>
      </c>
      <c r="F102" s="2">
        <v>46888</v>
      </c>
      <c r="G102" t="s">
        <v>101</v>
      </c>
      <c r="H102" t="s">
        <v>104</v>
      </c>
      <c r="I102" t="s">
        <v>105</v>
      </c>
      <c r="J102">
        <v>95.713999999999999</v>
      </c>
      <c r="K102">
        <v>95.772000000000006</v>
      </c>
      <c r="L102">
        <v>4.306</v>
      </c>
      <c r="M102">
        <v>4.2859999999999996</v>
      </c>
      <c r="N102">
        <v>4.2859999999999996</v>
      </c>
      <c r="O102" t="s">
        <v>101</v>
      </c>
      <c r="P102" t="s">
        <v>142</v>
      </c>
      <c r="Q102" t="s">
        <v>228</v>
      </c>
      <c r="R102" t="s">
        <v>108</v>
      </c>
    </row>
    <row r="103" spans="1:18" x14ac:dyDescent="0.5">
      <c r="A103" t="str">
        <f>"91282CCR0"</f>
        <v>91282CCR0</v>
      </c>
      <c r="B103" t="s">
        <v>101</v>
      </c>
      <c r="C103" t="s">
        <v>246</v>
      </c>
      <c r="D103" t="s">
        <v>103</v>
      </c>
      <c r="E103">
        <v>1</v>
      </c>
      <c r="F103" s="2">
        <v>46965</v>
      </c>
      <c r="G103" t="s">
        <v>101</v>
      </c>
      <c r="H103" t="s">
        <v>104</v>
      </c>
      <c r="I103" t="s">
        <v>105</v>
      </c>
      <c r="J103">
        <v>89.510999999999996</v>
      </c>
      <c r="K103">
        <v>89.566999999999993</v>
      </c>
      <c r="L103">
        <v>4.3029999999999999</v>
      </c>
      <c r="M103">
        <v>4.2850000000000001</v>
      </c>
      <c r="N103">
        <v>4.2850000000000001</v>
      </c>
      <c r="O103" t="s">
        <v>101</v>
      </c>
      <c r="P103" t="s">
        <v>142</v>
      </c>
      <c r="Q103" t="s">
        <v>228</v>
      </c>
      <c r="R103" t="s">
        <v>108</v>
      </c>
    </row>
    <row r="104" spans="1:18" x14ac:dyDescent="0.5">
      <c r="A104" t="str">
        <f>"91282CCE9"</f>
        <v>91282CCE9</v>
      </c>
      <c r="B104" t="s">
        <v>101</v>
      </c>
      <c r="C104" t="s">
        <v>247</v>
      </c>
      <c r="D104" t="s">
        <v>103</v>
      </c>
      <c r="E104">
        <v>1.25</v>
      </c>
      <c r="F104" s="2">
        <v>46904</v>
      </c>
      <c r="G104" t="s">
        <v>101</v>
      </c>
      <c r="H104" t="s">
        <v>104</v>
      </c>
      <c r="I104" t="s">
        <v>105</v>
      </c>
      <c r="J104">
        <v>90.753</v>
      </c>
      <c r="K104">
        <v>90.805000000000007</v>
      </c>
      <c r="L104">
        <v>4.3019999999999996</v>
      </c>
      <c r="M104">
        <v>4.2839999999999998</v>
      </c>
      <c r="N104">
        <v>4.2839999999999998</v>
      </c>
      <c r="O104" t="s">
        <v>101</v>
      </c>
      <c r="P104" t="s">
        <v>142</v>
      </c>
      <c r="Q104" t="s">
        <v>142</v>
      </c>
      <c r="R104" t="s">
        <v>108</v>
      </c>
    </row>
    <row r="105" spans="1:18" x14ac:dyDescent="0.5">
      <c r="A105" t="str">
        <f>"912828Y79"</f>
        <v>912828Y79</v>
      </c>
      <c r="B105" t="s">
        <v>101</v>
      </c>
      <c r="C105" t="s">
        <v>248</v>
      </c>
      <c r="D105" t="s">
        <v>103</v>
      </c>
      <c r="E105">
        <v>2.875</v>
      </c>
      <c r="F105" s="2">
        <v>45869</v>
      </c>
      <c r="G105" t="s">
        <v>101</v>
      </c>
      <c r="H105" t="s">
        <v>104</v>
      </c>
      <c r="I105" t="s">
        <v>105</v>
      </c>
      <c r="J105">
        <v>99.346999999999994</v>
      </c>
      <c r="K105">
        <v>99.376000000000005</v>
      </c>
      <c r="L105">
        <v>4.3460000000000001</v>
      </c>
      <c r="M105">
        <v>4.2830000000000004</v>
      </c>
      <c r="N105">
        <v>4.2830000000000004</v>
      </c>
      <c r="O105" t="s">
        <v>101</v>
      </c>
      <c r="P105" t="s">
        <v>171</v>
      </c>
      <c r="Q105" t="s">
        <v>171</v>
      </c>
      <c r="R105" t="s">
        <v>108</v>
      </c>
    </row>
    <row r="106" spans="1:18" x14ac:dyDescent="0.5">
      <c r="A106" t="str">
        <f>"91282CFE6"</f>
        <v>91282CFE6</v>
      </c>
      <c r="B106" t="s">
        <v>101</v>
      </c>
      <c r="C106" t="s">
        <v>249</v>
      </c>
      <c r="D106" t="s">
        <v>103</v>
      </c>
      <c r="E106">
        <v>3.125</v>
      </c>
      <c r="F106" s="2">
        <v>45884</v>
      </c>
      <c r="G106" t="s">
        <v>101</v>
      </c>
      <c r="H106" t="s">
        <v>105</v>
      </c>
      <c r="I106" t="s">
        <v>105</v>
      </c>
      <c r="J106">
        <v>99.414000000000001</v>
      </c>
      <c r="K106">
        <v>99.441999999999993</v>
      </c>
      <c r="L106">
        <v>4.3410000000000002</v>
      </c>
      <c r="M106">
        <v>4.2830000000000004</v>
      </c>
      <c r="N106">
        <v>4.2830000000000004</v>
      </c>
      <c r="O106" t="s">
        <v>101</v>
      </c>
      <c r="P106" t="s">
        <v>171</v>
      </c>
      <c r="Q106" t="s">
        <v>171</v>
      </c>
      <c r="R106" t="s">
        <v>108</v>
      </c>
    </row>
    <row r="107" spans="1:18" x14ac:dyDescent="0.5">
      <c r="A107" t="str">
        <f>"91282CAT8"</f>
        <v>91282CAT8</v>
      </c>
      <c r="B107" t="s">
        <v>101</v>
      </c>
      <c r="C107" t="s">
        <v>250</v>
      </c>
      <c r="D107" t="s">
        <v>103</v>
      </c>
      <c r="E107">
        <v>0.25</v>
      </c>
      <c r="F107" s="2">
        <v>45961</v>
      </c>
      <c r="G107" t="s">
        <v>101</v>
      </c>
      <c r="H107" t="s">
        <v>104</v>
      </c>
      <c r="I107" t="s">
        <v>105</v>
      </c>
      <c r="J107">
        <v>97.23</v>
      </c>
      <c r="K107">
        <v>97.263000000000005</v>
      </c>
      <c r="L107">
        <v>4.3319999999999999</v>
      </c>
      <c r="M107">
        <v>4.2830000000000004</v>
      </c>
      <c r="N107">
        <v>4.2830000000000004</v>
      </c>
      <c r="O107" t="s">
        <v>101</v>
      </c>
      <c r="P107" t="s">
        <v>172</v>
      </c>
      <c r="Q107" t="s">
        <v>172</v>
      </c>
      <c r="R107" t="s">
        <v>108</v>
      </c>
    </row>
    <row r="108" spans="1:18" x14ac:dyDescent="0.5">
      <c r="A108" t="str">
        <f>"91282CKS9"</f>
        <v>91282CKS9</v>
      </c>
      <c r="B108" t="s">
        <v>101</v>
      </c>
      <c r="C108" t="s">
        <v>251</v>
      </c>
      <c r="D108" t="s">
        <v>103</v>
      </c>
      <c r="E108">
        <v>4.875</v>
      </c>
      <c r="F108" s="2">
        <v>46173</v>
      </c>
      <c r="G108" t="s">
        <v>101</v>
      </c>
      <c r="H108" t="s">
        <v>104</v>
      </c>
      <c r="I108" t="s">
        <v>105</v>
      </c>
      <c r="J108">
        <v>100.7</v>
      </c>
      <c r="K108">
        <v>100.723</v>
      </c>
      <c r="L108">
        <v>4.3019999999999996</v>
      </c>
      <c r="M108">
        <v>4.2830000000000004</v>
      </c>
      <c r="N108">
        <v>4.2830000000000004</v>
      </c>
      <c r="O108" t="s">
        <v>101</v>
      </c>
      <c r="P108" t="s">
        <v>218</v>
      </c>
      <c r="Q108" t="s">
        <v>252</v>
      </c>
      <c r="R108" t="s">
        <v>108</v>
      </c>
    </row>
    <row r="109" spans="1:18" x14ac:dyDescent="0.5">
      <c r="A109" t="str">
        <f>"91282CCH2"</f>
        <v>91282CCH2</v>
      </c>
      <c r="B109" t="s">
        <v>101</v>
      </c>
      <c r="C109" t="s">
        <v>253</v>
      </c>
      <c r="D109" t="s">
        <v>103</v>
      </c>
      <c r="E109">
        <v>1.25</v>
      </c>
      <c r="F109" s="2">
        <v>46934</v>
      </c>
      <c r="G109" t="s">
        <v>101</v>
      </c>
      <c r="H109" t="s">
        <v>104</v>
      </c>
      <c r="I109" t="s">
        <v>105</v>
      </c>
      <c r="J109">
        <v>90.542000000000002</v>
      </c>
      <c r="K109">
        <v>90.587000000000003</v>
      </c>
      <c r="L109">
        <v>4.298</v>
      </c>
      <c r="M109">
        <v>4.2830000000000004</v>
      </c>
      <c r="N109">
        <v>4.2830000000000004</v>
      </c>
      <c r="O109" t="s">
        <v>101</v>
      </c>
      <c r="P109" t="s">
        <v>142</v>
      </c>
      <c r="Q109" t="s">
        <v>254</v>
      </c>
      <c r="R109" t="s">
        <v>108</v>
      </c>
    </row>
    <row r="110" spans="1:18" x14ac:dyDescent="0.5">
      <c r="A110" t="str">
        <f>"91282CEU1"</f>
        <v>91282CEU1</v>
      </c>
      <c r="B110" t="s">
        <v>101</v>
      </c>
      <c r="C110" t="s">
        <v>255</v>
      </c>
      <c r="D110" t="s">
        <v>103</v>
      </c>
      <c r="E110">
        <v>2.875</v>
      </c>
      <c r="F110" s="2">
        <v>45823</v>
      </c>
      <c r="G110" t="s">
        <v>101</v>
      </c>
      <c r="H110" t="s">
        <v>104</v>
      </c>
      <c r="I110" t="s">
        <v>105</v>
      </c>
      <c r="J110">
        <v>99.519000000000005</v>
      </c>
      <c r="K110">
        <v>99.546999999999997</v>
      </c>
      <c r="L110">
        <v>4.3680000000000003</v>
      </c>
      <c r="M110">
        <v>4.282</v>
      </c>
      <c r="N110">
        <v>4.282</v>
      </c>
      <c r="O110" t="s">
        <v>101</v>
      </c>
      <c r="P110" t="s">
        <v>171</v>
      </c>
      <c r="Q110" t="s">
        <v>171</v>
      </c>
      <c r="R110" t="s">
        <v>108</v>
      </c>
    </row>
    <row r="111" spans="1:18" x14ac:dyDescent="0.5">
      <c r="A111" t="str">
        <f>"91282CKB6"</f>
        <v>91282CKB6</v>
      </c>
      <c r="B111" t="s">
        <v>101</v>
      </c>
      <c r="C111" t="s">
        <v>256</v>
      </c>
      <c r="D111" t="s">
        <v>103</v>
      </c>
      <c r="E111">
        <v>4.625</v>
      </c>
      <c r="F111" s="2">
        <v>46081</v>
      </c>
      <c r="G111" t="s">
        <v>101</v>
      </c>
      <c r="H111" t="s">
        <v>104</v>
      </c>
      <c r="I111" t="s">
        <v>105</v>
      </c>
      <c r="J111">
        <v>100.312</v>
      </c>
      <c r="K111">
        <v>100.34</v>
      </c>
      <c r="L111">
        <v>4.3099999999999996</v>
      </c>
      <c r="M111">
        <v>4.282</v>
      </c>
      <c r="N111">
        <v>4.282</v>
      </c>
      <c r="O111" t="s">
        <v>101</v>
      </c>
      <c r="P111" t="s">
        <v>252</v>
      </c>
      <c r="Q111" t="s">
        <v>257</v>
      </c>
      <c r="R111" t="s">
        <v>108</v>
      </c>
    </row>
    <row r="112" spans="1:18" x14ac:dyDescent="0.5">
      <c r="A112" t="str">
        <f>"91282CHE4"</f>
        <v>91282CHE4</v>
      </c>
      <c r="B112" t="s">
        <v>101</v>
      </c>
      <c r="C112" t="s">
        <v>258</v>
      </c>
      <c r="D112" t="s">
        <v>103</v>
      </c>
      <c r="E112">
        <v>3.625</v>
      </c>
      <c r="F112" s="2">
        <v>46904</v>
      </c>
      <c r="G112" t="s">
        <v>101</v>
      </c>
      <c r="H112" t="s">
        <v>104</v>
      </c>
      <c r="I112" t="s">
        <v>105</v>
      </c>
      <c r="J112">
        <v>97.96</v>
      </c>
      <c r="K112">
        <v>98.004999999999995</v>
      </c>
      <c r="L112">
        <v>4.2969999999999997</v>
      </c>
      <c r="M112">
        <v>4.282</v>
      </c>
      <c r="N112">
        <v>4.282</v>
      </c>
      <c r="O112" t="s">
        <v>101</v>
      </c>
      <c r="P112" t="s">
        <v>142</v>
      </c>
      <c r="Q112" t="s">
        <v>142</v>
      </c>
      <c r="R112" t="s">
        <v>108</v>
      </c>
    </row>
    <row r="113" spans="1:18" x14ac:dyDescent="0.5">
      <c r="A113" t="str">
        <f>"9128283W8"</f>
        <v>9128283W8</v>
      </c>
      <c r="B113" t="s">
        <v>101</v>
      </c>
      <c r="C113" t="s">
        <v>259</v>
      </c>
      <c r="D113" t="s">
        <v>103</v>
      </c>
      <c r="E113">
        <v>2.75</v>
      </c>
      <c r="F113" s="2">
        <v>46798</v>
      </c>
      <c r="G113" t="s">
        <v>101</v>
      </c>
      <c r="H113" t="s">
        <v>104</v>
      </c>
      <c r="I113" t="s">
        <v>105</v>
      </c>
      <c r="J113">
        <v>95.706999999999994</v>
      </c>
      <c r="K113">
        <v>95.742999999999995</v>
      </c>
      <c r="L113">
        <v>4.2939999999999996</v>
      </c>
      <c r="M113">
        <v>4.2809999999999997</v>
      </c>
      <c r="N113">
        <v>4.2809999999999997</v>
      </c>
      <c r="O113" t="s">
        <v>101</v>
      </c>
      <c r="P113" t="s">
        <v>142</v>
      </c>
      <c r="Q113" t="s">
        <v>142</v>
      </c>
      <c r="R113" t="s">
        <v>108</v>
      </c>
    </row>
    <row r="114" spans="1:18" x14ac:dyDescent="0.5">
      <c r="A114" t="str">
        <f>"912828YB0"</f>
        <v>912828YB0</v>
      </c>
      <c r="B114" t="s">
        <v>101</v>
      </c>
      <c r="C114" t="s">
        <v>260</v>
      </c>
      <c r="D114" t="s">
        <v>103</v>
      </c>
      <c r="E114">
        <v>1.625</v>
      </c>
      <c r="F114" s="2">
        <v>47345</v>
      </c>
      <c r="G114" t="s">
        <v>101</v>
      </c>
      <c r="H114" t="s">
        <v>104</v>
      </c>
      <c r="I114" t="s">
        <v>105</v>
      </c>
      <c r="J114">
        <v>89.183000000000007</v>
      </c>
      <c r="K114">
        <v>89.248000000000005</v>
      </c>
      <c r="L114">
        <v>4.2990000000000004</v>
      </c>
      <c r="M114">
        <v>4.2809999999999997</v>
      </c>
      <c r="N114">
        <v>4.2809999999999997</v>
      </c>
      <c r="O114" t="s">
        <v>101</v>
      </c>
      <c r="P114" t="s">
        <v>167</v>
      </c>
      <c r="Q114" t="s">
        <v>167</v>
      </c>
      <c r="R114" t="s">
        <v>108</v>
      </c>
    </row>
    <row r="115" spans="1:18" x14ac:dyDescent="0.5">
      <c r="A115" t="str">
        <f>"91282CHD6"</f>
        <v>91282CHD6</v>
      </c>
      <c r="B115" t="s">
        <v>101</v>
      </c>
      <c r="C115" t="s">
        <v>261</v>
      </c>
      <c r="D115" t="s">
        <v>103</v>
      </c>
      <c r="E115">
        <v>4.25</v>
      </c>
      <c r="F115" s="2">
        <v>45808</v>
      </c>
      <c r="G115" t="s">
        <v>101</v>
      </c>
      <c r="H115" t="s">
        <v>104</v>
      </c>
      <c r="I115" t="s">
        <v>105</v>
      </c>
      <c r="J115">
        <v>99.956999999999994</v>
      </c>
      <c r="K115">
        <v>99.980999999999995</v>
      </c>
      <c r="L115">
        <v>4.3639999999999999</v>
      </c>
      <c r="M115">
        <v>4.28</v>
      </c>
      <c r="N115">
        <v>4.28</v>
      </c>
      <c r="O115" t="s">
        <v>101</v>
      </c>
      <c r="P115" t="s">
        <v>171</v>
      </c>
      <c r="Q115" t="s">
        <v>171</v>
      </c>
      <c r="R115" t="s">
        <v>108</v>
      </c>
    </row>
    <row r="116" spans="1:18" x14ac:dyDescent="0.5">
      <c r="A116" t="str">
        <f>"912828P46"</f>
        <v>912828P46</v>
      </c>
      <c r="B116" t="s">
        <v>101</v>
      </c>
      <c r="C116" t="s">
        <v>262</v>
      </c>
      <c r="D116" t="s">
        <v>103</v>
      </c>
      <c r="E116">
        <v>1.625</v>
      </c>
      <c r="F116" s="2">
        <v>46068</v>
      </c>
      <c r="G116" t="s">
        <v>101</v>
      </c>
      <c r="H116" t="s">
        <v>104</v>
      </c>
      <c r="I116" t="s">
        <v>105</v>
      </c>
      <c r="J116">
        <v>97.409000000000006</v>
      </c>
      <c r="K116">
        <v>97.448999999999998</v>
      </c>
      <c r="L116">
        <v>4.3220000000000001</v>
      </c>
      <c r="M116">
        <v>4.28</v>
      </c>
      <c r="N116">
        <v>4.28</v>
      </c>
      <c r="O116" t="s">
        <v>101</v>
      </c>
      <c r="P116" t="s">
        <v>218</v>
      </c>
      <c r="Q116" t="s">
        <v>218</v>
      </c>
      <c r="R116" t="s">
        <v>108</v>
      </c>
    </row>
    <row r="117" spans="1:18" x14ac:dyDescent="0.5">
      <c r="A117" t="str">
        <f>"91282CBZ3"</f>
        <v>91282CBZ3</v>
      </c>
      <c r="B117" t="s">
        <v>101</v>
      </c>
      <c r="C117" t="s">
        <v>263</v>
      </c>
      <c r="D117" t="s">
        <v>103</v>
      </c>
      <c r="E117">
        <v>1.25</v>
      </c>
      <c r="F117" s="2">
        <v>46873</v>
      </c>
      <c r="G117" t="s">
        <v>101</v>
      </c>
      <c r="H117" t="s">
        <v>104</v>
      </c>
      <c r="I117" t="s">
        <v>105</v>
      </c>
      <c r="J117">
        <v>90.971999999999994</v>
      </c>
      <c r="K117">
        <v>91.036000000000001</v>
      </c>
      <c r="L117">
        <v>4.3029999999999999</v>
      </c>
      <c r="M117">
        <v>4.28</v>
      </c>
      <c r="N117">
        <v>4.28</v>
      </c>
      <c r="O117" t="s">
        <v>101</v>
      </c>
      <c r="P117" t="s">
        <v>142</v>
      </c>
      <c r="Q117" t="s">
        <v>228</v>
      </c>
      <c r="R117" t="s">
        <v>108</v>
      </c>
    </row>
    <row r="118" spans="1:18" x14ac:dyDescent="0.5">
      <c r="A118" t="str">
        <f>"91282CHA2"</f>
        <v>91282CHA2</v>
      </c>
      <c r="B118" t="s">
        <v>101</v>
      </c>
      <c r="C118" t="s">
        <v>264</v>
      </c>
      <c r="D118" t="s">
        <v>103</v>
      </c>
      <c r="E118">
        <v>3.5</v>
      </c>
      <c r="F118" s="2">
        <v>46873</v>
      </c>
      <c r="G118" t="s">
        <v>101</v>
      </c>
      <c r="H118" t="s">
        <v>104</v>
      </c>
      <c r="I118" t="s">
        <v>105</v>
      </c>
      <c r="J118">
        <v>97.652000000000001</v>
      </c>
      <c r="K118">
        <v>97.688000000000002</v>
      </c>
      <c r="L118">
        <v>4.2919999999999998</v>
      </c>
      <c r="M118">
        <v>4.28</v>
      </c>
      <c r="N118">
        <v>4.28</v>
      </c>
      <c r="O118" t="s">
        <v>101</v>
      </c>
      <c r="P118" t="s">
        <v>142</v>
      </c>
      <c r="Q118" t="s">
        <v>142</v>
      </c>
      <c r="R118" t="s">
        <v>108</v>
      </c>
    </row>
    <row r="119" spans="1:18" x14ac:dyDescent="0.5">
      <c r="A119" t="str">
        <f>"91282CHK0"</f>
        <v>91282CHK0</v>
      </c>
      <c r="B119" t="s">
        <v>101</v>
      </c>
      <c r="C119" t="s">
        <v>265</v>
      </c>
      <c r="D119" t="s">
        <v>103</v>
      </c>
      <c r="E119">
        <v>4</v>
      </c>
      <c r="F119" s="2">
        <v>46934</v>
      </c>
      <c r="G119" t="s">
        <v>101</v>
      </c>
      <c r="H119" t="s">
        <v>104</v>
      </c>
      <c r="I119" t="s">
        <v>105</v>
      </c>
      <c r="J119">
        <v>99.084999999999994</v>
      </c>
      <c r="K119">
        <v>99.13</v>
      </c>
      <c r="L119">
        <v>4.2930000000000001</v>
      </c>
      <c r="M119">
        <v>4.2789999999999999</v>
      </c>
      <c r="N119">
        <v>4.2789999999999999</v>
      </c>
      <c r="O119" t="s">
        <v>101</v>
      </c>
      <c r="P119" t="s">
        <v>142</v>
      </c>
      <c r="Q119" t="s">
        <v>142</v>
      </c>
      <c r="R119" t="s">
        <v>108</v>
      </c>
    </row>
    <row r="120" spans="1:18" x14ac:dyDescent="0.5">
      <c r="A120" t="str">
        <f>"91282CBH3"</f>
        <v>91282CBH3</v>
      </c>
      <c r="B120" t="s">
        <v>101</v>
      </c>
      <c r="C120" t="s">
        <v>266</v>
      </c>
      <c r="D120" t="s">
        <v>103</v>
      </c>
      <c r="E120">
        <v>0.375</v>
      </c>
      <c r="F120" s="2">
        <v>46053</v>
      </c>
      <c r="G120" t="s">
        <v>101</v>
      </c>
      <c r="H120" t="s">
        <v>104</v>
      </c>
      <c r="I120" t="s">
        <v>105</v>
      </c>
      <c r="J120">
        <v>96.385999999999996</v>
      </c>
      <c r="K120">
        <v>96.403000000000006</v>
      </c>
      <c r="L120">
        <v>4.2960000000000003</v>
      </c>
      <c r="M120">
        <v>4.2779999999999996</v>
      </c>
      <c r="N120">
        <v>4.2779999999999996</v>
      </c>
      <c r="O120" t="s">
        <v>101</v>
      </c>
      <c r="P120" t="s">
        <v>252</v>
      </c>
      <c r="Q120" t="s">
        <v>252</v>
      </c>
      <c r="R120" t="s">
        <v>108</v>
      </c>
    </row>
    <row r="121" spans="1:18" x14ac:dyDescent="0.5">
      <c r="A121" t="str">
        <f>"912828K74"</f>
        <v>912828K74</v>
      </c>
      <c r="B121" t="s">
        <v>101</v>
      </c>
      <c r="C121" t="s">
        <v>267</v>
      </c>
      <c r="D121" t="s">
        <v>103</v>
      </c>
      <c r="E121">
        <v>2</v>
      </c>
      <c r="F121" s="2">
        <v>45884</v>
      </c>
      <c r="G121" t="s">
        <v>101</v>
      </c>
      <c r="H121" t="s">
        <v>104</v>
      </c>
      <c r="I121" t="s">
        <v>105</v>
      </c>
      <c r="J121">
        <v>98.867000000000004</v>
      </c>
      <c r="K121">
        <v>98.903000000000006</v>
      </c>
      <c r="L121">
        <v>4.3520000000000003</v>
      </c>
      <c r="M121">
        <v>4.2770000000000001</v>
      </c>
      <c r="N121">
        <v>4.2770000000000001</v>
      </c>
      <c r="O121" t="s">
        <v>101</v>
      </c>
      <c r="P121" t="s">
        <v>202</v>
      </c>
      <c r="Q121" t="s">
        <v>202</v>
      </c>
      <c r="R121" t="s">
        <v>108</v>
      </c>
    </row>
    <row r="122" spans="1:18" x14ac:dyDescent="0.5">
      <c r="A122" t="str">
        <f>"91282CLH2"</f>
        <v>91282CLH2</v>
      </c>
      <c r="B122" t="s">
        <v>101</v>
      </c>
      <c r="C122" t="s">
        <v>268</v>
      </c>
      <c r="D122" t="s">
        <v>103</v>
      </c>
      <c r="E122">
        <v>3.75</v>
      </c>
      <c r="F122" s="2">
        <v>46265</v>
      </c>
      <c r="G122" t="s">
        <v>101</v>
      </c>
      <c r="H122" t="s">
        <v>104</v>
      </c>
      <c r="I122" t="s">
        <v>105</v>
      </c>
      <c r="J122">
        <v>99.198999999999998</v>
      </c>
      <c r="K122">
        <v>99.227000000000004</v>
      </c>
      <c r="L122">
        <v>4.2960000000000003</v>
      </c>
      <c r="M122">
        <v>4.2770000000000001</v>
      </c>
      <c r="N122">
        <v>4.2770000000000001</v>
      </c>
      <c r="O122" t="s">
        <v>101</v>
      </c>
      <c r="P122" t="s">
        <v>193</v>
      </c>
      <c r="Q122" t="s">
        <v>193</v>
      </c>
      <c r="R122" t="s">
        <v>108</v>
      </c>
    </row>
    <row r="123" spans="1:18" x14ac:dyDescent="0.5">
      <c r="A123" t="str">
        <f>"91282CMF5"</f>
        <v>91282CMF5</v>
      </c>
      <c r="B123" t="s">
        <v>101</v>
      </c>
      <c r="C123" t="s">
        <v>269</v>
      </c>
      <c r="D123" t="s">
        <v>103</v>
      </c>
      <c r="E123">
        <v>4.25</v>
      </c>
      <c r="F123" s="2">
        <v>46767</v>
      </c>
      <c r="G123" t="s">
        <v>101</v>
      </c>
      <c r="H123" t="s">
        <v>104</v>
      </c>
      <c r="I123" t="s">
        <v>105</v>
      </c>
      <c r="J123">
        <v>99.91</v>
      </c>
      <c r="K123">
        <v>99.921999999999997</v>
      </c>
      <c r="L123">
        <v>4.282</v>
      </c>
      <c r="M123">
        <v>4.2770000000000001</v>
      </c>
      <c r="N123">
        <v>4.2770000000000001</v>
      </c>
      <c r="O123" t="s">
        <v>101</v>
      </c>
      <c r="P123" t="s">
        <v>107</v>
      </c>
      <c r="Q123" t="s">
        <v>270</v>
      </c>
      <c r="R123" t="s">
        <v>108</v>
      </c>
    </row>
    <row r="124" spans="1:18" x14ac:dyDescent="0.5">
      <c r="A124" t="str">
        <f>"91282CGP0"</f>
        <v>91282CGP0</v>
      </c>
      <c r="B124" t="s">
        <v>101</v>
      </c>
      <c r="C124" t="s">
        <v>271</v>
      </c>
      <c r="D124" t="s">
        <v>103</v>
      </c>
      <c r="E124">
        <v>4</v>
      </c>
      <c r="F124" s="2">
        <v>46812</v>
      </c>
      <c r="G124" t="s">
        <v>101</v>
      </c>
      <c r="H124" t="s">
        <v>104</v>
      </c>
      <c r="I124" t="s">
        <v>105</v>
      </c>
      <c r="J124">
        <v>99.186999999999998</v>
      </c>
      <c r="K124">
        <v>99.222999999999999</v>
      </c>
      <c r="L124">
        <v>4.2889999999999997</v>
      </c>
      <c r="M124">
        <v>4.2759999999999998</v>
      </c>
      <c r="N124">
        <v>4.2759999999999998</v>
      </c>
      <c r="O124" t="s">
        <v>101</v>
      </c>
      <c r="P124" t="s">
        <v>142</v>
      </c>
      <c r="Q124" t="s">
        <v>142</v>
      </c>
      <c r="R124" t="s">
        <v>108</v>
      </c>
    </row>
    <row r="125" spans="1:18" x14ac:dyDescent="0.5">
      <c r="A125" t="str">
        <f>"912828ZT0"</f>
        <v>912828ZT0</v>
      </c>
      <c r="B125" t="s">
        <v>101</v>
      </c>
      <c r="C125" t="s">
        <v>272</v>
      </c>
      <c r="D125" t="s">
        <v>103</v>
      </c>
      <c r="E125">
        <v>0.25</v>
      </c>
      <c r="F125" s="2">
        <v>45808</v>
      </c>
      <c r="G125" t="s">
        <v>101</v>
      </c>
      <c r="H125" t="s">
        <v>104</v>
      </c>
      <c r="I125" t="s">
        <v>105</v>
      </c>
      <c r="J125">
        <v>98.858999999999995</v>
      </c>
      <c r="K125">
        <v>98.885000000000005</v>
      </c>
      <c r="L125">
        <v>4.3680000000000003</v>
      </c>
      <c r="M125">
        <v>4.274</v>
      </c>
      <c r="N125">
        <v>4.274</v>
      </c>
      <c r="O125" t="s">
        <v>101</v>
      </c>
      <c r="P125" t="s">
        <v>171</v>
      </c>
      <c r="Q125" t="s">
        <v>202</v>
      </c>
      <c r="R125" t="s">
        <v>108</v>
      </c>
    </row>
    <row r="126" spans="1:18" x14ac:dyDescent="0.5">
      <c r="A126" t="str">
        <f>"912828M56"</f>
        <v>912828M56</v>
      </c>
      <c r="B126" t="s">
        <v>101</v>
      </c>
      <c r="C126" t="s">
        <v>273</v>
      </c>
      <c r="D126" t="s">
        <v>103</v>
      </c>
      <c r="E126">
        <v>2.25</v>
      </c>
      <c r="F126" s="2">
        <v>45976</v>
      </c>
      <c r="G126" t="s">
        <v>101</v>
      </c>
      <c r="H126" t="s">
        <v>104</v>
      </c>
      <c r="I126" t="s">
        <v>105</v>
      </c>
      <c r="J126">
        <v>98.519000000000005</v>
      </c>
      <c r="K126">
        <v>98.543999999999997</v>
      </c>
      <c r="L126">
        <v>4.3070000000000004</v>
      </c>
      <c r="M126">
        <v>4.2729999999999997</v>
      </c>
      <c r="N126">
        <v>4.2729999999999997</v>
      </c>
      <c r="O126" t="s">
        <v>101</v>
      </c>
      <c r="P126" t="s">
        <v>171</v>
      </c>
      <c r="Q126" t="s">
        <v>171</v>
      </c>
      <c r="R126" t="s">
        <v>108</v>
      </c>
    </row>
    <row r="127" spans="1:18" x14ac:dyDescent="0.5">
      <c r="A127" t="str">
        <f>"91282CJV4"</f>
        <v>91282CJV4</v>
      </c>
      <c r="B127" t="s">
        <v>101</v>
      </c>
      <c r="C127" t="s">
        <v>274</v>
      </c>
      <c r="D127" t="s">
        <v>103</v>
      </c>
      <c r="E127">
        <v>4.25</v>
      </c>
      <c r="F127" s="2">
        <v>46053</v>
      </c>
      <c r="G127" t="s">
        <v>101</v>
      </c>
      <c r="H127" t="s">
        <v>104</v>
      </c>
      <c r="I127" t="s">
        <v>105</v>
      </c>
      <c r="J127">
        <v>99.956999999999994</v>
      </c>
      <c r="K127">
        <v>99.977000000000004</v>
      </c>
      <c r="L127">
        <v>4.2939999999999996</v>
      </c>
      <c r="M127">
        <v>4.2729999999999997</v>
      </c>
      <c r="N127">
        <v>4.2729999999999997</v>
      </c>
      <c r="O127" t="s">
        <v>101</v>
      </c>
      <c r="P127" t="s">
        <v>252</v>
      </c>
      <c r="Q127" t="s">
        <v>275</v>
      </c>
      <c r="R127" t="s">
        <v>108</v>
      </c>
    </row>
    <row r="128" spans="1:18" x14ac:dyDescent="0.5">
      <c r="A128" t="str">
        <f>"91282CKK6"</f>
        <v>91282CKK6</v>
      </c>
      <c r="B128" t="s">
        <v>101</v>
      </c>
      <c r="C128" t="s">
        <v>276</v>
      </c>
      <c r="D128" t="s">
        <v>103</v>
      </c>
      <c r="E128">
        <v>4.875</v>
      </c>
      <c r="F128" s="2">
        <v>46142</v>
      </c>
      <c r="G128" t="s">
        <v>101</v>
      </c>
      <c r="H128" t="s">
        <v>104</v>
      </c>
      <c r="I128" t="s">
        <v>105</v>
      </c>
      <c r="J128">
        <v>100.661</v>
      </c>
      <c r="K128">
        <v>100.688</v>
      </c>
      <c r="L128">
        <v>4.2960000000000003</v>
      </c>
      <c r="M128">
        <v>4.2729999999999997</v>
      </c>
      <c r="N128">
        <v>4.2729999999999997</v>
      </c>
      <c r="O128" t="s">
        <v>101</v>
      </c>
      <c r="P128" t="s">
        <v>172</v>
      </c>
      <c r="Q128" t="s">
        <v>252</v>
      </c>
      <c r="R128" t="s">
        <v>108</v>
      </c>
    </row>
    <row r="129" spans="1:18" x14ac:dyDescent="0.5">
      <c r="A129" t="str">
        <f>"91282CLB5"</f>
        <v>91282CLB5</v>
      </c>
      <c r="B129" t="s">
        <v>101</v>
      </c>
      <c r="C129" t="s">
        <v>277</v>
      </c>
      <c r="D129" t="s">
        <v>103</v>
      </c>
      <c r="E129">
        <v>4.375</v>
      </c>
      <c r="F129" s="2">
        <v>46234</v>
      </c>
      <c r="G129" t="s">
        <v>101</v>
      </c>
      <c r="H129" t="s">
        <v>104</v>
      </c>
      <c r="I129" t="s">
        <v>105</v>
      </c>
      <c r="J129">
        <v>100.125</v>
      </c>
      <c r="K129">
        <v>100.14100000000001</v>
      </c>
      <c r="L129">
        <v>4.2839999999999998</v>
      </c>
      <c r="M129">
        <v>4.2720000000000002</v>
      </c>
      <c r="N129">
        <v>4.2720000000000002</v>
      </c>
      <c r="O129" t="s">
        <v>101</v>
      </c>
      <c r="P129" t="s">
        <v>278</v>
      </c>
      <c r="Q129" t="s">
        <v>278</v>
      </c>
      <c r="R129" t="s">
        <v>108</v>
      </c>
    </row>
    <row r="130" spans="1:18" x14ac:dyDescent="0.5">
      <c r="A130" t="str">
        <f>"91282CGL9"</f>
        <v>91282CGL9</v>
      </c>
      <c r="B130" t="s">
        <v>101</v>
      </c>
      <c r="C130" t="s">
        <v>279</v>
      </c>
      <c r="D130" t="s">
        <v>103</v>
      </c>
      <c r="E130">
        <v>4</v>
      </c>
      <c r="F130" s="2">
        <v>46068</v>
      </c>
      <c r="G130" t="s">
        <v>101</v>
      </c>
      <c r="H130" t="s">
        <v>104</v>
      </c>
      <c r="I130" t="s">
        <v>105</v>
      </c>
      <c r="J130">
        <v>99.707999999999998</v>
      </c>
      <c r="K130">
        <v>99.739000000000004</v>
      </c>
      <c r="L130">
        <v>4.3040000000000003</v>
      </c>
      <c r="M130">
        <v>4.2709999999999999</v>
      </c>
      <c r="N130">
        <v>4.2709999999999999</v>
      </c>
      <c r="O130" t="s">
        <v>101</v>
      </c>
      <c r="P130" t="s">
        <v>172</v>
      </c>
      <c r="Q130" t="s">
        <v>252</v>
      </c>
      <c r="R130" t="s">
        <v>108</v>
      </c>
    </row>
    <row r="131" spans="1:18" x14ac:dyDescent="0.5">
      <c r="A131" t="str">
        <f>"91282CBQ3"</f>
        <v>91282CBQ3</v>
      </c>
      <c r="B131" t="s">
        <v>101</v>
      </c>
      <c r="C131" t="s">
        <v>280</v>
      </c>
      <c r="D131" t="s">
        <v>103</v>
      </c>
      <c r="E131">
        <v>0.5</v>
      </c>
      <c r="F131" s="2">
        <v>46081</v>
      </c>
      <c r="G131" t="s">
        <v>101</v>
      </c>
      <c r="H131" t="s">
        <v>104</v>
      </c>
      <c r="I131" t="s">
        <v>105</v>
      </c>
      <c r="J131">
        <v>96.21</v>
      </c>
      <c r="K131">
        <v>96.248000000000005</v>
      </c>
      <c r="L131">
        <v>4.3090000000000002</v>
      </c>
      <c r="M131">
        <v>4.2709999999999999</v>
      </c>
      <c r="N131">
        <v>4.2709999999999999</v>
      </c>
      <c r="O131" t="s">
        <v>101</v>
      </c>
      <c r="P131" t="s">
        <v>252</v>
      </c>
      <c r="Q131" t="s">
        <v>218</v>
      </c>
      <c r="R131" t="s">
        <v>108</v>
      </c>
    </row>
    <row r="132" spans="1:18" x14ac:dyDescent="0.5">
      <c r="A132" t="str">
        <f>"91282CCF6"</f>
        <v>91282CCF6</v>
      </c>
      <c r="B132" t="s">
        <v>101</v>
      </c>
      <c r="C132" t="s">
        <v>281</v>
      </c>
      <c r="D132" t="s">
        <v>103</v>
      </c>
      <c r="E132">
        <v>0.75</v>
      </c>
      <c r="F132" s="2">
        <v>46173</v>
      </c>
      <c r="G132" t="s">
        <v>101</v>
      </c>
      <c r="H132" t="s">
        <v>104</v>
      </c>
      <c r="I132" t="s">
        <v>105</v>
      </c>
      <c r="J132">
        <v>95.622</v>
      </c>
      <c r="K132">
        <v>95.656999999999996</v>
      </c>
      <c r="L132">
        <v>4.3</v>
      </c>
      <c r="M132">
        <v>4.2709999999999999</v>
      </c>
      <c r="N132">
        <v>4.2709999999999999</v>
      </c>
      <c r="O132" t="s">
        <v>101</v>
      </c>
      <c r="P132" t="s">
        <v>172</v>
      </c>
      <c r="Q132" t="s">
        <v>252</v>
      </c>
      <c r="R132" t="s">
        <v>108</v>
      </c>
    </row>
    <row r="133" spans="1:18" x14ac:dyDescent="0.5">
      <c r="A133" t="str">
        <f>"91282CLS8"</f>
        <v>91282CLS8</v>
      </c>
      <c r="B133" t="s">
        <v>101</v>
      </c>
      <c r="C133" t="s">
        <v>282</v>
      </c>
      <c r="D133" t="s">
        <v>103</v>
      </c>
      <c r="E133">
        <v>4.125</v>
      </c>
      <c r="F133" s="2">
        <v>46326</v>
      </c>
      <c r="G133" t="s">
        <v>101</v>
      </c>
      <c r="H133" t="s">
        <v>104</v>
      </c>
      <c r="I133" t="s">
        <v>105</v>
      </c>
      <c r="J133">
        <v>99.738</v>
      </c>
      <c r="K133">
        <v>99.757999999999996</v>
      </c>
      <c r="L133">
        <v>4.2830000000000004</v>
      </c>
      <c r="M133">
        <v>4.2709999999999999</v>
      </c>
      <c r="N133">
        <v>4.2709999999999999</v>
      </c>
      <c r="O133" t="s">
        <v>101</v>
      </c>
      <c r="P133" t="s">
        <v>140</v>
      </c>
      <c r="Q133" t="s">
        <v>140</v>
      </c>
      <c r="R133" t="s">
        <v>108</v>
      </c>
    </row>
    <row r="134" spans="1:18" x14ac:dyDescent="0.5">
      <c r="A134" t="str">
        <f>"91282CLX7"</f>
        <v>91282CLX7</v>
      </c>
      <c r="B134" t="s">
        <v>101</v>
      </c>
      <c r="C134" t="s">
        <v>283</v>
      </c>
      <c r="D134" t="s">
        <v>103</v>
      </c>
      <c r="E134">
        <v>4.125</v>
      </c>
      <c r="F134" s="2">
        <v>46706</v>
      </c>
      <c r="G134" t="s">
        <v>101</v>
      </c>
      <c r="H134" t="s">
        <v>104</v>
      </c>
      <c r="I134" t="s">
        <v>105</v>
      </c>
      <c r="J134">
        <v>99.593000000000004</v>
      </c>
      <c r="K134">
        <v>99.622</v>
      </c>
      <c r="L134">
        <v>4.282</v>
      </c>
      <c r="M134">
        <v>4.2709999999999999</v>
      </c>
      <c r="N134">
        <v>4.2709999999999999</v>
      </c>
      <c r="O134" t="s">
        <v>101</v>
      </c>
      <c r="P134" t="s">
        <v>107</v>
      </c>
      <c r="Q134" t="s">
        <v>107</v>
      </c>
      <c r="R134" t="s">
        <v>108</v>
      </c>
    </row>
    <row r="135" spans="1:18" x14ac:dyDescent="0.5">
      <c r="A135" t="str">
        <f>"91282CHN4"</f>
        <v>91282CHN4</v>
      </c>
      <c r="B135" t="s">
        <v>101</v>
      </c>
      <c r="C135" t="s">
        <v>284</v>
      </c>
      <c r="D135" t="s">
        <v>103</v>
      </c>
      <c r="E135">
        <v>4.75</v>
      </c>
      <c r="F135" s="2">
        <v>45869</v>
      </c>
      <c r="G135" t="s">
        <v>101</v>
      </c>
      <c r="H135" t="s">
        <v>104</v>
      </c>
      <c r="I135" t="s">
        <v>105</v>
      </c>
      <c r="J135">
        <v>100.175</v>
      </c>
      <c r="K135">
        <v>100.208</v>
      </c>
      <c r="L135">
        <v>4.3419999999999996</v>
      </c>
      <c r="M135">
        <v>4.2699999999999996</v>
      </c>
      <c r="N135">
        <v>4.2699999999999996</v>
      </c>
      <c r="O135" t="s">
        <v>101</v>
      </c>
      <c r="P135" t="s">
        <v>171</v>
      </c>
      <c r="Q135" t="s">
        <v>172</v>
      </c>
      <c r="R135" t="s">
        <v>108</v>
      </c>
    </row>
    <row r="136" spans="1:18" x14ac:dyDescent="0.5">
      <c r="A136" t="str">
        <f>"91282CKH3"</f>
        <v>91282CKH3</v>
      </c>
      <c r="B136" t="s">
        <v>101</v>
      </c>
      <c r="C136" t="s">
        <v>285</v>
      </c>
      <c r="D136" t="s">
        <v>103</v>
      </c>
      <c r="E136">
        <v>4.5</v>
      </c>
      <c r="F136" s="2">
        <v>46112</v>
      </c>
      <c r="G136" t="s">
        <v>101</v>
      </c>
      <c r="H136" t="s">
        <v>104</v>
      </c>
      <c r="I136" t="s">
        <v>105</v>
      </c>
      <c r="J136">
        <v>100.214</v>
      </c>
      <c r="K136">
        <v>100.24299999999999</v>
      </c>
      <c r="L136">
        <v>4.2960000000000003</v>
      </c>
      <c r="M136">
        <v>4.2699999999999996</v>
      </c>
      <c r="N136">
        <v>4.2699999999999996</v>
      </c>
      <c r="O136" t="s">
        <v>101</v>
      </c>
      <c r="P136" t="s">
        <v>252</v>
      </c>
      <c r="Q136" t="s">
        <v>252</v>
      </c>
      <c r="R136" t="s">
        <v>108</v>
      </c>
    </row>
    <row r="137" spans="1:18" x14ac:dyDescent="0.5">
      <c r="A137" t="str">
        <f>"91282CCZ2"</f>
        <v>91282CCZ2</v>
      </c>
      <c r="B137" t="s">
        <v>101</v>
      </c>
      <c r="C137" t="s">
        <v>286</v>
      </c>
      <c r="D137" t="s">
        <v>103</v>
      </c>
      <c r="E137">
        <v>0.875</v>
      </c>
      <c r="F137" s="2">
        <v>46295</v>
      </c>
      <c r="G137" t="s">
        <v>101</v>
      </c>
      <c r="H137" t="s">
        <v>104</v>
      </c>
      <c r="I137" t="s">
        <v>105</v>
      </c>
      <c r="J137">
        <v>94.733999999999995</v>
      </c>
      <c r="K137">
        <v>94.762</v>
      </c>
      <c r="L137">
        <v>4.2889999999999997</v>
      </c>
      <c r="M137">
        <v>4.2699999999999996</v>
      </c>
      <c r="N137">
        <v>4.2699999999999996</v>
      </c>
      <c r="O137" t="s">
        <v>101</v>
      </c>
      <c r="P137" t="s">
        <v>140</v>
      </c>
      <c r="Q137" t="s">
        <v>140</v>
      </c>
      <c r="R137" t="s">
        <v>108</v>
      </c>
    </row>
    <row r="138" spans="1:18" x14ac:dyDescent="0.5">
      <c r="A138" t="str">
        <f>"912828U24"</f>
        <v>912828U24</v>
      </c>
      <c r="B138" t="s">
        <v>101</v>
      </c>
      <c r="C138" t="s">
        <v>287</v>
      </c>
      <c r="D138" t="s">
        <v>103</v>
      </c>
      <c r="E138">
        <v>2</v>
      </c>
      <c r="F138" s="2">
        <v>46341</v>
      </c>
      <c r="G138" t="s">
        <v>101</v>
      </c>
      <c r="H138" t="s">
        <v>104</v>
      </c>
      <c r="I138" t="s">
        <v>105</v>
      </c>
      <c r="J138">
        <v>96.203000000000003</v>
      </c>
      <c r="K138">
        <v>96.234999999999999</v>
      </c>
      <c r="L138">
        <v>4.2889999999999997</v>
      </c>
      <c r="M138">
        <v>4.2699999999999996</v>
      </c>
      <c r="N138">
        <v>4.2699999999999996</v>
      </c>
      <c r="O138" t="s">
        <v>101</v>
      </c>
      <c r="P138" t="s">
        <v>228</v>
      </c>
      <c r="Q138" t="s">
        <v>140</v>
      </c>
      <c r="R138" t="s">
        <v>108</v>
      </c>
    </row>
    <row r="139" spans="1:18" x14ac:dyDescent="0.5">
      <c r="A139" t="str">
        <f>"91282CEY3"</f>
        <v>91282CEY3</v>
      </c>
      <c r="B139" t="s">
        <v>101</v>
      </c>
      <c r="C139" t="s">
        <v>288</v>
      </c>
      <c r="D139" t="s">
        <v>103</v>
      </c>
      <c r="E139">
        <v>3</v>
      </c>
      <c r="F139" s="2">
        <v>45853</v>
      </c>
      <c r="G139" t="s">
        <v>101</v>
      </c>
      <c r="H139" t="s">
        <v>104</v>
      </c>
      <c r="I139" t="s">
        <v>105</v>
      </c>
      <c r="J139">
        <v>99.468000000000004</v>
      </c>
      <c r="K139">
        <v>99.489000000000004</v>
      </c>
      <c r="L139">
        <v>4.319</v>
      </c>
      <c r="M139">
        <v>4.2690000000000001</v>
      </c>
      <c r="N139">
        <v>4.2690000000000001</v>
      </c>
      <c r="O139" t="s">
        <v>101</v>
      </c>
      <c r="P139" t="s">
        <v>171</v>
      </c>
      <c r="Q139" t="s">
        <v>171</v>
      </c>
      <c r="R139" t="s">
        <v>108</v>
      </c>
    </row>
    <row r="140" spans="1:18" x14ac:dyDescent="0.5">
      <c r="A140" t="str">
        <f>"91282CBS9"</f>
        <v>91282CBS9</v>
      </c>
      <c r="B140" t="s">
        <v>101</v>
      </c>
      <c r="C140" t="s">
        <v>289</v>
      </c>
      <c r="D140" t="s">
        <v>103</v>
      </c>
      <c r="E140">
        <v>1.25</v>
      </c>
      <c r="F140" s="2">
        <v>46843</v>
      </c>
      <c r="G140" t="s">
        <v>101</v>
      </c>
      <c r="H140" t="s">
        <v>104</v>
      </c>
      <c r="I140" t="s">
        <v>105</v>
      </c>
      <c r="J140">
        <v>91.23</v>
      </c>
      <c r="K140">
        <v>91.286000000000001</v>
      </c>
      <c r="L140">
        <v>4.2889999999999997</v>
      </c>
      <c r="M140">
        <v>4.2690000000000001</v>
      </c>
      <c r="N140">
        <v>4.2690000000000001</v>
      </c>
      <c r="O140" t="s">
        <v>101</v>
      </c>
      <c r="P140" t="s">
        <v>142</v>
      </c>
      <c r="Q140" t="s">
        <v>142</v>
      </c>
      <c r="R140" t="s">
        <v>108</v>
      </c>
    </row>
    <row r="141" spans="1:18" x14ac:dyDescent="0.5">
      <c r="A141" t="str">
        <f>"91282CGT2"</f>
        <v>91282CGT2</v>
      </c>
      <c r="B141" t="s">
        <v>101</v>
      </c>
      <c r="C141" t="s">
        <v>290</v>
      </c>
      <c r="D141" t="s">
        <v>103</v>
      </c>
      <c r="E141">
        <v>3.625</v>
      </c>
      <c r="F141" s="2">
        <v>46843</v>
      </c>
      <c r="G141" t="s">
        <v>101</v>
      </c>
      <c r="H141" t="s">
        <v>104</v>
      </c>
      <c r="I141" t="s">
        <v>105</v>
      </c>
      <c r="J141">
        <v>98.093000000000004</v>
      </c>
      <c r="K141">
        <v>98.137</v>
      </c>
      <c r="L141">
        <v>4.2850000000000001</v>
      </c>
      <c r="M141">
        <v>4.2690000000000001</v>
      </c>
      <c r="N141">
        <v>4.2690000000000001</v>
      </c>
      <c r="O141" t="s">
        <v>101</v>
      </c>
      <c r="P141" t="s">
        <v>142</v>
      </c>
      <c r="Q141" t="s">
        <v>142</v>
      </c>
      <c r="R141" t="s">
        <v>108</v>
      </c>
    </row>
    <row r="142" spans="1:18" x14ac:dyDescent="0.5">
      <c r="A142" t="str">
        <f>"9128286A3"</f>
        <v>9128286A3</v>
      </c>
      <c r="B142" t="s">
        <v>101</v>
      </c>
      <c r="C142" t="s">
        <v>291</v>
      </c>
      <c r="D142" t="s">
        <v>103</v>
      </c>
      <c r="E142">
        <v>2.625</v>
      </c>
      <c r="F142" s="2">
        <v>46053</v>
      </c>
      <c r="G142" t="s">
        <v>101</v>
      </c>
      <c r="H142" t="s">
        <v>104</v>
      </c>
      <c r="I142" t="s">
        <v>105</v>
      </c>
      <c r="J142">
        <v>98.463999999999999</v>
      </c>
      <c r="K142">
        <v>98.484999999999999</v>
      </c>
      <c r="L142">
        <v>4.29</v>
      </c>
      <c r="M142">
        <v>4.2679999999999998</v>
      </c>
      <c r="N142">
        <v>4.2679999999999998</v>
      </c>
      <c r="O142" t="s">
        <v>101</v>
      </c>
      <c r="P142" t="s">
        <v>252</v>
      </c>
      <c r="Q142" t="s">
        <v>252</v>
      </c>
      <c r="R142" t="s">
        <v>108</v>
      </c>
    </row>
    <row r="143" spans="1:18" x14ac:dyDescent="0.5">
      <c r="A143" t="str">
        <f>"91282CBT7"</f>
        <v>91282CBT7</v>
      </c>
      <c r="B143" t="s">
        <v>101</v>
      </c>
      <c r="C143" t="s">
        <v>292</v>
      </c>
      <c r="D143" t="s">
        <v>103</v>
      </c>
      <c r="E143">
        <v>0.75</v>
      </c>
      <c r="F143" s="2">
        <v>46112</v>
      </c>
      <c r="G143" t="s">
        <v>101</v>
      </c>
      <c r="H143" t="s">
        <v>104</v>
      </c>
      <c r="I143" t="s">
        <v>105</v>
      </c>
      <c r="J143">
        <v>96.183000000000007</v>
      </c>
      <c r="K143">
        <v>96.215000000000003</v>
      </c>
      <c r="L143">
        <v>4.2990000000000004</v>
      </c>
      <c r="M143">
        <v>4.2679999999999998</v>
      </c>
      <c r="N143">
        <v>4.2679999999999998</v>
      </c>
      <c r="O143" t="s">
        <v>101</v>
      </c>
      <c r="P143" t="s">
        <v>252</v>
      </c>
      <c r="Q143" t="s">
        <v>252</v>
      </c>
      <c r="R143" t="s">
        <v>108</v>
      </c>
    </row>
    <row r="144" spans="1:18" x14ac:dyDescent="0.5">
      <c r="A144" t="str">
        <f>"91282CAU5"</f>
        <v>91282CAU5</v>
      </c>
      <c r="B144" t="s">
        <v>101</v>
      </c>
      <c r="C144" t="s">
        <v>293</v>
      </c>
      <c r="D144" t="s">
        <v>103</v>
      </c>
      <c r="E144">
        <v>0.5</v>
      </c>
      <c r="F144" s="2">
        <v>46691</v>
      </c>
      <c r="G144" t="s">
        <v>101</v>
      </c>
      <c r="H144" t="s">
        <v>104</v>
      </c>
      <c r="I144" t="s">
        <v>105</v>
      </c>
      <c r="J144">
        <v>90.448999999999998</v>
      </c>
      <c r="K144">
        <v>90.497</v>
      </c>
      <c r="L144">
        <v>4.2889999999999997</v>
      </c>
      <c r="M144">
        <v>4.2679999999999998</v>
      </c>
      <c r="N144">
        <v>4.2679999999999998</v>
      </c>
      <c r="O144" t="s">
        <v>101</v>
      </c>
      <c r="P144" t="s">
        <v>142</v>
      </c>
      <c r="Q144" t="s">
        <v>228</v>
      </c>
      <c r="R144" t="s">
        <v>108</v>
      </c>
    </row>
    <row r="145" spans="1:18" x14ac:dyDescent="0.5">
      <c r="A145" t="str">
        <f>"91282CBJ9"</f>
        <v>91282CBJ9</v>
      </c>
      <c r="B145" t="s">
        <v>101</v>
      </c>
      <c r="C145" t="s">
        <v>294</v>
      </c>
      <c r="D145" t="s">
        <v>103</v>
      </c>
      <c r="E145">
        <v>0.75</v>
      </c>
      <c r="F145" s="2">
        <v>46783</v>
      </c>
      <c r="G145" t="s">
        <v>101</v>
      </c>
      <c r="H145" t="s">
        <v>104</v>
      </c>
      <c r="I145" t="s">
        <v>105</v>
      </c>
      <c r="J145">
        <v>90.284999999999997</v>
      </c>
      <c r="K145">
        <v>90.343999999999994</v>
      </c>
      <c r="L145">
        <v>4.2910000000000004</v>
      </c>
      <c r="M145">
        <v>4.2679999999999998</v>
      </c>
      <c r="N145">
        <v>4.2679999999999998</v>
      </c>
      <c r="O145" t="s">
        <v>101</v>
      </c>
      <c r="P145" t="s">
        <v>142</v>
      </c>
      <c r="Q145" t="s">
        <v>142</v>
      </c>
      <c r="R145" t="s">
        <v>108</v>
      </c>
    </row>
    <row r="146" spans="1:18" x14ac:dyDescent="0.5">
      <c r="A146" t="str">
        <f>"91282CBP5"</f>
        <v>91282CBP5</v>
      </c>
      <c r="B146" t="s">
        <v>101</v>
      </c>
      <c r="C146" t="s">
        <v>295</v>
      </c>
      <c r="D146" t="s">
        <v>103</v>
      </c>
      <c r="E146">
        <v>1.125</v>
      </c>
      <c r="F146" s="2">
        <v>46812</v>
      </c>
      <c r="G146" t="s">
        <v>101</v>
      </c>
      <c r="H146" t="s">
        <v>104</v>
      </c>
      <c r="I146" t="s">
        <v>105</v>
      </c>
      <c r="J146">
        <v>91.105000000000004</v>
      </c>
      <c r="K146">
        <v>91.161000000000001</v>
      </c>
      <c r="L146">
        <v>4.2889999999999997</v>
      </c>
      <c r="M146">
        <v>4.2679999999999998</v>
      </c>
      <c r="N146">
        <v>4.2679999999999998</v>
      </c>
      <c r="O146" t="s">
        <v>101</v>
      </c>
      <c r="P146" t="s">
        <v>142</v>
      </c>
      <c r="Q146" t="s">
        <v>142</v>
      </c>
      <c r="R146" t="s">
        <v>108</v>
      </c>
    </row>
    <row r="147" spans="1:18" x14ac:dyDescent="0.5">
      <c r="A147" t="str">
        <f>"9128286X3"</f>
        <v>9128286X3</v>
      </c>
      <c r="B147" t="s">
        <v>101</v>
      </c>
      <c r="C147" t="s">
        <v>296</v>
      </c>
      <c r="D147" t="s">
        <v>103</v>
      </c>
      <c r="E147">
        <v>2.125</v>
      </c>
      <c r="F147" s="2">
        <v>46173</v>
      </c>
      <c r="G147" t="s">
        <v>101</v>
      </c>
      <c r="H147" t="s">
        <v>104</v>
      </c>
      <c r="I147" t="s">
        <v>105</v>
      </c>
      <c r="J147">
        <v>97.317999999999998</v>
      </c>
      <c r="K147">
        <v>97.355999999999995</v>
      </c>
      <c r="L147">
        <v>4.298</v>
      </c>
      <c r="M147">
        <v>4.2670000000000003</v>
      </c>
      <c r="N147">
        <v>4.2670000000000003</v>
      </c>
      <c r="O147" t="s">
        <v>101</v>
      </c>
      <c r="P147" t="s">
        <v>218</v>
      </c>
      <c r="Q147" t="s">
        <v>252</v>
      </c>
      <c r="R147" t="s">
        <v>108</v>
      </c>
    </row>
    <row r="148" spans="1:18" x14ac:dyDescent="0.5">
      <c r="A148" t="str">
        <f>"91282CCW9"</f>
        <v>91282CCW9</v>
      </c>
      <c r="B148" t="s">
        <v>101</v>
      </c>
      <c r="C148" t="s">
        <v>297</v>
      </c>
      <c r="D148" t="s">
        <v>103</v>
      </c>
      <c r="E148">
        <v>0.75</v>
      </c>
      <c r="F148" s="2">
        <v>46265</v>
      </c>
      <c r="G148" t="s">
        <v>101</v>
      </c>
      <c r="H148" t="s">
        <v>104</v>
      </c>
      <c r="I148" t="s">
        <v>105</v>
      </c>
      <c r="J148">
        <v>94.811000000000007</v>
      </c>
      <c r="K148">
        <v>94.850999999999999</v>
      </c>
      <c r="L148">
        <v>4.2960000000000003</v>
      </c>
      <c r="M148">
        <v>4.2670000000000003</v>
      </c>
      <c r="N148">
        <v>4.2670000000000003</v>
      </c>
      <c r="O148" t="s">
        <v>101</v>
      </c>
      <c r="P148" t="s">
        <v>228</v>
      </c>
      <c r="Q148" t="s">
        <v>228</v>
      </c>
      <c r="R148" t="s">
        <v>108</v>
      </c>
    </row>
    <row r="149" spans="1:18" x14ac:dyDescent="0.5">
      <c r="A149" t="str">
        <f>"91282CFH9"</f>
        <v>91282CFH9</v>
      </c>
      <c r="B149" t="s">
        <v>101</v>
      </c>
      <c r="C149" t="s">
        <v>298</v>
      </c>
      <c r="D149" t="s">
        <v>103</v>
      </c>
      <c r="E149">
        <v>3.125</v>
      </c>
      <c r="F149" s="2">
        <v>46630</v>
      </c>
      <c r="G149" t="s">
        <v>101</v>
      </c>
      <c r="H149" t="s">
        <v>104</v>
      </c>
      <c r="I149" t="s">
        <v>105</v>
      </c>
      <c r="J149">
        <v>97.242000000000004</v>
      </c>
      <c r="K149">
        <v>97.289000000000001</v>
      </c>
      <c r="L149">
        <v>4.2880000000000003</v>
      </c>
      <c r="M149">
        <v>4.2670000000000003</v>
      </c>
      <c r="N149">
        <v>4.2670000000000003</v>
      </c>
      <c r="O149" t="s">
        <v>101</v>
      </c>
      <c r="P149" t="s">
        <v>142</v>
      </c>
      <c r="Q149" t="s">
        <v>228</v>
      </c>
      <c r="R149" t="s">
        <v>108</v>
      </c>
    </row>
    <row r="150" spans="1:18" x14ac:dyDescent="0.5">
      <c r="A150" t="str">
        <f>"9128283F5"</f>
        <v>9128283F5</v>
      </c>
      <c r="B150" t="s">
        <v>101</v>
      </c>
      <c r="C150" t="s">
        <v>299</v>
      </c>
      <c r="D150" t="s">
        <v>103</v>
      </c>
      <c r="E150">
        <v>2.25</v>
      </c>
      <c r="F150" s="2">
        <v>46706</v>
      </c>
      <c r="G150" t="s">
        <v>101</v>
      </c>
      <c r="H150" t="s">
        <v>104</v>
      </c>
      <c r="I150" t="s">
        <v>105</v>
      </c>
      <c r="J150">
        <v>94.787999999999997</v>
      </c>
      <c r="K150">
        <v>94.835999999999999</v>
      </c>
      <c r="L150">
        <v>4.2869999999999999</v>
      </c>
      <c r="M150">
        <v>4.2670000000000003</v>
      </c>
      <c r="N150">
        <v>4.2670000000000003</v>
      </c>
      <c r="O150" t="s">
        <v>101</v>
      </c>
      <c r="P150" t="s">
        <v>228</v>
      </c>
      <c r="Q150" t="s">
        <v>228</v>
      </c>
      <c r="R150" t="s">
        <v>108</v>
      </c>
    </row>
    <row r="151" spans="1:18" x14ac:dyDescent="0.5">
      <c r="A151" t="str">
        <f>"91282CFZ9"</f>
        <v>91282CFZ9</v>
      </c>
      <c r="B151" t="s">
        <v>101</v>
      </c>
      <c r="C151" t="s">
        <v>300</v>
      </c>
      <c r="D151" t="s">
        <v>103</v>
      </c>
      <c r="E151">
        <v>3.875</v>
      </c>
      <c r="F151" s="2">
        <v>46721</v>
      </c>
      <c r="G151" t="s">
        <v>101</v>
      </c>
      <c r="H151" t="s">
        <v>104</v>
      </c>
      <c r="I151" t="s">
        <v>105</v>
      </c>
      <c r="J151">
        <v>98.929000000000002</v>
      </c>
      <c r="K151">
        <v>98.977000000000004</v>
      </c>
      <c r="L151">
        <v>4.2859999999999996</v>
      </c>
      <c r="M151">
        <v>4.2670000000000003</v>
      </c>
      <c r="N151">
        <v>4.2670000000000003</v>
      </c>
      <c r="O151" t="s">
        <v>101</v>
      </c>
      <c r="P151" t="s">
        <v>142</v>
      </c>
      <c r="Q151" t="s">
        <v>142</v>
      </c>
      <c r="R151" t="s">
        <v>108</v>
      </c>
    </row>
    <row r="152" spans="1:18" x14ac:dyDescent="0.5">
      <c r="A152" t="str">
        <f>"91282CBB6"</f>
        <v>91282CBB6</v>
      </c>
      <c r="B152" t="s">
        <v>101</v>
      </c>
      <c r="C152" t="s">
        <v>301</v>
      </c>
      <c r="D152" t="s">
        <v>103</v>
      </c>
      <c r="E152">
        <v>0.625</v>
      </c>
      <c r="F152" s="2">
        <v>46752</v>
      </c>
      <c r="G152" t="s">
        <v>101</v>
      </c>
      <c r="H152" t="s">
        <v>104</v>
      </c>
      <c r="I152" t="s">
        <v>105</v>
      </c>
      <c r="J152">
        <v>90.213999999999999</v>
      </c>
      <c r="K152">
        <v>90.274000000000001</v>
      </c>
      <c r="L152">
        <v>4.2910000000000004</v>
      </c>
      <c r="M152">
        <v>4.2670000000000003</v>
      </c>
      <c r="N152">
        <v>4.2670000000000003</v>
      </c>
      <c r="O152" t="s">
        <v>101</v>
      </c>
      <c r="P152" t="s">
        <v>142</v>
      </c>
      <c r="Q152" t="s">
        <v>142</v>
      </c>
      <c r="R152" t="s">
        <v>108</v>
      </c>
    </row>
    <row r="153" spans="1:18" x14ac:dyDescent="0.5">
      <c r="A153" t="str">
        <f>"91282CGH8"</f>
        <v>91282CGH8</v>
      </c>
      <c r="B153" t="s">
        <v>101</v>
      </c>
      <c r="C153" t="s">
        <v>302</v>
      </c>
      <c r="D153" t="s">
        <v>103</v>
      </c>
      <c r="E153">
        <v>3.5</v>
      </c>
      <c r="F153" s="2">
        <v>46783</v>
      </c>
      <c r="G153" t="s">
        <v>101</v>
      </c>
      <c r="H153" t="s">
        <v>104</v>
      </c>
      <c r="I153" t="s">
        <v>105</v>
      </c>
      <c r="J153">
        <v>97.846999999999994</v>
      </c>
      <c r="K153">
        <v>97.891000000000005</v>
      </c>
      <c r="L153">
        <v>4.2839999999999998</v>
      </c>
      <c r="M153">
        <v>4.2670000000000003</v>
      </c>
      <c r="N153">
        <v>4.2670000000000003</v>
      </c>
      <c r="O153" t="s">
        <v>101</v>
      </c>
      <c r="P153" t="s">
        <v>142</v>
      </c>
      <c r="Q153" t="s">
        <v>142</v>
      </c>
      <c r="R153" t="s">
        <v>108</v>
      </c>
    </row>
    <row r="154" spans="1:18" x14ac:dyDescent="0.5">
      <c r="A154" t="str">
        <f>"91282CFP1"</f>
        <v>91282CFP1</v>
      </c>
      <c r="B154" t="s">
        <v>101</v>
      </c>
      <c r="C154" t="s">
        <v>303</v>
      </c>
      <c r="D154" t="s">
        <v>103</v>
      </c>
      <c r="E154">
        <v>4.25</v>
      </c>
      <c r="F154" s="2">
        <v>45945</v>
      </c>
      <c r="G154" t="s">
        <v>101</v>
      </c>
      <c r="H154" t="s">
        <v>104</v>
      </c>
      <c r="I154" t="s">
        <v>105</v>
      </c>
      <c r="J154">
        <v>99.953000000000003</v>
      </c>
      <c r="K154">
        <v>99.984999999999999</v>
      </c>
      <c r="L154">
        <v>4.3150000000000004</v>
      </c>
      <c r="M154">
        <v>4.266</v>
      </c>
      <c r="N154">
        <v>4.266</v>
      </c>
      <c r="O154" t="s">
        <v>101</v>
      </c>
      <c r="P154" t="s">
        <v>202</v>
      </c>
      <c r="Q154" t="s">
        <v>202</v>
      </c>
      <c r="R154" t="s">
        <v>108</v>
      </c>
    </row>
    <row r="155" spans="1:18" x14ac:dyDescent="0.5">
      <c r="A155" t="str">
        <f>"91282CJP7"</f>
        <v>91282CJP7</v>
      </c>
      <c r="B155" t="s">
        <v>101</v>
      </c>
      <c r="C155" t="s">
        <v>304</v>
      </c>
      <c r="D155" t="s">
        <v>103</v>
      </c>
      <c r="E155">
        <v>4.375</v>
      </c>
      <c r="F155" s="2">
        <v>46371</v>
      </c>
      <c r="G155" t="s">
        <v>101</v>
      </c>
      <c r="H155" t="s">
        <v>104</v>
      </c>
      <c r="I155" t="s">
        <v>105</v>
      </c>
      <c r="J155">
        <v>100.16</v>
      </c>
      <c r="K155">
        <v>100.184</v>
      </c>
      <c r="L155">
        <v>4.28</v>
      </c>
      <c r="M155">
        <v>4.266</v>
      </c>
      <c r="N155">
        <v>4.266</v>
      </c>
      <c r="O155" t="s">
        <v>101</v>
      </c>
      <c r="P155" t="s">
        <v>140</v>
      </c>
      <c r="Q155" t="s">
        <v>140</v>
      </c>
      <c r="R155" t="s">
        <v>108</v>
      </c>
    </row>
    <row r="156" spans="1:18" x14ac:dyDescent="0.5">
      <c r="A156" t="str">
        <f>"91282CAY7"</f>
        <v>91282CAY7</v>
      </c>
      <c r="B156" t="s">
        <v>101</v>
      </c>
      <c r="C156" t="s">
        <v>305</v>
      </c>
      <c r="D156" t="s">
        <v>103</v>
      </c>
      <c r="E156">
        <v>0.625</v>
      </c>
      <c r="F156" s="2">
        <v>46721</v>
      </c>
      <c r="G156" t="s">
        <v>101</v>
      </c>
      <c r="H156" t="s">
        <v>104</v>
      </c>
      <c r="I156" t="s">
        <v>105</v>
      </c>
      <c r="J156">
        <v>90.492000000000004</v>
      </c>
      <c r="K156">
        <v>90.546999999999997</v>
      </c>
      <c r="L156">
        <v>4.2889999999999997</v>
      </c>
      <c r="M156">
        <v>4.266</v>
      </c>
      <c r="N156">
        <v>4.266</v>
      </c>
      <c r="O156" t="s">
        <v>101</v>
      </c>
      <c r="P156" t="s">
        <v>142</v>
      </c>
      <c r="Q156" t="s">
        <v>142</v>
      </c>
      <c r="R156" t="s">
        <v>108</v>
      </c>
    </row>
    <row r="157" spans="1:18" x14ac:dyDescent="0.5">
      <c r="A157" t="str">
        <f>"9128285J5"</f>
        <v>9128285J5</v>
      </c>
      <c r="B157" t="s">
        <v>101</v>
      </c>
      <c r="C157" t="s">
        <v>306</v>
      </c>
      <c r="D157" t="s">
        <v>103</v>
      </c>
      <c r="E157">
        <v>3</v>
      </c>
      <c r="F157" s="2">
        <v>45961</v>
      </c>
      <c r="G157" t="s">
        <v>101</v>
      </c>
      <c r="H157" t="s">
        <v>104</v>
      </c>
      <c r="I157" t="s">
        <v>105</v>
      </c>
      <c r="J157">
        <v>99.105000000000004</v>
      </c>
      <c r="K157">
        <v>99.138000000000005</v>
      </c>
      <c r="L157">
        <v>4.3129999999999997</v>
      </c>
      <c r="M157">
        <v>4.2649999999999997</v>
      </c>
      <c r="N157">
        <v>4.2649999999999997</v>
      </c>
      <c r="O157" t="s">
        <v>101</v>
      </c>
      <c r="P157" t="s">
        <v>172</v>
      </c>
      <c r="Q157" t="s">
        <v>172</v>
      </c>
      <c r="R157" t="s">
        <v>108</v>
      </c>
    </row>
    <row r="158" spans="1:18" x14ac:dyDescent="0.5">
      <c r="A158" t="str">
        <f>"91282CBW0"</f>
        <v>91282CBW0</v>
      </c>
      <c r="B158" t="s">
        <v>101</v>
      </c>
      <c r="C158" t="s">
        <v>307</v>
      </c>
      <c r="D158" t="s">
        <v>103</v>
      </c>
      <c r="E158">
        <v>0.75</v>
      </c>
      <c r="F158" s="2">
        <v>46142</v>
      </c>
      <c r="G158" t="s">
        <v>101</v>
      </c>
      <c r="H158" t="s">
        <v>104</v>
      </c>
      <c r="I158" t="s">
        <v>105</v>
      </c>
      <c r="J158">
        <v>95.905000000000001</v>
      </c>
      <c r="K158">
        <v>95.941999999999993</v>
      </c>
      <c r="L158">
        <v>4.298</v>
      </c>
      <c r="M158">
        <v>4.2649999999999997</v>
      </c>
      <c r="N158">
        <v>4.2649999999999997</v>
      </c>
      <c r="O158" t="s">
        <v>101</v>
      </c>
      <c r="P158" t="s">
        <v>172</v>
      </c>
      <c r="Q158" t="s">
        <v>252</v>
      </c>
      <c r="R158" t="s">
        <v>108</v>
      </c>
    </row>
    <row r="159" spans="1:18" x14ac:dyDescent="0.5">
      <c r="A159" t="str">
        <f>"91282CLP4"</f>
        <v>91282CLP4</v>
      </c>
      <c r="B159" t="s">
        <v>101</v>
      </c>
      <c r="C159" t="s">
        <v>308</v>
      </c>
      <c r="D159" t="s">
        <v>103</v>
      </c>
      <c r="E159">
        <v>3.5</v>
      </c>
      <c r="F159" s="2">
        <v>46295</v>
      </c>
      <c r="G159" t="s">
        <v>101</v>
      </c>
      <c r="H159" t="s">
        <v>104</v>
      </c>
      <c r="I159" t="s">
        <v>105</v>
      </c>
      <c r="J159">
        <v>98.796000000000006</v>
      </c>
      <c r="K159">
        <v>98.816999999999993</v>
      </c>
      <c r="L159">
        <v>4.2779999999999996</v>
      </c>
      <c r="M159">
        <v>4.2649999999999997</v>
      </c>
      <c r="N159">
        <v>4.2649999999999997</v>
      </c>
      <c r="O159" t="s">
        <v>101</v>
      </c>
      <c r="P159" t="s">
        <v>278</v>
      </c>
      <c r="Q159" t="s">
        <v>278</v>
      </c>
      <c r="R159" t="s">
        <v>108</v>
      </c>
    </row>
    <row r="160" spans="1:18" x14ac:dyDescent="0.5">
      <c r="A160" t="str">
        <f>"91282CLY5"</f>
        <v>91282CLY5</v>
      </c>
      <c r="B160" t="s">
        <v>101</v>
      </c>
      <c r="C160" t="s">
        <v>309</v>
      </c>
      <c r="D160" t="s">
        <v>103</v>
      </c>
      <c r="E160">
        <v>4.25</v>
      </c>
      <c r="F160" s="2">
        <v>46356</v>
      </c>
      <c r="G160" t="s">
        <v>101</v>
      </c>
      <c r="H160" t="s">
        <v>104</v>
      </c>
      <c r="I160" t="s">
        <v>105</v>
      </c>
      <c r="J160">
        <v>99.96</v>
      </c>
      <c r="K160">
        <v>99.968999999999994</v>
      </c>
      <c r="L160">
        <v>4.2699999999999996</v>
      </c>
      <c r="M160">
        <v>4.2649999999999997</v>
      </c>
      <c r="N160">
        <v>4.2649999999999997</v>
      </c>
      <c r="O160" t="s">
        <v>101</v>
      </c>
      <c r="P160" t="s">
        <v>140</v>
      </c>
      <c r="Q160" t="s">
        <v>310</v>
      </c>
      <c r="R160" t="s">
        <v>108</v>
      </c>
    </row>
    <row r="161" spans="1:18" x14ac:dyDescent="0.5">
      <c r="A161" t="str">
        <f>"91282CME8"</f>
        <v>91282CME8</v>
      </c>
      <c r="B161" t="s">
        <v>101</v>
      </c>
      <c r="C161" t="s">
        <v>311</v>
      </c>
      <c r="D161" t="s">
        <v>103</v>
      </c>
      <c r="E161">
        <v>4.25</v>
      </c>
      <c r="F161" s="2">
        <v>46387</v>
      </c>
      <c r="G161" t="s">
        <v>101</v>
      </c>
      <c r="H161" t="s">
        <v>104</v>
      </c>
      <c r="I161" t="s">
        <v>105</v>
      </c>
      <c r="J161">
        <v>99.96</v>
      </c>
      <c r="K161">
        <v>99.968999999999994</v>
      </c>
      <c r="L161">
        <v>4.2699999999999996</v>
      </c>
      <c r="M161">
        <v>4.2649999999999997</v>
      </c>
      <c r="N161">
        <v>4.2649999999999997</v>
      </c>
      <c r="O161" t="s">
        <v>101</v>
      </c>
      <c r="P161" t="s">
        <v>140</v>
      </c>
      <c r="Q161" t="s">
        <v>140</v>
      </c>
      <c r="R161" t="s">
        <v>108</v>
      </c>
    </row>
    <row r="162" spans="1:18" x14ac:dyDescent="0.5">
      <c r="A162" t="str">
        <f>"91282CET4"</f>
        <v>91282CET4</v>
      </c>
      <c r="B162" t="s">
        <v>101</v>
      </c>
      <c r="C162" t="s">
        <v>312</v>
      </c>
      <c r="D162" t="s">
        <v>103</v>
      </c>
      <c r="E162">
        <v>2.625</v>
      </c>
      <c r="F162" s="2">
        <v>46538</v>
      </c>
      <c r="G162" t="s">
        <v>101</v>
      </c>
      <c r="H162" t="s">
        <v>104</v>
      </c>
      <c r="I162" t="s">
        <v>105</v>
      </c>
      <c r="J162">
        <v>96.444999999999993</v>
      </c>
      <c r="K162">
        <v>96.468999999999994</v>
      </c>
      <c r="L162">
        <v>4.2759999999999998</v>
      </c>
      <c r="M162">
        <v>4.2649999999999997</v>
      </c>
      <c r="N162">
        <v>4.2649999999999997</v>
      </c>
      <c r="O162" t="s">
        <v>101</v>
      </c>
      <c r="P162" t="s">
        <v>140</v>
      </c>
      <c r="Q162" t="s">
        <v>140</v>
      </c>
      <c r="R162" t="s">
        <v>108</v>
      </c>
    </row>
    <row r="163" spans="1:18" x14ac:dyDescent="0.5">
      <c r="A163" t="str">
        <f>"91282CMB4"</f>
        <v>91282CMB4</v>
      </c>
      <c r="B163" t="s">
        <v>101</v>
      </c>
      <c r="C163" t="s">
        <v>313</v>
      </c>
      <c r="D163" t="s">
        <v>103</v>
      </c>
      <c r="E163">
        <v>4</v>
      </c>
      <c r="F163" s="2">
        <v>46736</v>
      </c>
      <c r="G163" t="s">
        <v>101</v>
      </c>
      <c r="H163" t="s">
        <v>104</v>
      </c>
      <c r="I163" t="s">
        <v>105</v>
      </c>
      <c r="J163">
        <v>99.281000000000006</v>
      </c>
      <c r="K163">
        <v>99.296999999999997</v>
      </c>
      <c r="L163">
        <v>4.2709999999999999</v>
      </c>
      <c r="M163">
        <v>4.2649999999999997</v>
      </c>
      <c r="N163">
        <v>4.2649999999999997</v>
      </c>
      <c r="O163" t="s">
        <v>101</v>
      </c>
      <c r="P163" t="s">
        <v>107</v>
      </c>
      <c r="Q163" t="s">
        <v>314</v>
      </c>
      <c r="R163" t="s">
        <v>108</v>
      </c>
    </row>
    <row r="164" spans="1:18" x14ac:dyDescent="0.5">
      <c r="A164" t="str">
        <f>"9128286F2"</f>
        <v>9128286F2</v>
      </c>
      <c r="B164" t="s">
        <v>101</v>
      </c>
      <c r="C164" t="s">
        <v>315</v>
      </c>
      <c r="D164" t="s">
        <v>103</v>
      </c>
      <c r="E164">
        <v>2.5</v>
      </c>
      <c r="F164" s="2">
        <v>46081</v>
      </c>
      <c r="G164" t="s">
        <v>101</v>
      </c>
      <c r="H164" t="s">
        <v>104</v>
      </c>
      <c r="I164" t="s">
        <v>105</v>
      </c>
      <c r="J164">
        <v>98.203999999999994</v>
      </c>
      <c r="K164">
        <v>98.244</v>
      </c>
      <c r="L164">
        <v>4.3049999999999997</v>
      </c>
      <c r="M164">
        <v>4.2640000000000002</v>
      </c>
      <c r="N164">
        <v>4.2640000000000002</v>
      </c>
      <c r="O164" t="s">
        <v>101</v>
      </c>
      <c r="P164" t="s">
        <v>172</v>
      </c>
      <c r="Q164" t="s">
        <v>172</v>
      </c>
      <c r="R164" t="s">
        <v>108</v>
      </c>
    </row>
    <row r="165" spans="1:18" x14ac:dyDescent="0.5">
      <c r="A165" t="str">
        <f>"91282CHB0"</f>
        <v>91282CHB0</v>
      </c>
      <c r="B165" t="s">
        <v>101</v>
      </c>
      <c r="C165" t="s">
        <v>316</v>
      </c>
      <c r="D165" t="s">
        <v>103</v>
      </c>
      <c r="E165">
        <v>3.625</v>
      </c>
      <c r="F165" s="2">
        <v>46157</v>
      </c>
      <c r="G165" t="s">
        <v>101</v>
      </c>
      <c r="H165" t="s">
        <v>104</v>
      </c>
      <c r="I165" t="s">
        <v>105</v>
      </c>
      <c r="J165">
        <v>99.195999999999998</v>
      </c>
      <c r="K165">
        <v>99.233000000000004</v>
      </c>
      <c r="L165">
        <v>4.2949999999999999</v>
      </c>
      <c r="M165">
        <v>4.2640000000000002</v>
      </c>
      <c r="N165">
        <v>4.2640000000000002</v>
      </c>
      <c r="O165" t="s">
        <v>101</v>
      </c>
      <c r="P165" t="s">
        <v>218</v>
      </c>
      <c r="Q165" t="s">
        <v>218</v>
      </c>
      <c r="R165" t="s">
        <v>108</v>
      </c>
    </row>
    <row r="166" spans="1:18" x14ac:dyDescent="0.5">
      <c r="A166" t="str">
        <f>"91282CLQ2"</f>
        <v>91282CLQ2</v>
      </c>
      <c r="B166" t="s">
        <v>101</v>
      </c>
      <c r="C166" t="s">
        <v>317</v>
      </c>
      <c r="D166" t="s">
        <v>103</v>
      </c>
      <c r="E166">
        <v>3.875</v>
      </c>
      <c r="F166" s="2">
        <v>46675</v>
      </c>
      <c r="G166" t="s">
        <v>101</v>
      </c>
      <c r="H166" t="s">
        <v>104</v>
      </c>
      <c r="I166" t="s">
        <v>105</v>
      </c>
      <c r="J166">
        <v>98.992000000000004</v>
      </c>
      <c r="K166">
        <v>99.028000000000006</v>
      </c>
      <c r="L166">
        <v>4.2789999999999999</v>
      </c>
      <c r="M166">
        <v>4.2640000000000002</v>
      </c>
      <c r="N166">
        <v>4.2640000000000002</v>
      </c>
      <c r="O166" t="s">
        <v>101</v>
      </c>
      <c r="P166" t="s">
        <v>142</v>
      </c>
      <c r="Q166" t="s">
        <v>142</v>
      </c>
      <c r="R166" t="s">
        <v>108</v>
      </c>
    </row>
    <row r="167" spans="1:18" x14ac:dyDescent="0.5">
      <c r="A167" t="str">
        <f>"91282CJS1"</f>
        <v>91282CJS1</v>
      </c>
      <c r="B167" t="s">
        <v>101</v>
      </c>
      <c r="C167" t="s">
        <v>318</v>
      </c>
      <c r="D167" t="s">
        <v>103</v>
      </c>
      <c r="E167">
        <v>4.25</v>
      </c>
      <c r="F167" s="2">
        <v>46022</v>
      </c>
      <c r="G167" t="s">
        <v>101</v>
      </c>
      <c r="H167" t="s">
        <v>104</v>
      </c>
      <c r="I167" t="s">
        <v>105</v>
      </c>
      <c r="J167">
        <v>99.953999999999994</v>
      </c>
      <c r="K167">
        <v>99.984999999999999</v>
      </c>
      <c r="L167">
        <v>4.2990000000000004</v>
      </c>
      <c r="M167">
        <v>4.2629999999999999</v>
      </c>
      <c r="N167">
        <v>4.2629999999999999</v>
      </c>
      <c r="O167" t="s">
        <v>101</v>
      </c>
      <c r="P167" t="s">
        <v>172</v>
      </c>
      <c r="Q167" t="s">
        <v>252</v>
      </c>
      <c r="R167" t="s">
        <v>108</v>
      </c>
    </row>
    <row r="168" spans="1:18" x14ac:dyDescent="0.5">
      <c r="A168" t="str">
        <f>"91282CAB7"</f>
        <v>91282CAB7</v>
      </c>
      <c r="B168" t="s">
        <v>101</v>
      </c>
      <c r="C168" t="s">
        <v>319</v>
      </c>
      <c r="D168" t="s">
        <v>103</v>
      </c>
      <c r="E168">
        <v>0.25</v>
      </c>
      <c r="F168" s="2">
        <v>45869</v>
      </c>
      <c r="G168" t="s">
        <v>101</v>
      </c>
      <c r="H168" t="s">
        <v>104</v>
      </c>
      <c r="I168" t="s">
        <v>105</v>
      </c>
      <c r="J168">
        <v>98.191000000000003</v>
      </c>
      <c r="K168">
        <v>98.227999999999994</v>
      </c>
      <c r="L168">
        <v>4.3440000000000003</v>
      </c>
      <c r="M168">
        <v>4.2619999999999996</v>
      </c>
      <c r="N168">
        <v>4.2619999999999996</v>
      </c>
      <c r="O168" t="s">
        <v>101</v>
      </c>
      <c r="P168" t="s">
        <v>172</v>
      </c>
      <c r="Q168" t="s">
        <v>172</v>
      </c>
      <c r="R168" t="s">
        <v>108</v>
      </c>
    </row>
    <row r="169" spans="1:18" x14ac:dyDescent="0.5">
      <c r="A169" t="str">
        <f>"91282CCJ8"</f>
        <v>91282CCJ8</v>
      </c>
      <c r="B169" t="s">
        <v>101</v>
      </c>
      <c r="C169" t="s">
        <v>320</v>
      </c>
      <c r="D169" t="s">
        <v>103</v>
      </c>
      <c r="E169">
        <v>0.875</v>
      </c>
      <c r="F169" s="2">
        <v>46203</v>
      </c>
      <c r="G169" t="s">
        <v>101</v>
      </c>
      <c r="H169" t="s">
        <v>104</v>
      </c>
      <c r="I169" t="s">
        <v>105</v>
      </c>
      <c r="J169">
        <v>95.522000000000006</v>
      </c>
      <c r="K169">
        <v>95.555000000000007</v>
      </c>
      <c r="L169">
        <v>4.2869999999999999</v>
      </c>
      <c r="M169">
        <v>4.2619999999999996</v>
      </c>
      <c r="N169">
        <v>4.2619999999999996</v>
      </c>
      <c r="O169" t="s">
        <v>101</v>
      </c>
      <c r="P169" t="s">
        <v>172</v>
      </c>
      <c r="Q169" t="s">
        <v>193</v>
      </c>
      <c r="R169" t="s">
        <v>108</v>
      </c>
    </row>
    <row r="170" spans="1:18" x14ac:dyDescent="0.5">
      <c r="A170" t="str">
        <f>"91282CDG3"</f>
        <v>91282CDG3</v>
      </c>
      <c r="B170" t="s">
        <v>101</v>
      </c>
      <c r="C170" t="s">
        <v>321</v>
      </c>
      <c r="D170" t="s">
        <v>103</v>
      </c>
      <c r="E170">
        <v>1.125</v>
      </c>
      <c r="F170" s="2">
        <v>46326</v>
      </c>
      <c r="G170" t="s">
        <v>101</v>
      </c>
      <c r="H170" t="s">
        <v>105</v>
      </c>
      <c r="I170" t="s">
        <v>105</v>
      </c>
      <c r="J170">
        <v>94.875</v>
      </c>
      <c r="K170">
        <v>94.917000000000002</v>
      </c>
      <c r="L170">
        <v>4.2889999999999997</v>
      </c>
      <c r="M170">
        <v>4.2619999999999996</v>
      </c>
      <c r="N170">
        <v>4.2619999999999996</v>
      </c>
      <c r="O170" t="s">
        <v>101</v>
      </c>
      <c r="P170" t="s">
        <v>228</v>
      </c>
      <c r="Q170" t="s">
        <v>228</v>
      </c>
      <c r="R170" t="s">
        <v>108</v>
      </c>
    </row>
    <row r="171" spans="1:18" x14ac:dyDescent="0.5">
      <c r="A171" t="str">
        <f>"91282CAH4"</f>
        <v>91282CAH4</v>
      </c>
      <c r="B171" t="s">
        <v>101</v>
      </c>
      <c r="C171" t="s">
        <v>322</v>
      </c>
      <c r="D171" t="s">
        <v>103</v>
      </c>
      <c r="E171">
        <v>0.5</v>
      </c>
      <c r="F171" s="2">
        <v>46630</v>
      </c>
      <c r="G171" t="s">
        <v>101</v>
      </c>
      <c r="H171" t="s">
        <v>104</v>
      </c>
      <c r="I171" t="s">
        <v>105</v>
      </c>
      <c r="J171">
        <v>91.039000000000001</v>
      </c>
      <c r="K171">
        <v>91.073999999999998</v>
      </c>
      <c r="L171">
        <v>4.2779999999999996</v>
      </c>
      <c r="M171">
        <v>4.2619999999999996</v>
      </c>
      <c r="N171">
        <v>4.2619999999999996</v>
      </c>
      <c r="O171" t="s">
        <v>101</v>
      </c>
      <c r="P171" t="s">
        <v>142</v>
      </c>
      <c r="Q171" t="s">
        <v>228</v>
      </c>
      <c r="R171" t="s">
        <v>108</v>
      </c>
    </row>
    <row r="172" spans="1:18" x14ac:dyDescent="0.5">
      <c r="A172" t="str">
        <f>"91282CLL3"</f>
        <v>91282CLL3</v>
      </c>
      <c r="B172" t="s">
        <v>101</v>
      </c>
      <c r="C172" t="s">
        <v>323</v>
      </c>
      <c r="D172" t="s">
        <v>103</v>
      </c>
      <c r="E172">
        <v>3.375</v>
      </c>
      <c r="F172" s="2">
        <v>46645</v>
      </c>
      <c r="G172" t="s">
        <v>101</v>
      </c>
      <c r="H172" t="s">
        <v>104</v>
      </c>
      <c r="I172" t="s">
        <v>105</v>
      </c>
      <c r="J172">
        <v>97.823999999999998</v>
      </c>
      <c r="K172">
        <v>97.86</v>
      </c>
      <c r="L172">
        <v>4.2770000000000001</v>
      </c>
      <c r="M172">
        <v>4.2619999999999996</v>
      </c>
      <c r="N172">
        <v>4.2619999999999996</v>
      </c>
      <c r="O172" t="s">
        <v>101</v>
      </c>
      <c r="P172" t="s">
        <v>142</v>
      </c>
      <c r="Q172" t="s">
        <v>142</v>
      </c>
      <c r="R172" t="s">
        <v>108</v>
      </c>
    </row>
    <row r="173" spans="1:18" x14ac:dyDescent="0.5">
      <c r="A173" t="str">
        <f>"912810FJ2"</f>
        <v>912810FJ2</v>
      </c>
      <c r="B173" t="s">
        <v>101</v>
      </c>
      <c r="C173" t="s">
        <v>324</v>
      </c>
      <c r="D173" t="s">
        <v>103</v>
      </c>
      <c r="E173">
        <v>6.125</v>
      </c>
      <c r="F173" s="2">
        <v>47345</v>
      </c>
      <c r="G173" t="s">
        <v>101</v>
      </c>
      <c r="H173" t="s">
        <v>104</v>
      </c>
      <c r="I173" t="s">
        <v>105</v>
      </c>
      <c r="J173">
        <v>107.152</v>
      </c>
      <c r="K173">
        <v>107.54</v>
      </c>
      <c r="L173">
        <v>4.3550000000000004</v>
      </c>
      <c r="M173">
        <v>4.2619999999999996</v>
      </c>
      <c r="N173">
        <v>4.2619999999999996</v>
      </c>
      <c r="O173" t="s">
        <v>101</v>
      </c>
      <c r="P173" t="s">
        <v>325</v>
      </c>
      <c r="Q173" t="s">
        <v>235</v>
      </c>
      <c r="R173" t="s">
        <v>108</v>
      </c>
    </row>
    <row r="174" spans="1:18" x14ac:dyDescent="0.5">
      <c r="A174" t="str">
        <f>"91282CHL8"</f>
        <v>91282CHL8</v>
      </c>
      <c r="B174" t="s">
        <v>101</v>
      </c>
      <c r="C174" t="s">
        <v>326</v>
      </c>
      <c r="D174" t="s">
        <v>103</v>
      </c>
      <c r="E174">
        <v>4.625</v>
      </c>
      <c r="F174" s="2">
        <v>45838</v>
      </c>
      <c r="G174" t="s">
        <v>101</v>
      </c>
      <c r="H174" t="s">
        <v>104</v>
      </c>
      <c r="I174" t="s">
        <v>105</v>
      </c>
      <c r="J174">
        <v>100.09699999999999</v>
      </c>
      <c r="K174">
        <v>100.122</v>
      </c>
      <c r="L174">
        <v>4.3259999999999996</v>
      </c>
      <c r="M174">
        <v>4.2610000000000001</v>
      </c>
      <c r="N174">
        <v>4.2610000000000001</v>
      </c>
      <c r="O174" t="s">
        <v>101</v>
      </c>
      <c r="P174" t="s">
        <v>171</v>
      </c>
      <c r="Q174" t="s">
        <v>171</v>
      </c>
      <c r="R174" t="s">
        <v>108</v>
      </c>
    </row>
    <row r="175" spans="1:18" x14ac:dyDescent="0.5">
      <c r="A175" t="str">
        <f>"91282CGV7"</f>
        <v>91282CGV7</v>
      </c>
      <c r="B175" t="s">
        <v>101</v>
      </c>
      <c r="C175" t="s">
        <v>327</v>
      </c>
      <c r="D175" t="s">
        <v>103</v>
      </c>
      <c r="E175">
        <v>3.75</v>
      </c>
      <c r="F175" s="2">
        <v>46127</v>
      </c>
      <c r="G175" t="s">
        <v>101</v>
      </c>
      <c r="H175" t="s">
        <v>104</v>
      </c>
      <c r="I175" t="s">
        <v>105</v>
      </c>
      <c r="J175">
        <v>99.388000000000005</v>
      </c>
      <c r="K175">
        <v>99.426000000000002</v>
      </c>
      <c r="L175">
        <v>4.2949999999999999</v>
      </c>
      <c r="M175">
        <v>4.2610000000000001</v>
      </c>
      <c r="N175">
        <v>4.2610000000000001</v>
      </c>
      <c r="O175" t="s">
        <v>101</v>
      </c>
      <c r="P175" t="s">
        <v>172</v>
      </c>
      <c r="Q175" t="s">
        <v>252</v>
      </c>
      <c r="R175" t="s">
        <v>108</v>
      </c>
    </row>
    <row r="176" spans="1:18" x14ac:dyDescent="0.5">
      <c r="A176" t="str">
        <f>"91282CMH1"</f>
        <v>91282CMH1</v>
      </c>
      <c r="B176" t="s">
        <v>101</v>
      </c>
      <c r="C176" t="s">
        <v>328</v>
      </c>
      <c r="D176" t="s">
        <v>103</v>
      </c>
      <c r="E176">
        <v>4.125</v>
      </c>
      <c r="F176" s="2">
        <v>46418</v>
      </c>
      <c r="G176" t="s">
        <v>101</v>
      </c>
      <c r="H176" t="s">
        <v>104</v>
      </c>
      <c r="I176" t="s">
        <v>105</v>
      </c>
      <c r="J176">
        <v>99.742000000000004</v>
      </c>
      <c r="K176">
        <v>99.747</v>
      </c>
      <c r="L176">
        <v>4.2629999999999999</v>
      </c>
      <c r="M176">
        <v>4.2610000000000001</v>
      </c>
      <c r="N176">
        <v>4.2610000000000001</v>
      </c>
      <c r="O176" t="s">
        <v>101</v>
      </c>
      <c r="P176" t="s">
        <v>278</v>
      </c>
      <c r="Q176" t="s">
        <v>278</v>
      </c>
      <c r="R176" t="s">
        <v>108</v>
      </c>
    </row>
    <row r="177" spans="1:18" x14ac:dyDescent="0.5">
      <c r="A177" t="str">
        <f>"912828Z78"</f>
        <v>912828Z78</v>
      </c>
      <c r="B177" t="s">
        <v>101</v>
      </c>
      <c r="C177" t="s">
        <v>329</v>
      </c>
      <c r="D177" t="s">
        <v>103</v>
      </c>
      <c r="E177">
        <v>1.5</v>
      </c>
      <c r="F177" s="2">
        <v>46418</v>
      </c>
      <c r="G177" t="s">
        <v>101</v>
      </c>
      <c r="H177" t="s">
        <v>104</v>
      </c>
      <c r="I177" t="s">
        <v>105</v>
      </c>
      <c r="J177">
        <v>94.852000000000004</v>
      </c>
      <c r="K177">
        <v>94.882999999999996</v>
      </c>
      <c r="L177">
        <v>4.2789999999999999</v>
      </c>
      <c r="M177">
        <v>4.2610000000000001</v>
      </c>
      <c r="N177">
        <v>4.2610000000000001</v>
      </c>
      <c r="O177" t="s">
        <v>101</v>
      </c>
      <c r="P177" t="s">
        <v>228</v>
      </c>
      <c r="Q177" t="s">
        <v>330</v>
      </c>
      <c r="R177" t="s">
        <v>108</v>
      </c>
    </row>
    <row r="178" spans="1:18" x14ac:dyDescent="0.5">
      <c r="A178" t="str">
        <f>"91282CJK8"</f>
        <v>91282CJK8</v>
      </c>
      <c r="B178" t="s">
        <v>101</v>
      </c>
      <c r="C178" t="s">
        <v>331</v>
      </c>
      <c r="D178" t="s">
        <v>103</v>
      </c>
      <c r="E178">
        <v>4.625</v>
      </c>
      <c r="F178" s="2">
        <v>46341</v>
      </c>
      <c r="G178" t="s">
        <v>101</v>
      </c>
      <c r="H178" t="s">
        <v>104</v>
      </c>
      <c r="I178" t="s">
        <v>105</v>
      </c>
      <c r="J178">
        <v>100.566</v>
      </c>
      <c r="K178">
        <v>100.598</v>
      </c>
      <c r="L178">
        <v>4.28</v>
      </c>
      <c r="M178">
        <v>4.26</v>
      </c>
      <c r="N178">
        <v>4.26</v>
      </c>
      <c r="O178" t="s">
        <v>101</v>
      </c>
      <c r="P178" t="s">
        <v>140</v>
      </c>
      <c r="Q178" t="s">
        <v>140</v>
      </c>
      <c r="R178" t="s">
        <v>108</v>
      </c>
    </row>
    <row r="179" spans="1:18" x14ac:dyDescent="0.5">
      <c r="A179" t="str">
        <f>"91282CDQ1"</f>
        <v>91282CDQ1</v>
      </c>
      <c r="B179" t="s">
        <v>101</v>
      </c>
      <c r="C179" t="s">
        <v>332</v>
      </c>
      <c r="D179" t="s">
        <v>103</v>
      </c>
      <c r="E179">
        <v>1.25</v>
      </c>
      <c r="F179" s="2">
        <v>46387</v>
      </c>
      <c r="G179" t="s">
        <v>101</v>
      </c>
      <c r="H179" t="s">
        <v>104</v>
      </c>
      <c r="I179" t="s">
        <v>105</v>
      </c>
      <c r="J179">
        <v>94.626999999999995</v>
      </c>
      <c r="K179">
        <v>94.656999999999996</v>
      </c>
      <c r="L179">
        <v>4.2779999999999996</v>
      </c>
      <c r="M179">
        <v>4.26</v>
      </c>
      <c r="N179">
        <v>4.26</v>
      </c>
      <c r="O179" t="s">
        <v>101</v>
      </c>
      <c r="P179" t="s">
        <v>228</v>
      </c>
      <c r="Q179" t="s">
        <v>140</v>
      </c>
      <c r="R179" t="s">
        <v>108</v>
      </c>
    </row>
    <row r="180" spans="1:18" x14ac:dyDescent="0.5">
      <c r="A180" t="str">
        <f>"91282CKR1"</f>
        <v>91282CKR1</v>
      </c>
      <c r="B180" t="s">
        <v>101</v>
      </c>
      <c r="C180" t="s">
        <v>333</v>
      </c>
      <c r="D180" t="s">
        <v>103</v>
      </c>
      <c r="E180">
        <v>4.5</v>
      </c>
      <c r="F180" s="2">
        <v>46522</v>
      </c>
      <c r="G180" t="s">
        <v>101</v>
      </c>
      <c r="H180" t="s">
        <v>104</v>
      </c>
      <c r="I180" t="s">
        <v>105</v>
      </c>
      <c r="J180">
        <v>100.45699999999999</v>
      </c>
      <c r="K180">
        <v>100.501</v>
      </c>
      <c r="L180">
        <v>4.2809999999999997</v>
      </c>
      <c r="M180">
        <v>4.26</v>
      </c>
      <c r="N180">
        <v>4.26</v>
      </c>
      <c r="O180" t="s">
        <v>101</v>
      </c>
      <c r="P180" t="s">
        <v>140</v>
      </c>
      <c r="Q180" t="s">
        <v>140</v>
      </c>
      <c r="R180" t="s">
        <v>108</v>
      </c>
    </row>
    <row r="181" spans="1:18" x14ac:dyDescent="0.5">
      <c r="A181" t="str">
        <f>"912828X88"</f>
        <v>912828X88</v>
      </c>
      <c r="B181" t="s">
        <v>101</v>
      </c>
      <c r="C181" t="s">
        <v>334</v>
      </c>
      <c r="D181" t="s">
        <v>103</v>
      </c>
      <c r="E181">
        <v>2.375</v>
      </c>
      <c r="F181" s="2">
        <v>46522</v>
      </c>
      <c r="G181" t="s">
        <v>101</v>
      </c>
      <c r="H181" t="s">
        <v>104</v>
      </c>
      <c r="I181" t="s">
        <v>105</v>
      </c>
      <c r="J181">
        <v>95.971000000000004</v>
      </c>
      <c r="K181">
        <v>96.013000000000005</v>
      </c>
      <c r="L181">
        <v>4.2809999999999997</v>
      </c>
      <c r="M181">
        <v>4.26</v>
      </c>
      <c r="N181">
        <v>4.26</v>
      </c>
      <c r="O181" t="s">
        <v>101</v>
      </c>
      <c r="P181" t="s">
        <v>228</v>
      </c>
      <c r="Q181" t="s">
        <v>228</v>
      </c>
      <c r="R181" t="s">
        <v>108</v>
      </c>
    </row>
    <row r="182" spans="1:18" x14ac:dyDescent="0.5">
      <c r="A182" t="str">
        <f>"91282CAD3"</f>
        <v>91282CAD3</v>
      </c>
      <c r="B182" t="s">
        <v>101</v>
      </c>
      <c r="C182" t="s">
        <v>335</v>
      </c>
      <c r="D182" t="s">
        <v>103</v>
      </c>
      <c r="E182">
        <v>0.375</v>
      </c>
      <c r="F182" s="2">
        <v>46599</v>
      </c>
      <c r="G182" t="s">
        <v>101</v>
      </c>
      <c r="H182" t="s">
        <v>104</v>
      </c>
      <c r="I182" t="s">
        <v>105</v>
      </c>
      <c r="J182">
        <v>91.003</v>
      </c>
      <c r="K182">
        <v>91.051000000000002</v>
      </c>
      <c r="L182">
        <v>4.282</v>
      </c>
      <c r="M182">
        <v>4.26</v>
      </c>
      <c r="N182">
        <v>4.26</v>
      </c>
      <c r="O182" t="s">
        <v>101</v>
      </c>
      <c r="P182" t="s">
        <v>228</v>
      </c>
      <c r="Q182" t="s">
        <v>228</v>
      </c>
      <c r="R182" t="s">
        <v>108</v>
      </c>
    </row>
    <row r="183" spans="1:18" x14ac:dyDescent="0.5">
      <c r="A183" t="str">
        <f>"91282CFB2"</f>
        <v>91282CFB2</v>
      </c>
      <c r="B183" t="s">
        <v>101</v>
      </c>
      <c r="C183" t="s">
        <v>336</v>
      </c>
      <c r="D183" t="s">
        <v>103</v>
      </c>
      <c r="E183">
        <v>2.75</v>
      </c>
      <c r="F183" s="2">
        <v>46599</v>
      </c>
      <c r="G183" t="s">
        <v>101</v>
      </c>
      <c r="H183" t="s">
        <v>104</v>
      </c>
      <c r="I183" t="s">
        <v>105</v>
      </c>
      <c r="J183">
        <v>96.475999999999999</v>
      </c>
      <c r="K183">
        <v>96.52</v>
      </c>
      <c r="L183">
        <v>4.2789999999999999</v>
      </c>
      <c r="M183">
        <v>4.26</v>
      </c>
      <c r="N183">
        <v>4.26</v>
      </c>
      <c r="O183" t="s">
        <v>101</v>
      </c>
      <c r="P183" t="s">
        <v>142</v>
      </c>
      <c r="Q183" t="s">
        <v>142</v>
      </c>
      <c r="R183" t="s">
        <v>108</v>
      </c>
    </row>
    <row r="184" spans="1:18" x14ac:dyDescent="0.5">
      <c r="A184" t="str">
        <f>"91282CGR6"</f>
        <v>91282CGR6</v>
      </c>
      <c r="B184" t="s">
        <v>101</v>
      </c>
      <c r="C184" t="s">
        <v>337</v>
      </c>
      <c r="D184" t="s">
        <v>103</v>
      </c>
      <c r="E184">
        <v>4.625</v>
      </c>
      <c r="F184" s="2">
        <v>46096</v>
      </c>
      <c r="G184" t="s">
        <v>101</v>
      </c>
      <c r="H184" t="s">
        <v>104</v>
      </c>
      <c r="I184" t="s">
        <v>105</v>
      </c>
      <c r="J184">
        <v>100.351</v>
      </c>
      <c r="K184">
        <v>100.376</v>
      </c>
      <c r="L184">
        <v>4.282</v>
      </c>
      <c r="M184">
        <v>4.2590000000000003</v>
      </c>
      <c r="N184">
        <v>4.2590000000000003</v>
      </c>
      <c r="O184" t="s">
        <v>101</v>
      </c>
      <c r="P184" t="s">
        <v>252</v>
      </c>
      <c r="Q184" t="s">
        <v>252</v>
      </c>
      <c r="R184" t="s">
        <v>108</v>
      </c>
    </row>
    <row r="185" spans="1:18" x14ac:dyDescent="0.5">
      <c r="A185" t="str">
        <f>"91282CKJ9"</f>
        <v>91282CKJ9</v>
      </c>
      <c r="B185" t="s">
        <v>101</v>
      </c>
      <c r="C185" t="s">
        <v>338</v>
      </c>
      <c r="D185" t="s">
        <v>103</v>
      </c>
      <c r="E185">
        <v>4.5</v>
      </c>
      <c r="F185" s="2">
        <v>46492</v>
      </c>
      <c r="G185" t="s">
        <v>101</v>
      </c>
      <c r="H185" t="s">
        <v>104</v>
      </c>
      <c r="I185" t="s">
        <v>105</v>
      </c>
      <c r="J185">
        <v>100.444</v>
      </c>
      <c r="K185">
        <v>100.485</v>
      </c>
      <c r="L185">
        <v>4.2789999999999999</v>
      </c>
      <c r="M185">
        <v>4.2590000000000003</v>
      </c>
      <c r="N185">
        <v>4.2590000000000003</v>
      </c>
      <c r="O185" t="s">
        <v>101</v>
      </c>
      <c r="P185" t="s">
        <v>228</v>
      </c>
      <c r="Q185" t="s">
        <v>228</v>
      </c>
      <c r="R185" t="s">
        <v>108</v>
      </c>
    </row>
    <row r="186" spans="1:18" x14ac:dyDescent="0.5">
      <c r="A186" t="str">
        <f>"91282CGC9"</f>
        <v>91282CGC9</v>
      </c>
      <c r="B186" t="s">
        <v>101</v>
      </c>
      <c r="C186" t="s">
        <v>339</v>
      </c>
      <c r="D186" t="s">
        <v>103</v>
      </c>
      <c r="E186">
        <v>3.875</v>
      </c>
      <c r="F186" s="2">
        <v>46752</v>
      </c>
      <c r="G186" t="s">
        <v>101</v>
      </c>
      <c r="H186" t="s">
        <v>104</v>
      </c>
      <c r="I186" t="s">
        <v>105</v>
      </c>
      <c r="J186">
        <v>98.924999999999997</v>
      </c>
      <c r="K186">
        <v>98.968999999999994</v>
      </c>
      <c r="L186">
        <v>4.2759999999999998</v>
      </c>
      <c r="M186">
        <v>4.2590000000000003</v>
      </c>
      <c r="N186">
        <v>4.2590000000000003</v>
      </c>
      <c r="O186" t="s">
        <v>101</v>
      </c>
      <c r="P186" t="s">
        <v>142</v>
      </c>
      <c r="Q186" t="s">
        <v>142</v>
      </c>
      <c r="R186" t="s">
        <v>108</v>
      </c>
    </row>
    <row r="187" spans="1:18" x14ac:dyDescent="0.5">
      <c r="A187" t="str">
        <f>"912828R36"</f>
        <v>912828R36</v>
      </c>
      <c r="B187" t="s">
        <v>101</v>
      </c>
      <c r="C187" t="s">
        <v>340</v>
      </c>
      <c r="D187" t="s">
        <v>103</v>
      </c>
      <c r="E187">
        <v>1.625</v>
      </c>
      <c r="F187" s="2">
        <v>46157</v>
      </c>
      <c r="G187" t="s">
        <v>101</v>
      </c>
      <c r="H187" t="s">
        <v>104</v>
      </c>
      <c r="I187" t="s">
        <v>105</v>
      </c>
      <c r="J187">
        <v>96.82</v>
      </c>
      <c r="K187">
        <v>96.855999999999995</v>
      </c>
      <c r="L187">
        <v>4.2889999999999997</v>
      </c>
      <c r="M187">
        <v>4.258</v>
      </c>
      <c r="N187">
        <v>4.258</v>
      </c>
      <c r="O187" t="s">
        <v>101</v>
      </c>
      <c r="P187" t="s">
        <v>172</v>
      </c>
      <c r="Q187" t="s">
        <v>252</v>
      </c>
      <c r="R187" t="s">
        <v>108</v>
      </c>
    </row>
    <row r="188" spans="1:18" x14ac:dyDescent="0.5">
      <c r="A188" t="str">
        <f>"91282CKY6"</f>
        <v>91282CKY6</v>
      </c>
      <c r="B188" t="s">
        <v>101</v>
      </c>
      <c r="C188" t="s">
        <v>341</v>
      </c>
      <c r="D188" t="s">
        <v>103</v>
      </c>
      <c r="E188">
        <v>4.625</v>
      </c>
      <c r="F188" s="2">
        <v>46203</v>
      </c>
      <c r="G188" t="s">
        <v>101</v>
      </c>
      <c r="H188" t="s">
        <v>105</v>
      </c>
      <c r="I188" t="s">
        <v>105</v>
      </c>
      <c r="J188">
        <v>100.449</v>
      </c>
      <c r="K188">
        <v>100.477</v>
      </c>
      <c r="L188">
        <v>4.2789999999999999</v>
      </c>
      <c r="M188">
        <v>4.258</v>
      </c>
      <c r="N188">
        <v>4.258</v>
      </c>
      <c r="O188" t="s">
        <v>101</v>
      </c>
      <c r="P188" t="s">
        <v>193</v>
      </c>
      <c r="Q188" t="s">
        <v>193</v>
      </c>
      <c r="R188" t="s">
        <v>108</v>
      </c>
    </row>
    <row r="189" spans="1:18" x14ac:dyDescent="0.5">
      <c r="A189" t="str">
        <f>"91282CCP4"</f>
        <v>91282CCP4</v>
      </c>
      <c r="B189" t="s">
        <v>101</v>
      </c>
      <c r="C189" t="s">
        <v>342</v>
      </c>
      <c r="D189" t="s">
        <v>103</v>
      </c>
      <c r="E189">
        <v>0.625</v>
      </c>
      <c r="F189" s="2">
        <v>46234</v>
      </c>
      <c r="G189" t="s">
        <v>101</v>
      </c>
      <c r="H189" t="s">
        <v>104</v>
      </c>
      <c r="I189" t="s">
        <v>105</v>
      </c>
      <c r="J189">
        <v>94.91</v>
      </c>
      <c r="K189">
        <v>94.941999999999993</v>
      </c>
      <c r="L189">
        <v>4.282</v>
      </c>
      <c r="M189">
        <v>4.258</v>
      </c>
      <c r="N189">
        <v>4.258</v>
      </c>
      <c r="O189" t="s">
        <v>101</v>
      </c>
      <c r="P189" t="s">
        <v>140</v>
      </c>
      <c r="Q189" t="s">
        <v>140</v>
      </c>
      <c r="R189" t="s">
        <v>108</v>
      </c>
    </row>
    <row r="190" spans="1:18" x14ac:dyDescent="0.5">
      <c r="A190" t="str">
        <f>"91282CJC6"</f>
        <v>91282CJC6</v>
      </c>
      <c r="B190" t="s">
        <v>101</v>
      </c>
      <c r="C190" t="s">
        <v>343</v>
      </c>
      <c r="D190" t="s">
        <v>103</v>
      </c>
      <c r="E190">
        <v>4.625</v>
      </c>
      <c r="F190" s="2">
        <v>46310</v>
      </c>
      <c r="G190" t="s">
        <v>101</v>
      </c>
      <c r="H190" t="s">
        <v>104</v>
      </c>
      <c r="I190" t="s">
        <v>105</v>
      </c>
      <c r="J190">
        <v>100.539</v>
      </c>
      <c r="K190">
        <v>100.575</v>
      </c>
      <c r="L190">
        <v>4.2809999999999997</v>
      </c>
      <c r="M190">
        <v>4.258</v>
      </c>
      <c r="N190">
        <v>4.258</v>
      </c>
      <c r="O190" t="s">
        <v>101</v>
      </c>
      <c r="P190" t="s">
        <v>140</v>
      </c>
      <c r="Q190" t="s">
        <v>140</v>
      </c>
      <c r="R190" t="s">
        <v>108</v>
      </c>
    </row>
    <row r="191" spans="1:18" x14ac:dyDescent="0.5">
      <c r="A191" t="str">
        <f>"91282CLG4"</f>
        <v>91282CLG4</v>
      </c>
      <c r="B191" t="s">
        <v>101</v>
      </c>
      <c r="C191" t="s">
        <v>344</v>
      </c>
      <c r="D191" t="s">
        <v>103</v>
      </c>
      <c r="E191">
        <v>3.75</v>
      </c>
      <c r="F191" s="2">
        <v>46614</v>
      </c>
      <c r="G191" t="s">
        <v>101</v>
      </c>
      <c r="H191" t="s">
        <v>104</v>
      </c>
      <c r="I191" t="s">
        <v>105</v>
      </c>
      <c r="J191">
        <v>98.765000000000001</v>
      </c>
      <c r="K191">
        <v>98.808999999999997</v>
      </c>
      <c r="L191">
        <v>4.2770000000000001</v>
      </c>
      <c r="M191">
        <v>4.258</v>
      </c>
      <c r="N191">
        <v>4.258</v>
      </c>
      <c r="O191" t="s">
        <v>101</v>
      </c>
      <c r="P191" t="s">
        <v>142</v>
      </c>
      <c r="Q191" t="s">
        <v>228</v>
      </c>
      <c r="R191" t="s">
        <v>108</v>
      </c>
    </row>
    <row r="192" spans="1:18" x14ac:dyDescent="0.5">
      <c r="A192" t="str">
        <f>"9128286S4"</f>
        <v>9128286S4</v>
      </c>
      <c r="B192" t="s">
        <v>101</v>
      </c>
      <c r="C192" t="s">
        <v>345</v>
      </c>
      <c r="D192" t="s">
        <v>103</v>
      </c>
      <c r="E192">
        <v>2.375</v>
      </c>
      <c r="F192" s="2">
        <v>46142</v>
      </c>
      <c r="G192" t="s">
        <v>101</v>
      </c>
      <c r="H192" t="s">
        <v>104</v>
      </c>
      <c r="I192" t="s">
        <v>105</v>
      </c>
      <c r="J192">
        <v>97.792000000000002</v>
      </c>
      <c r="K192">
        <v>97.825000000000003</v>
      </c>
      <c r="L192">
        <v>4.2850000000000001</v>
      </c>
      <c r="M192">
        <v>4.2569999999999997</v>
      </c>
      <c r="N192">
        <v>4.2569999999999997</v>
      </c>
      <c r="O192" t="s">
        <v>101</v>
      </c>
      <c r="P192" t="s">
        <v>252</v>
      </c>
      <c r="Q192" t="s">
        <v>252</v>
      </c>
      <c r="R192" t="s">
        <v>108</v>
      </c>
    </row>
    <row r="193" spans="1:18" x14ac:dyDescent="0.5">
      <c r="A193" t="str">
        <f>"91282CEC1"</f>
        <v>91282CEC1</v>
      </c>
      <c r="B193" t="s">
        <v>101</v>
      </c>
      <c r="C193" t="s">
        <v>346</v>
      </c>
      <c r="D193" t="s">
        <v>103</v>
      </c>
      <c r="E193">
        <v>1.875</v>
      </c>
      <c r="F193" s="2">
        <v>46446</v>
      </c>
      <c r="G193" t="s">
        <v>101</v>
      </c>
      <c r="H193" t="s">
        <v>104</v>
      </c>
      <c r="I193" t="s">
        <v>105</v>
      </c>
      <c r="J193">
        <v>95.376999999999995</v>
      </c>
      <c r="K193">
        <v>95.418000000000006</v>
      </c>
      <c r="L193">
        <v>4.2789999999999999</v>
      </c>
      <c r="M193">
        <v>4.2569999999999997</v>
      </c>
      <c r="N193">
        <v>4.2569999999999997</v>
      </c>
      <c r="O193" t="s">
        <v>101</v>
      </c>
      <c r="P193" t="s">
        <v>228</v>
      </c>
      <c r="Q193" t="s">
        <v>228</v>
      </c>
      <c r="R193" t="s">
        <v>108</v>
      </c>
    </row>
    <row r="194" spans="1:18" x14ac:dyDescent="0.5">
      <c r="A194" t="str">
        <f>"9128286L9"</f>
        <v>9128286L9</v>
      </c>
      <c r="B194" t="s">
        <v>101</v>
      </c>
      <c r="C194" t="s">
        <v>347</v>
      </c>
      <c r="D194" t="s">
        <v>103</v>
      </c>
      <c r="E194">
        <v>2.25</v>
      </c>
      <c r="F194" s="2">
        <v>46112</v>
      </c>
      <c r="G194" t="s">
        <v>101</v>
      </c>
      <c r="H194" t="s">
        <v>104</v>
      </c>
      <c r="I194" t="s">
        <v>105</v>
      </c>
      <c r="J194">
        <v>97.808000000000007</v>
      </c>
      <c r="K194">
        <v>97.84</v>
      </c>
      <c r="L194">
        <v>4.2859999999999996</v>
      </c>
      <c r="M194">
        <v>4.2560000000000002</v>
      </c>
      <c r="N194">
        <v>4.2560000000000002</v>
      </c>
      <c r="O194" t="s">
        <v>101</v>
      </c>
      <c r="P194" t="s">
        <v>252</v>
      </c>
      <c r="Q194" t="s">
        <v>218</v>
      </c>
      <c r="R194" t="s">
        <v>108</v>
      </c>
    </row>
    <row r="195" spans="1:18" x14ac:dyDescent="0.5">
      <c r="A195" t="str">
        <f>"91282CKE0"</f>
        <v>91282CKE0</v>
      </c>
      <c r="B195" t="s">
        <v>101</v>
      </c>
      <c r="C195" t="s">
        <v>348</v>
      </c>
      <c r="D195" t="s">
        <v>103</v>
      </c>
      <c r="E195">
        <v>4.25</v>
      </c>
      <c r="F195" s="2">
        <v>46461</v>
      </c>
      <c r="G195" t="s">
        <v>101</v>
      </c>
      <c r="H195" t="s">
        <v>104</v>
      </c>
      <c r="I195" t="s">
        <v>105</v>
      </c>
      <c r="J195">
        <v>99.941000000000003</v>
      </c>
      <c r="K195">
        <v>99.984999999999999</v>
      </c>
      <c r="L195">
        <v>4.2789999999999999</v>
      </c>
      <c r="M195">
        <v>4.2560000000000002</v>
      </c>
      <c r="N195">
        <v>4.2560000000000002</v>
      </c>
      <c r="O195" t="s">
        <v>101</v>
      </c>
      <c r="P195" t="s">
        <v>140</v>
      </c>
      <c r="Q195" t="s">
        <v>349</v>
      </c>
      <c r="R195" t="s">
        <v>108</v>
      </c>
    </row>
    <row r="196" spans="1:18" x14ac:dyDescent="0.5">
      <c r="A196" t="str">
        <f>"91282CDK4"</f>
        <v>91282CDK4</v>
      </c>
      <c r="B196" t="s">
        <v>101</v>
      </c>
      <c r="C196" t="s">
        <v>350</v>
      </c>
      <c r="D196" t="s">
        <v>103</v>
      </c>
      <c r="E196">
        <v>1.25</v>
      </c>
      <c r="F196" s="2">
        <v>46356</v>
      </c>
      <c r="G196" t="s">
        <v>101</v>
      </c>
      <c r="H196" t="s">
        <v>104</v>
      </c>
      <c r="I196" t="s">
        <v>105</v>
      </c>
      <c r="J196">
        <v>94.855999999999995</v>
      </c>
      <c r="K196">
        <v>94.897999999999996</v>
      </c>
      <c r="L196">
        <v>4.2809999999999997</v>
      </c>
      <c r="M196">
        <v>4.2549999999999999</v>
      </c>
      <c r="N196">
        <v>4.2549999999999999</v>
      </c>
      <c r="O196" t="s">
        <v>101</v>
      </c>
      <c r="P196" t="s">
        <v>228</v>
      </c>
      <c r="Q196" t="s">
        <v>228</v>
      </c>
      <c r="R196" t="s">
        <v>108</v>
      </c>
    </row>
    <row r="197" spans="1:18" x14ac:dyDescent="0.5">
      <c r="A197" t="str">
        <f>"912828ZS2"</f>
        <v>912828ZS2</v>
      </c>
      <c r="B197" t="s">
        <v>101</v>
      </c>
      <c r="C197" t="s">
        <v>351</v>
      </c>
      <c r="D197" t="s">
        <v>103</v>
      </c>
      <c r="E197">
        <v>0.5</v>
      </c>
      <c r="F197" s="2">
        <v>46538</v>
      </c>
      <c r="G197" t="s">
        <v>101</v>
      </c>
      <c r="H197" t="s">
        <v>104</v>
      </c>
      <c r="I197" t="s">
        <v>105</v>
      </c>
      <c r="J197">
        <v>91.879000000000005</v>
      </c>
      <c r="K197">
        <v>91.921000000000006</v>
      </c>
      <c r="L197">
        <v>4.2750000000000004</v>
      </c>
      <c r="M197">
        <v>4.2549999999999999</v>
      </c>
      <c r="N197">
        <v>4.2549999999999999</v>
      </c>
      <c r="O197" t="s">
        <v>101</v>
      </c>
      <c r="P197" t="s">
        <v>228</v>
      </c>
      <c r="Q197" t="s">
        <v>228</v>
      </c>
      <c r="R197" t="s">
        <v>108</v>
      </c>
    </row>
    <row r="198" spans="1:18" x14ac:dyDescent="0.5">
      <c r="A198" t="str">
        <f>"91282CAL5"</f>
        <v>91282CAL5</v>
      </c>
      <c r="B198" t="s">
        <v>101</v>
      </c>
      <c r="C198" t="s">
        <v>352</v>
      </c>
      <c r="D198" t="s">
        <v>103</v>
      </c>
      <c r="E198">
        <v>0.375</v>
      </c>
      <c r="F198" s="2">
        <v>46660</v>
      </c>
      <c r="G198" t="s">
        <v>101</v>
      </c>
      <c r="H198" t="s">
        <v>104</v>
      </c>
      <c r="I198" t="s">
        <v>105</v>
      </c>
      <c r="J198">
        <v>90.451999999999998</v>
      </c>
      <c r="K198">
        <v>90.5</v>
      </c>
      <c r="L198">
        <v>4.2759999999999998</v>
      </c>
      <c r="M198">
        <v>4.2549999999999999</v>
      </c>
      <c r="N198">
        <v>4.2549999999999999</v>
      </c>
      <c r="O198" t="s">
        <v>101</v>
      </c>
      <c r="P198" t="s">
        <v>228</v>
      </c>
      <c r="Q198" t="s">
        <v>228</v>
      </c>
      <c r="R198" t="s">
        <v>108</v>
      </c>
    </row>
    <row r="199" spans="1:18" x14ac:dyDescent="0.5">
      <c r="A199" t="str">
        <f>"91282CHU8"</f>
        <v>91282CHU8</v>
      </c>
      <c r="B199" t="s">
        <v>101</v>
      </c>
      <c r="C199" t="s">
        <v>353</v>
      </c>
      <c r="D199" t="s">
        <v>103</v>
      </c>
      <c r="E199">
        <v>4.375</v>
      </c>
      <c r="F199" s="2">
        <v>46249</v>
      </c>
      <c r="G199" t="s">
        <v>101</v>
      </c>
      <c r="H199" t="s">
        <v>104</v>
      </c>
      <c r="I199" t="s">
        <v>105</v>
      </c>
      <c r="J199">
        <v>100.136</v>
      </c>
      <c r="K199">
        <v>100.172</v>
      </c>
      <c r="L199">
        <v>4.2789999999999999</v>
      </c>
      <c r="M199">
        <v>4.2539999999999996</v>
      </c>
      <c r="N199">
        <v>4.2539999999999996</v>
      </c>
      <c r="O199" t="s">
        <v>101</v>
      </c>
      <c r="P199" t="s">
        <v>140</v>
      </c>
      <c r="Q199" t="s">
        <v>140</v>
      </c>
      <c r="R199" t="s">
        <v>108</v>
      </c>
    </row>
    <row r="200" spans="1:18" x14ac:dyDescent="0.5">
      <c r="A200" t="str">
        <f>"91282CJT9"</f>
        <v>91282CJT9</v>
      </c>
      <c r="B200" t="s">
        <v>101</v>
      </c>
      <c r="C200" t="s">
        <v>354</v>
      </c>
      <c r="D200" t="s">
        <v>103</v>
      </c>
      <c r="E200">
        <v>4</v>
      </c>
      <c r="F200" s="2">
        <v>46402</v>
      </c>
      <c r="G200" t="s">
        <v>101</v>
      </c>
      <c r="H200" t="s">
        <v>104</v>
      </c>
      <c r="I200" t="s">
        <v>105</v>
      </c>
      <c r="J200">
        <v>99.5</v>
      </c>
      <c r="K200">
        <v>99.536000000000001</v>
      </c>
      <c r="L200">
        <v>4.274</v>
      </c>
      <c r="M200">
        <v>4.2539999999999996</v>
      </c>
      <c r="N200">
        <v>4.2539999999999996</v>
      </c>
      <c r="O200" t="s">
        <v>101</v>
      </c>
      <c r="P200" t="s">
        <v>140</v>
      </c>
      <c r="Q200" t="s">
        <v>140</v>
      </c>
      <c r="R200" t="s">
        <v>108</v>
      </c>
    </row>
    <row r="201" spans="1:18" x14ac:dyDescent="0.5">
      <c r="A201" t="str">
        <f>"912828V98"</f>
        <v>912828V98</v>
      </c>
      <c r="B201" t="s">
        <v>101</v>
      </c>
      <c r="C201" t="s">
        <v>355</v>
      </c>
      <c r="D201" t="s">
        <v>103</v>
      </c>
      <c r="E201">
        <v>2.25</v>
      </c>
      <c r="F201" s="2">
        <v>46433</v>
      </c>
      <c r="G201" t="s">
        <v>101</v>
      </c>
      <c r="H201" t="s">
        <v>104</v>
      </c>
      <c r="I201" t="s">
        <v>105</v>
      </c>
      <c r="J201">
        <v>96.168000000000006</v>
      </c>
      <c r="K201">
        <v>96.21</v>
      </c>
      <c r="L201">
        <v>4.2770000000000001</v>
      </c>
      <c r="M201">
        <v>4.2539999999999996</v>
      </c>
      <c r="N201">
        <v>4.2539999999999996</v>
      </c>
      <c r="O201" t="s">
        <v>101</v>
      </c>
      <c r="P201" t="s">
        <v>228</v>
      </c>
      <c r="Q201" t="s">
        <v>228</v>
      </c>
      <c r="R201" t="s">
        <v>108</v>
      </c>
    </row>
    <row r="202" spans="1:18" x14ac:dyDescent="0.5">
      <c r="A202" t="str">
        <f>"912828ZN3"</f>
        <v>912828ZN3</v>
      </c>
      <c r="B202" t="s">
        <v>101</v>
      </c>
      <c r="C202" t="s">
        <v>356</v>
      </c>
      <c r="D202" t="s">
        <v>103</v>
      </c>
      <c r="E202">
        <v>0.5</v>
      </c>
      <c r="F202" s="2">
        <v>46507</v>
      </c>
      <c r="G202" t="s">
        <v>101</v>
      </c>
      <c r="H202" t="s">
        <v>104</v>
      </c>
      <c r="I202" t="s">
        <v>105</v>
      </c>
      <c r="J202">
        <v>92.162000000000006</v>
      </c>
      <c r="K202">
        <v>92.206000000000003</v>
      </c>
      <c r="L202">
        <v>4.2770000000000001</v>
      </c>
      <c r="M202">
        <v>4.2539999999999996</v>
      </c>
      <c r="N202">
        <v>4.2539999999999996</v>
      </c>
      <c r="O202" t="s">
        <v>101</v>
      </c>
      <c r="P202" t="s">
        <v>228</v>
      </c>
      <c r="Q202" t="s">
        <v>228</v>
      </c>
      <c r="R202" t="s">
        <v>108</v>
      </c>
    </row>
    <row r="203" spans="1:18" x14ac:dyDescent="0.5">
      <c r="A203" t="str">
        <f>"91282CKZ3"</f>
        <v>91282CKZ3</v>
      </c>
      <c r="B203" t="s">
        <v>101</v>
      </c>
      <c r="C203" t="s">
        <v>357</v>
      </c>
      <c r="D203" t="s">
        <v>103</v>
      </c>
      <c r="E203">
        <v>4.375</v>
      </c>
      <c r="F203" s="2">
        <v>46583</v>
      </c>
      <c r="G203" t="s">
        <v>101</v>
      </c>
      <c r="H203" t="s">
        <v>104</v>
      </c>
      <c r="I203" t="s">
        <v>105</v>
      </c>
      <c r="J203">
        <v>100.23</v>
      </c>
      <c r="K203">
        <v>100.27</v>
      </c>
      <c r="L203">
        <v>4.2720000000000002</v>
      </c>
      <c r="M203">
        <v>4.2539999999999996</v>
      </c>
      <c r="N203">
        <v>4.2539999999999996</v>
      </c>
      <c r="O203" t="s">
        <v>101</v>
      </c>
      <c r="P203" t="s">
        <v>358</v>
      </c>
      <c r="Q203" t="s">
        <v>228</v>
      </c>
      <c r="R203" t="s">
        <v>108</v>
      </c>
    </row>
    <row r="204" spans="1:18" x14ac:dyDescent="0.5">
      <c r="A204" t="str">
        <f>"91282CFU0"</f>
        <v>91282CFU0</v>
      </c>
      <c r="B204" t="s">
        <v>101</v>
      </c>
      <c r="C204" t="s">
        <v>359</v>
      </c>
      <c r="D204" t="s">
        <v>103</v>
      </c>
      <c r="E204">
        <v>4.125</v>
      </c>
      <c r="F204" s="2">
        <v>46691</v>
      </c>
      <c r="G204" t="s">
        <v>101</v>
      </c>
      <c r="H204" t="s">
        <v>104</v>
      </c>
      <c r="I204" t="s">
        <v>105</v>
      </c>
      <c r="J204">
        <v>99.620999999999995</v>
      </c>
      <c r="K204">
        <v>99.668000000000006</v>
      </c>
      <c r="L204">
        <v>4.2729999999999997</v>
      </c>
      <c r="M204">
        <v>4.2539999999999996</v>
      </c>
      <c r="N204">
        <v>4.2539999999999996</v>
      </c>
      <c r="O204" t="s">
        <v>101</v>
      </c>
      <c r="P204" t="s">
        <v>142</v>
      </c>
      <c r="Q204" t="s">
        <v>228</v>
      </c>
      <c r="R204" t="s">
        <v>108</v>
      </c>
    </row>
    <row r="205" spans="1:18" x14ac:dyDescent="0.5">
      <c r="A205" t="str">
        <f>"91282CBC4"</f>
        <v>91282CBC4</v>
      </c>
      <c r="B205" t="s">
        <v>101</v>
      </c>
      <c r="C205" t="s">
        <v>360</v>
      </c>
      <c r="D205" t="s">
        <v>103</v>
      </c>
      <c r="E205">
        <v>0.375</v>
      </c>
      <c r="F205" s="2">
        <v>46022</v>
      </c>
      <c r="G205" t="s">
        <v>101</v>
      </c>
      <c r="H205" t="s">
        <v>104</v>
      </c>
      <c r="I205" t="s">
        <v>105</v>
      </c>
      <c r="J205">
        <v>96.725999999999999</v>
      </c>
      <c r="K205">
        <v>96.741</v>
      </c>
      <c r="L205">
        <v>4.2709999999999999</v>
      </c>
      <c r="M205">
        <v>4.2530000000000001</v>
      </c>
      <c r="N205">
        <v>4.2530000000000001</v>
      </c>
      <c r="O205" t="s">
        <v>101</v>
      </c>
      <c r="P205" t="s">
        <v>252</v>
      </c>
      <c r="Q205" t="s">
        <v>172</v>
      </c>
      <c r="R205" t="s">
        <v>108</v>
      </c>
    </row>
    <row r="206" spans="1:18" x14ac:dyDescent="0.5">
      <c r="A206" t="str">
        <f>"91282CHH7"</f>
        <v>91282CHH7</v>
      </c>
      <c r="B206" t="s">
        <v>101</v>
      </c>
      <c r="C206" t="s">
        <v>361</v>
      </c>
      <c r="D206" t="s">
        <v>103</v>
      </c>
      <c r="E206">
        <v>4.125</v>
      </c>
      <c r="F206" s="2">
        <v>46188</v>
      </c>
      <c r="G206" t="s">
        <v>101</v>
      </c>
      <c r="H206" t="s">
        <v>104</v>
      </c>
      <c r="I206" t="s">
        <v>105</v>
      </c>
      <c r="J206">
        <v>99.8</v>
      </c>
      <c r="K206">
        <v>99.832999999999998</v>
      </c>
      <c r="L206">
        <v>4.2779999999999996</v>
      </c>
      <c r="M206">
        <v>4.2530000000000001</v>
      </c>
      <c r="N206">
        <v>4.2530000000000001</v>
      </c>
      <c r="O206" t="s">
        <v>101</v>
      </c>
      <c r="P206" t="s">
        <v>193</v>
      </c>
      <c r="Q206" t="s">
        <v>193</v>
      </c>
      <c r="R206" t="s">
        <v>108</v>
      </c>
    </row>
    <row r="207" spans="1:18" x14ac:dyDescent="0.5">
      <c r="A207" t="str">
        <f>"91282CHY0"</f>
        <v>91282CHY0</v>
      </c>
      <c r="B207" t="s">
        <v>101</v>
      </c>
      <c r="C207" t="s">
        <v>362</v>
      </c>
      <c r="D207" t="s">
        <v>103</v>
      </c>
      <c r="E207">
        <v>4.625</v>
      </c>
      <c r="F207" s="2">
        <v>46280</v>
      </c>
      <c r="G207" t="s">
        <v>101</v>
      </c>
      <c r="H207" t="s">
        <v>104</v>
      </c>
      <c r="I207" t="s">
        <v>105</v>
      </c>
      <c r="J207">
        <v>100.53100000000001</v>
      </c>
      <c r="K207">
        <v>100.55500000000001</v>
      </c>
      <c r="L207">
        <v>4.2690000000000001</v>
      </c>
      <c r="M207">
        <v>4.2530000000000001</v>
      </c>
      <c r="N207">
        <v>4.2530000000000001</v>
      </c>
      <c r="O207" t="s">
        <v>101</v>
      </c>
      <c r="P207" t="s">
        <v>140</v>
      </c>
      <c r="Q207" t="s">
        <v>140</v>
      </c>
      <c r="R207" t="s">
        <v>108</v>
      </c>
    </row>
    <row r="208" spans="1:18" x14ac:dyDescent="0.5">
      <c r="A208" t="str">
        <f>"91282CEN7"</f>
        <v>91282CEN7</v>
      </c>
      <c r="B208" t="s">
        <v>101</v>
      </c>
      <c r="C208" t="s">
        <v>363</v>
      </c>
      <c r="D208" t="s">
        <v>103</v>
      </c>
      <c r="E208">
        <v>2.75</v>
      </c>
      <c r="F208" s="2">
        <v>46507</v>
      </c>
      <c r="G208" t="s">
        <v>101</v>
      </c>
      <c r="H208" t="s">
        <v>104</v>
      </c>
      <c r="I208" t="s">
        <v>105</v>
      </c>
      <c r="J208">
        <v>96.834000000000003</v>
      </c>
      <c r="K208">
        <v>96.876000000000005</v>
      </c>
      <c r="L208">
        <v>4.274</v>
      </c>
      <c r="M208">
        <v>4.2530000000000001</v>
      </c>
      <c r="N208">
        <v>4.2530000000000001</v>
      </c>
      <c r="O208" t="s">
        <v>101</v>
      </c>
      <c r="P208" t="s">
        <v>228</v>
      </c>
      <c r="Q208" t="s">
        <v>228</v>
      </c>
      <c r="R208" t="s">
        <v>108</v>
      </c>
    </row>
    <row r="209" spans="1:18" x14ac:dyDescent="0.5">
      <c r="A209" t="str">
        <f>"912828ZV5"</f>
        <v>912828ZV5</v>
      </c>
      <c r="B209" t="s">
        <v>101</v>
      </c>
      <c r="C209" t="s">
        <v>364</v>
      </c>
      <c r="D209" t="s">
        <v>103</v>
      </c>
      <c r="E209">
        <v>0.5</v>
      </c>
      <c r="F209" s="2">
        <v>46568</v>
      </c>
      <c r="G209" t="s">
        <v>101</v>
      </c>
      <c r="H209" t="s">
        <v>104</v>
      </c>
      <c r="I209" t="s">
        <v>182</v>
      </c>
      <c r="J209">
        <v>91.600999999999999</v>
      </c>
      <c r="K209">
        <v>91.641000000000005</v>
      </c>
      <c r="L209">
        <v>4.2720000000000002</v>
      </c>
      <c r="M209">
        <v>4.2530000000000001</v>
      </c>
      <c r="N209">
        <v>4.2530000000000001</v>
      </c>
      <c r="O209" t="s">
        <v>101</v>
      </c>
      <c r="P209" t="s">
        <v>142</v>
      </c>
      <c r="Q209" t="s">
        <v>142</v>
      </c>
      <c r="R209" t="s">
        <v>108</v>
      </c>
    </row>
    <row r="210" spans="1:18" x14ac:dyDescent="0.5">
      <c r="A210" t="str">
        <f>"912828YQ7"</f>
        <v>912828YQ7</v>
      </c>
      <c r="B210" t="s">
        <v>101</v>
      </c>
      <c r="C210" t="s">
        <v>365</v>
      </c>
      <c r="D210" t="s">
        <v>103</v>
      </c>
      <c r="E210">
        <v>1.625</v>
      </c>
      <c r="F210" s="2">
        <v>46326</v>
      </c>
      <c r="G210" t="s">
        <v>101</v>
      </c>
      <c r="H210" t="s">
        <v>104</v>
      </c>
      <c r="I210" t="s">
        <v>105</v>
      </c>
      <c r="J210">
        <v>95.7</v>
      </c>
      <c r="K210">
        <v>95.742999999999995</v>
      </c>
      <c r="L210">
        <v>4.2789999999999999</v>
      </c>
      <c r="M210">
        <v>4.2519999999999998</v>
      </c>
      <c r="N210">
        <v>4.2519999999999998</v>
      </c>
      <c r="O210" t="s">
        <v>101</v>
      </c>
      <c r="P210" t="s">
        <v>228</v>
      </c>
      <c r="Q210" t="s">
        <v>228</v>
      </c>
      <c r="R210" t="s">
        <v>108</v>
      </c>
    </row>
    <row r="211" spans="1:18" x14ac:dyDescent="0.5">
      <c r="A211" t="str">
        <f>"912828ZE3"</f>
        <v>912828ZE3</v>
      </c>
      <c r="B211" t="s">
        <v>101</v>
      </c>
      <c r="C211" t="s">
        <v>366</v>
      </c>
      <c r="D211" t="s">
        <v>103</v>
      </c>
      <c r="E211">
        <v>0.625</v>
      </c>
      <c r="F211" s="2">
        <v>46477</v>
      </c>
      <c r="G211" t="s">
        <v>101</v>
      </c>
      <c r="H211" t="s">
        <v>104</v>
      </c>
      <c r="I211" t="s">
        <v>105</v>
      </c>
      <c r="J211">
        <v>92.700999999999993</v>
      </c>
      <c r="K211">
        <v>92.742999999999995</v>
      </c>
      <c r="L211">
        <v>4.274</v>
      </c>
      <c r="M211">
        <v>4.2519999999999998</v>
      </c>
      <c r="N211">
        <v>4.2519999999999998</v>
      </c>
      <c r="O211" t="s">
        <v>101</v>
      </c>
      <c r="P211" t="s">
        <v>228</v>
      </c>
      <c r="Q211" t="s">
        <v>228</v>
      </c>
      <c r="R211" t="s">
        <v>108</v>
      </c>
    </row>
    <row r="212" spans="1:18" x14ac:dyDescent="0.5">
      <c r="A212" t="str">
        <f>"91282CKV2"</f>
        <v>91282CKV2</v>
      </c>
      <c r="B212" t="s">
        <v>101</v>
      </c>
      <c r="C212" t="s">
        <v>367</v>
      </c>
      <c r="D212" t="s">
        <v>103</v>
      </c>
      <c r="E212">
        <v>4.625</v>
      </c>
      <c r="F212" s="2">
        <v>46553</v>
      </c>
      <c r="G212" t="s">
        <v>101</v>
      </c>
      <c r="H212" t="s">
        <v>104</v>
      </c>
      <c r="I212" t="s">
        <v>105</v>
      </c>
      <c r="J212">
        <v>100.76900000000001</v>
      </c>
      <c r="K212">
        <v>100.809</v>
      </c>
      <c r="L212">
        <v>4.2709999999999999</v>
      </c>
      <c r="M212">
        <v>4.2519999999999998</v>
      </c>
      <c r="N212">
        <v>4.2519999999999998</v>
      </c>
      <c r="O212" t="s">
        <v>101</v>
      </c>
      <c r="P212" t="s">
        <v>140</v>
      </c>
      <c r="Q212" t="s">
        <v>140</v>
      </c>
      <c r="R212" t="s">
        <v>108</v>
      </c>
    </row>
    <row r="213" spans="1:18" x14ac:dyDescent="0.5">
      <c r="A213" t="str">
        <f>"9128282R0"</f>
        <v>9128282R0</v>
      </c>
      <c r="B213" t="s">
        <v>101</v>
      </c>
      <c r="C213" t="s">
        <v>368</v>
      </c>
      <c r="D213" t="s">
        <v>103</v>
      </c>
      <c r="E213">
        <v>2.25</v>
      </c>
      <c r="F213" s="2">
        <v>46614</v>
      </c>
      <c r="G213" t="s">
        <v>101</v>
      </c>
      <c r="H213" t="s">
        <v>104</v>
      </c>
      <c r="I213" t="s">
        <v>105</v>
      </c>
      <c r="J213">
        <v>95.263999999999996</v>
      </c>
      <c r="K213">
        <v>95.313000000000002</v>
      </c>
      <c r="L213">
        <v>4.2729999999999997</v>
      </c>
      <c r="M213">
        <v>4.2519999999999998</v>
      </c>
      <c r="N213">
        <v>4.2519999999999998</v>
      </c>
      <c r="O213" t="s">
        <v>101</v>
      </c>
      <c r="P213" t="s">
        <v>228</v>
      </c>
      <c r="Q213" t="s">
        <v>228</v>
      </c>
      <c r="R213" t="s">
        <v>108</v>
      </c>
    </row>
    <row r="214" spans="1:18" x14ac:dyDescent="0.5">
      <c r="A214" t="str">
        <f>"91282CHM6"</f>
        <v>91282CHM6</v>
      </c>
      <c r="B214" t="s">
        <v>101</v>
      </c>
      <c r="C214" t="s">
        <v>369</v>
      </c>
      <c r="D214" t="s">
        <v>103</v>
      </c>
      <c r="E214">
        <v>4.5</v>
      </c>
      <c r="F214" s="2">
        <v>46218</v>
      </c>
      <c r="G214" t="s">
        <v>101</v>
      </c>
      <c r="H214" t="s">
        <v>104</v>
      </c>
      <c r="I214" t="s">
        <v>105</v>
      </c>
      <c r="J214">
        <v>100.304</v>
      </c>
      <c r="K214">
        <v>100.333</v>
      </c>
      <c r="L214">
        <v>4.2720000000000002</v>
      </c>
      <c r="M214">
        <v>4.2510000000000003</v>
      </c>
      <c r="N214">
        <v>4.2510000000000003</v>
      </c>
      <c r="O214" t="s">
        <v>101</v>
      </c>
      <c r="P214" t="s">
        <v>140</v>
      </c>
      <c r="Q214" t="s">
        <v>140</v>
      </c>
      <c r="R214" t="s">
        <v>108</v>
      </c>
    </row>
    <row r="215" spans="1:18" x14ac:dyDescent="0.5">
      <c r="A215" t="str">
        <f>"912828YD6"</f>
        <v>912828YD6</v>
      </c>
      <c r="B215" t="s">
        <v>101</v>
      </c>
      <c r="C215" t="s">
        <v>370</v>
      </c>
      <c r="D215" t="s">
        <v>103</v>
      </c>
      <c r="E215">
        <v>1.375</v>
      </c>
      <c r="F215" s="2">
        <v>46265</v>
      </c>
      <c r="G215" t="s">
        <v>101</v>
      </c>
      <c r="H215" t="s">
        <v>105</v>
      </c>
      <c r="I215" t="s">
        <v>105</v>
      </c>
      <c r="J215">
        <v>95.747</v>
      </c>
      <c r="K215">
        <v>95.787999999999997</v>
      </c>
      <c r="L215">
        <v>4.28</v>
      </c>
      <c r="M215">
        <v>4.2510000000000003</v>
      </c>
      <c r="N215">
        <v>4.2510000000000003</v>
      </c>
      <c r="O215" t="s">
        <v>101</v>
      </c>
      <c r="P215" t="s">
        <v>228</v>
      </c>
      <c r="Q215" t="s">
        <v>228</v>
      </c>
      <c r="R215" t="s">
        <v>108</v>
      </c>
    </row>
    <row r="216" spans="1:18" x14ac:dyDescent="0.5">
      <c r="A216" t="str">
        <f>"91282CKA8"</f>
        <v>91282CKA8</v>
      </c>
      <c r="B216" t="s">
        <v>101</v>
      </c>
      <c r="C216" t="s">
        <v>371</v>
      </c>
      <c r="D216" t="s">
        <v>103</v>
      </c>
      <c r="E216">
        <v>4.125</v>
      </c>
      <c r="F216" s="2">
        <v>46433</v>
      </c>
      <c r="G216" t="s">
        <v>101</v>
      </c>
      <c r="H216" t="s">
        <v>104</v>
      </c>
      <c r="I216" t="s">
        <v>105</v>
      </c>
      <c r="J216">
        <v>99.718999999999994</v>
      </c>
      <c r="K216">
        <v>99.760999999999996</v>
      </c>
      <c r="L216">
        <v>4.2729999999999997</v>
      </c>
      <c r="M216">
        <v>4.2510000000000003</v>
      </c>
      <c r="N216">
        <v>4.2510000000000003</v>
      </c>
      <c r="O216" t="s">
        <v>101</v>
      </c>
      <c r="P216" t="s">
        <v>228</v>
      </c>
      <c r="Q216" t="s">
        <v>228</v>
      </c>
      <c r="R216" t="s">
        <v>108</v>
      </c>
    </row>
    <row r="217" spans="1:18" x14ac:dyDescent="0.5">
      <c r="A217" t="str">
        <f>"91282CFM8"</f>
        <v>91282CFM8</v>
      </c>
      <c r="B217" t="s">
        <v>101</v>
      </c>
      <c r="C217" t="s">
        <v>372</v>
      </c>
      <c r="D217" t="s">
        <v>103</v>
      </c>
      <c r="E217">
        <v>4.125</v>
      </c>
      <c r="F217" s="2">
        <v>46660</v>
      </c>
      <c r="G217" t="s">
        <v>101</v>
      </c>
      <c r="H217" t="s">
        <v>104</v>
      </c>
      <c r="I217" t="s">
        <v>105</v>
      </c>
      <c r="J217">
        <v>99.64</v>
      </c>
      <c r="K217">
        <v>99.688000000000002</v>
      </c>
      <c r="L217">
        <v>4.2699999999999996</v>
      </c>
      <c r="M217">
        <v>4.2510000000000003</v>
      </c>
      <c r="N217">
        <v>4.2510000000000003</v>
      </c>
      <c r="O217" t="s">
        <v>101</v>
      </c>
      <c r="P217" t="s">
        <v>142</v>
      </c>
      <c r="Q217" t="s">
        <v>228</v>
      </c>
      <c r="R217" t="s">
        <v>108</v>
      </c>
    </row>
    <row r="218" spans="1:18" x14ac:dyDescent="0.5">
      <c r="A218" t="str">
        <f>"9128285T3"</f>
        <v>9128285T3</v>
      </c>
      <c r="B218" t="s">
        <v>101</v>
      </c>
      <c r="C218" t="s">
        <v>373</v>
      </c>
      <c r="D218" t="s">
        <v>103</v>
      </c>
      <c r="E218">
        <v>2.625</v>
      </c>
      <c r="F218" s="2">
        <v>46022</v>
      </c>
      <c r="G218" t="s">
        <v>101</v>
      </c>
      <c r="H218" t="s">
        <v>104</v>
      </c>
      <c r="I218" t="s">
        <v>105</v>
      </c>
      <c r="J218">
        <v>98.599000000000004</v>
      </c>
      <c r="K218">
        <v>98.632000000000005</v>
      </c>
      <c r="L218">
        <v>4.2889999999999997</v>
      </c>
      <c r="M218">
        <v>4.25</v>
      </c>
      <c r="N218">
        <v>4.25</v>
      </c>
      <c r="O218" t="s">
        <v>101</v>
      </c>
      <c r="P218" t="s">
        <v>218</v>
      </c>
      <c r="Q218" t="s">
        <v>218</v>
      </c>
      <c r="R218" t="s">
        <v>108</v>
      </c>
    </row>
    <row r="219" spans="1:18" x14ac:dyDescent="0.5">
      <c r="A219" t="str">
        <f>"9128287B0"</f>
        <v>9128287B0</v>
      </c>
      <c r="B219" t="s">
        <v>101</v>
      </c>
      <c r="C219" t="s">
        <v>374</v>
      </c>
      <c r="D219" t="s">
        <v>103</v>
      </c>
      <c r="E219">
        <v>1.875</v>
      </c>
      <c r="F219" s="2">
        <v>46203</v>
      </c>
      <c r="G219" t="s">
        <v>101</v>
      </c>
      <c r="H219" t="s">
        <v>104</v>
      </c>
      <c r="I219" t="s">
        <v>105</v>
      </c>
      <c r="J219">
        <v>96.843000000000004</v>
      </c>
      <c r="K219">
        <v>96.881</v>
      </c>
      <c r="L219">
        <v>4.28</v>
      </c>
      <c r="M219">
        <v>4.25</v>
      </c>
      <c r="N219">
        <v>4.25</v>
      </c>
      <c r="O219" t="s">
        <v>101</v>
      </c>
      <c r="P219" t="s">
        <v>218</v>
      </c>
      <c r="Q219" t="s">
        <v>218</v>
      </c>
      <c r="R219" t="s">
        <v>108</v>
      </c>
    </row>
    <row r="220" spans="1:18" x14ac:dyDescent="0.5">
      <c r="A220" t="str">
        <f>"912828YU8"</f>
        <v>912828YU8</v>
      </c>
      <c r="B220" t="s">
        <v>101</v>
      </c>
      <c r="C220" t="s">
        <v>375</v>
      </c>
      <c r="D220" t="s">
        <v>103</v>
      </c>
      <c r="E220">
        <v>1.625</v>
      </c>
      <c r="F220" s="2">
        <v>46356</v>
      </c>
      <c r="G220" t="s">
        <v>101</v>
      </c>
      <c r="H220" t="s">
        <v>104</v>
      </c>
      <c r="I220" t="s">
        <v>105</v>
      </c>
      <c r="J220">
        <v>95.501999999999995</v>
      </c>
      <c r="K220">
        <v>95.546000000000006</v>
      </c>
      <c r="L220">
        <v>4.274</v>
      </c>
      <c r="M220">
        <v>4.2480000000000002</v>
      </c>
      <c r="N220">
        <v>4.2480000000000002</v>
      </c>
      <c r="O220" t="s">
        <v>101</v>
      </c>
      <c r="P220" t="s">
        <v>228</v>
      </c>
      <c r="Q220" t="s">
        <v>228</v>
      </c>
      <c r="R220" t="s">
        <v>108</v>
      </c>
    </row>
    <row r="221" spans="1:18" x14ac:dyDescent="0.5">
      <c r="A221" t="str">
        <f>"91282CGA3"</f>
        <v>91282CGA3</v>
      </c>
      <c r="B221" t="s">
        <v>101</v>
      </c>
      <c r="C221" t="s">
        <v>376</v>
      </c>
      <c r="D221" t="s">
        <v>103</v>
      </c>
      <c r="E221">
        <v>4</v>
      </c>
      <c r="F221" s="2">
        <v>46006</v>
      </c>
      <c r="G221" t="s">
        <v>101</v>
      </c>
      <c r="H221" t="s">
        <v>104</v>
      </c>
      <c r="I221" t="s">
        <v>105</v>
      </c>
      <c r="J221">
        <v>99.777000000000001</v>
      </c>
      <c r="K221">
        <v>99.8</v>
      </c>
      <c r="L221">
        <v>4.2729999999999997</v>
      </c>
      <c r="M221">
        <v>4.2450000000000001</v>
      </c>
      <c r="N221">
        <v>4.2450000000000001</v>
      </c>
      <c r="O221" t="s">
        <v>101</v>
      </c>
      <c r="P221" t="s">
        <v>252</v>
      </c>
      <c r="Q221" t="s">
        <v>218</v>
      </c>
      <c r="R221" t="s">
        <v>108</v>
      </c>
    </row>
    <row r="222" spans="1:18" x14ac:dyDescent="0.5">
      <c r="A222" t="str">
        <f>"9128284R8"</f>
        <v>9128284R8</v>
      </c>
      <c r="B222" t="s">
        <v>101</v>
      </c>
      <c r="C222" t="s">
        <v>377</v>
      </c>
      <c r="D222" t="s">
        <v>103</v>
      </c>
      <c r="E222">
        <v>2.875</v>
      </c>
      <c r="F222" s="2">
        <v>45808</v>
      </c>
      <c r="G222" t="s">
        <v>101</v>
      </c>
      <c r="H222" t="s">
        <v>104</v>
      </c>
      <c r="I222" t="s">
        <v>105</v>
      </c>
      <c r="J222">
        <v>99.578000000000003</v>
      </c>
      <c r="K222">
        <v>99.614000000000004</v>
      </c>
      <c r="L222">
        <v>4.3710000000000004</v>
      </c>
      <c r="M222">
        <v>4.2439999999999998</v>
      </c>
      <c r="N222">
        <v>4.2439999999999998</v>
      </c>
      <c r="O222" t="s">
        <v>101</v>
      </c>
      <c r="P222" t="s">
        <v>171</v>
      </c>
      <c r="Q222" t="s">
        <v>171</v>
      </c>
      <c r="R222" t="s">
        <v>108</v>
      </c>
    </row>
    <row r="223" spans="1:18" x14ac:dyDescent="0.5">
      <c r="A223" t="str">
        <f>"9128282A7"</f>
        <v>9128282A7</v>
      </c>
      <c r="B223" t="s">
        <v>101</v>
      </c>
      <c r="C223" t="s">
        <v>378</v>
      </c>
      <c r="D223" t="s">
        <v>103</v>
      </c>
      <c r="E223">
        <v>1.5</v>
      </c>
      <c r="F223" s="2">
        <v>46249</v>
      </c>
      <c r="G223" t="s">
        <v>101</v>
      </c>
      <c r="H223" t="s">
        <v>104</v>
      </c>
      <c r="I223" t="s">
        <v>105</v>
      </c>
      <c r="J223">
        <v>96.031999999999996</v>
      </c>
      <c r="K223">
        <v>96.073999999999998</v>
      </c>
      <c r="L223">
        <v>4.274</v>
      </c>
      <c r="M223">
        <v>4.2439999999999998</v>
      </c>
      <c r="N223">
        <v>4.2439999999999998</v>
      </c>
      <c r="O223" t="s">
        <v>101</v>
      </c>
      <c r="P223" t="s">
        <v>228</v>
      </c>
      <c r="Q223" t="s">
        <v>228</v>
      </c>
      <c r="R223" t="s">
        <v>108</v>
      </c>
    </row>
    <row r="224" spans="1:18" x14ac:dyDescent="0.5">
      <c r="A224" t="str">
        <f>"91282CEF4"</f>
        <v>91282CEF4</v>
      </c>
      <c r="B224" t="s">
        <v>101</v>
      </c>
      <c r="C224" t="s">
        <v>379</v>
      </c>
      <c r="D224" t="s">
        <v>103</v>
      </c>
      <c r="E224">
        <v>2.5</v>
      </c>
      <c r="F224" s="2">
        <v>46477</v>
      </c>
      <c r="G224" t="s">
        <v>101</v>
      </c>
      <c r="H224" t="s">
        <v>104</v>
      </c>
      <c r="I224" t="s">
        <v>105</v>
      </c>
      <c r="J224">
        <v>96.466999999999999</v>
      </c>
      <c r="K224">
        <v>96.509</v>
      </c>
      <c r="L224">
        <v>4.2649999999999997</v>
      </c>
      <c r="M224">
        <v>4.2439999999999998</v>
      </c>
      <c r="N224">
        <v>4.2439999999999998</v>
      </c>
      <c r="O224" t="s">
        <v>101</v>
      </c>
      <c r="P224" t="s">
        <v>228</v>
      </c>
      <c r="Q224" t="s">
        <v>228</v>
      </c>
      <c r="R224" t="s">
        <v>108</v>
      </c>
    </row>
    <row r="225" spans="1:18" x14ac:dyDescent="0.5">
      <c r="A225" t="str">
        <f>"912828Y95"</f>
        <v>912828Y95</v>
      </c>
      <c r="B225" t="s">
        <v>101</v>
      </c>
      <c r="C225" t="s">
        <v>380</v>
      </c>
      <c r="D225" t="s">
        <v>103</v>
      </c>
      <c r="E225">
        <v>1.875</v>
      </c>
      <c r="F225" s="2">
        <v>46234</v>
      </c>
      <c r="G225" t="s">
        <v>101</v>
      </c>
      <c r="H225" t="s">
        <v>104</v>
      </c>
      <c r="I225" t="s">
        <v>105</v>
      </c>
      <c r="J225">
        <v>96.662999999999997</v>
      </c>
      <c r="K225">
        <v>96.703999999999994</v>
      </c>
      <c r="L225">
        <v>4.2720000000000002</v>
      </c>
      <c r="M225">
        <v>4.2409999999999997</v>
      </c>
      <c r="N225">
        <v>4.2409999999999997</v>
      </c>
      <c r="O225" t="s">
        <v>101</v>
      </c>
      <c r="P225" t="s">
        <v>228</v>
      </c>
      <c r="Q225" t="s">
        <v>228</v>
      </c>
      <c r="R225" t="s">
        <v>108</v>
      </c>
    </row>
    <row r="226" spans="1:18" x14ac:dyDescent="0.5">
      <c r="A226" t="str">
        <f>"912828YG9"</f>
        <v>912828YG9</v>
      </c>
      <c r="B226" t="s">
        <v>101</v>
      </c>
      <c r="C226" t="s">
        <v>381</v>
      </c>
      <c r="D226" t="s">
        <v>103</v>
      </c>
      <c r="E226">
        <v>1.625</v>
      </c>
      <c r="F226" s="2">
        <v>46295</v>
      </c>
      <c r="G226" t="s">
        <v>101</v>
      </c>
      <c r="H226" t="s">
        <v>104</v>
      </c>
      <c r="I226" t="s">
        <v>105</v>
      </c>
      <c r="J226">
        <v>95.936999999999998</v>
      </c>
      <c r="K226">
        <v>95.962000000000003</v>
      </c>
      <c r="L226">
        <v>4.2569999999999997</v>
      </c>
      <c r="M226">
        <v>4.2409999999999997</v>
      </c>
      <c r="N226">
        <v>4.2409999999999997</v>
      </c>
      <c r="O226" t="s">
        <v>101</v>
      </c>
      <c r="P226" t="s">
        <v>140</v>
      </c>
      <c r="Q226" t="s">
        <v>140</v>
      </c>
      <c r="R226" t="s">
        <v>108</v>
      </c>
    </row>
    <row r="227" spans="1:18" x14ac:dyDescent="0.5">
      <c r="A227" t="str">
        <f>"912828ZB9"</f>
        <v>912828ZB9</v>
      </c>
      <c r="B227" t="s">
        <v>101</v>
      </c>
      <c r="C227" t="s">
        <v>382</v>
      </c>
      <c r="D227" t="s">
        <v>103</v>
      </c>
      <c r="E227">
        <v>1.125</v>
      </c>
      <c r="F227" s="2">
        <v>46446</v>
      </c>
      <c r="G227" t="s">
        <v>101</v>
      </c>
      <c r="H227" t="s">
        <v>104</v>
      </c>
      <c r="I227" t="s">
        <v>105</v>
      </c>
      <c r="J227">
        <v>93.948999999999998</v>
      </c>
      <c r="K227">
        <v>94.007999999999996</v>
      </c>
      <c r="L227">
        <v>4.2720000000000002</v>
      </c>
      <c r="M227">
        <v>4.24</v>
      </c>
      <c r="N227">
        <v>4.24</v>
      </c>
      <c r="O227" t="s">
        <v>101</v>
      </c>
      <c r="P227" t="s">
        <v>140</v>
      </c>
      <c r="Q227" t="s">
        <v>140</v>
      </c>
      <c r="R227" t="s">
        <v>108</v>
      </c>
    </row>
    <row r="228" spans="1:18" x14ac:dyDescent="0.5">
      <c r="A228" t="str">
        <f>"912810FF0"</f>
        <v>912810FF0</v>
      </c>
      <c r="B228" t="s">
        <v>101</v>
      </c>
      <c r="C228" t="s">
        <v>383</v>
      </c>
      <c r="D228" t="s">
        <v>103</v>
      </c>
      <c r="E228">
        <v>5.25</v>
      </c>
      <c r="F228" s="2">
        <v>47072</v>
      </c>
      <c r="G228" t="s">
        <v>101</v>
      </c>
      <c r="H228" t="s">
        <v>104</v>
      </c>
      <c r="I228" t="s">
        <v>105</v>
      </c>
      <c r="J228">
        <v>103.093</v>
      </c>
      <c r="K228">
        <v>103.46</v>
      </c>
      <c r="L228">
        <v>4.3419999999999996</v>
      </c>
      <c r="M228">
        <v>4.2370000000000001</v>
      </c>
      <c r="N228">
        <v>4.2370000000000001</v>
      </c>
      <c r="O228" t="s">
        <v>101</v>
      </c>
      <c r="P228" t="s">
        <v>384</v>
      </c>
      <c r="Q228" t="s">
        <v>385</v>
      </c>
      <c r="R228" t="s">
        <v>108</v>
      </c>
    </row>
    <row r="229" spans="1:18" x14ac:dyDescent="0.5">
      <c r="A229" t="str">
        <f>"91282CEW7"</f>
        <v>91282CEW7</v>
      </c>
      <c r="B229" t="s">
        <v>101</v>
      </c>
      <c r="C229" t="s">
        <v>386</v>
      </c>
      <c r="D229" t="s">
        <v>103</v>
      </c>
      <c r="E229">
        <v>3.25</v>
      </c>
      <c r="F229" s="2">
        <v>46568</v>
      </c>
      <c r="G229" t="s">
        <v>101</v>
      </c>
      <c r="H229" t="s">
        <v>104</v>
      </c>
      <c r="I229" t="s">
        <v>105</v>
      </c>
      <c r="J229">
        <v>97.765000000000001</v>
      </c>
      <c r="K229">
        <v>97.801000000000002</v>
      </c>
      <c r="L229">
        <v>4.2519999999999998</v>
      </c>
      <c r="M229">
        <v>4.2350000000000003</v>
      </c>
      <c r="N229">
        <v>4.2350000000000003</v>
      </c>
      <c r="O229" t="s">
        <v>101</v>
      </c>
      <c r="P229" t="s">
        <v>142</v>
      </c>
      <c r="Q229" t="s">
        <v>142</v>
      </c>
      <c r="R229" t="s">
        <v>108</v>
      </c>
    </row>
    <row r="230" spans="1:18" x14ac:dyDescent="0.5">
      <c r="A230" t="str">
        <f>"91282CGE5"</f>
        <v>91282CGE5</v>
      </c>
      <c r="B230" t="s">
        <v>101</v>
      </c>
      <c r="C230" t="s">
        <v>387</v>
      </c>
      <c r="D230" t="s">
        <v>103</v>
      </c>
      <c r="E230">
        <v>3.875</v>
      </c>
      <c r="F230" s="2">
        <v>46037</v>
      </c>
      <c r="G230" t="s">
        <v>101</v>
      </c>
      <c r="H230" t="s">
        <v>104</v>
      </c>
      <c r="I230" t="s">
        <v>105</v>
      </c>
      <c r="J230">
        <v>99.656000000000006</v>
      </c>
      <c r="K230">
        <v>99.683000000000007</v>
      </c>
      <c r="L230">
        <v>4.2619999999999996</v>
      </c>
      <c r="M230">
        <v>4.2320000000000002</v>
      </c>
      <c r="N230">
        <v>4.2320000000000002</v>
      </c>
      <c r="O230" t="s">
        <v>101</v>
      </c>
      <c r="P230" t="s">
        <v>252</v>
      </c>
      <c r="Q230" t="s">
        <v>172</v>
      </c>
      <c r="R230" t="s">
        <v>108</v>
      </c>
    </row>
    <row r="231" spans="1:18" x14ac:dyDescent="0.5">
      <c r="A231" t="str">
        <f>"912828YX2"</f>
        <v>912828YX2</v>
      </c>
      <c r="B231" t="s">
        <v>101</v>
      </c>
      <c r="C231" t="s">
        <v>388</v>
      </c>
      <c r="D231" t="s">
        <v>103</v>
      </c>
      <c r="E231">
        <v>1.75</v>
      </c>
      <c r="F231" s="2">
        <v>46387</v>
      </c>
      <c r="G231" t="s">
        <v>101</v>
      </c>
      <c r="H231" t="s">
        <v>104</v>
      </c>
      <c r="I231" t="s">
        <v>105</v>
      </c>
      <c r="J231">
        <v>95.554000000000002</v>
      </c>
      <c r="K231">
        <v>95.596000000000004</v>
      </c>
      <c r="L231">
        <v>4.2539999999999996</v>
      </c>
      <c r="M231">
        <v>4.2300000000000004</v>
      </c>
      <c r="N231">
        <v>4.2300000000000004</v>
      </c>
      <c r="O231" t="s">
        <v>101</v>
      </c>
      <c r="P231" t="s">
        <v>228</v>
      </c>
      <c r="Q231" t="s">
        <v>228</v>
      </c>
      <c r="R231" t="s">
        <v>108</v>
      </c>
    </row>
    <row r="232" spans="1:18" x14ac:dyDescent="0.5">
      <c r="A232" t="str">
        <f>"912828XB1"</f>
        <v>912828XB1</v>
      </c>
      <c r="B232" t="s">
        <v>101</v>
      </c>
      <c r="C232" t="s">
        <v>389</v>
      </c>
      <c r="D232" t="s">
        <v>103</v>
      </c>
      <c r="E232">
        <v>2.125</v>
      </c>
      <c r="F232" s="2">
        <v>45792</v>
      </c>
      <c r="G232" t="s">
        <v>101</v>
      </c>
      <c r="H232" t="s">
        <v>104</v>
      </c>
      <c r="I232" t="s">
        <v>105</v>
      </c>
      <c r="J232">
        <v>99.475999999999999</v>
      </c>
      <c r="K232">
        <v>99.501000000000005</v>
      </c>
      <c r="L232">
        <v>4.327</v>
      </c>
      <c r="M232">
        <v>4.2270000000000003</v>
      </c>
      <c r="N232">
        <v>4.2270000000000003</v>
      </c>
      <c r="O232" t="s">
        <v>101</v>
      </c>
      <c r="P232" t="s">
        <v>171</v>
      </c>
      <c r="Q232" t="s">
        <v>171</v>
      </c>
      <c r="R232" t="s">
        <v>108</v>
      </c>
    </row>
    <row r="233" spans="1:18" x14ac:dyDescent="0.5">
      <c r="A233" t="str">
        <f>"912828ZL7"</f>
        <v>912828ZL7</v>
      </c>
      <c r="B233" t="s">
        <v>101</v>
      </c>
      <c r="C233" t="s">
        <v>390</v>
      </c>
      <c r="D233" t="s">
        <v>103</v>
      </c>
      <c r="E233">
        <v>0.375</v>
      </c>
      <c r="F233" s="2">
        <v>45777</v>
      </c>
      <c r="G233" t="s">
        <v>101</v>
      </c>
      <c r="H233" t="s">
        <v>104</v>
      </c>
      <c r="I233" t="s">
        <v>105</v>
      </c>
      <c r="J233">
        <v>99.225999999999999</v>
      </c>
      <c r="K233">
        <v>99.251000000000005</v>
      </c>
      <c r="L233">
        <v>4.3470000000000004</v>
      </c>
      <c r="M233">
        <v>4.2249999999999996</v>
      </c>
      <c r="N233">
        <v>4.2249999999999996</v>
      </c>
      <c r="O233" t="s">
        <v>101</v>
      </c>
      <c r="P233" t="s">
        <v>171</v>
      </c>
      <c r="Q233" t="s">
        <v>171</v>
      </c>
      <c r="R233" t="s">
        <v>108</v>
      </c>
    </row>
    <row r="234" spans="1:18" x14ac:dyDescent="0.5">
      <c r="A234" t="str">
        <f>"912828XZ8"</f>
        <v>912828XZ8</v>
      </c>
      <c r="B234" t="s">
        <v>101</v>
      </c>
      <c r="C234" t="s">
        <v>391</v>
      </c>
      <c r="D234" t="s">
        <v>103</v>
      </c>
      <c r="E234">
        <v>2.75</v>
      </c>
      <c r="F234" s="2">
        <v>45838</v>
      </c>
      <c r="G234" t="s">
        <v>101</v>
      </c>
      <c r="H234" t="s">
        <v>104</v>
      </c>
      <c r="I234" t="s">
        <v>105</v>
      </c>
      <c r="J234">
        <v>99.436999999999998</v>
      </c>
      <c r="K234">
        <v>99.465000000000003</v>
      </c>
      <c r="L234">
        <v>4.3</v>
      </c>
      <c r="M234">
        <v>4.2240000000000002</v>
      </c>
      <c r="N234">
        <v>4.2240000000000002</v>
      </c>
      <c r="O234" t="s">
        <v>101</v>
      </c>
      <c r="P234" t="s">
        <v>202</v>
      </c>
      <c r="Q234" t="s">
        <v>171</v>
      </c>
      <c r="R234" t="s">
        <v>108</v>
      </c>
    </row>
    <row r="235" spans="1:18" x14ac:dyDescent="0.5">
      <c r="A235" t="str">
        <f>"91282CEQ0"</f>
        <v>91282CEQ0</v>
      </c>
      <c r="B235" t="s">
        <v>101</v>
      </c>
      <c r="C235" t="s">
        <v>392</v>
      </c>
      <c r="D235" t="s">
        <v>103</v>
      </c>
      <c r="E235">
        <v>2.75</v>
      </c>
      <c r="F235" s="2">
        <v>45792</v>
      </c>
      <c r="G235" t="s">
        <v>101</v>
      </c>
      <c r="H235" t="s">
        <v>104</v>
      </c>
      <c r="I235" t="s">
        <v>105</v>
      </c>
      <c r="J235">
        <v>99.628</v>
      </c>
      <c r="K235">
        <v>99.649000000000001</v>
      </c>
      <c r="L235">
        <v>4.2969999999999997</v>
      </c>
      <c r="M235">
        <v>4.2140000000000004</v>
      </c>
      <c r="N235">
        <v>4.2140000000000004</v>
      </c>
      <c r="O235" t="s">
        <v>101</v>
      </c>
      <c r="P235" t="s">
        <v>171</v>
      </c>
      <c r="Q235" t="s">
        <v>171</v>
      </c>
      <c r="R235" t="s">
        <v>108</v>
      </c>
    </row>
    <row r="236" spans="1:18" x14ac:dyDescent="0.5">
      <c r="A236" t="str">
        <f>"91282CGX3"</f>
        <v>91282CGX3</v>
      </c>
      <c r="B236" t="s">
        <v>101</v>
      </c>
      <c r="C236" t="s">
        <v>393</v>
      </c>
      <c r="D236" t="s">
        <v>103</v>
      </c>
      <c r="E236">
        <v>3.875</v>
      </c>
      <c r="F236" s="2">
        <v>45777</v>
      </c>
      <c r="G236" t="s">
        <v>101</v>
      </c>
      <c r="H236" t="s">
        <v>104</v>
      </c>
      <c r="I236" t="s">
        <v>105</v>
      </c>
      <c r="J236">
        <v>99.906000000000006</v>
      </c>
      <c r="K236">
        <v>99.926000000000002</v>
      </c>
      <c r="L236">
        <v>4.306</v>
      </c>
      <c r="M236">
        <v>4.2060000000000004</v>
      </c>
      <c r="N236">
        <v>4.2060000000000004</v>
      </c>
      <c r="O236" t="s">
        <v>101</v>
      </c>
      <c r="P236" t="s">
        <v>171</v>
      </c>
      <c r="Q236" t="s">
        <v>171</v>
      </c>
      <c r="R236" t="s">
        <v>108</v>
      </c>
    </row>
    <row r="237" spans="1:18" x14ac:dyDescent="0.5">
      <c r="A237" t="str">
        <f>"912828ZW3"</f>
        <v>912828ZW3</v>
      </c>
      <c r="B237" t="s">
        <v>101</v>
      </c>
      <c r="C237" t="s">
        <v>394</v>
      </c>
      <c r="D237" t="s">
        <v>103</v>
      </c>
      <c r="E237">
        <v>0.25</v>
      </c>
      <c r="F237" s="2">
        <v>45838</v>
      </c>
      <c r="G237" t="s">
        <v>101</v>
      </c>
      <c r="H237" t="s">
        <v>104</v>
      </c>
      <c r="I237" t="s">
        <v>182</v>
      </c>
      <c r="J237">
        <v>98.554000000000002</v>
      </c>
      <c r="K237">
        <v>98.582999999999998</v>
      </c>
      <c r="L237">
        <v>4.274</v>
      </c>
      <c r="M237">
        <v>4.1959999999999997</v>
      </c>
      <c r="N237">
        <v>4.1959999999999997</v>
      </c>
      <c r="O237" t="s">
        <v>101</v>
      </c>
      <c r="P237" t="s">
        <v>171</v>
      </c>
      <c r="Q237" t="s">
        <v>171</v>
      </c>
      <c r="R237" t="s">
        <v>108</v>
      </c>
    </row>
    <row r="238" spans="1:18" x14ac:dyDescent="0.5">
      <c r="A238" t="str">
        <f>"9128284M9"</f>
        <v>9128284M9</v>
      </c>
      <c r="B238" t="s">
        <v>101</v>
      </c>
      <c r="C238" t="s">
        <v>395</v>
      </c>
      <c r="D238" t="s">
        <v>103</v>
      </c>
      <c r="E238">
        <v>2.875</v>
      </c>
      <c r="F238" s="2">
        <v>45777</v>
      </c>
      <c r="G238" t="s">
        <v>101</v>
      </c>
      <c r="H238" t="s">
        <v>104</v>
      </c>
      <c r="I238" t="s">
        <v>105</v>
      </c>
      <c r="J238">
        <v>99.713999999999999</v>
      </c>
      <c r="K238">
        <v>99.739000000000004</v>
      </c>
      <c r="L238">
        <v>4.3040000000000003</v>
      </c>
      <c r="M238">
        <v>4.1829999999999998</v>
      </c>
      <c r="N238">
        <v>4.1829999999999998</v>
      </c>
      <c r="O238" t="s">
        <v>101</v>
      </c>
      <c r="P238" t="s">
        <v>171</v>
      </c>
      <c r="Q238" t="s">
        <v>171</v>
      </c>
      <c r="R238" t="s">
        <v>108</v>
      </c>
    </row>
    <row r="239" spans="1:18" x14ac:dyDescent="0.5">
      <c r="A239" t="str">
        <f>"912810FG8"</f>
        <v>912810FG8</v>
      </c>
      <c r="B239" t="s">
        <v>101</v>
      </c>
      <c r="C239" t="s">
        <v>396</v>
      </c>
      <c r="D239" t="s">
        <v>103</v>
      </c>
      <c r="E239">
        <v>5.25</v>
      </c>
      <c r="F239" s="2">
        <v>47164</v>
      </c>
      <c r="G239" t="s">
        <v>101</v>
      </c>
      <c r="H239" t="s">
        <v>104</v>
      </c>
      <c r="I239" t="s">
        <v>105</v>
      </c>
      <c r="J239">
        <v>103.59399999999999</v>
      </c>
      <c r="K239">
        <v>103.968</v>
      </c>
      <c r="L239">
        <v>4.2610000000000001</v>
      </c>
      <c r="M239">
        <v>4.16</v>
      </c>
      <c r="N239">
        <v>4.16</v>
      </c>
      <c r="O239" t="s">
        <v>101</v>
      </c>
      <c r="P239" t="s">
        <v>397</v>
      </c>
      <c r="Q239" t="s">
        <v>198</v>
      </c>
      <c r="R239" t="s">
        <v>108</v>
      </c>
    </row>
    <row r="240" spans="1:18" x14ac:dyDescent="0.5">
      <c r="A240" t="str">
        <f>"912810FE3"</f>
        <v>912810FE3</v>
      </c>
      <c r="B240" t="s">
        <v>101</v>
      </c>
      <c r="C240" t="s">
        <v>398</v>
      </c>
      <c r="D240" t="s">
        <v>103</v>
      </c>
      <c r="E240">
        <v>5.5</v>
      </c>
      <c r="F240" s="2">
        <v>46980</v>
      </c>
      <c r="G240" t="s">
        <v>101</v>
      </c>
      <c r="H240" t="s">
        <v>104</v>
      </c>
      <c r="I240" t="s">
        <v>105</v>
      </c>
      <c r="J240">
        <v>103.92100000000001</v>
      </c>
      <c r="K240">
        <v>104.398</v>
      </c>
      <c r="L240">
        <v>4.2789999999999999</v>
      </c>
      <c r="M240">
        <v>4.1340000000000003</v>
      </c>
      <c r="N240">
        <v>4.1340000000000003</v>
      </c>
      <c r="O240" t="s">
        <v>101</v>
      </c>
      <c r="P240" t="s">
        <v>399</v>
      </c>
      <c r="Q240" t="s">
        <v>385</v>
      </c>
      <c r="R240" t="s">
        <v>108</v>
      </c>
    </row>
    <row r="241" spans="1:18" x14ac:dyDescent="0.5">
      <c r="A241" t="str">
        <f>"912810FB9"</f>
        <v>912810FB9</v>
      </c>
      <c r="B241" t="s">
        <v>101</v>
      </c>
      <c r="C241" t="s">
        <v>400</v>
      </c>
      <c r="D241" t="s">
        <v>103</v>
      </c>
      <c r="E241">
        <v>6.125</v>
      </c>
      <c r="F241" s="2">
        <v>46706</v>
      </c>
      <c r="G241" t="s">
        <v>101</v>
      </c>
      <c r="H241" t="s">
        <v>104</v>
      </c>
      <c r="I241" t="s">
        <v>105</v>
      </c>
      <c r="J241">
        <v>104.78100000000001</v>
      </c>
      <c r="K241">
        <v>105.102</v>
      </c>
      <c r="L241">
        <v>4.2530000000000001</v>
      </c>
      <c r="M241">
        <v>4.1310000000000002</v>
      </c>
      <c r="N241">
        <v>4.1310000000000002</v>
      </c>
      <c r="O241" t="s">
        <v>101</v>
      </c>
      <c r="P241" t="s">
        <v>401</v>
      </c>
      <c r="Q241" t="s">
        <v>226</v>
      </c>
      <c r="R241" t="s">
        <v>108</v>
      </c>
    </row>
    <row r="242" spans="1:18" x14ac:dyDescent="0.5">
      <c r="A242" t="str">
        <f>"912810FA1"</f>
        <v>912810FA1</v>
      </c>
      <c r="B242" t="s">
        <v>101</v>
      </c>
      <c r="C242" t="s">
        <v>402</v>
      </c>
      <c r="D242" t="s">
        <v>103</v>
      </c>
      <c r="E242">
        <v>6.375</v>
      </c>
      <c r="F242" s="2">
        <v>46614</v>
      </c>
      <c r="G242" t="s">
        <v>101</v>
      </c>
      <c r="H242" t="s">
        <v>104</v>
      </c>
      <c r="I242" t="s">
        <v>105</v>
      </c>
      <c r="J242">
        <v>104.86499999999999</v>
      </c>
      <c r="K242">
        <v>105.282</v>
      </c>
      <c r="L242">
        <v>4.2949999999999999</v>
      </c>
      <c r="M242">
        <v>4.1219999999999999</v>
      </c>
      <c r="N242">
        <v>4.1219999999999999</v>
      </c>
      <c r="O242" t="s">
        <v>101</v>
      </c>
      <c r="P242" t="s">
        <v>403</v>
      </c>
      <c r="Q242" t="s">
        <v>325</v>
      </c>
      <c r="R242" t="s">
        <v>108</v>
      </c>
    </row>
    <row r="243" spans="1:18" x14ac:dyDescent="0.5">
      <c r="A243" t="str">
        <f>"91282CEH0"</f>
        <v>91282CEH0</v>
      </c>
      <c r="B243" t="s">
        <v>101</v>
      </c>
      <c r="C243" t="s">
        <v>404</v>
      </c>
      <c r="D243" t="s">
        <v>103</v>
      </c>
      <c r="E243">
        <v>2.625</v>
      </c>
      <c r="F243" s="2">
        <v>45762</v>
      </c>
      <c r="G243" t="s">
        <v>101</v>
      </c>
      <c r="H243" t="s">
        <v>104</v>
      </c>
      <c r="I243" t="s">
        <v>105</v>
      </c>
      <c r="J243">
        <v>99.738</v>
      </c>
      <c r="K243">
        <v>99.766999999999996</v>
      </c>
      <c r="L243">
        <v>4.298</v>
      </c>
      <c r="M243">
        <v>4.117</v>
      </c>
      <c r="N243">
        <v>4.117</v>
      </c>
      <c r="O243" t="s">
        <v>101</v>
      </c>
      <c r="P243" t="s">
        <v>171</v>
      </c>
      <c r="Q243" t="s">
        <v>202</v>
      </c>
      <c r="R243" t="s">
        <v>108</v>
      </c>
    </row>
    <row r="244" spans="1:18" x14ac:dyDescent="0.5">
      <c r="A244" t="str">
        <f>"91282CGN5"</f>
        <v>91282CGN5</v>
      </c>
      <c r="B244" t="s">
        <v>101</v>
      </c>
      <c r="C244" t="s">
        <v>405</v>
      </c>
      <c r="D244" t="s">
        <v>103</v>
      </c>
      <c r="E244">
        <v>4.625</v>
      </c>
      <c r="F244" s="2">
        <v>45716</v>
      </c>
      <c r="G244" t="s">
        <v>101</v>
      </c>
      <c r="H244" t="s">
        <v>104</v>
      </c>
      <c r="I244" t="s">
        <v>105</v>
      </c>
      <c r="J244">
        <v>99.988</v>
      </c>
      <c r="K244">
        <v>100.012</v>
      </c>
      <c r="L244">
        <v>4.92</v>
      </c>
      <c r="M244">
        <v>4.1100000000000003</v>
      </c>
      <c r="N244">
        <v>4.1100000000000003</v>
      </c>
      <c r="O244" t="s">
        <v>101</v>
      </c>
      <c r="P244" t="s">
        <v>172</v>
      </c>
      <c r="Q244" t="s">
        <v>171</v>
      </c>
      <c r="R244" t="s">
        <v>108</v>
      </c>
    </row>
    <row r="245" spans="1:18" x14ac:dyDescent="0.5">
      <c r="A245" t="str">
        <f>"9128284F4"</f>
        <v>9128284F4</v>
      </c>
      <c r="B245" t="s">
        <v>101</v>
      </c>
      <c r="C245" t="s">
        <v>406</v>
      </c>
      <c r="D245" t="s">
        <v>103</v>
      </c>
      <c r="E245">
        <v>2.625</v>
      </c>
      <c r="F245" s="2">
        <v>45747</v>
      </c>
      <c r="G245" t="s">
        <v>101</v>
      </c>
      <c r="H245" t="s">
        <v>104</v>
      </c>
      <c r="I245" t="s">
        <v>105</v>
      </c>
      <c r="J245">
        <v>99.816000000000003</v>
      </c>
      <c r="K245">
        <v>99.832999999999998</v>
      </c>
      <c r="L245">
        <v>4.22</v>
      </c>
      <c r="M245">
        <v>4.0810000000000004</v>
      </c>
      <c r="N245">
        <v>4.0810000000000004</v>
      </c>
      <c r="O245" t="s">
        <v>101</v>
      </c>
      <c r="P245" t="s">
        <v>171</v>
      </c>
      <c r="Q245" t="s">
        <v>171</v>
      </c>
      <c r="R245" t="s">
        <v>108</v>
      </c>
    </row>
    <row r="246" spans="1:18" x14ac:dyDescent="0.5">
      <c r="A246" t="str">
        <f>"912828ZF0"</f>
        <v>912828ZF0</v>
      </c>
      <c r="B246" t="s">
        <v>101</v>
      </c>
      <c r="C246" t="s">
        <v>407</v>
      </c>
      <c r="D246" t="s">
        <v>103</v>
      </c>
      <c r="E246">
        <v>0.5</v>
      </c>
      <c r="F246" s="2">
        <v>45747</v>
      </c>
      <c r="G246" t="s">
        <v>101</v>
      </c>
      <c r="H246" t="s">
        <v>104</v>
      </c>
      <c r="I246" t="s">
        <v>182</v>
      </c>
      <c r="J246">
        <v>99.573999999999998</v>
      </c>
      <c r="K246">
        <v>99.597999999999999</v>
      </c>
      <c r="L246">
        <v>4.29</v>
      </c>
      <c r="M246">
        <v>4.08</v>
      </c>
      <c r="N246">
        <v>4.08</v>
      </c>
      <c r="O246" t="s">
        <v>101</v>
      </c>
      <c r="P246" t="s">
        <v>171</v>
      </c>
      <c r="Q246" t="s">
        <v>171</v>
      </c>
      <c r="R246" t="s">
        <v>108</v>
      </c>
    </row>
    <row r="247" spans="1:18" x14ac:dyDescent="0.5">
      <c r="A247" t="str">
        <f>"91282CGU9"</f>
        <v>91282CGU9</v>
      </c>
      <c r="B247" t="s">
        <v>101</v>
      </c>
      <c r="C247" t="s">
        <v>408</v>
      </c>
      <c r="D247" t="s">
        <v>103</v>
      </c>
      <c r="E247">
        <v>3.875</v>
      </c>
      <c r="F247" s="2">
        <v>45747</v>
      </c>
      <c r="G247" t="s">
        <v>101</v>
      </c>
      <c r="H247" t="s">
        <v>104</v>
      </c>
      <c r="I247" t="s">
        <v>105</v>
      </c>
      <c r="J247">
        <v>99.941000000000003</v>
      </c>
      <c r="K247">
        <v>99.972999999999999</v>
      </c>
      <c r="L247">
        <v>4.3330000000000002</v>
      </c>
      <c r="M247">
        <v>4.0570000000000004</v>
      </c>
      <c r="N247">
        <v>4.0570000000000004</v>
      </c>
      <c r="O247" t="s">
        <v>101</v>
      </c>
      <c r="P247" t="s">
        <v>171</v>
      </c>
      <c r="Q247" t="s">
        <v>171</v>
      </c>
      <c r="R247" t="s">
        <v>108</v>
      </c>
    </row>
    <row r="248" spans="1:18" x14ac:dyDescent="0.5">
      <c r="A248" t="str">
        <f>"912810EX2"</f>
        <v>912810EX2</v>
      </c>
      <c r="B248" t="s">
        <v>101</v>
      </c>
      <c r="C248" t="s">
        <v>409</v>
      </c>
      <c r="D248" t="s">
        <v>103</v>
      </c>
      <c r="E248">
        <v>6.75</v>
      </c>
      <c r="F248" s="2">
        <v>46249</v>
      </c>
      <c r="G248" t="s">
        <v>101</v>
      </c>
      <c r="H248" t="s">
        <v>104</v>
      </c>
      <c r="I248" t="s">
        <v>105</v>
      </c>
      <c r="J248">
        <v>103.42100000000001</v>
      </c>
      <c r="K248">
        <v>103.911</v>
      </c>
      <c r="L248">
        <v>4.3550000000000004</v>
      </c>
      <c r="M248">
        <v>4.0220000000000002</v>
      </c>
      <c r="N248">
        <v>4.0220000000000002</v>
      </c>
      <c r="O248" t="s">
        <v>101</v>
      </c>
      <c r="P248" t="s">
        <v>410</v>
      </c>
      <c r="Q248" t="s">
        <v>411</v>
      </c>
      <c r="R248" t="s">
        <v>108</v>
      </c>
    </row>
    <row r="249" spans="1:18" x14ac:dyDescent="0.5">
      <c r="A249" t="str">
        <f>"91282CML2"</f>
        <v>91282CML2</v>
      </c>
      <c r="B249" t="s">
        <v>101</v>
      </c>
      <c r="C249" t="s">
        <v>412</v>
      </c>
      <c r="D249" t="s">
        <v>413</v>
      </c>
      <c r="E249">
        <v>2.125</v>
      </c>
      <c r="F249" s="2">
        <v>49324</v>
      </c>
      <c r="G249" t="s">
        <v>101</v>
      </c>
      <c r="H249" t="s">
        <v>104</v>
      </c>
      <c r="I249" t="s">
        <v>105</v>
      </c>
      <c r="J249">
        <v>100.73399999999999</v>
      </c>
      <c r="K249">
        <v>100.85899999999999</v>
      </c>
      <c r="L249">
        <v>2.0430000000000001</v>
      </c>
      <c r="M249">
        <v>2.028</v>
      </c>
      <c r="N249">
        <v>2.028</v>
      </c>
      <c r="O249">
        <v>0.99992000000000003</v>
      </c>
      <c r="P249" t="s">
        <v>101</v>
      </c>
      <c r="Q249" t="s">
        <v>101</v>
      </c>
      <c r="R249" t="s">
        <v>108</v>
      </c>
    </row>
    <row r="250" spans="1:18" x14ac:dyDescent="0.5">
      <c r="A250" t="str">
        <f>"91282CJY8"</f>
        <v>91282CJY8</v>
      </c>
      <c r="B250" t="s">
        <v>101</v>
      </c>
      <c r="C250" t="s">
        <v>414</v>
      </c>
      <c r="D250" t="s">
        <v>413</v>
      </c>
      <c r="E250">
        <v>1.75</v>
      </c>
      <c r="F250" s="2">
        <v>48959</v>
      </c>
      <c r="G250" t="s">
        <v>101</v>
      </c>
      <c r="H250" t="s">
        <v>104</v>
      </c>
      <c r="I250" t="s">
        <v>105</v>
      </c>
      <c r="J250">
        <v>97.89</v>
      </c>
      <c r="K250">
        <v>98.015000000000001</v>
      </c>
      <c r="L250">
        <v>2.0099999999999998</v>
      </c>
      <c r="M250">
        <v>1.994</v>
      </c>
      <c r="N250">
        <v>1.994</v>
      </c>
      <c r="O250">
        <v>1.02658</v>
      </c>
      <c r="P250" t="s">
        <v>101</v>
      </c>
      <c r="Q250" t="s">
        <v>101</v>
      </c>
      <c r="R250" t="s">
        <v>108</v>
      </c>
    </row>
    <row r="251" spans="1:18" x14ac:dyDescent="0.5">
      <c r="A251" t="str">
        <f>"91282CLE9"</f>
        <v>91282CLE9</v>
      </c>
      <c r="B251" t="s">
        <v>101</v>
      </c>
      <c r="C251" t="s">
        <v>415</v>
      </c>
      <c r="D251" t="s">
        <v>413</v>
      </c>
      <c r="E251">
        <v>1.875</v>
      </c>
      <c r="F251" s="2">
        <v>49140</v>
      </c>
      <c r="G251" t="s">
        <v>101</v>
      </c>
      <c r="H251" t="s">
        <v>105</v>
      </c>
      <c r="I251" t="s">
        <v>105</v>
      </c>
      <c r="J251">
        <v>99.054000000000002</v>
      </c>
      <c r="K251">
        <v>99.171000000000006</v>
      </c>
      <c r="L251">
        <v>1.986</v>
      </c>
      <c r="M251">
        <v>1.9710000000000001</v>
      </c>
      <c r="N251">
        <v>1.9710000000000001</v>
      </c>
      <c r="O251">
        <v>1.0056700000000001</v>
      </c>
      <c r="P251" t="s">
        <v>101</v>
      </c>
      <c r="Q251" t="s">
        <v>101</v>
      </c>
      <c r="R251" t="s">
        <v>108</v>
      </c>
    </row>
    <row r="252" spans="1:18" x14ac:dyDescent="0.5">
      <c r="A252" t="str">
        <f>"91282CGK1"</f>
        <v>91282CGK1</v>
      </c>
      <c r="B252" t="s">
        <v>101</v>
      </c>
      <c r="C252" t="s">
        <v>416</v>
      </c>
      <c r="D252" t="s">
        <v>413</v>
      </c>
      <c r="E252">
        <v>1.125</v>
      </c>
      <c r="F252" s="2">
        <v>48594</v>
      </c>
      <c r="G252" t="s">
        <v>101</v>
      </c>
      <c r="H252" t="s">
        <v>104</v>
      </c>
      <c r="I252" t="s">
        <v>105</v>
      </c>
      <c r="J252">
        <v>93.921000000000006</v>
      </c>
      <c r="K252">
        <v>94.054000000000002</v>
      </c>
      <c r="L252">
        <v>1.9590000000000001</v>
      </c>
      <c r="M252">
        <v>1.9390000000000001</v>
      </c>
      <c r="N252">
        <v>1.9390000000000001</v>
      </c>
      <c r="O252">
        <v>1.0593699999999999</v>
      </c>
      <c r="P252" t="s">
        <v>101</v>
      </c>
      <c r="Q252" t="s">
        <v>101</v>
      </c>
      <c r="R252" t="s">
        <v>108</v>
      </c>
    </row>
    <row r="253" spans="1:18" x14ac:dyDescent="0.5">
      <c r="A253" t="str">
        <f>"91282CHP9"</f>
        <v>91282CHP9</v>
      </c>
      <c r="B253" t="s">
        <v>101</v>
      </c>
      <c r="C253" t="s">
        <v>417</v>
      </c>
      <c r="D253" t="s">
        <v>413</v>
      </c>
      <c r="E253">
        <v>1.375</v>
      </c>
      <c r="F253" s="2">
        <v>48775</v>
      </c>
      <c r="G253" t="s">
        <v>101</v>
      </c>
      <c r="H253" t="s">
        <v>104</v>
      </c>
      <c r="I253" t="s">
        <v>105</v>
      </c>
      <c r="J253">
        <v>95.656000000000006</v>
      </c>
      <c r="K253">
        <v>95.804000000000002</v>
      </c>
      <c r="L253">
        <v>1.9370000000000001</v>
      </c>
      <c r="M253">
        <v>1.917</v>
      </c>
      <c r="N253">
        <v>1.917</v>
      </c>
      <c r="O253">
        <v>1.0390299999999999</v>
      </c>
      <c r="P253" t="s">
        <v>101</v>
      </c>
      <c r="Q253" t="s">
        <v>101</v>
      </c>
      <c r="R253" t="s">
        <v>108</v>
      </c>
    </row>
    <row r="254" spans="1:18" x14ac:dyDescent="0.5">
      <c r="A254" t="str">
        <f>"91282CDX6"</f>
        <v>91282CDX6</v>
      </c>
      <c r="B254" t="s">
        <v>101</v>
      </c>
      <c r="C254" t="s">
        <v>418</v>
      </c>
      <c r="D254" t="s">
        <v>413</v>
      </c>
      <c r="E254">
        <v>0.125</v>
      </c>
      <c r="F254" s="2">
        <v>48228</v>
      </c>
      <c r="G254" t="s">
        <v>101</v>
      </c>
      <c r="H254" t="s">
        <v>104</v>
      </c>
      <c r="I254" t="s">
        <v>105</v>
      </c>
      <c r="J254">
        <v>88.539000000000001</v>
      </c>
      <c r="K254">
        <v>88.679000000000002</v>
      </c>
      <c r="L254">
        <v>1.9039999999999999</v>
      </c>
      <c r="M254">
        <v>1.88</v>
      </c>
      <c r="N254">
        <v>1.88</v>
      </c>
      <c r="O254">
        <v>1.1383799999999999</v>
      </c>
      <c r="P254" t="s">
        <v>101</v>
      </c>
      <c r="Q254" t="s">
        <v>101</v>
      </c>
      <c r="R254" t="s">
        <v>108</v>
      </c>
    </row>
    <row r="255" spans="1:18" x14ac:dyDescent="0.5">
      <c r="A255" t="str">
        <f>"912810FQ6"</f>
        <v>912810FQ6</v>
      </c>
      <c r="B255" t="s">
        <v>101</v>
      </c>
      <c r="C255" t="s">
        <v>419</v>
      </c>
      <c r="D255" t="s">
        <v>413</v>
      </c>
      <c r="E255">
        <v>3.375</v>
      </c>
      <c r="F255" s="2">
        <v>48319</v>
      </c>
      <c r="G255" t="s">
        <v>101</v>
      </c>
      <c r="H255" t="s">
        <v>104</v>
      </c>
      <c r="I255" t="s">
        <v>105</v>
      </c>
      <c r="J255">
        <v>109.75</v>
      </c>
      <c r="K255">
        <v>110.039</v>
      </c>
      <c r="L255">
        <v>1.91</v>
      </c>
      <c r="M255">
        <v>1.869</v>
      </c>
      <c r="N255">
        <v>1.869</v>
      </c>
      <c r="O255">
        <v>1.7778099999999999</v>
      </c>
      <c r="P255" t="s">
        <v>101</v>
      </c>
      <c r="Q255" t="s">
        <v>101</v>
      </c>
      <c r="R255" t="s">
        <v>108</v>
      </c>
    </row>
    <row r="256" spans="1:18" x14ac:dyDescent="0.5">
      <c r="A256" t="str">
        <f>"91282CEZ0"</f>
        <v>91282CEZ0</v>
      </c>
      <c r="B256" t="s">
        <v>101</v>
      </c>
      <c r="C256" t="s">
        <v>420</v>
      </c>
      <c r="D256" t="s">
        <v>413</v>
      </c>
      <c r="E256">
        <v>0.625</v>
      </c>
      <c r="F256" s="2">
        <v>48410</v>
      </c>
      <c r="G256" t="s">
        <v>101</v>
      </c>
      <c r="H256" t="s">
        <v>104</v>
      </c>
      <c r="I256" t="s">
        <v>105</v>
      </c>
      <c r="J256">
        <v>91.406000000000006</v>
      </c>
      <c r="K256">
        <v>91.578000000000003</v>
      </c>
      <c r="L256">
        <v>1.873</v>
      </c>
      <c r="M256">
        <v>1.8460000000000001</v>
      </c>
      <c r="N256">
        <v>1.8460000000000001</v>
      </c>
      <c r="O256">
        <v>1.08609</v>
      </c>
      <c r="P256" t="s">
        <v>101</v>
      </c>
      <c r="Q256" t="s">
        <v>101</v>
      </c>
      <c r="R256" t="s">
        <v>108</v>
      </c>
    </row>
    <row r="257" spans="1:18" x14ac:dyDescent="0.5">
      <c r="A257" t="str">
        <f>"91282CBF7"</f>
        <v>91282CBF7</v>
      </c>
      <c r="B257" t="s">
        <v>101</v>
      </c>
      <c r="C257" t="s">
        <v>421</v>
      </c>
      <c r="D257" t="s">
        <v>413</v>
      </c>
      <c r="E257">
        <v>0.125</v>
      </c>
      <c r="F257" s="2">
        <v>47863</v>
      </c>
      <c r="G257" t="s">
        <v>101</v>
      </c>
      <c r="H257" t="s">
        <v>104</v>
      </c>
      <c r="I257" t="s">
        <v>105</v>
      </c>
      <c r="J257">
        <v>90.406000000000006</v>
      </c>
      <c r="K257">
        <v>90.578000000000003</v>
      </c>
      <c r="L257">
        <v>1.847</v>
      </c>
      <c r="M257">
        <v>1.8140000000000001</v>
      </c>
      <c r="N257">
        <v>1.8140000000000001</v>
      </c>
      <c r="O257">
        <v>1.2122200000000001</v>
      </c>
      <c r="P257" t="s">
        <v>101</v>
      </c>
      <c r="Q257" t="s">
        <v>101</v>
      </c>
      <c r="R257" t="s">
        <v>108</v>
      </c>
    </row>
    <row r="258" spans="1:18" x14ac:dyDescent="0.5">
      <c r="A258" t="str">
        <f>"91282CCM1"</f>
        <v>91282CCM1</v>
      </c>
      <c r="B258" t="s">
        <v>101</v>
      </c>
      <c r="C258" t="s">
        <v>422</v>
      </c>
      <c r="D258" t="s">
        <v>413</v>
      </c>
      <c r="E258">
        <v>0.125</v>
      </c>
      <c r="F258" s="2">
        <v>48044</v>
      </c>
      <c r="G258" t="s">
        <v>101</v>
      </c>
      <c r="H258" t="s">
        <v>104</v>
      </c>
      <c r="I258" t="s">
        <v>105</v>
      </c>
      <c r="J258">
        <v>89.781000000000006</v>
      </c>
      <c r="K258">
        <v>89.983999999999995</v>
      </c>
      <c r="L258">
        <v>1.8220000000000001</v>
      </c>
      <c r="M258">
        <v>1.786</v>
      </c>
      <c r="N258">
        <v>1.786</v>
      </c>
      <c r="O258">
        <v>1.17737</v>
      </c>
      <c r="P258" t="s">
        <v>101</v>
      </c>
      <c r="Q258" t="s">
        <v>101</v>
      </c>
      <c r="R258" t="s">
        <v>108</v>
      </c>
    </row>
    <row r="259" spans="1:18" x14ac:dyDescent="0.5">
      <c r="A259" t="str">
        <f>"912828Z37"</f>
        <v>912828Z37</v>
      </c>
      <c r="B259" t="s">
        <v>101</v>
      </c>
      <c r="C259" t="s">
        <v>423</v>
      </c>
      <c r="D259" t="s">
        <v>413</v>
      </c>
      <c r="E259">
        <v>0.125</v>
      </c>
      <c r="F259" s="2">
        <v>47498</v>
      </c>
      <c r="G259" t="s">
        <v>101</v>
      </c>
      <c r="H259" t="s">
        <v>104</v>
      </c>
      <c r="I259" t="s">
        <v>105</v>
      </c>
      <c r="J259">
        <v>92.281000000000006</v>
      </c>
      <c r="K259">
        <v>92.421000000000006</v>
      </c>
      <c r="L259">
        <v>1.7749999999999999</v>
      </c>
      <c r="M259">
        <v>1.7430000000000001</v>
      </c>
      <c r="N259">
        <v>1.7430000000000001</v>
      </c>
      <c r="O259">
        <v>1.22651</v>
      </c>
      <c r="P259" t="s">
        <v>101</v>
      </c>
      <c r="Q259" t="s">
        <v>101</v>
      </c>
      <c r="R259" t="s">
        <v>108</v>
      </c>
    </row>
    <row r="260" spans="1:18" x14ac:dyDescent="0.5">
      <c r="A260" t="str">
        <f>"91282CKL4"</f>
        <v>91282CKL4</v>
      </c>
      <c r="B260" t="s">
        <v>101</v>
      </c>
      <c r="C260" t="s">
        <v>424</v>
      </c>
      <c r="D260" t="s">
        <v>413</v>
      </c>
      <c r="E260">
        <v>2.125</v>
      </c>
      <c r="F260" s="2">
        <v>47223</v>
      </c>
      <c r="G260" t="s">
        <v>101</v>
      </c>
      <c r="H260" t="s">
        <v>104</v>
      </c>
      <c r="I260" t="s">
        <v>105</v>
      </c>
      <c r="J260">
        <v>101.40600000000001</v>
      </c>
      <c r="K260">
        <v>101.539</v>
      </c>
      <c r="L260">
        <v>1.772</v>
      </c>
      <c r="M260">
        <v>1.7390000000000001</v>
      </c>
      <c r="N260">
        <v>1.7390000000000001</v>
      </c>
      <c r="O260">
        <v>1.0202199999999999</v>
      </c>
      <c r="P260" t="s">
        <v>101</v>
      </c>
      <c r="Q260" t="s">
        <v>101</v>
      </c>
      <c r="R260" t="s">
        <v>108</v>
      </c>
    </row>
    <row r="261" spans="1:18" x14ac:dyDescent="0.5">
      <c r="A261" t="str">
        <f>"912810FH6"</f>
        <v>912810FH6</v>
      </c>
      <c r="B261" t="s">
        <v>101</v>
      </c>
      <c r="C261" t="s">
        <v>425</v>
      </c>
      <c r="D261" t="s">
        <v>413</v>
      </c>
      <c r="E261">
        <v>3.875</v>
      </c>
      <c r="F261" s="2">
        <v>47223</v>
      </c>
      <c r="G261" t="s">
        <v>101</v>
      </c>
      <c r="H261" t="s">
        <v>104</v>
      </c>
      <c r="I261" t="s">
        <v>105</v>
      </c>
      <c r="J261">
        <v>108.398</v>
      </c>
      <c r="K261">
        <v>108.65600000000001</v>
      </c>
      <c r="L261">
        <v>1.7689999999999999</v>
      </c>
      <c r="M261">
        <v>1.7070000000000001</v>
      </c>
      <c r="N261">
        <v>1.7070000000000001</v>
      </c>
      <c r="O261">
        <v>1.9195500000000001</v>
      </c>
      <c r="P261" t="s">
        <v>101</v>
      </c>
      <c r="Q261" t="s">
        <v>101</v>
      </c>
      <c r="R261" t="s">
        <v>108</v>
      </c>
    </row>
    <row r="262" spans="1:18" x14ac:dyDescent="0.5">
      <c r="A262" t="str">
        <f>"912828ZZ6"</f>
        <v>912828ZZ6</v>
      </c>
      <c r="B262" t="s">
        <v>101</v>
      </c>
      <c r="C262" t="s">
        <v>426</v>
      </c>
      <c r="D262" t="s">
        <v>413</v>
      </c>
      <c r="E262">
        <v>0.125</v>
      </c>
      <c r="F262" s="2">
        <v>47679</v>
      </c>
      <c r="G262" t="s">
        <v>101</v>
      </c>
      <c r="H262" t="s">
        <v>104</v>
      </c>
      <c r="I262" t="s">
        <v>105</v>
      </c>
      <c r="J262">
        <v>91.718000000000004</v>
      </c>
      <c r="K262">
        <v>91.858999999999995</v>
      </c>
      <c r="L262">
        <v>1.736</v>
      </c>
      <c r="M262">
        <v>1.7070000000000001</v>
      </c>
      <c r="N262">
        <v>1.7070000000000001</v>
      </c>
      <c r="O262">
        <v>1.23078</v>
      </c>
      <c r="P262" t="s">
        <v>101</v>
      </c>
      <c r="Q262" t="s">
        <v>101</v>
      </c>
      <c r="R262" t="s">
        <v>108</v>
      </c>
    </row>
    <row r="263" spans="1:18" x14ac:dyDescent="0.5">
      <c r="A263" t="str">
        <f>"9128285W6"</f>
        <v>9128285W6</v>
      </c>
      <c r="B263" t="s">
        <v>101</v>
      </c>
      <c r="C263" t="s">
        <v>427</v>
      </c>
      <c r="D263" t="s">
        <v>413</v>
      </c>
      <c r="E263">
        <v>0.875</v>
      </c>
      <c r="F263" s="2">
        <v>47133</v>
      </c>
      <c r="G263" t="s">
        <v>101</v>
      </c>
      <c r="H263" t="s">
        <v>104</v>
      </c>
      <c r="I263" t="s">
        <v>105</v>
      </c>
      <c r="J263">
        <v>96.82</v>
      </c>
      <c r="K263">
        <v>96.968000000000004</v>
      </c>
      <c r="L263">
        <v>1.72</v>
      </c>
      <c r="M263">
        <v>1.68</v>
      </c>
      <c r="N263">
        <v>1.68</v>
      </c>
      <c r="O263">
        <v>1.24973</v>
      </c>
      <c r="P263" t="s">
        <v>101</v>
      </c>
      <c r="Q263" t="s">
        <v>101</v>
      </c>
      <c r="R263" t="s">
        <v>108</v>
      </c>
    </row>
    <row r="264" spans="1:18" x14ac:dyDescent="0.5">
      <c r="A264" t="str">
        <f>"91282CLV1"</f>
        <v>91282CLV1</v>
      </c>
      <c r="B264" t="s">
        <v>101</v>
      </c>
      <c r="C264" t="s">
        <v>428</v>
      </c>
      <c r="D264" t="s">
        <v>413</v>
      </c>
      <c r="E264">
        <v>1.625</v>
      </c>
      <c r="F264" s="2">
        <v>47406</v>
      </c>
      <c r="G264" t="s">
        <v>101</v>
      </c>
      <c r="H264" t="s">
        <v>104</v>
      </c>
      <c r="I264" t="s">
        <v>105</v>
      </c>
      <c r="J264">
        <v>99.694999999999993</v>
      </c>
      <c r="K264">
        <v>99.828000000000003</v>
      </c>
      <c r="L264">
        <v>1.6930000000000001</v>
      </c>
      <c r="M264">
        <v>1.663</v>
      </c>
      <c r="N264">
        <v>1.663</v>
      </c>
      <c r="O264">
        <v>1.00288</v>
      </c>
      <c r="P264" t="s">
        <v>101</v>
      </c>
      <c r="Q264" t="s">
        <v>101</v>
      </c>
      <c r="R264" t="s">
        <v>108</v>
      </c>
    </row>
    <row r="265" spans="1:18" x14ac:dyDescent="0.5">
      <c r="A265" t="str">
        <f>"91282CGW5"</f>
        <v>91282CGW5</v>
      </c>
      <c r="B265" t="s">
        <v>101</v>
      </c>
      <c r="C265" t="s">
        <v>429</v>
      </c>
      <c r="D265" t="s">
        <v>413</v>
      </c>
      <c r="E265">
        <v>1.25</v>
      </c>
      <c r="F265" s="2">
        <v>46858</v>
      </c>
      <c r="G265" t="s">
        <v>101</v>
      </c>
      <c r="H265" t="s">
        <v>104</v>
      </c>
      <c r="I265" t="s">
        <v>105</v>
      </c>
      <c r="J265">
        <v>98.671000000000006</v>
      </c>
      <c r="K265">
        <v>98.804000000000002</v>
      </c>
      <c r="L265">
        <v>1.6839999999999999</v>
      </c>
      <c r="M265">
        <v>1.64</v>
      </c>
      <c r="N265">
        <v>1.64</v>
      </c>
      <c r="O265">
        <v>1.0520499999999999</v>
      </c>
      <c r="P265" t="s">
        <v>101</v>
      </c>
      <c r="Q265" t="s">
        <v>101</v>
      </c>
      <c r="R265" t="s">
        <v>108</v>
      </c>
    </row>
    <row r="266" spans="1:18" x14ac:dyDescent="0.5">
      <c r="A266" t="str">
        <f>"9128287D6"</f>
        <v>9128287D6</v>
      </c>
      <c r="B266" t="s">
        <v>101</v>
      </c>
      <c r="C266" t="s">
        <v>430</v>
      </c>
      <c r="D266" t="s">
        <v>413</v>
      </c>
      <c r="E266">
        <v>0.25</v>
      </c>
      <c r="F266" s="2">
        <v>47314</v>
      </c>
      <c r="G266" t="s">
        <v>101</v>
      </c>
      <c r="H266" t="s">
        <v>104</v>
      </c>
      <c r="I266" t="s">
        <v>105</v>
      </c>
      <c r="J266">
        <v>94.07</v>
      </c>
      <c r="K266">
        <v>94.242000000000004</v>
      </c>
      <c r="L266">
        <v>1.651</v>
      </c>
      <c r="M266">
        <v>1.6080000000000001</v>
      </c>
      <c r="N266">
        <v>1.6080000000000001</v>
      </c>
      <c r="O266">
        <v>1.2336499999999999</v>
      </c>
      <c r="P266" t="s">
        <v>101</v>
      </c>
      <c r="Q266" t="s">
        <v>101</v>
      </c>
      <c r="R266" t="s">
        <v>108</v>
      </c>
    </row>
    <row r="267" spans="1:18" x14ac:dyDescent="0.5">
      <c r="A267" t="str">
        <f>"91282CJH5"</f>
        <v>91282CJH5</v>
      </c>
      <c r="B267" t="s">
        <v>101</v>
      </c>
      <c r="C267" t="s">
        <v>431</v>
      </c>
      <c r="D267" t="s">
        <v>413</v>
      </c>
      <c r="E267">
        <v>2.375</v>
      </c>
      <c r="F267" s="2">
        <v>47041</v>
      </c>
      <c r="G267" t="s">
        <v>101</v>
      </c>
      <c r="H267" t="s">
        <v>104</v>
      </c>
      <c r="I267" t="s">
        <v>105</v>
      </c>
      <c r="J267">
        <v>102.75</v>
      </c>
      <c r="K267">
        <v>102.88200000000001</v>
      </c>
      <c r="L267">
        <v>1.597</v>
      </c>
      <c r="M267">
        <v>1.56</v>
      </c>
      <c r="N267">
        <v>1.56</v>
      </c>
      <c r="O267">
        <v>1.03026</v>
      </c>
      <c r="P267" t="s">
        <v>101</v>
      </c>
      <c r="Q267" t="s">
        <v>101</v>
      </c>
      <c r="R267" t="s">
        <v>108</v>
      </c>
    </row>
    <row r="268" spans="1:18" x14ac:dyDescent="0.5">
      <c r="A268" t="str">
        <f>"9128283R9"</f>
        <v>9128283R9</v>
      </c>
      <c r="B268" t="s">
        <v>101</v>
      </c>
      <c r="C268" t="s">
        <v>432</v>
      </c>
      <c r="D268" t="s">
        <v>413</v>
      </c>
      <c r="E268">
        <v>0.5</v>
      </c>
      <c r="F268" s="2">
        <v>46767</v>
      </c>
      <c r="G268" t="s">
        <v>101</v>
      </c>
      <c r="H268" t="s">
        <v>104</v>
      </c>
      <c r="I268" t="s">
        <v>105</v>
      </c>
      <c r="J268">
        <v>96.858999999999995</v>
      </c>
      <c r="K268">
        <v>97.007000000000005</v>
      </c>
      <c r="L268">
        <v>1.61</v>
      </c>
      <c r="M268">
        <v>1.5569999999999999</v>
      </c>
      <c r="N268">
        <v>1.5569999999999999</v>
      </c>
      <c r="O268">
        <v>1.2793099999999999</v>
      </c>
      <c r="P268" t="s">
        <v>101</v>
      </c>
      <c r="Q268" t="s">
        <v>101</v>
      </c>
      <c r="R268" t="s">
        <v>108</v>
      </c>
    </row>
    <row r="269" spans="1:18" x14ac:dyDescent="0.5">
      <c r="A269" t="str">
        <f>"912810PV4"</f>
        <v>912810PV4</v>
      </c>
      <c r="B269" t="s">
        <v>101</v>
      </c>
      <c r="C269" t="s">
        <v>433</v>
      </c>
      <c r="D269" t="s">
        <v>413</v>
      </c>
      <c r="E269">
        <v>1.75</v>
      </c>
      <c r="F269" s="2">
        <v>46767</v>
      </c>
      <c r="G269" t="s">
        <v>101</v>
      </c>
      <c r="H269" t="s">
        <v>104</v>
      </c>
      <c r="I269" t="s">
        <v>105</v>
      </c>
      <c r="J269">
        <v>100.398</v>
      </c>
      <c r="K269">
        <v>100.578</v>
      </c>
      <c r="L269">
        <v>1.609</v>
      </c>
      <c r="M269">
        <v>1.5449999999999999</v>
      </c>
      <c r="N269">
        <v>1.5449999999999999</v>
      </c>
      <c r="O269">
        <v>1.5062800000000001</v>
      </c>
      <c r="P269" t="s">
        <v>101</v>
      </c>
      <c r="Q269" t="s">
        <v>101</v>
      </c>
      <c r="R269" t="s">
        <v>108</v>
      </c>
    </row>
    <row r="270" spans="1:18" x14ac:dyDescent="0.5">
      <c r="A270" t="str">
        <f>"912828Y38"</f>
        <v>912828Y38</v>
      </c>
      <c r="B270" t="s">
        <v>101</v>
      </c>
      <c r="C270" t="s">
        <v>434</v>
      </c>
      <c r="D270" t="s">
        <v>413</v>
      </c>
      <c r="E270">
        <v>0.75</v>
      </c>
      <c r="F270" s="2">
        <v>46949</v>
      </c>
      <c r="G270" t="s">
        <v>101</v>
      </c>
      <c r="H270" t="s">
        <v>104</v>
      </c>
      <c r="I270" t="s">
        <v>105</v>
      </c>
      <c r="J270">
        <v>97.421000000000006</v>
      </c>
      <c r="K270">
        <v>97.515000000000001</v>
      </c>
      <c r="L270">
        <v>1.53</v>
      </c>
      <c r="M270">
        <v>1.5009999999999999</v>
      </c>
      <c r="N270">
        <v>1.5009999999999999</v>
      </c>
      <c r="O270">
        <v>1.2571300000000001</v>
      </c>
      <c r="P270" t="s">
        <v>101</v>
      </c>
      <c r="Q270" t="s">
        <v>101</v>
      </c>
      <c r="R270" t="s">
        <v>108</v>
      </c>
    </row>
    <row r="271" spans="1:18" x14ac:dyDescent="0.5">
      <c r="A271" t="str">
        <f>"91282CEJ6"</f>
        <v>91282CEJ6</v>
      </c>
      <c r="B271" t="s">
        <v>101</v>
      </c>
      <c r="C271" t="s">
        <v>435</v>
      </c>
      <c r="D271" t="s">
        <v>413</v>
      </c>
      <c r="E271">
        <v>0.125</v>
      </c>
      <c r="F271" s="2">
        <v>46492</v>
      </c>
      <c r="G271" t="s">
        <v>101</v>
      </c>
      <c r="H271" t="s">
        <v>104</v>
      </c>
      <c r="I271" t="s">
        <v>105</v>
      </c>
      <c r="J271">
        <v>97.007000000000005</v>
      </c>
      <c r="K271">
        <v>97.14</v>
      </c>
      <c r="L271">
        <v>1.5429999999999999</v>
      </c>
      <c r="M271">
        <v>1.478</v>
      </c>
      <c r="N271">
        <v>1.478</v>
      </c>
      <c r="O271">
        <v>1.11764</v>
      </c>
      <c r="P271" t="s">
        <v>101</v>
      </c>
      <c r="Q271" t="s">
        <v>101</v>
      </c>
      <c r="R271" t="s">
        <v>108</v>
      </c>
    </row>
    <row r="272" spans="1:18" x14ac:dyDescent="0.5">
      <c r="A272" t="str">
        <f>"91282CFR7"</f>
        <v>91282CFR7</v>
      </c>
      <c r="B272" t="s">
        <v>101</v>
      </c>
      <c r="C272" t="s">
        <v>436</v>
      </c>
      <c r="D272" t="s">
        <v>413</v>
      </c>
      <c r="E272">
        <v>1.625</v>
      </c>
      <c r="F272" s="2">
        <v>46675</v>
      </c>
      <c r="G272" t="s">
        <v>101</v>
      </c>
      <c r="H272" t="s">
        <v>104</v>
      </c>
      <c r="I272" t="s">
        <v>105</v>
      </c>
      <c r="J272">
        <v>100.53100000000001</v>
      </c>
      <c r="K272">
        <v>100.664</v>
      </c>
      <c r="L272">
        <v>1.42</v>
      </c>
      <c r="M272">
        <v>1.369</v>
      </c>
      <c r="N272">
        <v>1.369</v>
      </c>
      <c r="O272">
        <v>1.0652600000000001</v>
      </c>
      <c r="P272" t="s">
        <v>101</v>
      </c>
      <c r="Q272" t="s">
        <v>101</v>
      </c>
      <c r="R272" t="s">
        <v>108</v>
      </c>
    </row>
    <row r="273" spans="1:18" x14ac:dyDescent="0.5">
      <c r="A273" t="str">
        <f>"912828V49"</f>
        <v>912828V49</v>
      </c>
      <c r="B273" t="s">
        <v>101</v>
      </c>
      <c r="C273" t="s">
        <v>437</v>
      </c>
      <c r="D273" t="s">
        <v>413</v>
      </c>
      <c r="E273">
        <v>0.375</v>
      </c>
      <c r="F273" s="2">
        <v>46402</v>
      </c>
      <c r="G273" t="s">
        <v>101</v>
      </c>
      <c r="H273" t="s">
        <v>104</v>
      </c>
      <c r="I273" t="s">
        <v>105</v>
      </c>
      <c r="J273">
        <v>98</v>
      </c>
      <c r="K273">
        <v>98.147999999999996</v>
      </c>
      <c r="L273">
        <v>1.4419999999999999</v>
      </c>
      <c r="M273">
        <v>1.3620000000000001</v>
      </c>
      <c r="N273">
        <v>1.3620000000000001</v>
      </c>
      <c r="O273">
        <v>1.3063499999999999</v>
      </c>
      <c r="P273" t="s">
        <v>101</v>
      </c>
      <c r="Q273" t="s">
        <v>101</v>
      </c>
      <c r="R273" t="s">
        <v>108</v>
      </c>
    </row>
    <row r="274" spans="1:18" x14ac:dyDescent="0.5">
      <c r="A274" t="str">
        <f>"912810PS1"</f>
        <v>912810PS1</v>
      </c>
      <c r="B274" t="s">
        <v>101</v>
      </c>
      <c r="C274" t="s">
        <v>438</v>
      </c>
      <c r="D274" t="s">
        <v>413</v>
      </c>
      <c r="E274">
        <v>2.375</v>
      </c>
      <c r="F274" s="2">
        <v>46402</v>
      </c>
      <c r="G274" t="s">
        <v>101</v>
      </c>
      <c r="H274" t="s">
        <v>104</v>
      </c>
      <c r="I274" t="s">
        <v>105</v>
      </c>
      <c r="J274">
        <v>101.765</v>
      </c>
      <c r="K274">
        <v>101.929</v>
      </c>
      <c r="L274">
        <v>1.4319999999999999</v>
      </c>
      <c r="M274">
        <v>1.3460000000000001</v>
      </c>
      <c r="N274">
        <v>1.3460000000000001</v>
      </c>
      <c r="O274">
        <v>1.5647800000000001</v>
      </c>
      <c r="P274" t="s">
        <v>101</v>
      </c>
      <c r="Q274" t="s">
        <v>101</v>
      </c>
      <c r="R274" t="s">
        <v>108</v>
      </c>
    </row>
    <row r="275" spans="1:18" x14ac:dyDescent="0.5">
      <c r="A275" t="str">
        <f>"9128282L3"</f>
        <v>9128282L3</v>
      </c>
      <c r="B275" t="s">
        <v>101</v>
      </c>
      <c r="C275" t="s">
        <v>439</v>
      </c>
      <c r="D275" t="s">
        <v>413</v>
      </c>
      <c r="E275">
        <v>0.375</v>
      </c>
      <c r="F275" s="2">
        <v>46583</v>
      </c>
      <c r="G275" t="s">
        <v>101</v>
      </c>
      <c r="H275" t="s">
        <v>104</v>
      </c>
      <c r="I275" t="s">
        <v>105</v>
      </c>
      <c r="J275">
        <v>97.703000000000003</v>
      </c>
      <c r="K275">
        <v>97.850999999999999</v>
      </c>
      <c r="L275">
        <v>1.3480000000000001</v>
      </c>
      <c r="M275">
        <v>1.284</v>
      </c>
      <c r="N275">
        <v>1.284</v>
      </c>
      <c r="O275">
        <v>1.2900100000000001</v>
      </c>
      <c r="P275" t="s">
        <v>101</v>
      </c>
      <c r="Q275" t="s">
        <v>101</v>
      </c>
      <c r="R275" t="s">
        <v>108</v>
      </c>
    </row>
    <row r="276" spans="1:18" x14ac:dyDescent="0.5">
      <c r="A276" t="str">
        <f>"91282CCA7"</f>
        <v>91282CCA7</v>
      </c>
      <c r="B276" t="s">
        <v>101</v>
      </c>
      <c r="C276" t="s">
        <v>440</v>
      </c>
      <c r="D276" t="s">
        <v>413</v>
      </c>
      <c r="E276">
        <v>0.125</v>
      </c>
      <c r="F276" s="2">
        <v>46127</v>
      </c>
      <c r="G276" t="s">
        <v>101</v>
      </c>
      <c r="H276" t="s">
        <v>104</v>
      </c>
      <c r="I276" t="s">
        <v>105</v>
      </c>
      <c r="J276">
        <v>98.625</v>
      </c>
      <c r="K276">
        <v>98.765000000000001</v>
      </c>
      <c r="L276">
        <v>1.33</v>
      </c>
      <c r="M276">
        <v>1.2050000000000001</v>
      </c>
      <c r="N276">
        <v>1.2050000000000001</v>
      </c>
      <c r="O276">
        <v>1.2032799999999999</v>
      </c>
      <c r="P276" t="s">
        <v>101</v>
      </c>
      <c r="Q276" t="s">
        <v>101</v>
      </c>
      <c r="R276" t="s">
        <v>108</v>
      </c>
    </row>
    <row r="277" spans="1:18" x14ac:dyDescent="0.5">
      <c r="A277" t="str">
        <f>"91282CDC2"</f>
        <v>91282CDC2</v>
      </c>
      <c r="B277" t="s">
        <v>101</v>
      </c>
      <c r="C277" t="s">
        <v>441</v>
      </c>
      <c r="D277" t="s">
        <v>413</v>
      </c>
      <c r="E277">
        <v>0.125</v>
      </c>
      <c r="F277" s="2">
        <v>46310</v>
      </c>
      <c r="G277" t="s">
        <v>101</v>
      </c>
      <c r="H277" t="s">
        <v>104</v>
      </c>
      <c r="I277" t="s">
        <v>105</v>
      </c>
      <c r="J277">
        <v>98.334999999999994</v>
      </c>
      <c r="K277">
        <v>98.468000000000004</v>
      </c>
      <c r="L277">
        <v>1.1439999999999999</v>
      </c>
      <c r="M277">
        <v>1.0609999999999999</v>
      </c>
      <c r="N277">
        <v>1.0609999999999999</v>
      </c>
      <c r="O277">
        <v>1.1548099999999999</v>
      </c>
      <c r="P277" t="s">
        <v>101</v>
      </c>
      <c r="Q277" t="s">
        <v>101</v>
      </c>
      <c r="R277" t="s">
        <v>108</v>
      </c>
    </row>
    <row r="278" spans="1:18" x14ac:dyDescent="0.5">
      <c r="A278" t="str">
        <f>"912810FS2"</f>
        <v>912810FS2</v>
      </c>
      <c r="B278" t="s">
        <v>101</v>
      </c>
      <c r="C278" t="s">
        <v>442</v>
      </c>
      <c r="D278" t="s">
        <v>413</v>
      </c>
      <c r="E278">
        <v>2</v>
      </c>
      <c r="F278" s="2">
        <v>46037</v>
      </c>
      <c r="G278" t="s">
        <v>101</v>
      </c>
      <c r="H278" t="s">
        <v>104</v>
      </c>
      <c r="I278" t="s">
        <v>105</v>
      </c>
      <c r="J278">
        <v>100.726</v>
      </c>
      <c r="K278">
        <v>100.898</v>
      </c>
      <c r="L278">
        <v>1.1910000000000001</v>
      </c>
      <c r="M278">
        <v>1</v>
      </c>
      <c r="N278">
        <v>1</v>
      </c>
      <c r="O278">
        <v>1.5899099999999999</v>
      </c>
      <c r="P278" t="s">
        <v>101</v>
      </c>
      <c r="Q278" t="s">
        <v>101</v>
      </c>
      <c r="R278" t="s">
        <v>108</v>
      </c>
    </row>
    <row r="279" spans="1:18" x14ac:dyDescent="0.5">
      <c r="A279" t="str">
        <f>"912828S50"</f>
        <v>912828S50</v>
      </c>
      <c r="B279" t="s">
        <v>101</v>
      </c>
      <c r="C279" t="s">
        <v>443</v>
      </c>
      <c r="D279" t="s">
        <v>413</v>
      </c>
      <c r="E279">
        <v>0.125</v>
      </c>
      <c r="F279" s="2">
        <v>46218</v>
      </c>
      <c r="G279" t="s">
        <v>101</v>
      </c>
      <c r="H279" t="s">
        <v>104</v>
      </c>
      <c r="I279" t="s">
        <v>105</v>
      </c>
      <c r="J279">
        <v>98.679000000000002</v>
      </c>
      <c r="K279">
        <v>98.875</v>
      </c>
      <c r="L279">
        <v>1.0740000000000001</v>
      </c>
      <c r="M279">
        <v>0.93200000000000005</v>
      </c>
      <c r="N279">
        <v>0.93200000000000005</v>
      </c>
      <c r="O279">
        <v>1.3164800000000001</v>
      </c>
      <c r="P279" t="s">
        <v>101</v>
      </c>
      <c r="Q279" t="s">
        <v>101</v>
      </c>
      <c r="R279" t="s">
        <v>108</v>
      </c>
    </row>
    <row r="280" spans="1:18" x14ac:dyDescent="0.5">
      <c r="A280" t="str">
        <f>"91282CAQ4"</f>
        <v>91282CAQ4</v>
      </c>
      <c r="B280" t="s">
        <v>101</v>
      </c>
      <c r="C280" t="s">
        <v>444</v>
      </c>
      <c r="D280" t="s">
        <v>413</v>
      </c>
      <c r="E280">
        <v>0.125</v>
      </c>
      <c r="F280" s="2">
        <v>45945</v>
      </c>
      <c r="G280" t="s">
        <v>101</v>
      </c>
      <c r="H280" t="s">
        <v>104</v>
      </c>
      <c r="I280" t="s">
        <v>105</v>
      </c>
      <c r="J280">
        <v>99.82</v>
      </c>
      <c r="K280">
        <v>99.944999999999993</v>
      </c>
      <c r="L280">
        <v>0.4</v>
      </c>
      <c r="M280">
        <v>0.20899999999999999</v>
      </c>
      <c r="N280">
        <v>0.20899999999999999</v>
      </c>
      <c r="O280">
        <v>1.21618</v>
      </c>
      <c r="P280" t="s">
        <v>101</v>
      </c>
      <c r="Q280" t="s">
        <v>101</v>
      </c>
      <c r="R280" t="s">
        <v>108</v>
      </c>
    </row>
    <row r="281" spans="1:18" x14ac:dyDescent="0.5">
      <c r="A281" t="str">
        <f>"37353PGU7"</f>
        <v>37353PGU7</v>
      </c>
      <c r="B281" t="s">
        <v>445</v>
      </c>
      <c r="C281" t="s">
        <v>446</v>
      </c>
      <c r="D281" t="s">
        <v>447</v>
      </c>
      <c r="E281">
        <v>1.3</v>
      </c>
      <c r="F281" s="2">
        <v>46905</v>
      </c>
      <c r="G281" s="2" t="s">
        <v>101</v>
      </c>
      <c r="H281" t="s">
        <v>105</v>
      </c>
      <c r="I281" t="s">
        <v>104</v>
      </c>
      <c r="J281" t="s">
        <v>101</v>
      </c>
      <c r="K281">
        <v>91.760999999999996</v>
      </c>
      <c r="L281" t="s">
        <v>101</v>
      </c>
      <c r="M281">
        <v>4</v>
      </c>
      <c r="N281">
        <v>4</v>
      </c>
      <c r="O281" t="s">
        <v>101</v>
      </c>
      <c r="P281" t="s">
        <v>448</v>
      </c>
      <c r="Q281" t="s">
        <v>449</v>
      </c>
      <c r="R281" t="s">
        <v>450</v>
      </c>
    </row>
    <row r="282" spans="1:18" x14ac:dyDescent="0.5">
      <c r="A282" t="str">
        <f>"098104KT8"</f>
        <v>098104KT8</v>
      </c>
      <c r="B282" t="s">
        <v>451</v>
      </c>
      <c r="C282" t="s">
        <v>452</v>
      </c>
      <c r="D282" t="s">
        <v>447</v>
      </c>
      <c r="E282">
        <v>2</v>
      </c>
      <c r="F282" s="2">
        <v>47331</v>
      </c>
      <c r="G282" s="2">
        <v>46235</v>
      </c>
      <c r="H282" t="s">
        <v>104</v>
      </c>
      <c r="I282" t="s">
        <v>105</v>
      </c>
      <c r="J282" t="s">
        <v>101</v>
      </c>
      <c r="K282">
        <v>91.84</v>
      </c>
      <c r="L282" t="s">
        <v>101</v>
      </c>
      <c r="M282">
        <v>4.0199999999999996</v>
      </c>
      <c r="N282">
        <v>4.0199999999999996</v>
      </c>
      <c r="O282" t="s">
        <v>101</v>
      </c>
      <c r="P282" t="s">
        <v>448</v>
      </c>
      <c r="Q282" t="s">
        <v>453</v>
      </c>
      <c r="R282" t="s">
        <v>454</v>
      </c>
    </row>
    <row r="283" spans="1:18" x14ac:dyDescent="0.5">
      <c r="A283" t="str">
        <f>"705795LU4"</f>
        <v>705795LU4</v>
      </c>
      <c r="B283" t="s">
        <v>455</v>
      </c>
      <c r="C283" t="s">
        <v>456</v>
      </c>
      <c r="D283" t="s">
        <v>447</v>
      </c>
      <c r="E283">
        <v>2</v>
      </c>
      <c r="F283" s="2">
        <v>47345</v>
      </c>
      <c r="G283" s="2">
        <v>45733</v>
      </c>
      <c r="H283" t="s">
        <v>105</v>
      </c>
      <c r="I283" t="s">
        <v>104</v>
      </c>
      <c r="J283" t="s">
        <v>101</v>
      </c>
      <c r="K283">
        <v>91.789000000000001</v>
      </c>
      <c r="L283" t="s">
        <v>101</v>
      </c>
      <c r="M283">
        <v>4.016</v>
      </c>
      <c r="N283">
        <v>4.016</v>
      </c>
      <c r="O283" t="s">
        <v>101</v>
      </c>
      <c r="P283" t="s">
        <v>448</v>
      </c>
      <c r="Q283" t="s">
        <v>457</v>
      </c>
      <c r="R283" t="s">
        <v>454</v>
      </c>
    </row>
    <row r="284" spans="1:18" x14ac:dyDescent="0.5">
      <c r="A284" t="str">
        <f>"83756CK79"</f>
        <v>83756CK79</v>
      </c>
      <c r="B284" t="s">
        <v>458</v>
      </c>
      <c r="C284" t="s">
        <v>459</v>
      </c>
      <c r="D284" t="s">
        <v>447</v>
      </c>
      <c r="E284">
        <v>1.5</v>
      </c>
      <c r="F284" s="2">
        <v>47604</v>
      </c>
      <c r="G284" s="2" t="s">
        <v>101</v>
      </c>
      <c r="H284" t="s">
        <v>104</v>
      </c>
      <c r="I284" t="s">
        <v>104</v>
      </c>
      <c r="J284" t="s">
        <v>101</v>
      </c>
      <c r="K284">
        <v>88.293000000000006</v>
      </c>
      <c r="L284" t="s">
        <v>101</v>
      </c>
      <c r="M284">
        <v>4.0149999999999997</v>
      </c>
      <c r="N284">
        <v>4.0149999999999997</v>
      </c>
      <c r="O284" t="s">
        <v>101</v>
      </c>
      <c r="P284" t="s">
        <v>448</v>
      </c>
      <c r="Q284" t="s">
        <v>460</v>
      </c>
      <c r="R284" t="s">
        <v>450</v>
      </c>
    </row>
    <row r="285" spans="1:18" x14ac:dyDescent="0.5">
      <c r="A285" t="str">
        <f>"37353PEX3"</f>
        <v>37353PEX3</v>
      </c>
      <c r="B285" t="s">
        <v>445</v>
      </c>
      <c r="C285" t="s">
        <v>461</v>
      </c>
      <c r="D285" t="s">
        <v>447</v>
      </c>
      <c r="E285">
        <v>2.4</v>
      </c>
      <c r="F285" s="2">
        <v>47635</v>
      </c>
      <c r="G285" s="2">
        <v>47270</v>
      </c>
      <c r="H285" t="s">
        <v>105</v>
      </c>
      <c r="I285" t="s">
        <v>104</v>
      </c>
      <c r="J285" t="s">
        <v>101</v>
      </c>
      <c r="K285">
        <v>92.016000000000005</v>
      </c>
      <c r="L285" t="s">
        <v>101</v>
      </c>
      <c r="M285">
        <v>4.0940000000000003</v>
      </c>
      <c r="N285">
        <v>4.0940000000000003</v>
      </c>
      <c r="O285" t="s">
        <v>101</v>
      </c>
      <c r="P285" t="s">
        <v>448</v>
      </c>
      <c r="Q285" t="s">
        <v>457</v>
      </c>
      <c r="R285" t="s">
        <v>450</v>
      </c>
    </row>
    <row r="286" spans="1:18" x14ac:dyDescent="0.5">
      <c r="A286" t="str">
        <f>"613347QT3"</f>
        <v>613347QT3</v>
      </c>
      <c r="B286" t="s">
        <v>462</v>
      </c>
      <c r="C286" t="s">
        <v>463</v>
      </c>
      <c r="D286" t="s">
        <v>447</v>
      </c>
      <c r="E286">
        <v>1.85</v>
      </c>
      <c r="F286" s="2">
        <v>47665</v>
      </c>
      <c r="G286" s="2" t="s">
        <v>101</v>
      </c>
      <c r="H286" t="s">
        <v>104</v>
      </c>
      <c r="I286" t="s">
        <v>105</v>
      </c>
      <c r="J286" t="s">
        <v>101</v>
      </c>
      <c r="K286">
        <v>88.515000000000001</v>
      </c>
      <c r="L286" t="s">
        <v>101</v>
      </c>
      <c r="M286">
        <v>4.2649999999999997</v>
      </c>
      <c r="N286">
        <v>4.2649999999999997</v>
      </c>
      <c r="O286" t="s">
        <v>101</v>
      </c>
      <c r="P286" t="s">
        <v>448</v>
      </c>
      <c r="Q286" t="s">
        <v>464</v>
      </c>
      <c r="R286" t="s">
        <v>450</v>
      </c>
    </row>
    <row r="287" spans="1:18" x14ac:dyDescent="0.5">
      <c r="A287" t="str">
        <f>"64469MGF2"</f>
        <v>64469MGF2</v>
      </c>
      <c r="B287" t="s">
        <v>465</v>
      </c>
      <c r="C287" t="s">
        <v>466</v>
      </c>
      <c r="D287" t="s">
        <v>447</v>
      </c>
      <c r="E287">
        <v>1.6</v>
      </c>
      <c r="F287" s="2">
        <v>47665</v>
      </c>
      <c r="G287" s="2">
        <v>47300</v>
      </c>
      <c r="H287" t="s">
        <v>104</v>
      </c>
      <c r="I287" t="s">
        <v>105</v>
      </c>
      <c r="J287" t="s">
        <v>101</v>
      </c>
      <c r="K287">
        <v>86.816999999999993</v>
      </c>
      <c r="L287" t="s">
        <v>101</v>
      </c>
      <c r="M287">
        <v>4.3819999999999997</v>
      </c>
      <c r="N287">
        <v>4.3819999999999997</v>
      </c>
      <c r="O287" t="s">
        <v>101</v>
      </c>
      <c r="P287" t="s">
        <v>448</v>
      </c>
      <c r="Q287" t="s">
        <v>453</v>
      </c>
      <c r="R287" t="s">
        <v>450</v>
      </c>
    </row>
    <row r="288" spans="1:18" x14ac:dyDescent="0.5">
      <c r="A288" t="str">
        <f>"63968MZP7"</f>
        <v>63968MZP7</v>
      </c>
      <c r="B288" t="s">
        <v>467</v>
      </c>
      <c r="C288" t="s">
        <v>468</v>
      </c>
      <c r="D288" t="s">
        <v>447</v>
      </c>
      <c r="E288">
        <v>2.1</v>
      </c>
      <c r="F288" s="2">
        <v>47727</v>
      </c>
      <c r="G288" s="2" t="s">
        <v>101</v>
      </c>
      <c r="H288" t="s">
        <v>105</v>
      </c>
      <c r="I288" t="s">
        <v>104</v>
      </c>
      <c r="J288" t="s">
        <v>101</v>
      </c>
      <c r="K288">
        <v>90.620999999999995</v>
      </c>
      <c r="L288" t="s">
        <v>101</v>
      </c>
      <c r="M288">
        <v>4.0060000000000002</v>
      </c>
      <c r="N288">
        <v>4.0060000000000002</v>
      </c>
      <c r="O288" t="s">
        <v>101</v>
      </c>
      <c r="P288" t="s">
        <v>448</v>
      </c>
      <c r="Q288" t="s">
        <v>469</v>
      </c>
      <c r="R288" t="s">
        <v>450</v>
      </c>
    </row>
    <row r="289" spans="1:18" x14ac:dyDescent="0.5">
      <c r="A289" t="str">
        <f>"393731AP9"</f>
        <v>393731AP9</v>
      </c>
      <c r="B289" t="s">
        <v>455</v>
      </c>
      <c r="C289" t="s">
        <v>470</v>
      </c>
      <c r="D289" t="s">
        <v>447</v>
      </c>
      <c r="E289">
        <v>2</v>
      </c>
      <c r="F289" s="2">
        <v>47771</v>
      </c>
      <c r="G289" s="2">
        <v>45733</v>
      </c>
      <c r="H289" t="s">
        <v>104</v>
      </c>
      <c r="I289" t="s">
        <v>104</v>
      </c>
      <c r="J289" t="s">
        <v>101</v>
      </c>
      <c r="K289">
        <v>89.549000000000007</v>
      </c>
      <c r="L289" t="s">
        <v>101</v>
      </c>
      <c r="M289">
        <v>4.0869999999999997</v>
      </c>
      <c r="N289">
        <v>4.0869999999999997</v>
      </c>
      <c r="O289" t="s">
        <v>101</v>
      </c>
      <c r="P289" t="s">
        <v>448</v>
      </c>
      <c r="Q289" t="s">
        <v>457</v>
      </c>
      <c r="R289" t="s">
        <v>454</v>
      </c>
    </row>
    <row r="290" spans="1:18" x14ac:dyDescent="0.5">
      <c r="A290" t="str">
        <f>"83756CG33"</f>
        <v>83756CG33</v>
      </c>
      <c r="B290" t="s">
        <v>458</v>
      </c>
      <c r="C290" t="s">
        <v>471</v>
      </c>
      <c r="D290" t="s">
        <v>447</v>
      </c>
      <c r="E290">
        <v>1.4</v>
      </c>
      <c r="F290" s="2">
        <v>47788</v>
      </c>
      <c r="G290" s="2">
        <v>47604</v>
      </c>
      <c r="H290" t="s">
        <v>104</v>
      </c>
      <c r="I290" t="s">
        <v>104</v>
      </c>
      <c r="J290" t="s">
        <v>101</v>
      </c>
      <c r="K290">
        <v>85.24</v>
      </c>
      <c r="L290" t="s">
        <v>101</v>
      </c>
      <c r="M290">
        <v>4.3499999999999996</v>
      </c>
      <c r="N290">
        <v>4.3499999999999996</v>
      </c>
      <c r="O290" t="s">
        <v>101</v>
      </c>
      <c r="P290" t="s">
        <v>448</v>
      </c>
      <c r="Q290" t="s">
        <v>472</v>
      </c>
      <c r="R290" t="s">
        <v>450</v>
      </c>
    </row>
    <row r="291" spans="1:18" x14ac:dyDescent="0.5">
      <c r="A291" t="str">
        <f>"20775HFM0"</f>
        <v>20775HFM0</v>
      </c>
      <c r="B291" t="s">
        <v>473</v>
      </c>
      <c r="C291" t="s">
        <v>474</v>
      </c>
      <c r="D291" t="s">
        <v>447</v>
      </c>
      <c r="E291">
        <v>1.35</v>
      </c>
      <c r="F291" s="2">
        <v>47802</v>
      </c>
      <c r="G291" s="2">
        <v>47618</v>
      </c>
      <c r="H291" t="s">
        <v>104</v>
      </c>
      <c r="I291" t="s">
        <v>104</v>
      </c>
      <c r="J291" t="s">
        <v>101</v>
      </c>
      <c r="K291">
        <v>85.97</v>
      </c>
      <c r="L291" t="s">
        <v>101</v>
      </c>
      <c r="M291">
        <v>4.1180000000000003</v>
      </c>
      <c r="N291">
        <v>4.1180000000000003</v>
      </c>
      <c r="O291" t="s">
        <v>101</v>
      </c>
      <c r="P291" t="s">
        <v>448</v>
      </c>
      <c r="Q291" t="s">
        <v>475</v>
      </c>
      <c r="R291" t="s">
        <v>450</v>
      </c>
    </row>
    <row r="292" spans="1:18" x14ac:dyDescent="0.5">
      <c r="A292" t="str">
        <f>"37353PGZ6"</f>
        <v>37353PGZ6</v>
      </c>
      <c r="B292" t="s">
        <v>445</v>
      </c>
      <c r="C292" t="s">
        <v>476</v>
      </c>
      <c r="D292" t="s">
        <v>447</v>
      </c>
      <c r="E292">
        <v>1.85</v>
      </c>
      <c r="F292" s="2">
        <v>47818</v>
      </c>
      <c r="G292" s="2" t="s">
        <v>101</v>
      </c>
      <c r="H292" t="s">
        <v>105</v>
      </c>
      <c r="I292" t="s">
        <v>104</v>
      </c>
      <c r="J292" t="s">
        <v>101</v>
      </c>
      <c r="K292">
        <v>88.623999999999995</v>
      </c>
      <c r="L292" t="s">
        <v>101</v>
      </c>
      <c r="M292">
        <v>4.0759999999999996</v>
      </c>
      <c r="N292">
        <v>4.0759999999999996</v>
      </c>
      <c r="O292" t="s">
        <v>101</v>
      </c>
      <c r="P292" t="s">
        <v>448</v>
      </c>
      <c r="Q292" t="s">
        <v>460</v>
      </c>
      <c r="R292" t="s">
        <v>450</v>
      </c>
    </row>
    <row r="293" spans="1:18" x14ac:dyDescent="0.5">
      <c r="A293" t="str">
        <f>"618024BU6"</f>
        <v>618024BU6</v>
      </c>
      <c r="B293" t="s">
        <v>477</v>
      </c>
      <c r="C293" t="s">
        <v>478</v>
      </c>
      <c r="D293" t="s">
        <v>447</v>
      </c>
      <c r="E293">
        <v>2</v>
      </c>
      <c r="F293" s="2">
        <v>47880</v>
      </c>
      <c r="G293" s="2">
        <v>47150</v>
      </c>
      <c r="H293" t="s">
        <v>104</v>
      </c>
      <c r="I293" t="s">
        <v>104</v>
      </c>
      <c r="J293" t="s">
        <v>101</v>
      </c>
      <c r="K293">
        <v>88.908000000000001</v>
      </c>
      <c r="L293" t="s">
        <v>101</v>
      </c>
      <c r="M293">
        <v>4.12</v>
      </c>
      <c r="N293">
        <v>4.12</v>
      </c>
      <c r="O293" t="s">
        <v>101</v>
      </c>
      <c r="P293" t="s">
        <v>448</v>
      </c>
      <c r="Q293" t="s">
        <v>479</v>
      </c>
      <c r="R293" t="s">
        <v>454</v>
      </c>
    </row>
    <row r="294" spans="1:18" x14ac:dyDescent="0.5">
      <c r="A294" t="str">
        <f>"59656NP30"</f>
        <v>59656NP30</v>
      </c>
      <c r="B294" t="s">
        <v>477</v>
      </c>
      <c r="C294" t="s">
        <v>480</v>
      </c>
      <c r="D294" t="s">
        <v>447</v>
      </c>
      <c r="E294">
        <v>2</v>
      </c>
      <c r="F294" s="2">
        <v>48000</v>
      </c>
      <c r="G294" s="2">
        <v>46905</v>
      </c>
      <c r="H294" t="s">
        <v>105</v>
      </c>
      <c r="I294" t="s">
        <v>104</v>
      </c>
      <c r="J294" t="s">
        <v>101</v>
      </c>
      <c r="K294">
        <v>88.822999999999993</v>
      </c>
      <c r="L294" t="s">
        <v>101</v>
      </c>
      <c r="M294">
        <v>4.03</v>
      </c>
      <c r="N294">
        <v>4.03</v>
      </c>
      <c r="O294" t="s">
        <v>101</v>
      </c>
      <c r="P294" t="s">
        <v>448</v>
      </c>
      <c r="Q294" t="s">
        <v>481</v>
      </c>
      <c r="R294" t="s">
        <v>482</v>
      </c>
    </row>
    <row r="295" spans="1:18" x14ac:dyDescent="0.5">
      <c r="A295" t="str">
        <f>"60535QYG9"</f>
        <v>60535QYG9</v>
      </c>
      <c r="B295" t="s">
        <v>483</v>
      </c>
      <c r="C295" t="s">
        <v>484</v>
      </c>
      <c r="D295" t="s">
        <v>447</v>
      </c>
      <c r="E295">
        <v>1.6</v>
      </c>
      <c r="F295" s="2">
        <v>48000</v>
      </c>
      <c r="G295" s="2">
        <v>47818</v>
      </c>
      <c r="H295" t="s">
        <v>104</v>
      </c>
      <c r="I295" t="s">
        <v>105</v>
      </c>
      <c r="J295" t="s">
        <v>101</v>
      </c>
      <c r="K295">
        <v>85.363</v>
      </c>
      <c r="L295" t="s">
        <v>101</v>
      </c>
      <c r="M295">
        <v>4.28</v>
      </c>
      <c r="N295">
        <v>4.28</v>
      </c>
      <c r="O295" t="s">
        <v>101</v>
      </c>
      <c r="P295" t="s">
        <v>448</v>
      </c>
      <c r="Q295" t="s">
        <v>485</v>
      </c>
      <c r="R295" t="s">
        <v>450</v>
      </c>
    </row>
    <row r="296" spans="1:18" x14ac:dyDescent="0.5">
      <c r="A296" t="str">
        <f>"93978TY60"</f>
        <v>93978TY60</v>
      </c>
      <c r="B296" t="s">
        <v>486</v>
      </c>
      <c r="C296" t="s">
        <v>487</v>
      </c>
      <c r="D296" t="s">
        <v>447</v>
      </c>
      <c r="E296">
        <v>1.95</v>
      </c>
      <c r="F296" s="2">
        <v>48000</v>
      </c>
      <c r="G296" s="2" t="s">
        <v>101</v>
      </c>
      <c r="H296" t="s">
        <v>104</v>
      </c>
      <c r="I296" t="s">
        <v>105</v>
      </c>
      <c r="J296" t="s">
        <v>101</v>
      </c>
      <c r="K296">
        <v>88.492999999999995</v>
      </c>
      <c r="L296" t="s">
        <v>101</v>
      </c>
      <c r="M296">
        <v>4.0410000000000004</v>
      </c>
      <c r="N296">
        <v>4.0410000000000004</v>
      </c>
      <c r="O296" t="s">
        <v>101</v>
      </c>
      <c r="P296" t="s">
        <v>448</v>
      </c>
      <c r="Q296" t="s">
        <v>488</v>
      </c>
      <c r="R296" t="s">
        <v>450</v>
      </c>
    </row>
    <row r="297" spans="1:18" x14ac:dyDescent="0.5">
      <c r="A297" t="str">
        <f>"0135187Z2"</f>
        <v>0135187Z2</v>
      </c>
      <c r="B297" t="s">
        <v>489</v>
      </c>
      <c r="C297" t="s">
        <v>490</v>
      </c>
      <c r="D297" t="s">
        <v>447</v>
      </c>
      <c r="E297">
        <v>2</v>
      </c>
      <c r="F297" s="2">
        <v>48030</v>
      </c>
      <c r="G297" s="2">
        <v>46935</v>
      </c>
      <c r="H297" t="s">
        <v>105</v>
      </c>
      <c r="I297" t="s">
        <v>104</v>
      </c>
      <c r="J297" t="s">
        <v>101</v>
      </c>
      <c r="K297">
        <v>88.781999999999996</v>
      </c>
      <c r="L297" t="s">
        <v>101</v>
      </c>
      <c r="M297">
        <v>4.0129999999999999</v>
      </c>
      <c r="N297">
        <v>4.0129999999999999</v>
      </c>
      <c r="O297" t="s">
        <v>101</v>
      </c>
      <c r="P297" t="s">
        <v>448</v>
      </c>
      <c r="Q297" t="s">
        <v>485</v>
      </c>
      <c r="R297" t="s">
        <v>482</v>
      </c>
    </row>
    <row r="298" spans="1:18" x14ac:dyDescent="0.5">
      <c r="A298" t="str">
        <f>"45202BJM9"</f>
        <v>45202BJM9</v>
      </c>
      <c r="B298" t="s">
        <v>491</v>
      </c>
      <c r="C298" t="s">
        <v>492</v>
      </c>
      <c r="D298" t="s">
        <v>447</v>
      </c>
      <c r="E298">
        <v>1.8</v>
      </c>
      <c r="F298" s="2">
        <v>48030</v>
      </c>
      <c r="G298" s="2">
        <v>47665</v>
      </c>
      <c r="H298" t="s">
        <v>104</v>
      </c>
      <c r="I298" t="s">
        <v>105</v>
      </c>
      <c r="J298" t="s">
        <v>101</v>
      </c>
      <c r="K298">
        <v>85.944000000000003</v>
      </c>
      <c r="L298" t="s">
        <v>101</v>
      </c>
      <c r="M298">
        <v>4.3499999999999996</v>
      </c>
      <c r="N298">
        <v>4.3499999999999996</v>
      </c>
      <c r="O298" t="s">
        <v>101</v>
      </c>
      <c r="P298" t="s">
        <v>448</v>
      </c>
      <c r="Q298" t="s">
        <v>457</v>
      </c>
      <c r="R298" t="s">
        <v>450</v>
      </c>
    </row>
    <row r="299" spans="1:18" x14ac:dyDescent="0.5">
      <c r="A299" t="str">
        <f>"363335BN9"</f>
        <v>363335BN9</v>
      </c>
      <c r="B299" t="s">
        <v>451</v>
      </c>
      <c r="C299" t="s">
        <v>493</v>
      </c>
      <c r="D299" t="s">
        <v>447</v>
      </c>
      <c r="E299">
        <v>2.5</v>
      </c>
      <c r="F299" s="2">
        <v>48075</v>
      </c>
      <c r="G299" s="2">
        <v>46249</v>
      </c>
      <c r="H299" t="s">
        <v>105</v>
      </c>
      <c r="I299" t="s">
        <v>104</v>
      </c>
      <c r="J299" t="s">
        <v>101</v>
      </c>
      <c r="K299">
        <v>91.302000000000007</v>
      </c>
      <c r="L299" t="s">
        <v>101</v>
      </c>
      <c r="M299">
        <v>4.0359999999999996</v>
      </c>
      <c r="N299">
        <v>4.0359999999999996</v>
      </c>
      <c r="O299" t="s">
        <v>101</v>
      </c>
      <c r="P299" t="s">
        <v>448</v>
      </c>
      <c r="Q299" t="s">
        <v>488</v>
      </c>
      <c r="R299" t="s">
        <v>482</v>
      </c>
    </row>
    <row r="300" spans="1:18" x14ac:dyDescent="0.5">
      <c r="A300" t="str">
        <f>"478497ZL7"</f>
        <v>478497ZL7</v>
      </c>
      <c r="B300" t="s">
        <v>494</v>
      </c>
      <c r="C300" t="s">
        <v>495</v>
      </c>
      <c r="D300" t="s">
        <v>447</v>
      </c>
      <c r="E300">
        <v>2.375</v>
      </c>
      <c r="F300" s="2">
        <v>48092</v>
      </c>
      <c r="G300" s="2">
        <v>46266</v>
      </c>
      <c r="H300" t="s">
        <v>104</v>
      </c>
      <c r="I300" t="s">
        <v>104</v>
      </c>
      <c r="J300" t="s">
        <v>101</v>
      </c>
      <c r="K300">
        <v>89.45</v>
      </c>
      <c r="L300" t="s">
        <v>101</v>
      </c>
      <c r="M300">
        <v>4.24</v>
      </c>
      <c r="N300">
        <v>4.24</v>
      </c>
      <c r="O300" t="s">
        <v>101</v>
      </c>
      <c r="P300" t="s">
        <v>448</v>
      </c>
      <c r="Q300" t="s">
        <v>457</v>
      </c>
      <c r="R300" t="s">
        <v>450</v>
      </c>
    </row>
    <row r="301" spans="1:18" x14ac:dyDescent="0.5">
      <c r="A301" t="str">
        <f>"4897827Q9"</f>
        <v>4897827Q9</v>
      </c>
      <c r="B301" t="s">
        <v>496</v>
      </c>
      <c r="C301" t="s">
        <v>497</v>
      </c>
      <c r="D301" t="s">
        <v>447</v>
      </c>
      <c r="E301">
        <v>1.5</v>
      </c>
      <c r="F301" s="2">
        <v>48092</v>
      </c>
      <c r="G301" s="2">
        <v>46997</v>
      </c>
      <c r="H301" t="s">
        <v>105</v>
      </c>
      <c r="I301" t="s">
        <v>104</v>
      </c>
      <c r="J301" t="s">
        <v>101</v>
      </c>
      <c r="K301">
        <v>84.29</v>
      </c>
      <c r="L301" t="s">
        <v>101</v>
      </c>
      <c r="M301">
        <v>4.2809999999999997</v>
      </c>
      <c r="N301">
        <v>4.2809999999999997</v>
      </c>
      <c r="O301" t="s">
        <v>101</v>
      </c>
      <c r="P301" t="s">
        <v>448</v>
      </c>
      <c r="Q301" t="s">
        <v>498</v>
      </c>
      <c r="R301" t="s">
        <v>454</v>
      </c>
    </row>
    <row r="302" spans="1:18" x14ac:dyDescent="0.5">
      <c r="A302" t="str">
        <f>"72316WF93"</f>
        <v>72316WF93</v>
      </c>
      <c r="B302" t="s">
        <v>499</v>
      </c>
      <c r="C302" t="s">
        <v>500</v>
      </c>
      <c r="D302" t="s">
        <v>447</v>
      </c>
      <c r="E302">
        <v>1.9</v>
      </c>
      <c r="F302" s="2">
        <v>48092</v>
      </c>
      <c r="G302" s="2">
        <v>47727</v>
      </c>
      <c r="H302" t="s">
        <v>104</v>
      </c>
      <c r="I302" t="s">
        <v>105</v>
      </c>
      <c r="J302" t="s">
        <v>101</v>
      </c>
      <c r="K302">
        <v>86.186999999999998</v>
      </c>
      <c r="L302" t="s">
        <v>101</v>
      </c>
      <c r="M302">
        <v>4.351</v>
      </c>
      <c r="N302">
        <v>4.351</v>
      </c>
      <c r="O302" t="s">
        <v>101</v>
      </c>
      <c r="P302" t="s">
        <v>448</v>
      </c>
      <c r="Q302" t="s">
        <v>457</v>
      </c>
      <c r="R302" t="s">
        <v>450</v>
      </c>
    </row>
    <row r="303" spans="1:18" x14ac:dyDescent="0.5">
      <c r="A303" t="str">
        <f>"659666C58"</f>
        <v>659666C58</v>
      </c>
      <c r="B303" t="s">
        <v>455</v>
      </c>
      <c r="C303" t="s">
        <v>501</v>
      </c>
      <c r="D303" t="s">
        <v>447</v>
      </c>
      <c r="E303">
        <v>2</v>
      </c>
      <c r="F303" s="2">
        <v>48106</v>
      </c>
      <c r="G303" s="2">
        <v>46645</v>
      </c>
      <c r="H303" t="s">
        <v>104</v>
      </c>
      <c r="I303" t="s">
        <v>105</v>
      </c>
      <c r="J303" t="s">
        <v>101</v>
      </c>
      <c r="K303">
        <v>87.730999999999995</v>
      </c>
      <c r="L303" t="s">
        <v>101</v>
      </c>
      <c r="M303">
        <v>4.1509999999999998</v>
      </c>
      <c r="N303">
        <v>4.1509999999999998</v>
      </c>
      <c r="O303" t="s">
        <v>101</v>
      </c>
      <c r="P303" t="s">
        <v>448</v>
      </c>
      <c r="Q303" t="s">
        <v>485</v>
      </c>
      <c r="R303" t="s">
        <v>454</v>
      </c>
    </row>
    <row r="304" spans="1:18" x14ac:dyDescent="0.5">
      <c r="A304" t="str">
        <f>"574204N74"</f>
        <v>574204N74</v>
      </c>
      <c r="B304" t="s">
        <v>462</v>
      </c>
      <c r="C304" t="s">
        <v>502</v>
      </c>
      <c r="D304" t="s">
        <v>447</v>
      </c>
      <c r="E304">
        <v>2.125</v>
      </c>
      <c r="F304" s="2">
        <v>48122</v>
      </c>
      <c r="G304" s="2">
        <v>46661</v>
      </c>
      <c r="H304" t="s">
        <v>104</v>
      </c>
      <c r="I304" t="s">
        <v>104</v>
      </c>
      <c r="J304" t="s">
        <v>101</v>
      </c>
      <c r="K304">
        <v>88.73</v>
      </c>
      <c r="L304" t="s">
        <v>101</v>
      </c>
      <c r="M304">
        <v>4.085</v>
      </c>
      <c r="N304">
        <v>4.085</v>
      </c>
      <c r="O304" t="s">
        <v>101</v>
      </c>
      <c r="P304" t="s">
        <v>448</v>
      </c>
      <c r="Q304" t="s">
        <v>503</v>
      </c>
      <c r="R304" t="s">
        <v>504</v>
      </c>
    </row>
    <row r="305" spans="1:18" x14ac:dyDescent="0.5">
      <c r="A305" t="str">
        <f>"20775HEP4"</f>
        <v>20775HEP4</v>
      </c>
      <c r="B305" t="s">
        <v>473</v>
      </c>
      <c r="C305" t="s">
        <v>505</v>
      </c>
      <c r="D305" t="s">
        <v>447</v>
      </c>
      <c r="E305">
        <v>1.5</v>
      </c>
      <c r="F305" s="2">
        <v>48167</v>
      </c>
      <c r="G305" s="2">
        <v>47618</v>
      </c>
      <c r="H305" t="s">
        <v>104</v>
      </c>
      <c r="I305" t="s">
        <v>104</v>
      </c>
      <c r="J305" t="s">
        <v>101</v>
      </c>
      <c r="K305">
        <v>84.98</v>
      </c>
      <c r="L305" t="s">
        <v>101</v>
      </c>
      <c r="M305">
        <v>4.07</v>
      </c>
      <c r="N305">
        <v>4.07</v>
      </c>
      <c r="O305" t="s">
        <v>101</v>
      </c>
      <c r="P305" t="s">
        <v>448</v>
      </c>
      <c r="Q305" t="s">
        <v>475</v>
      </c>
      <c r="R305" t="s">
        <v>506</v>
      </c>
    </row>
    <row r="306" spans="1:18" x14ac:dyDescent="0.5">
      <c r="A306" t="str">
        <f>"01170RHY1"</f>
        <v>01170RHY1</v>
      </c>
      <c r="B306" t="s">
        <v>507</v>
      </c>
      <c r="C306" t="s">
        <v>508</v>
      </c>
      <c r="D306" t="s">
        <v>447</v>
      </c>
      <c r="E306">
        <v>2.2000000000000002</v>
      </c>
      <c r="F306" s="2">
        <v>48183</v>
      </c>
      <c r="G306" s="2">
        <v>46905</v>
      </c>
      <c r="H306" t="s">
        <v>104</v>
      </c>
      <c r="I306" t="s">
        <v>509</v>
      </c>
      <c r="J306" t="s">
        <v>101</v>
      </c>
      <c r="K306">
        <v>87.236999999999995</v>
      </c>
      <c r="L306" t="s">
        <v>101</v>
      </c>
      <c r="M306">
        <v>4.3949999999999996</v>
      </c>
      <c r="N306">
        <v>4.3949999999999996</v>
      </c>
      <c r="O306" t="s">
        <v>101</v>
      </c>
      <c r="P306" t="s">
        <v>448</v>
      </c>
      <c r="Q306" t="s">
        <v>488</v>
      </c>
      <c r="R306" t="s">
        <v>506</v>
      </c>
    </row>
    <row r="307" spans="1:18" x14ac:dyDescent="0.5">
      <c r="A307" t="str">
        <f>"01170RLR1"</f>
        <v>01170RLR1</v>
      </c>
      <c r="B307" t="s">
        <v>507</v>
      </c>
      <c r="C307" t="s">
        <v>510</v>
      </c>
      <c r="D307" t="s">
        <v>447</v>
      </c>
      <c r="E307">
        <v>1.9</v>
      </c>
      <c r="F307" s="2">
        <v>48183</v>
      </c>
      <c r="G307" s="2">
        <v>47818</v>
      </c>
      <c r="H307" t="s">
        <v>104</v>
      </c>
      <c r="I307" t="s">
        <v>509</v>
      </c>
      <c r="J307" t="s">
        <v>101</v>
      </c>
      <c r="K307">
        <v>86.28</v>
      </c>
      <c r="L307" t="s">
        <v>101</v>
      </c>
      <c r="M307">
        <v>4.2480000000000002</v>
      </c>
      <c r="N307">
        <v>4.2480000000000002</v>
      </c>
      <c r="O307" t="s">
        <v>101</v>
      </c>
      <c r="P307" t="s">
        <v>448</v>
      </c>
      <c r="Q307" t="s">
        <v>457</v>
      </c>
      <c r="R307" t="s">
        <v>450</v>
      </c>
    </row>
    <row r="308" spans="1:18" x14ac:dyDescent="0.5">
      <c r="A308" t="str">
        <f>"213453LT8"</f>
        <v>213453LT8</v>
      </c>
      <c r="B308" t="s">
        <v>491</v>
      </c>
      <c r="C308" t="s">
        <v>511</v>
      </c>
      <c r="D308" t="s">
        <v>447</v>
      </c>
      <c r="E308">
        <v>2</v>
      </c>
      <c r="F308" s="2">
        <v>48183</v>
      </c>
      <c r="G308" s="2">
        <v>47453</v>
      </c>
      <c r="H308" t="s">
        <v>104</v>
      </c>
      <c r="I308" t="s">
        <v>105</v>
      </c>
      <c r="J308" t="s">
        <v>101</v>
      </c>
      <c r="K308">
        <v>87.15</v>
      </c>
      <c r="L308" t="s">
        <v>101</v>
      </c>
      <c r="M308">
        <v>4.1950000000000003</v>
      </c>
      <c r="N308">
        <v>4.1950000000000003</v>
      </c>
      <c r="O308" t="s">
        <v>101</v>
      </c>
      <c r="P308" t="s">
        <v>448</v>
      </c>
      <c r="Q308" t="s">
        <v>512</v>
      </c>
      <c r="R308" t="s">
        <v>454</v>
      </c>
    </row>
    <row r="309" spans="1:18" x14ac:dyDescent="0.5">
      <c r="A309" t="str">
        <f>"60535QXE5"</f>
        <v>60535QXE5</v>
      </c>
      <c r="B309" t="s">
        <v>483</v>
      </c>
      <c r="C309" t="s">
        <v>513</v>
      </c>
      <c r="D309" t="s">
        <v>447</v>
      </c>
      <c r="E309">
        <v>1.65</v>
      </c>
      <c r="F309" s="2">
        <v>48183</v>
      </c>
      <c r="G309" s="2">
        <v>47635</v>
      </c>
      <c r="H309" t="s">
        <v>104</v>
      </c>
      <c r="I309" t="s">
        <v>105</v>
      </c>
      <c r="J309" t="s">
        <v>101</v>
      </c>
      <c r="K309">
        <v>84.18</v>
      </c>
      <c r="L309" t="s">
        <v>101</v>
      </c>
      <c r="M309">
        <v>4.3689999999999998</v>
      </c>
      <c r="N309">
        <v>4.3689999999999998</v>
      </c>
      <c r="O309" t="s">
        <v>101</v>
      </c>
      <c r="P309" t="s">
        <v>448</v>
      </c>
      <c r="Q309" t="s">
        <v>457</v>
      </c>
      <c r="R309" t="s">
        <v>450</v>
      </c>
    </row>
    <row r="310" spans="1:18" x14ac:dyDescent="0.5">
      <c r="A310" t="str">
        <f>"93978TV30"</f>
        <v>93978TV30</v>
      </c>
      <c r="B310" t="s">
        <v>486</v>
      </c>
      <c r="C310" t="s">
        <v>514</v>
      </c>
      <c r="D310" t="s">
        <v>447</v>
      </c>
      <c r="E310">
        <v>1.75</v>
      </c>
      <c r="F310" s="2">
        <v>48183</v>
      </c>
      <c r="G310" s="2">
        <v>47635</v>
      </c>
      <c r="H310" t="s">
        <v>104</v>
      </c>
      <c r="I310" t="s">
        <v>105</v>
      </c>
      <c r="J310" t="s">
        <v>101</v>
      </c>
      <c r="K310">
        <v>85.409000000000006</v>
      </c>
      <c r="L310" t="s">
        <v>101</v>
      </c>
      <c r="M310">
        <v>4.2469999999999999</v>
      </c>
      <c r="N310">
        <v>4.2469999999999999</v>
      </c>
      <c r="O310" t="s">
        <v>101</v>
      </c>
      <c r="P310" t="s">
        <v>448</v>
      </c>
      <c r="Q310" t="s">
        <v>460</v>
      </c>
      <c r="R310" t="s">
        <v>450</v>
      </c>
    </row>
    <row r="311" spans="1:18" x14ac:dyDescent="0.5">
      <c r="A311" t="str">
        <f>"23410NCX1"</f>
        <v>23410NCX1</v>
      </c>
      <c r="B311" t="s">
        <v>515</v>
      </c>
      <c r="C311" t="s">
        <v>516</v>
      </c>
      <c r="D311" t="s">
        <v>447</v>
      </c>
      <c r="E311">
        <v>2</v>
      </c>
      <c r="F311" s="2">
        <v>48214</v>
      </c>
      <c r="G311" s="2">
        <v>47484</v>
      </c>
      <c r="H311" t="s">
        <v>104</v>
      </c>
      <c r="I311" t="s">
        <v>104</v>
      </c>
      <c r="J311" t="s">
        <v>101</v>
      </c>
      <c r="K311">
        <v>87.09</v>
      </c>
      <c r="L311" t="s">
        <v>101</v>
      </c>
      <c r="M311">
        <v>4.181</v>
      </c>
      <c r="N311">
        <v>4.181</v>
      </c>
      <c r="O311" t="s">
        <v>101</v>
      </c>
      <c r="P311" t="s">
        <v>448</v>
      </c>
      <c r="Q311" t="s">
        <v>517</v>
      </c>
      <c r="R311" t="s">
        <v>504</v>
      </c>
    </row>
    <row r="312" spans="1:18" x14ac:dyDescent="0.5">
      <c r="A312" t="str">
        <f>"45505TUV1"</f>
        <v>45505TUV1</v>
      </c>
      <c r="B312" t="s">
        <v>518</v>
      </c>
      <c r="C312" t="s">
        <v>519</v>
      </c>
      <c r="D312" t="s">
        <v>447</v>
      </c>
      <c r="E312">
        <v>2.0499999999999998</v>
      </c>
      <c r="F312" s="2">
        <v>48214</v>
      </c>
      <c r="G312" s="2">
        <v>47665</v>
      </c>
      <c r="H312" t="s">
        <v>104</v>
      </c>
      <c r="I312" t="s">
        <v>105</v>
      </c>
      <c r="J312" t="s">
        <v>101</v>
      </c>
      <c r="K312">
        <v>86.198999999999998</v>
      </c>
      <c r="L312" t="s">
        <v>101</v>
      </c>
      <c r="M312">
        <v>4.399</v>
      </c>
      <c r="N312">
        <v>4.399</v>
      </c>
      <c r="O312" t="s">
        <v>101</v>
      </c>
      <c r="P312" t="s">
        <v>448</v>
      </c>
      <c r="Q312" t="s">
        <v>520</v>
      </c>
      <c r="R312" t="s">
        <v>450</v>
      </c>
    </row>
    <row r="313" spans="1:18" x14ac:dyDescent="0.5">
      <c r="A313" t="str">
        <f>"560245JU7"</f>
        <v>560245JU7</v>
      </c>
      <c r="B313" t="s">
        <v>477</v>
      </c>
      <c r="C313" t="s">
        <v>521</v>
      </c>
      <c r="D313" t="s">
        <v>447</v>
      </c>
      <c r="E313">
        <v>2</v>
      </c>
      <c r="F313" s="2">
        <v>48228</v>
      </c>
      <c r="G313" s="2">
        <v>46767</v>
      </c>
      <c r="H313" t="s">
        <v>105</v>
      </c>
      <c r="I313" t="s">
        <v>104</v>
      </c>
      <c r="J313" t="s">
        <v>101</v>
      </c>
      <c r="K313">
        <v>87.445999999999998</v>
      </c>
      <c r="L313" t="s">
        <v>101</v>
      </c>
      <c r="M313">
        <v>4.1050000000000004</v>
      </c>
      <c r="N313">
        <v>4.1050000000000004</v>
      </c>
      <c r="O313" t="s">
        <v>101</v>
      </c>
      <c r="P313" t="s">
        <v>448</v>
      </c>
      <c r="Q313" t="s">
        <v>457</v>
      </c>
      <c r="R313" t="s">
        <v>454</v>
      </c>
    </row>
    <row r="314" spans="1:18" x14ac:dyDescent="0.5">
      <c r="A314" t="str">
        <f>"505468BV9"</f>
        <v>505468BV9</v>
      </c>
      <c r="B314" t="s">
        <v>515</v>
      </c>
      <c r="C314" t="s">
        <v>522</v>
      </c>
      <c r="D314" t="s">
        <v>447</v>
      </c>
      <c r="E314">
        <v>2</v>
      </c>
      <c r="F314" s="2">
        <v>48245</v>
      </c>
      <c r="G314" s="2">
        <v>46784</v>
      </c>
      <c r="H314" t="s">
        <v>105</v>
      </c>
      <c r="I314" t="s">
        <v>104</v>
      </c>
      <c r="J314" t="s">
        <v>101</v>
      </c>
      <c r="K314">
        <v>86.986000000000004</v>
      </c>
      <c r="L314" t="s">
        <v>101</v>
      </c>
      <c r="M314">
        <v>4.1760000000000002</v>
      </c>
      <c r="N314">
        <v>4.1760000000000002</v>
      </c>
      <c r="O314" t="s">
        <v>101</v>
      </c>
      <c r="P314" t="s">
        <v>448</v>
      </c>
      <c r="Q314" t="s">
        <v>503</v>
      </c>
      <c r="R314" t="s">
        <v>482</v>
      </c>
    </row>
    <row r="315" spans="1:18" x14ac:dyDescent="0.5">
      <c r="A315" t="str">
        <f>"536699LR0"</f>
        <v>536699LR0</v>
      </c>
      <c r="B315" t="s">
        <v>515</v>
      </c>
      <c r="C315" t="s">
        <v>523</v>
      </c>
      <c r="D315" t="s">
        <v>447</v>
      </c>
      <c r="E315">
        <v>2</v>
      </c>
      <c r="F315" s="2">
        <v>48245</v>
      </c>
      <c r="G315" s="2">
        <v>46784</v>
      </c>
      <c r="H315" t="s">
        <v>105</v>
      </c>
      <c r="I315" t="s">
        <v>104</v>
      </c>
      <c r="J315" t="s">
        <v>101</v>
      </c>
      <c r="K315">
        <v>87.516999999999996</v>
      </c>
      <c r="L315" t="s">
        <v>101</v>
      </c>
      <c r="M315">
        <v>4.08</v>
      </c>
      <c r="N315">
        <v>4.08</v>
      </c>
      <c r="O315" t="s">
        <v>101</v>
      </c>
      <c r="P315" t="s">
        <v>448</v>
      </c>
      <c r="Q315" t="s">
        <v>524</v>
      </c>
      <c r="R315" t="s">
        <v>454</v>
      </c>
    </row>
    <row r="316" spans="1:18" x14ac:dyDescent="0.5">
      <c r="A316" t="str">
        <f>"771614TA2"</f>
        <v>771614TA2</v>
      </c>
      <c r="B316" t="s">
        <v>515</v>
      </c>
      <c r="C316" t="s">
        <v>525</v>
      </c>
      <c r="D316" t="s">
        <v>447</v>
      </c>
      <c r="E316">
        <v>2</v>
      </c>
      <c r="F316" s="2">
        <v>48245</v>
      </c>
      <c r="G316" s="2">
        <v>46784</v>
      </c>
      <c r="H316" t="s">
        <v>105</v>
      </c>
      <c r="I316" t="s">
        <v>104</v>
      </c>
      <c r="J316" t="s">
        <v>101</v>
      </c>
      <c r="K316">
        <v>86.555000000000007</v>
      </c>
      <c r="L316" t="s">
        <v>101</v>
      </c>
      <c r="M316">
        <v>4.2539999999999996</v>
      </c>
      <c r="N316">
        <v>4.2539999999999996</v>
      </c>
      <c r="O316" t="s">
        <v>101</v>
      </c>
      <c r="P316" t="s">
        <v>448</v>
      </c>
      <c r="Q316" t="s">
        <v>457</v>
      </c>
      <c r="R316" t="s">
        <v>454</v>
      </c>
    </row>
    <row r="317" spans="1:18" x14ac:dyDescent="0.5">
      <c r="A317" t="str">
        <f>"791740P64"</f>
        <v>791740P64</v>
      </c>
      <c r="B317" t="s">
        <v>515</v>
      </c>
      <c r="C317" t="s">
        <v>526</v>
      </c>
      <c r="D317" t="s">
        <v>447</v>
      </c>
      <c r="E317">
        <v>2</v>
      </c>
      <c r="F317" s="2">
        <v>48245</v>
      </c>
      <c r="G317" s="2">
        <v>47150</v>
      </c>
      <c r="H317" t="s">
        <v>105</v>
      </c>
      <c r="I317" t="s">
        <v>104</v>
      </c>
      <c r="J317" t="s">
        <v>101</v>
      </c>
      <c r="K317">
        <v>86.89</v>
      </c>
      <c r="L317" t="s">
        <v>101</v>
      </c>
      <c r="M317">
        <v>4.1929999999999996</v>
      </c>
      <c r="N317">
        <v>4.1929999999999996</v>
      </c>
      <c r="O317" t="s">
        <v>101</v>
      </c>
      <c r="P317" t="s">
        <v>448</v>
      </c>
      <c r="Q317" t="s">
        <v>527</v>
      </c>
      <c r="R317" t="s">
        <v>504</v>
      </c>
    </row>
    <row r="318" spans="1:18" x14ac:dyDescent="0.5">
      <c r="A318" t="str">
        <f>"885718MH6"</f>
        <v>885718MH6</v>
      </c>
      <c r="B318" t="s">
        <v>515</v>
      </c>
      <c r="C318" t="s">
        <v>528</v>
      </c>
      <c r="D318" t="s">
        <v>447</v>
      </c>
      <c r="E318">
        <v>2</v>
      </c>
      <c r="F318" s="2">
        <v>48245</v>
      </c>
      <c r="G318" s="2">
        <v>47150</v>
      </c>
      <c r="H318" t="s">
        <v>104</v>
      </c>
      <c r="I318" t="s">
        <v>105</v>
      </c>
      <c r="J318" t="s">
        <v>101</v>
      </c>
      <c r="K318">
        <v>87.33</v>
      </c>
      <c r="L318" t="s">
        <v>101</v>
      </c>
      <c r="M318">
        <v>4.1139999999999999</v>
      </c>
      <c r="N318">
        <v>4.1139999999999999</v>
      </c>
      <c r="O318" t="s">
        <v>101</v>
      </c>
      <c r="P318" t="s">
        <v>448</v>
      </c>
      <c r="Q318" t="s">
        <v>457</v>
      </c>
      <c r="R318" t="s">
        <v>454</v>
      </c>
    </row>
    <row r="319" spans="1:18" x14ac:dyDescent="0.5">
      <c r="A319" t="str">
        <f>"937785VQ3"</f>
        <v>937785VQ3</v>
      </c>
      <c r="B319" t="s">
        <v>515</v>
      </c>
      <c r="C319" t="s">
        <v>529</v>
      </c>
      <c r="D319" t="s">
        <v>447</v>
      </c>
      <c r="E319">
        <v>2</v>
      </c>
      <c r="F319" s="2">
        <v>48245</v>
      </c>
      <c r="G319" s="2">
        <v>46784</v>
      </c>
      <c r="H319" t="s">
        <v>104</v>
      </c>
      <c r="I319" t="s">
        <v>104</v>
      </c>
      <c r="J319" t="s">
        <v>101</v>
      </c>
      <c r="K319">
        <v>87.144000000000005</v>
      </c>
      <c r="L319" t="s">
        <v>101</v>
      </c>
      <c r="M319">
        <v>4.1470000000000002</v>
      </c>
      <c r="N319">
        <v>4.1470000000000002</v>
      </c>
      <c r="O319" t="s">
        <v>101</v>
      </c>
      <c r="P319" t="s">
        <v>448</v>
      </c>
      <c r="Q319" t="s">
        <v>485</v>
      </c>
      <c r="R319" t="s">
        <v>482</v>
      </c>
    </row>
    <row r="320" spans="1:18" x14ac:dyDescent="0.5">
      <c r="A320" t="str">
        <f>"464723FN0"</f>
        <v>464723FN0</v>
      </c>
      <c r="B320" t="s">
        <v>455</v>
      </c>
      <c r="C320" t="s">
        <v>530</v>
      </c>
      <c r="D320" t="s">
        <v>447</v>
      </c>
      <c r="E320">
        <v>2</v>
      </c>
      <c r="F320" s="2">
        <v>48335</v>
      </c>
      <c r="G320" s="2">
        <v>47239</v>
      </c>
      <c r="H320" t="s">
        <v>104</v>
      </c>
      <c r="I320" t="s">
        <v>105</v>
      </c>
      <c r="J320" t="s">
        <v>101</v>
      </c>
      <c r="K320">
        <v>87.051000000000002</v>
      </c>
      <c r="L320" t="s">
        <v>101</v>
      </c>
      <c r="M320">
        <v>4.0940000000000003</v>
      </c>
      <c r="N320">
        <v>4.0940000000000003</v>
      </c>
      <c r="O320" t="s">
        <v>101</v>
      </c>
      <c r="P320" t="s">
        <v>448</v>
      </c>
      <c r="Q320" t="s">
        <v>457</v>
      </c>
      <c r="R320" t="s">
        <v>482</v>
      </c>
    </row>
    <row r="321" spans="1:18" x14ac:dyDescent="0.5">
      <c r="A321" t="str">
        <f>"93978TN39"</f>
        <v>93978TN39</v>
      </c>
      <c r="B321" t="s">
        <v>486</v>
      </c>
      <c r="C321" t="s">
        <v>531</v>
      </c>
      <c r="D321" t="s">
        <v>447</v>
      </c>
      <c r="E321">
        <v>2.4</v>
      </c>
      <c r="F321" s="2">
        <v>48366</v>
      </c>
      <c r="G321" s="2">
        <v>47270</v>
      </c>
      <c r="H321" t="s">
        <v>104</v>
      </c>
      <c r="I321" t="s">
        <v>105</v>
      </c>
      <c r="J321" t="s">
        <v>101</v>
      </c>
      <c r="K321">
        <v>88.218999999999994</v>
      </c>
      <c r="L321" t="s">
        <v>101</v>
      </c>
      <c r="M321">
        <v>4.3</v>
      </c>
      <c r="N321">
        <v>4.3</v>
      </c>
      <c r="O321" t="s">
        <v>101</v>
      </c>
      <c r="P321" t="s">
        <v>448</v>
      </c>
      <c r="Q321" t="s">
        <v>453</v>
      </c>
      <c r="R321" t="s">
        <v>450</v>
      </c>
    </row>
    <row r="322" spans="1:18" x14ac:dyDescent="0.5">
      <c r="A322" t="str">
        <f>"462467YV7"</f>
        <v>462467YV7</v>
      </c>
      <c r="B322" t="s">
        <v>532</v>
      </c>
      <c r="C322" t="s">
        <v>533</v>
      </c>
      <c r="D322" t="s">
        <v>447</v>
      </c>
      <c r="E322">
        <v>2.2999999999999998</v>
      </c>
      <c r="F322" s="2">
        <v>48396</v>
      </c>
      <c r="G322" s="2">
        <v>47119</v>
      </c>
      <c r="H322" t="s">
        <v>104</v>
      </c>
      <c r="I322" t="s">
        <v>104</v>
      </c>
      <c r="J322" t="s">
        <v>101</v>
      </c>
      <c r="K322">
        <v>87.89</v>
      </c>
      <c r="L322" t="s">
        <v>101</v>
      </c>
      <c r="M322">
        <v>4.2290000000000001</v>
      </c>
      <c r="N322">
        <v>4.2290000000000001</v>
      </c>
      <c r="O322" t="s">
        <v>101</v>
      </c>
      <c r="P322" t="s">
        <v>448</v>
      </c>
      <c r="Q322" t="s">
        <v>457</v>
      </c>
      <c r="R322" t="s">
        <v>450</v>
      </c>
    </row>
    <row r="323" spans="1:18" x14ac:dyDescent="0.5">
      <c r="A323" t="str">
        <f>"720356H56"</f>
        <v>720356H56</v>
      </c>
      <c r="B323" t="s">
        <v>486</v>
      </c>
      <c r="C323" t="s">
        <v>534</v>
      </c>
      <c r="D323" t="s">
        <v>447</v>
      </c>
      <c r="E323">
        <v>2.25</v>
      </c>
      <c r="F323" s="2">
        <v>48396</v>
      </c>
      <c r="G323" s="2">
        <v>47300</v>
      </c>
      <c r="H323" t="s">
        <v>104</v>
      </c>
      <c r="I323" t="s">
        <v>509</v>
      </c>
      <c r="J323" t="s">
        <v>101</v>
      </c>
      <c r="K323">
        <v>88.24</v>
      </c>
      <c r="L323" t="s">
        <v>101</v>
      </c>
      <c r="M323">
        <v>4.1159999999999997</v>
      </c>
      <c r="N323">
        <v>4.1159999999999997</v>
      </c>
      <c r="O323" t="s">
        <v>101</v>
      </c>
      <c r="P323" t="s">
        <v>448</v>
      </c>
      <c r="Q323" t="s">
        <v>457</v>
      </c>
      <c r="R323" t="s">
        <v>504</v>
      </c>
    </row>
    <row r="324" spans="1:18" x14ac:dyDescent="0.5">
      <c r="A324" t="str">
        <f>"224350CZ9"</f>
        <v>224350CZ9</v>
      </c>
      <c r="B324" t="s">
        <v>477</v>
      </c>
      <c r="C324" t="s">
        <v>535</v>
      </c>
      <c r="D324" t="s">
        <v>447</v>
      </c>
      <c r="E324">
        <v>2.125</v>
      </c>
      <c r="F324" s="2">
        <v>48441</v>
      </c>
      <c r="G324" s="2">
        <v>47345</v>
      </c>
      <c r="H324" t="s">
        <v>105</v>
      </c>
      <c r="I324" t="s">
        <v>104</v>
      </c>
      <c r="J324" t="s">
        <v>101</v>
      </c>
      <c r="K324">
        <v>87.575999999999993</v>
      </c>
      <c r="L324" t="s">
        <v>101</v>
      </c>
      <c r="M324">
        <v>4.0650000000000004</v>
      </c>
      <c r="N324">
        <v>4.0650000000000004</v>
      </c>
      <c r="O324" t="s">
        <v>101</v>
      </c>
      <c r="P324" t="s">
        <v>448</v>
      </c>
      <c r="Q324" t="s">
        <v>479</v>
      </c>
      <c r="R324" t="s">
        <v>454</v>
      </c>
    </row>
    <row r="325" spans="1:18" x14ac:dyDescent="0.5">
      <c r="A325" t="str">
        <f>"363335BP4"</f>
        <v>363335BP4</v>
      </c>
      <c r="B325" t="s">
        <v>451</v>
      </c>
      <c r="C325" t="s">
        <v>536</v>
      </c>
      <c r="D325" t="s">
        <v>447</v>
      </c>
      <c r="E325">
        <v>2.5</v>
      </c>
      <c r="F325" s="2">
        <v>48441</v>
      </c>
      <c r="G325" s="2">
        <v>46249</v>
      </c>
      <c r="H325" t="s">
        <v>105</v>
      </c>
      <c r="I325" t="s">
        <v>104</v>
      </c>
      <c r="J325" t="s">
        <v>101</v>
      </c>
      <c r="K325">
        <v>90.363</v>
      </c>
      <c r="L325" t="s">
        <v>101</v>
      </c>
      <c r="M325">
        <v>4.0010000000000003</v>
      </c>
      <c r="N325">
        <v>4.0010000000000003</v>
      </c>
      <c r="O325" t="s">
        <v>101</v>
      </c>
      <c r="P325" t="s">
        <v>448</v>
      </c>
      <c r="Q325" t="s">
        <v>485</v>
      </c>
      <c r="R325" t="s">
        <v>454</v>
      </c>
    </row>
    <row r="326" spans="1:18" x14ac:dyDescent="0.5">
      <c r="A326" t="str">
        <f>"923345KK7"</f>
        <v>923345KK7</v>
      </c>
      <c r="B326" t="s">
        <v>451</v>
      </c>
      <c r="C326" t="s">
        <v>537</v>
      </c>
      <c r="D326" t="s">
        <v>447</v>
      </c>
      <c r="E326">
        <v>2.5</v>
      </c>
      <c r="F326" s="2">
        <v>48441</v>
      </c>
      <c r="G326" s="2">
        <v>45884</v>
      </c>
      <c r="H326" t="s">
        <v>105</v>
      </c>
      <c r="I326" t="s">
        <v>104</v>
      </c>
      <c r="J326" t="s">
        <v>101</v>
      </c>
      <c r="K326">
        <v>90.05</v>
      </c>
      <c r="L326" t="s">
        <v>101</v>
      </c>
      <c r="M326">
        <v>4.0529999999999999</v>
      </c>
      <c r="N326">
        <v>4.0529999999999999</v>
      </c>
      <c r="O326" t="s">
        <v>101</v>
      </c>
      <c r="P326" t="s">
        <v>448</v>
      </c>
      <c r="Q326" t="s">
        <v>538</v>
      </c>
      <c r="R326" t="s">
        <v>454</v>
      </c>
    </row>
    <row r="327" spans="1:18" x14ac:dyDescent="0.5">
      <c r="A327" t="str">
        <f>"95736VBX9"</f>
        <v>95736VBX9</v>
      </c>
      <c r="B327" t="s">
        <v>455</v>
      </c>
      <c r="C327" t="s">
        <v>539</v>
      </c>
      <c r="D327" t="s">
        <v>447</v>
      </c>
      <c r="E327">
        <v>2</v>
      </c>
      <c r="F327" s="2">
        <v>48502</v>
      </c>
      <c r="G327" s="2">
        <v>47406</v>
      </c>
      <c r="H327" t="s">
        <v>540</v>
      </c>
      <c r="I327" t="s">
        <v>104</v>
      </c>
      <c r="J327" t="s">
        <v>101</v>
      </c>
      <c r="K327">
        <v>86.433999999999997</v>
      </c>
      <c r="L327" t="s">
        <v>101</v>
      </c>
      <c r="M327">
        <v>4.08</v>
      </c>
      <c r="N327">
        <v>4.08</v>
      </c>
      <c r="O327" t="s">
        <v>101</v>
      </c>
      <c r="P327" t="s">
        <v>448</v>
      </c>
      <c r="Q327" t="s">
        <v>485</v>
      </c>
      <c r="R327" t="s">
        <v>454</v>
      </c>
    </row>
    <row r="328" spans="1:18" x14ac:dyDescent="0.5">
      <c r="A328" t="str">
        <f>"630412ZJ6"</f>
        <v>630412ZJ6</v>
      </c>
      <c r="B328" t="s">
        <v>491</v>
      </c>
      <c r="C328" t="s">
        <v>541</v>
      </c>
      <c r="D328" t="s">
        <v>447</v>
      </c>
      <c r="E328">
        <v>2</v>
      </c>
      <c r="F328" s="2">
        <v>48549</v>
      </c>
      <c r="G328" s="2">
        <v>47088</v>
      </c>
      <c r="H328" t="s">
        <v>104</v>
      </c>
      <c r="I328" t="s">
        <v>104</v>
      </c>
      <c r="J328" t="s">
        <v>101</v>
      </c>
      <c r="K328">
        <v>85.515000000000001</v>
      </c>
      <c r="L328" t="s">
        <v>101</v>
      </c>
      <c r="M328">
        <v>4.2</v>
      </c>
      <c r="N328">
        <v>4.2</v>
      </c>
      <c r="O328" t="s">
        <v>101</v>
      </c>
      <c r="P328" t="s">
        <v>448</v>
      </c>
      <c r="Q328" t="s">
        <v>542</v>
      </c>
      <c r="R328" t="s">
        <v>454</v>
      </c>
    </row>
    <row r="329" spans="1:18" x14ac:dyDescent="0.5">
      <c r="A329" t="str">
        <f>"508354XE2"</f>
        <v>508354XE2</v>
      </c>
      <c r="B329" t="s">
        <v>491</v>
      </c>
      <c r="C329" t="s">
        <v>543</v>
      </c>
      <c r="D329" t="s">
        <v>447</v>
      </c>
      <c r="E329">
        <v>2</v>
      </c>
      <c r="F329" s="2">
        <v>48563</v>
      </c>
      <c r="G329" s="2">
        <v>47467</v>
      </c>
      <c r="H329" t="s">
        <v>104</v>
      </c>
      <c r="I329" t="s">
        <v>105</v>
      </c>
      <c r="J329" t="s">
        <v>101</v>
      </c>
      <c r="K329">
        <v>84.61</v>
      </c>
      <c r="L329" t="s">
        <v>101</v>
      </c>
      <c r="M329">
        <v>4.34</v>
      </c>
      <c r="N329">
        <v>4.34</v>
      </c>
      <c r="O329" t="s">
        <v>101</v>
      </c>
      <c r="P329" t="s">
        <v>448</v>
      </c>
      <c r="Q329" t="s">
        <v>457</v>
      </c>
      <c r="R329" t="s">
        <v>482</v>
      </c>
    </row>
    <row r="330" spans="1:18" x14ac:dyDescent="0.5">
      <c r="A330" t="str">
        <f>"643136X82"</f>
        <v>643136X82</v>
      </c>
      <c r="B330" t="s">
        <v>473</v>
      </c>
      <c r="C330" t="s">
        <v>544</v>
      </c>
      <c r="D330" t="s">
        <v>447</v>
      </c>
      <c r="E330">
        <v>2</v>
      </c>
      <c r="F330" s="2">
        <v>48563</v>
      </c>
      <c r="G330" s="2">
        <v>47467</v>
      </c>
      <c r="H330" t="s">
        <v>104</v>
      </c>
      <c r="I330" t="s">
        <v>105</v>
      </c>
      <c r="J330" t="s">
        <v>101</v>
      </c>
      <c r="K330">
        <v>86.096000000000004</v>
      </c>
      <c r="L330" t="s">
        <v>101</v>
      </c>
      <c r="M330">
        <v>4.0940000000000003</v>
      </c>
      <c r="N330">
        <v>4.0940000000000003</v>
      </c>
      <c r="O330" t="s">
        <v>101</v>
      </c>
      <c r="P330" t="s">
        <v>448</v>
      </c>
      <c r="Q330" t="s">
        <v>460</v>
      </c>
      <c r="R330" t="s">
        <v>454</v>
      </c>
    </row>
    <row r="331" spans="1:18" x14ac:dyDescent="0.5">
      <c r="A331" t="str">
        <f>"850867CU4"</f>
        <v>850867CU4</v>
      </c>
      <c r="B331" t="s">
        <v>515</v>
      </c>
      <c r="C331" t="s">
        <v>545</v>
      </c>
      <c r="D331" t="s">
        <v>447</v>
      </c>
      <c r="E331">
        <v>2</v>
      </c>
      <c r="F331" s="2">
        <v>48611</v>
      </c>
      <c r="G331" s="2">
        <v>47150</v>
      </c>
      <c r="H331" t="s">
        <v>105</v>
      </c>
      <c r="I331" t="s">
        <v>104</v>
      </c>
      <c r="J331" t="s">
        <v>101</v>
      </c>
      <c r="K331">
        <v>84.948999999999998</v>
      </c>
      <c r="L331" t="s">
        <v>101</v>
      </c>
      <c r="M331">
        <v>4.25</v>
      </c>
      <c r="N331">
        <v>4.25</v>
      </c>
      <c r="O331" t="s">
        <v>101</v>
      </c>
      <c r="P331" t="s">
        <v>448</v>
      </c>
      <c r="Q331" t="s">
        <v>457</v>
      </c>
      <c r="R331" t="s">
        <v>454</v>
      </c>
    </row>
    <row r="332" spans="1:18" x14ac:dyDescent="0.5">
      <c r="A332" t="str">
        <f>"792897NW6"</f>
        <v>792897NW6</v>
      </c>
      <c r="B332" t="s">
        <v>515</v>
      </c>
      <c r="C332" t="s">
        <v>546</v>
      </c>
      <c r="D332" t="s">
        <v>447</v>
      </c>
      <c r="E332">
        <v>2.125</v>
      </c>
      <c r="F332" s="2">
        <v>48611</v>
      </c>
      <c r="G332" s="2">
        <v>46784</v>
      </c>
      <c r="H332" t="s">
        <v>540</v>
      </c>
      <c r="I332" t="s">
        <v>104</v>
      </c>
      <c r="J332" t="s">
        <v>101</v>
      </c>
      <c r="K332">
        <v>86.534999999999997</v>
      </c>
      <c r="L332" t="s">
        <v>101</v>
      </c>
      <c r="M332">
        <v>4.1280000000000001</v>
      </c>
      <c r="N332">
        <v>4.1280000000000001</v>
      </c>
      <c r="O332" t="s">
        <v>101</v>
      </c>
      <c r="P332" t="s">
        <v>448</v>
      </c>
      <c r="Q332" t="s">
        <v>485</v>
      </c>
      <c r="R332" t="s">
        <v>506</v>
      </c>
    </row>
    <row r="333" spans="1:18" x14ac:dyDescent="0.5">
      <c r="A333" t="str">
        <f>"967171QX0"</f>
        <v>967171QX0</v>
      </c>
      <c r="B333" t="s">
        <v>451</v>
      </c>
      <c r="C333" t="s">
        <v>547</v>
      </c>
      <c r="D333" t="s">
        <v>447</v>
      </c>
      <c r="E333">
        <v>1.7</v>
      </c>
      <c r="F333" s="2">
        <v>48611</v>
      </c>
      <c r="G333" s="2">
        <v>47515</v>
      </c>
      <c r="H333" t="s">
        <v>105</v>
      </c>
      <c r="I333" t="s">
        <v>104</v>
      </c>
      <c r="J333" t="s">
        <v>101</v>
      </c>
      <c r="K333">
        <v>84.456999999999994</v>
      </c>
      <c r="L333" t="s">
        <v>101</v>
      </c>
      <c r="M333">
        <v>4.0010000000000003</v>
      </c>
      <c r="N333">
        <v>4.0010000000000003</v>
      </c>
      <c r="O333" t="s">
        <v>101</v>
      </c>
      <c r="P333" t="s">
        <v>448</v>
      </c>
      <c r="Q333" t="s">
        <v>548</v>
      </c>
      <c r="R333" t="s">
        <v>482</v>
      </c>
    </row>
    <row r="334" spans="1:18" x14ac:dyDescent="0.5">
      <c r="A334" t="str">
        <f>"023015Q78"</f>
        <v>023015Q78</v>
      </c>
      <c r="B334" t="s">
        <v>451</v>
      </c>
      <c r="C334" t="s">
        <v>549</v>
      </c>
      <c r="D334" t="s">
        <v>447</v>
      </c>
      <c r="E334">
        <v>2</v>
      </c>
      <c r="F334" s="2">
        <v>48625</v>
      </c>
      <c r="G334" s="2">
        <v>47529</v>
      </c>
      <c r="H334" t="s">
        <v>105</v>
      </c>
      <c r="I334" t="s">
        <v>104</v>
      </c>
      <c r="J334" t="s">
        <v>101</v>
      </c>
      <c r="K334">
        <v>84.977999999999994</v>
      </c>
      <c r="L334" t="s">
        <v>101</v>
      </c>
      <c r="M334">
        <v>4.2350000000000003</v>
      </c>
      <c r="N334">
        <v>4.2350000000000003</v>
      </c>
      <c r="O334" t="s">
        <v>101</v>
      </c>
      <c r="P334" t="s">
        <v>448</v>
      </c>
      <c r="Q334" t="s">
        <v>460</v>
      </c>
      <c r="R334" t="s">
        <v>454</v>
      </c>
    </row>
    <row r="335" spans="1:18" x14ac:dyDescent="0.5">
      <c r="A335" t="str">
        <f>"960266A53"</f>
        <v>960266A53</v>
      </c>
      <c r="B335" t="s">
        <v>550</v>
      </c>
      <c r="C335" t="s">
        <v>551</v>
      </c>
      <c r="D335" t="s">
        <v>447</v>
      </c>
      <c r="E335">
        <v>2.375</v>
      </c>
      <c r="F335" s="2">
        <v>48625</v>
      </c>
      <c r="G335" s="2">
        <v>46433</v>
      </c>
      <c r="H335" t="s">
        <v>105</v>
      </c>
      <c r="I335" t="s">
        <v>104</v>
      </c>
      <c r="J335" t="s">
        <v>101</v>
      </c>
      <c r="K335">
        <v>88.876000000000005</v>
      </c>
      <c r="L335" t="s">
        <v>101</v>
      </c>
      <c r="M335">
        <v>4.016</v>
      </c>
      <c r="N335">
        <v>4.016</v>
      </c>
      <c r="O335" t="s">
        <v>101</v>
      </c>
      <c r="P335" t="s">
        <v>448</v>
      </c>
      <c r="Q335" t="s">
        <v>485</v>
      </c>
      <c r="R335" t="s">
        <v>454</v>
      </c>
    </row>
    <row r="336" spans="1:18" x14ac:dyDescent="0.5">
      <c r="A336" t="str">
        <f>"7636313B2"</f>
        <v>7636313B2</v>
      </c>
      <c r="B336" t="s">
        <v>552</v>
      </c>
      <c r="C336" t="s">
        <v>553</v>
      </c>
      <c r="D336" t="s">
        <v>447</v>
      </c>
      <c r="E336">
        <v>2</v>
      </c>
      <c r="F336" s="2">
        <v>48639</v>
      </c>
      <c r="G336" s="2">
        <v>47908</v>
      </c>
      <c r="H336" t="s">
        <v>104</v>
      </c>
      <c r="I336" t="s">
        <v>104</v>
      </c>
      <c r="J336" t="s">
        <v>101</v>
      </c>
      <c r="K336">
        <v>86.02</v>
      </c>
      <c r="L336" t="s">
        <v>101</v>
      </c>
      <c r="M336">
        <v>4.056</v>
      </c>
      <c r="N336">
        <v>4.056</v>
      </c>
      <c r="O336" t="s">
        <v>101</v>
      </c>
      <c r="P336" t="s">
        <v>448</v>
      </c>
      <c r="Q336" t="s">
        <v>554</v>
      </c>
      <c r="R336" t="s">
        <v>504</v>
      </c>
    </row>
    <row r="337" spans="1:18" x14ac:dyDescent="0.5">
      <c r="A337" t="str">
        <f>"05620PNL3"</f>
        <v>05620PNL3</v>
      </c>
      <c r="B337" t="s">
        <v>455</v>
      </c>
      <c r="C337" t="s">
        <v>555</v>
      </c>
      <c r="D337" t="s">
        <v>447</v>
      </c>
      <c r="E337">
        <v>2</v>
      </c>
      <c r="F337" s="2">
        <v>48653</v>
      </c>
      <c r="G337" s="2">
        <v>47192</v>
      </c>
      <c r="H337" t="s">
        <v>104</v>
      </c>
      <c r="I337" t="s">
        <v>105</v>
      </c>
      <c r="J337" t="s">
        <v>101</v>
      </c>
      <c r="K337">
        <v>84.426000000000002</v>
      </c>
      <c r="L337" t="s">
        <v>101</v>
      </c>
      <c r="M337">
        <v>4.3029999999999999</v>
      </c>
      <c r="N337">
        <v>4.3029999999999999</v>
      </c>
      <c r="O337" t="s">
        <v>101</v>
      </c>
      <c r="P337" t="s">
        <v>448</v>
      </c>
      <c r="Q337" t="s">
        <v>556</v>
      </c>
      <c r="R337" t="s">
        <v>454</v>
      </c>
    </row>
    <row r="338" spans="1:18" x14ac:dyDescent="0.5">
      <c r="A338" t="str">
        <f>"659666W72"</f>
        <v>659666W72</v>
      </c>
      <c r="B338" t="s">
        <v>455</v>
      </c>
      <c r="C338" t="s">
        <v>557</v>
      </c>
      <c r="D338" t="s">
        <v>447</v>
      </c>
      <c r="E338">
        <v>2</v>
      </c>
      <c r="F338" s="2">
        <v>48653</v>
      </c>
      <c r="G338" s="2">
        <v>47192</v>
      </c>
      <c r="H338" t="s">
        <v>104</v>
      </c>
      <c r="I338" t="s">
        <v>105</v>
      </c>
      <c r="J338" t="s">
        <v>101</v>
      </c>
      <c r="K338">
        <v>84.52</v>
      </c>
      <c r="L338" t="s">
        <v>101</v>
      </c>
      <c r="M338">
        <v>4.2880000000000003</v>
      </c>
      <c r="N338">
        <v>4.2880000000000003</v>
      </c>
      <c r="O338" t="s">
        <v>101</v>
      </c>
      <c r="P338" t="s">
        <v>448</v>
      </c>
      <c r="Q338" t="s">
        <v>485</v>
      </c>
      <c r="R338" t="s">
        <v>454</v>
      </c>
    </row>
    <row r="339" spans="1:18" x14ac:dyDescent="0.5">
      <c r="A339" t="str">
        <f>"80373FMD6"</f>
        <v>80373FMD6</v>
      </c>
      <c r="B339" t="s">
        <v>467</v>
      </c>
      <c r="C339" t="s">
        <v>558</v>
      </c>
      <c r="D339" t="s">
        <v>447</v>
      </c>
      <c r="E339">
        <v>1.75</v>
      </c>
      <c r="F339" s="2">
        <v>48731</v>
      </c>
      <c r="G339" s="2">
        <v>46174</v>
      </c>
      <c r="H339" t="s">
        <v>104</v>
      </c>
      <c r="I339" t="s">
        <v>105</v>
      </c>
      <c r="J339" t="s">
        <v>101</v>
      </c>
      <c r="K339">
        <v>83.126000000000005</v>
      </c>
      <c r="L339" t="s">
        <v>101</v>
      </c>
      <c r="M339">
        <v>4.18</v>
      </c>
      <c r="N339">
        <v>4.18</v>
      </c>
      <c r="O339" t="s">
        <v>101</v>
      </c>
      <c r="P339" t="s">
        <v>448</v>
      </c>
      <c r="Q339" t="s">
        <v>559</v>
      </c>
      <c r="R339" t="s">
        <v>482</v>
      </c>
    </row>
    <row r="340" spans="1:18" x14ac:dyDescent="0.5">
      <c r="A340" t="str">
        <f>"440182YK3"</f>
        <v>440182YK3</v>
      </c>
      <c r="B340" t="s">
        <v>550</v>
      </c>
      <c r="C340" t="s">
        <v>560</v>
      </c>
      <c r="D340" t="s">
        <v>447</v>
      </c>
      <c r="E340">
        <v>2</v>
      </c>
      <c r="F340" s="2">
        <v>48745</v>
      </c>
      <c r="G340" s="2">
        <v>46919</v>
      </c>
      <c r="H340" t="s">
        <v>105</v>
      </c>
      <c r="I340" t="s">
        <v>104</v>
      </c>
      <c r="J340" t="s">
        <v>101</v>
      </c>
      <c r="K340">
        <v>85.17</v>
      </c>
      <c r="L340" t="s">
        <v>101</v>
      </c>
      <c r="M340">
        <v>4.1219999999999999</v>
      </c>
      <c r="N340">
        <v>4.1219999999999999</v>
      </c>
      <c r="O340" t="s">
        <v>101</v>
      </c>
      <c r="P340" t="s">
        <v>448</v>
      </c>
      <c r="Q340" t="s">
        <v>453</v>
      </c>
      <c r="R340" t="s">
        <v>454</v>
      </c>
    </row>
    <row r="341" spans="1:18" x14ac:dyDescent="0.5">
      <c r="A341" t="str">
        <f>"446457E90"</f>
        <v>446457E90</v>
      </c>
      <c r="B341" t="s">
        <v>455</v>
      </c>
      <c r="C341" t="s">
        <v>561</v>
      </c>
      <c r="D341" t="s">
        <v>447</v>
      </c>
      <c r="E341">
        <v>2</v>
      </c>
      <c r="F341" s="2">
        <v>48745</v>
      </c>
      <c r="G341" s="2">
        <v>46553</v>
      </c>
      <c r="H341" t="s">
        <v>104</v>
      </c>
      <c r="I341" t="s">
        <v>105</v>
      </c>
      <c r="J341" t="s">
        <v>101</v>
      </c>
      <c r="K341">
        <v>84.18</v>
      </c>
      <c r="L341" t="s">
        <v>101</v>
      </c>
      <c r="M341">
        <v>4.2779999999999996</v>
      </c>
      <c r="N341">
        <v>4.2779999999999996</v>
      </c>
      <c r="O341" t="s">
        <v>101</v>
      </c>
      <c r="P341" t="s">
        <v>448</v>
      </c>
      <c r="Q341" t="s">
        <v>488</v>
      </c>
      <c r="R341" t="s">
        <v>454</v>
      </c>
    </row>
    <row r="342" spans="1:18" x14ac:dyDescent="0.5">
      <c r="A342" t="str">
        <f>"806160MX2"</f>
        <v>806160MX2</v>
      </c>
      <c r="B342" t="s">
        <v>455</v>
      </c>
      <c r="C342" t="s">
        <v>562</v>
      </c>
      <c r="D342" t="s">
        <v>447</v>
      </c>
      <c r="E342">
        <v>2</v>
      </c>
      <c r="F342" s="2">
        <v>48745</v>
      </c>
      <c r="G342" s="2">
        <v>46919</v>
      </c>
      <c r="H342" t="s">
        <v>104</v>
      </c>
      <c r="I342" t="s">
        <v>105</v>
      </c>
      <c r="J342" t="s">
        <v>101</v>
      </c>
      <c r="K342">
        <v>84.768000000000001</v>
      </c>
      <c r="L342" t="s">
        <v>101</v>
      </c>
      <c r="M342">
        <v>4.1849999999999996</v>
      </c>
      <c r="N342">
        <v>4.1849999999999996</v>
      </c>
      <c r="O342" t="s">
        <v>101</v>
      </c>
      <c r="P342" t="s">
        <v>448</v>
      </c>
      <c r="Q342" t="s">
        <v>556</v>
      </c>
      <c r="R342" t="s">
        <v>454</v>
      </c>
    </row>
    <row r="343" spans="1:18" x14ac:dyDescent="0.5">
      <c r="A343" t="str">
        <f>"613347QZ9"</f>
        <v>613347QZ9</v>
      </c>
      <c r="B343" t="s">
        <v>462</v>
      </c>
      <c r="C343" t="s">
        <v>563</v>
      </c>
      <c r="D343" t="s">
        <v>447</v>
      </c>
      <c r="E343">
        <v>2.125</v>
      </c>
      <c r="F343" s="2">
        <v>48761</v>
      </c>
      <c r="G343" s="2">
        <v>47665</v>
      </c>
      <c r="H343" t="s">
        <v>104</v>
      </c>
      <c r="I343" t="s">
        <v>105</v>
      </c>
      <c r="J343" t="s">
        <v>101</v>
      </c>
      <c r="K343">
        <v>84.087000000000003</v>
      </c>
      <c r="L343" t="s">
        <v>101</v>
      </c>
      <c r="M343">
        <v>4.42</v>
      </c>
      <c r="N343">
        <v>4.42</v>
      </c>
      <c r="O343" t="s">
        <v>101</v>
      </c>
      <c r="P343" t="s">
        <v>448</v>
      </c>
      <c r="Q343" t="s">
        <v>479</v>
      </c>
      <c r="R343" t="s">
        <v>450</v>
      </c>
    </row>
    <row r="344" spans="1:18" x14ac:dyDescent="0.5">
      <c r="A344" t="str">
        <f>"086743VU2"</f>
        <v>086743VU2</v>
      </c>
      <c r="B344" t="s">
        <v>473</v>
      </c>
      <c r="C344" t="s">
        <v>564</v>
      </c>
      <c r="D344" t="s">
        <v>447</v>
      </c>
      <c r="E344">
        <v>2</v>
      </c>
      <c r="F344" s="2">
        <v>48775</v>
      </c>
      <c r="G344" s="2">
        <v>47314</v>
      </c>
      <c r="H344" t="s">
        <v>105</v>
      </c>
      <c r="I344" t="s">
        <v>104</v>
      </c>
      <c r="J344" t="s">
        <v>101</v>
      </c>
      <c r="K344">
        <v>84.52</v>
      </c>
      <c r="L344" t="s">
        <v>101</v>
      </c>
      <c r="M344">
        <v>4.2039999999999997</v>
      </c>
      <c r="N344">
        <v>4.2039999999999997</v>
      </c>
      <c r="O344" t="s">
        <v>101</v>
      </c>
      <c r="P344" t="s">
        <v>448</v>
      </c>
      <c r="Q344" t="s">
        <v>565</v>
      </c>
      <c r="R344" t="s">
        <v>454</v>
      </c>
    </row>
    <row r="345" spans="1:18" x14ac:dyDescent="0.5">
      <c r="A345" t="str">
        <f>"882724VZ7"</f>
        <v>882724VZ7</v>
      </c>
      <c r="B345" t="s">
        <v>451</v>
      </c>
      <c r="C345" t="s">
        <v>566</v>
      </c>
      <c r="D345" t="s">
        <v>447</v>
      </c>
      <c r="E345">
        <v>2.25</v>
      </c>
      <c r="F345" s="2">
        <v>48792</v>
      </c>
      <c r="G345" s="2">
        <v>45870</v>
      </c>
      <c r="H345" t="s">
        <v>104</v>
      </c>
      <c r="I345" t="s">
        <v>104</v>
      </c>
      <c r="J345" t="s">
        <v>101</v>
      </c>
      <c r="K345">
        <v>86.9</v>
      </c>
      <c r="L345" t="s">
        <v>101</v>
      </c>
      <c r="M345">
        <v>4.0990000000000002</v>
      </c>
      <c r="N345">
        <v>4.0990000000000002</v>
      </c>
      <c r="O345" t="s">
        <v>101</v>
      </c>
      <c r="P345" t="s">
        <v>448</v>
      </c>
      <c r="Q345" t="s">
        <v>567</v>
      </c>
      <c r="R345" t="s">
        <v>504</v>
      </c>
    </row>
    <row r="346" spans="1:18" x14ac:dyDescent="0.5">
      <c r="A346" t="str">
        <f>"041806N22"</f>
        <v>041806N22</v>
      </c>
      <c r="B346" t="s">
        <v>451</v>
      </c>
      <c r="C346" t="s">
        <v>568</v>
      </c>
      <c r="D346" t="s">
        <v>447</v>
      </c>
      <c r="E346">
        <v>3</v>
      </c>
      <c r="F346" s="2">
        <v>48806</v>
      </c>
      <c r="G346" s="2">
        <v>48075</v>
      </c>
      <c r="H346" t="s">
        <v>104</v>
      </c>
      <c r="I346" t="s">
        <v>105</v>
      </c>
      <c r="J346" t="s">
        <v>101</v>
      </c>
      <c r="K346">
        <v>92.858999999999995</v>
      </c>
      <c r="L346" t="s">
        <v>101</v>
      </c>
      <c r="M346">
        <v>4</v>
      </c>
      <c r="N346">
        <v>4</v>
      </c>
      <c r="O346" t="s">
        <v>101</v>
      </c>
      <c r="P346" t="s">
        <v>448</v>
      </c>
      <c r="Q346" t="s">
        <v>460</v>
      </c>
      <c r="R346" t="s">
        <v>450</v>
      </c>
    </row>
    <row r="347" spans="1:18" x14ac:dyDescent="0.5">
      <c r="A347" t="str">
        <f>"187162EM0"</f>
        <v>187162EM0</v>
      </c>
      <c r="B347" t="s">
        <v>451</v>
      </c>
      <c r="C347" t="s">
        <v>569</v>
      </c>
      <c r="D347" t="s">
        <v>447</v>
      </c>
      <c r="E347">
        <v>2.625</v>
      </c>
      <c r="F347" s="2">
        <v>48806</v>
      </c>
      <c r="G347" s="2">
        <v>46249</v>
      </c>
      <c r="H347" t="s">
        <v>105</v>
      </c>
      <c r="I347" t="s">
        <v>104</v>
      </c>
      <c r="J347" t="s">
        <v>101</v>
      </c>
      <c r="K347">
        <v>90.084999999999994</v>
      </c>
      <c r="L347" t="s">
        <v>101</v>
      </c>
      <c r="M347">
        <v>4.0140000000000002</v>
      </c>
      <c r="N347">
        <v>4.0140000000000002</v>
      </c>
      <c r="O347" t="s">
        <v>101</v>
      </c>
      <c r="P347" t="s">
        <v>448</v>
      </c>
      <c r="Q347" t="s">
        <v>527</v>
      </c>
      <c r="R347" t="s">
        <v>454</v>
      </c>
    </row>
    <row r="348" spans="1:18" x14ac:dyDescent="0.5">
      <c r="A348" t="str">
        <f>"363335BQ2"</f>
        <v>363335BQ2</v>
      </c>
      <c r="B348" t="s">
        <v>451</v>
      </c>
      <c r="C348" t="s">
        <v>570</v>
      </c>
      <c r="D348" t="s">
        <v>447</v>
      </c>
      <c r="E348">
        <v>2.5</v>
      </c>
      <c r="F348" s="2">
        <v>48806</v>
      </c>
      <c r="G348" s="2">
        <v>46249</v>
      </c>
      <c r="H348" t="s">
        <v>105</v>
      </c>
      <c r="I348" t="s">
        <v>104</v>
      </c>
      <c r="J348" t="s">
        <v>101</v>
      </c>
      <c r="K348">
        <v>89.063999999999993</v>
      </c>
      <c r="L348" t="s">
        <v>101</v>
      </c>
      <c r="M348">
        <v>4.0339999999999998</v>
      </c>
      <c r="N348">
        <v>4.0339999999999998</v>
      </c>
      <c r="O348" t="s">
        <v>101</v>
      </c>
      <c r="P348" t="s">
        <v>448</v>
      </c>
      <c r="Q348" t="s">
        <v>571</v>
      </c>
      <c r="R348" t="s">
        <v>454</v>
      </c>
    </row>
    <row r="349" spans="1:18" x14ac:dyDescent="0.5">
      <c r="A349" t="str">
        <f>"44237HCA1"</f>
        <v>44237HCA1</v>
      </c>
      <c r="B349" t="s">
        <v>451</v>
      </c>
      <c r="C349" t="s">
        <v>572</v>
      </c>
      <c r="D349" t="s">
        <v>447</v>
      </c>
      <c r="E349">
        <v>4</v>
      </c>
      <c r="F349" s="2">
        <v>48806</v>
      </c>
      <c r="G349" s="2">
        <v>45884</v>
      </c>
      <c r="H349" t="s">
        <v>105</v>
      </c>
      <c r="I349" t="s">
        <v>104</v>
      </c>
      <c r="J349" t="s">
        <v>101</v>
      </c>
      <c r="K349">
        <v>99.96</v>
      </c>
      <c r="L349" t="s">
        <v>101</v>
      </c>
      <c r="M349">
        <v>4.0060000000000002</v>
      </c>
      <c r="N349">
        <v>4.0060000000000002</v>
      </c>
      <c r="O349" t="s">
        <v>101</v>
      </c>
      <c r="P349" t="s">
        <v>448</v>
      </c>
      <c r="Q349" t="s">
        <v>573</v>
      </c>
      <c r="R349" t="s">
        <v>450</v>
      </c>
    </row>
    <row r="350" spans="1:18" x14ac:dyDescent="0.5">
      <c r="A350" t="str">
        <f>"63968MZV4"</f>
        <v>63968MZV4</v>
      </c>
      <c r="B350" t="s">
        <v>467</v>
      </c>
      <c r="C350" t="s">
        <v>574</v>
      </c>
      <c r="D350" t="s">
        <v>447</v>
      </c>
      <c r="E350">
        <v>2.4</v>
      </c>
      <c r="F350" s="2">
        <v>48823</v>
      </c>
      <c r="G350" s="2">
        <v>47908</v>
      </c>
      <c r="H350" t="s">
        <v>105</v>
      </c>
      <c r="I350" t="s">
        <v>104</v>
      </c>
      <c r="J350" t="s">
        <v>101</v>
      </c>
      <c r="K350">
        <v>85.893000000000001</v>
      </c>
      <c r="L350" t="s">
        <v>101</v>
      </c>
      <c r="M350">
        <v>4.4000000000000004</v>
      </c>
      <c r="N350">
        <v>4.4000000000000004</v>
      </c>
      <c r="O350" t="s">
        <v>101</v>
      </c>
      <c r="P350" t="s">
        <v>448</v>
      </c>
      <c r="Q350" t="s">
        <v>503</v>
      </c>
      <c r="R350" t="s">
        <v>450</v>
      </c>
    </row>
    <row r="351" spans="1:18" x14ac:dyDescent="0.5">
      <c r="A351" t="str">
        <f>"05620PMG5"</f>
        <v>05620PMG5</v>
      </c>
      <c r="B351" t="s">
        <v>455</v>
      </c>
      <c r="C351" t="s">
        <v>575</v>
      </c>
      <c r="D351" t="s">
        <v>447</v>
      </c>
      <c r="E351">
        <v>2</v>
      </c>
      <c r="F351" s="2">
        <v>48853</v>
      </c>
      <c r="G351" s="2">
        <v>46661</v>
      </c>
      <c r="H351" t="s">
        <v>104</v>
      </c>
      <c r="I351" t="s">
        <v>105</v>
      </c>
      <c r="J351" t="s">
        <v>101</v>
      </c>
      <c r="K351">
        <v>84.019000000000005</v>
      </c>
      <c r="L351" t="s">
        <v>101</v>
      </c>
      <c r="M351">
        <v>4.2320000000000002</v>
      </c>
      <c r="N351">
        <v>4.2320000000000002</v>
      </c>
      <c r="O351" t="s">
        <v>101</v>
      </c>
      <c r="P351" t="s">
        <v>448</v>
      </c>
      <c r="Q351" t="s">
        <v>485</v>
      </c>
      <c r="R351" t="s">
        <v>454</v>
      </c>
    </row>
    <row r="352" spans="1:18" x14ac:dyDescent="0.5">
      <c r="A352" t="str">
        <f>"45203MBA8"</f>
        <v>45203MBA8</v>
      </c>
      <c r="B352" t="s">
        <v>491</v>
      </c>
      <c r="C352" t="s">
        <v>576</v>
      </c>
      <c r="D352" t="s">
        <v>447</v>
      </c>
      <c r="E352">
        <v>1.875</v>
      </c>
      <c r="F352" s="2">
        <v>48853</v>
      </c>
      <c r="G352" s="2">
        <v>47574</v>
      </c>
      <c r="H352" t="s">
        <v>104</v>
      </c>
      <c r="I352" t="s">
        <v>105</v>
      </c>
      <c r="J352" t="s">
        <v>101</v>
      </c>
      <c r="K352">
        <v>81.11</v>
      </c>
      <c r="L352" t="s">
        <v>101</v>
      </c>
      <c r="M352">
        <v>4.548</v>
      </c>
      <c r="N352">
        <v>4.548</v>
      </c>
      <c r="O352" t="s">
        <v>101</v>
      </c>
      <c r="P352" t="s">
        <v>448</v>
      </c>
      <c r="Q352" t="s">
        <v>457</v>
      </c>
      <c r="R352" t="s">
        <v>450</v>
      </c>
    </row>
    <row r="353" spans="1:18" x14ac:dyDescent="0.5">
      <c r="A353" t="str">
        <f>"95736VBY7"</f>
        <v>95736VBY7</v>
      </c>
      <c r="B353" t="s">
        <v>455</v>
      </c>
      <c r="C353" t="s">
        <v>577</v>
      </c>
      <c r="D353" t="s">
        <v>447</v>
      </c>
      <c r="E353">
        <v>2</v>
      </c>
      <c r="F353" s="2">
        <v>48867</v>
      </c>
      <c r="G353" s="2">
        <v>47406</v>
      </c>
      <c r="H353" t="s">
        <v>540</v>
      </c>
      <c r="I353" t="s">
        <v>104</v>
      </c>
      <c r="J353" t="s">
        <v>101</v>
      </c>
      <c r="K353">
        <v>84.83</v>
      </c>
      <c r="L353" t="s">
        <v>101</v>
      </c>
      <c r="M353">
        <v>4.0990000000000002</v>
      </c>
      <c r="N353">
        <v>4.0990000000000002</v>
      </c>
      <c r="O353" t="s">
        <v>101</v>
      </c>
      <c r="P353" t="s">
        <v>448</v>
      </c>
      <c r="Q353" t="s">
        <v>457</v>
      </c>
      <c r="R353" t="s">
        <v>454</v>
      </c>
    </row>
    <row r="354" spans="1:18" x14ac:dyDescent="0.5">
      <c r="A354" t="str">
        <f>"59656NJ78"</f>
        <v>59656NJ78</v>
      </c>
      <c r="B354" t="s">
        <v>477</v>
      </c>
      <c r="C354" t="s">
        <v>578</v>
      </c>
      <c r="D354" t="s">
        <v>447</v>
      </c>
      <c r="E354">
        <v>2.25</v>
      </c>
      <c r="F354" s="2">
        <v>48898</v>
      </c>
      <c r="G354" s="2">
        <v>46341</v>
      </c>
      <c r="H354" t="s">
        <v>105</v>
      </c>
      <c r="I354" t="s">
        <v>104</v>
      </c>
      <c r="J354" t="s">
        <v>101</v>
      </c>
      <c r="K354">
        <v>85.725999999999999</v>
      </c>
      <c r="L354" t="s">
        <v>101</v>
      </c>
      <c r="M354">
        <v>4.2190000000000003</v>
      </c>
      <c r="N354">
        <v>4.2190000000000003</v>
      </c>
      <c r="O354" t="s">
        <v>101</v>
      </c>
      <c r="P354" t="s">
        <v>448</v>
      </c>
      <c r="Q354" t="s">
        <v>556</v>
      </c>
      <c r="R354" t="s">
        <v>454</v>
      </c>
    </row>
    <row r="355" spans="1:18" x14ac:dyDescent="0.5">
      <c r="A355" t="str">
        <f>"508354XF9"</f>
        <v>508354XF9</v>
      </c>
      <c r="B355" t="s">
        <v>491</v>
      </c>
      <c r="C355" t="s">
        <v>579</v>
      </c>
      <c r="D355" t="s">
        <v>447</v>
      </c>
      <c r="E355">
        <v>2</v>
      </c>
      <c r="F355" s="2">
        <v>48928</v>
      </c>
      <c r="G355" s="2">
        <v>47467</v>
      </c>
      <c r="H355" t="s">
        <v>104</v>
      </c>
      <c r="I355" t="s">
        <v>105</v>
      </c>
      <c r="J355" t="s">
        <v>101</v>
      </c>
      <c r="K355">
        <v>83.254000000000005</v>
      </c>
      <c r="L355" t="s">
        <v>101</v>
      </c>
      <c r="M355">
        <v>4.3</v>
      </c>
      <c r="N355">
        <v>4.3</v>
      </c>
      <c r="O355" t="s">
        <v>101</v>
      </c>
      <c r="P355" t="s">
        <v>448</v>
      </c>
      <c r="Q355" t="s">
        <v>573</v>
      </c>
      <c r="R355" t="s">
        <v>454</v>
      </c>
    </row>
    <row r="356" spans="1:18" x14ac:dyDescent="0.5">
      <c r="A356" t="str">
        <f>"509030HV7"</f>
        <v>509030HV7</v>
      </c>
      <c r="B356" t="s">
        <v>491</v>
      </c>
      <c r="C356" t="s">
        <v>580</v>
      </c>
      <c r="D356" t="s">
        <v>447</v>
      </c>
      <c r="E356">
        <v>4</v>
      </c>
      <c r="F356" s="2">
        <v>48928</v>
      </c>
      <c r="G356" s="2">
        <v>45733</v>
      </c>
      <c r="H356" t="s">
        <v>104</v>
      </c>
      <c r="I356" t="s">
        <v>105</v>
      </c>
      <c r="J356" t="s">
        <v>101</v>
      </c>
      <c r="K356">
        <v>99.85</v>
      </c>
      <c r="L356" t="s">
        <v>101</v>
      </c>
      <c r="M356">
        <v>4.0199999999999996</v>
      </c>
      <c r="N356">
        <v>4.0199999999999996</v>
      </c>
      <c r="O356" t="s">
        <v>101</v>
      </c>
      <c r="P356" t="s">
        <v>448</v>
      </c>
      <c r="Q356" t="s">
        <v>479</v>
      </c>
      <c r="R356" t="s">
        <v>454</v>
      </c>
    </row>
    <row r="357" spans="1:18" x14ac:dyDescent="0.5">
      <c r="A357" t="str">
        <f>"696583FL2"</f>
        <v>696583FL2</v>
      </c>
      <c r="B357" t="s">
        <v>499</v>
      </c>
      <c r="C357" t="s">
        <v>581</v>
      </c>
      <c r="D357" t="s">
        <v>447</v>
      </c>
      <c r="E357">
        <v>2.625</v>
      </c>
      <c r="F357" s="2">
        <v>48945</v>
      </c>
      <c r="G357" s="2">
        <v>46388</v>
      </c>
      <c r="H357" t="s">
        <v>104</v>
      </c>
      <c r="I357" t="s">
        <v>104</v>
      </c>
      <c r="J357" t="s">
        <v>101</v>
      </c>
      <c r="K357">
        <v>89.608999999999995</v>
      </c>
      <c r="L357" t="s">
        <v>101</v>
      </c>
      <c r="M357">
        <v>4.03</v>
      </c>
      <c r="N357">
        <v>4.03</v>
      </c>
      <c r="O357" t="s">
        <v>101</v>
      </c>
      <c r="P357" t="s">
        <v>448</v>
      </c>
      <c r="Q357" t="s">
        <v>556</v>
      </c>
      <c r="R357" t="s">
        <v>504</v>
      </c>
    </row>
    <row r="358" spans="1:18" x14ac:dyDescent="0.5">
      <c r="A358" t="str">
        <f>"771614TC8"</f>
        <v>771614TC8</v>
      </c>
      <c r="B358" t="s">
        <v>515</v>
      </c>
      <c r="C358" t="s">
        <v>582</v>
      </c>
      <c r="D358" t="s">
        <v>447</v>
      </c>
      <c r="E358">
        <v>2.125</v>
      </c>
      <c r="F358" s="2">
        <v>48976</v>
      </c>
      <c r="G358" s="2">
        <v>46784</v>
      </c>
      <c r="H358" t="s">
        <v>105</v>
      </c>
      <c r="I358" t="s">
        <v>104</v>
      </c>
      <c r="J358" t="s">
        <v>101</v>
      </c>
      <c r="K358">
        <v>85.730999999999995</v>
      </c>
      <c r="L358" t="s">
        <v>101</v>
      </c>
      <c r="M358">
        <v>4.04</v>
      </c>
      <c r="N358">
        <v>4.04</v>
      </c>
      <c r="O358" t="s">
        <v>101</v>
      </c>
      <c r="P358" t="s">
        <v>448</v>
      </c>
      <c r="Q358" t="s">
        <v>583</v>
      </c>
      <c r="R358" t="s">
        <v>454</v>
      </c>
    </row>
    <row r="359" spans="1:18" x14ac:dyDescent="0.5">
      <c r="A359" t="str">
        <f>"967171QY8"</f>
        <v>967171QY8</v>
      </c>
      <c r="B359" t="s">
        <v>451</v>
      </c>
      <c r="C359" t="s">
        <v>584</v>
      </c>
      <c r="D359" t="s">
        <v>447</v>
      </c>
      <c r="E359">
        <v>2</v>
      </c>
      <c r="F359" s="2">
        <v>48976</v>
      </c>
      <c r="G359" s="2">
        <v>47515</v>
      </c>
      <c r="H359" t="s">
        <v>105</v>
      </c>
      <c r="I359" t="s">
        <v>104</v>
      </c>
      <c r="J359" t="s">
        <v>101</v>
      </c>
      <c r="K359">
        <v>84.326999999999998</v>
      </c>
      <c r="L359" t="s">
        <v>101</v>
      </c>
      <c r="M359">
        <v>4.1100000000000003</v>
      </c>
      <c r="N359">
        <v>4.1100000000000003</v>
      </c>
      <c r="O359" t="s">
        <v>101</v>
      </c>
      <c r="P359" t="s">
        <v>585</v>
      </c>
      <c r="Q359" t="s">
        <v>488</v>
      </c>
      <c r="R359" t="s">
        <v>454</v>
      </c>
    </row>
    <row r="360" spans="1:18" x14ac:dyDescent="0.5">
      <c r="A360" t="str">
        <f>"022357E86"</f>
        <v>022357E86</v>
      </c>
      <c r="B360" t="s">
        <v>451</v>
      </c>
      <c r="C360" t="s">
        <v>586</v>
      </c>
      <c r="D360" t="s">
        <v>447</v>
      </c>
      <c r="E360">
        <v>2.125</v>
      </c>
      <c r="F360" s="2">
        <v>48990</v>
      </c>
      <c r="G360" s="2">
        <v>47529</v>
      </c>
      <c r="H360" t="s">
        <v>105</v>
      </c>
      <c r="I360" t="s">
        <v>104</v>
      </c>
      <c r="J360" t="s">
        <v>101</v>
      </c>
      <c r="K360">
        <v>84.757999999999996</v>
      </c>
      <c r="L360" t="s">
        <v>101</v>
      </c>
      <c r="M360">
        <v>4.1760000000000002</v>
      </c>
      <c r="N360">
        <v>4.1760000000000002</v>
      </c>
      <c r="O360" t="s">
        <v>101</v>
      </c>
      <c r="P360" t="s">
        <v>448</v>
      </c>
      <c r="Q360" t="s">
        <v>527</v>
      </c>
      <c r="R360" t="s">
        <v>454</v>
      </c>
    </row>
    <row r="361" spans="1:18" x14ac:dyDescent="0.5">
      <c r="A361" t="str">
        <f>"023015F70"</f>
        <v>023015F70</v>
      </c>
      <c r="B361" t="s">
        <v>451</v>
      </c>
      <c r="C361" t="s">
        <v>587</v>
      </c>
      <c r="D361" t="s">
        <v>447</v>
      </c>
      <c r="E361">
        <v>2</v>
      </c>
      <c r="F361" s="2">
        <v>48990</v>
      </c>
      <c r="G361" s="2">
        <v>46433</v>
      </c>
      <c r="H361" t="s">
        <v>540</v>
      </c>
      <c r="I361" t="s">
        <v>104</v>
      </c>
      <c r="J361" t="s">
        <v>101</v>
      </c>
      <c r="K361">
        <v>84.542000000000002</v>
      </c>
      <c r="L361" t="s">
        <v>101</v>
      </c>
      <c r="M361">
        <v>4.07</v>
      </c>
      <c r="N361">
        <v>4.07</v>
      </c>
      <c r="O361" t="s">
        <v>101</v>
      </c>
      <c r="P361" t="s">
        <v>448</v>
      </c>
      <c r="Q361" t="s">
        <v>588</v>
      </c>
      <c r="R361" t="s">
        <v>589</v>
      </c>
    </row>
    <row r="362" spans="1:18" x14ac:dyDescent="0.5">
      <c r="A362" t="str">
        <f>"504102T79"</f>
        <v>504102T79</v>
      </c>
      <c r="B362" t="s">
        <v>451</v>
      </c>
      <c r="C362" t="s">
        <v>590</v>
      </c>
      <c r="D362" t="s">
        <v>447</v>
      </c>
      <c r="E362">
        <v>2</v>
      </c>
      <c r="F362" s="2">
        <v>48990</v>
      </c>
      <c r="G362" s="2">
        <v>47529</v>
      </c>
      <c r="H362" t="s">
        <v>105</v>
      </c>
      <c r="I362" t="s">
        <v>104</v>
      </c>
      <c r="J362" t="s">
        <v>101</v>
      </c>
      <c r="K362">
        <v>83.742999999999995</v>
      </c>
      <c r="L362" t="s">
        <v>101</v>
      </c>
      <c r="M362">
        <v>4.1879999999999997</v>
      </c>
      <c r="N362">
        <v>4.1879999999999997</v>
      </c>
      <c r="O362" t="s">
        <v>101</v>
      </c>
      <c r="P362" t="s">
        <v>448</v>
      </c>
      <c r="Q362" t="s">
        <v>591</v>
      </c>
      <c r="R362" t="s">
        <v>454</v>
      </c>
    </row>
    <row r="363" spans="1:18" x14ac:dyDescent="0.5">
      <c r="A363" t="str">
        <f>"73474MQH1"</f>
        <v>73474MQH1</v>
      </c>
      <c r="B363" t="s">
        <v>451</v>
      </c>
      <c r="C363" t="s">
        <v>592</v>
      </c>
      <c r="D363" t="s">
        <v>447</v>
      </c>
      <c r="E363">
        <v>2</v>
      </c>
      <c r="F363" s="2">
        <v>48990</v>
      </c>
      <c r="G363" s="2">
        <v>47164</v>
      </c>
      <c r="H363" t="s">
        <v>104</v>
      </c>
      <c r="I363" t="s">
        <v>105</v>
      </c>
      <c r="J363" t="s">
        <v>101</v>
      </c>
      <c r="K363">
        <v>84.882000000000005</v>
      </c>
      <c r="L363" t="s">
        <v>101</v>
      </c>
      <c r="M363">
        <v>4.0199999999999996</v>
      </c>
      <c r="N363">
        <v>4.0199999999999996</v>
      </c>
      <c r="O363" t="s">
        <v>101</v>
      </c>
      <c r="P363" t="s">
        <v>448</v>
      </c>
      <c r="Q363" t="s">
        <v>593</v>
      </c>
      <c r="R363" t="s">
        <v>482</v>
      </c>
    </row>
    <row r="364" spans="1:18" x14ac:dyDescent="0.5">
      <c r="A364" t="str">
        <f>"9698873J5"</f>
        <v>9698873J5</v>
      </c>
      <c r="B364" t="s">
        <v>451</v>
      </c>
      <c r="C364" t="s">
        <v>594</v>
      </c>
      <c r="D364" t="s">
        <v>447</v>
      </c>
      <c r="E364">
        <v>3</v>
      </c>
      <c r="F364" s="2">
        <v>48990</v>
      </c>
      <c r="G364" s="2">
        <v>45884</v>
      </c>
      <c r="H364" t="s">
        <v>105</v>
      </c>
      <c r="I364" t="s">
        <v>104</v>
      </c>
      <c r="J364" t="s">
        <v>101</v>
      </c>
      <c r="K364">
        <v>92.012</v>
      </c>
      <c r="L364" t="s">
        <v>101</v>
      </c>
      <c r="M364">
        <v>4.07</v>
      </c>
      <c r="N364">
        <v>4.07</v>
      </c>
      <c r="O364" t="s">
        <v>101</v>
      </c>
      <c r="P364" t="s">
        <v>448</v>
      </c>
      <c r="Q364" t="s">
        <v>485</v>
      </c>
      <c r="R364" t="s">
        <v>454</v>
      </c>
    </row>
    <row r="365" spans="1:18" x14ac:dyDescent="0.5">
      <c r="A365" t="str">
        <f>"969872ZD5"</f>
        <v>969872ZD5</v>
      </c>
      <c r="B365" t="s">
        <v>595</v>
      </c>
      <c r="C365" t="s">
        <v>596</v>
      </c>
      <c r="D365" t="s">
        <v>447</v>
      </c>
      <c r="E365">
        <v>1.75</v>
      </c>
      <c r="F365" s="2">
        <v>49065</v>
      </c>
      <c r="G365" s="2">
        <v>47969</v>
      </c>
      <c r="H365" t="s">
        <v>104</v>
      </c>
      <c r="I365" t="s">
        <v>105</v>
      </c>
      <c r="J365" t="s">
        <v>101</v>
      </c>
      <c r="K365">
        <v>81.725999999999999</v>
      </c>
      <c r="L365" t="s">
        <v>101</v>
      </c>
      <c r="M365">
        <v>4.16</v>
      </c>
      <c r="N365">
        <v>4.16</v>
      </c>
      <c r="O365" t="s">
        <v>101</v>
      </c>
      <c r="P365" t="s">
        <v>448</v>
      </c>
      <c r="Q365" t="s">
        <v>460</v>
      </c>
      <c r="R365" t="s">
        <v>454</v>
      </c>
    </row>
    <row r="366" spans="1:18" x14ac:dyDescent="0.5">
      <c r="A366" t="str">
        <f>"363335BR0"</f>
        <v>363335BR0</v>
      </c>
      <c r="B366" t="s">
        <v>451</v>
      </c>
      <c r="C366" t="s">
        <v>597</v>
      </c>
      <c r="D366" t="s">
        <v>447</v>
      </c>
      <c r="E366">
        <v>2.625</v>
      </c>
      <c r="F366" s="2">
        <v>49171</v>
      </c>
      <c r="G366" s="2">
        <v>46249</v>
      </c>
      <c r="H366" t="s">
        <v>105</v>
      </c>
      <c r="I366" t="s">
        <v>104</v>
      </c>
      <c r="J366" t="s">
        <v>101</v>
      </c>
      <c r="K366">
        <v>88.951999999999998</v>
      </c>
      <c r="L366" t="s">
        <v>101</v>
      </c>
      <c r="M366">
        <v>4.0380000000000003</v>
      </c>
      <c r="N366">
        <v>4.0380000000000003</v>
      </c>
      <c r="O366" t="s">
        <v>101</v>
      </c>
      <c r="P366" t="s">
        <v>448</v>
      </c>
      <c r="Q366" t="s">
        <v>556</v>
      </c>
      <c r="R366" t="s">
        <v>454</v>
      </c>
    </row>
    <row r="367" spans="1:18" x14ac:dyDescent="0.5">
      <c r="A367" t="str">
        <f>"620220CV3"</f>
        <v>620220CV3</v>
      </c>
      <c r="B367" t="s">
        <v>598</v>
      </c>
      <c r="C367" t="s">
        <v>599</v>
      </c>
      <c r="D367" t="s">
        <v>447</v>
      </c>
      <c r="E367">
        <v>2.25</v>
      </c>
      <c r="F367" s="2">
        <v>49188</v>
      </c>
      <c r="G367" s="2">
        <v>47178</v>
      </c>
      <c r="H367" t="s">
        <v>105</v>
      </c>
      <c r="I367" t="s">
        <v>104</v>
      </c>
      <c r="J367" t="s">
        <v>101</v>
      </c>
      <c r="K367">
        <v>85.875</v>
      </c>
      <c r="L367" t="s">
        <v>101</v>
      </c>
      <c r="M367">
        <v>4.05</v>
      </c>
      <c r="N367">
        <v>4.05</v>
      </c>
      <c r="O367" t="s">
        <v>101</v>
      </c>
      <c r="P367" t="s">
        <v>448</v>
      </c>
      <c r="Q367" t="s">
        <v>464</v>
      </c>
      <c r="R367" t="s">
        <v>504</v>
      </c>
    </row>
    <row r="368" spans="1:18" x14ac:dyDescent="0.5">
      <c r="A368" t="str">
        <f>"875139AP2"</f>
        <v>875139AP2</v>
      </c>
      <c r="B368" t="s">
        <v>499</v>
      </c>
      <c r="C368" t="s">
        <v>600</v>
      </c>
      <c r="D368" t="s">
        <v>447</v>
      </c>
      <c r="E368">
        <v>2.625</v>
      </c>
      <c r="F368" s="2">
        <v>49218</v>
      </c>
      <c r="G368" s="2">
        <v>46296</v>
      </c>
      <c r="H368" t="s">
        <v>540</v>
      </c>
      <c r="I368" t="s">
        <v>104</v>
      </c>
      <c r="J368" t="s">
        <v>101</v>
      </c>
      <c r="K368">
        <v>88.793999999999997</v>
      </c>
      <c r="L368" t="s">
        <v>101</v>
      </c>
      <c r="M368">
        <v>4.0419999999999998</v>
      </c>
      <c r="N368">
        <v>4.0419999999999998</v>
      </c>
      <c r="O368" t="s">
        <v>101</v>
      </c>
      <c r="P368" t="s">
        <v>448</v>
      </c>
      <c r="Q368" t="s">
        <v>527</v>
      </c>
      <c r="R368" t="s">
        <v>504</v>
      </c>
    </row>
    <row r="369" spans="1:18" x14ac:dyDescent="0.5">
      <c r="A369" s="52" t="str">
        <f>"084275GC4"</f>
        <v>084275GC4</v>
      </c>
      <c r="B369" s="53" t="s">
        <v>477</v>
      </c>
      <c r="C369" s="53" t="s">
        <v>601</v>
      </c>
      <c r="D369" s="53" t="s">
        <v>447</v>
      </c>
      <c r="E369" s="53">
        <v>5</v>
      </c>
      <c r="F369" s="54">
        <v>45717</v>
      </c>
      <c r="G369" s="54" t="s">
        <v>105</v>
      </c>
      <c r="H369" s="53" t="s">
        <v>105</v>
      </c>
      <c r="I369" s="53" t="s">
        <v>509</v>
      </c>
      <c r="J369" s="53">
        <v>99.947999999999993</v>
      </c>
      <c r="K369" s="53">
        <v>100.05</v>
      </c>
      <c r="L369" s="53">
        <v>6.2969999999999997</v>
      </c>
      <c r="M369" s="53">
        <v>3.532</v>
      </c>
      <c r="N369" s="53">
        <v>3.532</v>
      </c>
      <c r="O369" s="53" t="s">
        <v>101</v>
      </c>
      <c r="P369" s="53" t="s">
        <v>602</v>
      </c>
      <c r="Q369" s="53" t="s">
        <v>488</v>
      </c>
      <c r="R369" s="55" t="s">
        <v>603</v>
      </c>
    </row>
    <row r="370" spans="1:18" x14ac:dyDescent="0.5">
      <c r="A370" s="56" t="str">
        <f>"346766VU9"</f>
        <v>346766VU9</v>
      </c>
      <c r="B370" s="57" t="s">
        <v>451</v>
      </c>
      <c r="C370" s="57" t="s">
        <v>604</v>
      </c>
      <c r="D370" s="53" t="s">
        <v>447</v>
      </c>
      <c r="E370" s="57">
        <v>5</v>
      </c>
      <c r="F370" s="58">
        <v>45717</v>
      </c>
      <c r="G370" s="58" t="s">
        <v>105</v>
      </c>
      <c r="H370" s="57" t="s">
        <v>540</v>
      </c>
      <c r="I370" s="57" t="s">
        <v>105</v>
      </c>
      <c r="J370" s="57">
        <v>99.876000000000005</v>
      </c>
      <c r="K370" s="57">
        <v>100.02</v>
      </c>
      <c r="L370" s="57">
        <v>8.2530000000000001</v>
      </c>
      <c r="M370" s="57">
        <v>4.3449999999999998</v>
      </c>
      <c r="N370" s="57">
        <v>4.3449999999999998</v>
      </c>
      <c r="O370" s="53" t="s">
        <v>101</v>
      </c>
      <c r="P370" s="57" t="s">
        <v>605</v>
      </c>
      <c r="Q370" s="57" t="s">
        <v>453</v>
      </c>
      <c r="R370" s="59" t="s">
        <v>603</v>
      </c>
    </row>
    <row r="371" spans="1:18" x14ac:dyDescent="0.5">
      <c r="A371" s="52" t="str">
        <f>"404774GU9"</f>
        <v>404774GU9</v>
      </c>
      <c r="B371" s="53" t="s">
        <v>477</v>
      </c>
      <c r="C371" s="53" t="s">
        <v>606</v>
      </c>
      <c r="D371" s="53" t="s">
        <v>447</v>
      </c>
      <c r="E371" s="53">
        <v>2.5</v>
      </c>
      <c r="F371" s="54">
        <v>45717</v>
      </c>
      <c r="G371" s="54">
        <v>45717</v>
      </c>
      <c r="H371" s="53" t="s">
        <v>540</v>
      </c>
      <c r="I371" s="53" t="s">
        <v>105</v>
      </c>
      <c r="J371" s="53">
        <v>99.804000000000002</v>
      </c>
      <c r="K371" s="53">
        <v>99.93</v>
      </c>
      <c r="L371" s="53">
        <v>7.8520000000000003</v>
      </c>
      <c r="M371" s="53">
        <v>4.391</v>
      </c>
      <c r="N371" s="53">
        <v>4.391</v>
      </c>
      <c r="O371" s="53" t="s">
        <v>101</v>
      </c>
      <c r="P371" s="53" t="s">
        <v>602</v>
      </c>
      <c r="Q371" s="53" t="s">
        <v>457</v>
      </c>
      <c r="R371" s="55" t="s">
        <v>482</v>
      </c>
    </row>
    <row r="372" spans="1:18" x14ac:dyDescent="0.5">
      <c r="A372" s="56" t="str">
        <f>"89453PG52"</f>
        <v>89453PG52</v>
      </c>
      <c r="B372" s="57" t="s">
        <v>451</v>
      </c>
      <c r="C372" s="57" t="s">
        <v>607</v>
      </c>
      <c r="D372" s="53" t="s">
        <v>447</v>
      </c>
      <c r="E372" s="57">
        <v>5</v>
      </c>
      <c r="F372" s="58">
        <v>45717</v>
      </c>
      <c r="G372" s="58" t="s">
        <v>105</v>
      </c>
      <c r="H372" s="57" t="s">
        <v>104</v>
      </c>
      <c r="I372" s="57" t="s">
        <v>104</v>
      </c>
      <c r="J372" s="57">
        <v>99.370999999999995</v>
      </c>
      <c r="K372" s="57">
        <v>100.05</v>
      </c>
      <c r="L372" s="57">
        <v>22.045999999999999</v>
      </c>
      <c r="M372" s="57">
        <v>3.532</v>
      </c>
      <c r="N372" s="57">
        <v>3.532</v>
      </c>
      <c r="O372" s="53" t="s">
        <v>101</v>
      </c>
      <c r="P372" s="57" t="s">
        <v>503</v>
      </c>
      <c r="Q372" s="57" t="s">
        <v>512</v>
      </c>
      <c r="R372" s="59" t="s">
        <v>608</v>
      </c>
    </row>
    <row r="373" spans="1:18" x14ac:dyDescent="0.5">
      <c r="A373" s="52" t="str">
        <f>"107416QQ5"</f>
        <v>107416QQ5</v>
      </c>
      <c r="B373" s="53" t="s">
        <v>499</v>
      </c>
      <c r="C373" s="53" t="s">
        <v>609</v>
      </c>
      <c r="D373" s="53" t="s">
        <v>447</v>
      </c>
      <c r="E373" s="53">
        <v>5</v>
      </c>
      <c r="F373" s="54">
        <v>45748</v>
      </c>
      <c r="G373" s="54" t="s">
        <v>101</v>
      </c>
      <c r="H373" s="53" t="s">
        <v>610</v>
      </c>
      <c r="I373" s="53" t="s">
        <v>611</v>
      </c>
      <c r="J373" s="53">
        <v>99.402000000000001</v>
      </c>
      <c r="K373" s="53">
        <v>100.16</v>
      </c>
      <c r="L373" s="53">
        <v>9.8780000000000001</v>
      </c>
      <c r="M373" s="53">
        <v>3.5859999999999999</v>
      </c>
      <c r="N373" s="53">
        <v>3.5859999999999999</v>
      </c>
      <c r="O373" s="53" t="s">
        <v>101</v>
      </c>
      <c r="P373" s="53" t="s">
        <v>503</v>
      </c>
      <c r="Q373" s="53" t="s">
        <v>488</v>
      </c>
      <c r="R373" s="55" t="s">
        <v>450</v>
      </c>
    </row>
    <row r="374" spans="1:18" x14ac:dyDescent="0.5">
      <c r="A374" s="56" t="str">
        <f>"384514VV4"</f>
        <v>384514VV4</v>
      </c>
      <c r="B374" s="57" t="s">
        <v>496</v>
      </c>
      <c r="C374" s="57" t="s">
        <v>612</v>
      </c>
      <c r="D374" s="53" t="s">
        <v>447</v>
      </c>
      <c r="E374" s="57">
        <v>2</v>
      </c>
      <c r="F374" s="58">
        <v>45809</v>
      </c>
      <c r="G374" s="58" t="s">
        <v>105</v>
      </c>
      <c r="H374" s="57" t="s">
        <v>613</v>
      </c>
      <c r="I374" s="57" t="s">
        <v>105</v>
      </c>
      <c r="J374" s="57" t="s">
        <v>101</v>
      </c>
      <c r="K374" s="57">
        <v>99.48</v>
      </c>
      <c r="L374" s="57" t="s">
        <v>101</v>
      </c>
      <c r="M374" s="57">
        <v>3.8210000000000002</v>
      </c>
      <c r="N374" s="57">
        <v>3.8210000000000002</v>
      </c>
      <c r="O374" s="53" t="s">
        <v>101</v>
      </c>
      <c r="P374" s="57" t="s">
        <v>448</v>
      </c>
      <c r="Q374" s="57" t="s">
        <v>457</v>
      </c>
      <c r="R374" s="59" t="s">
        <v>614</v>
      </c>
    </row>
    <row r="375" spans="1:18" x14ac:dyDescent="0.5">
      <c r="A375" s="52" t="str">
        <f>"081587BU0"</f>
        <v>081587BU0</v>
      </c>
      <c r="B375" s="53" t="s">
        <v>451</v>
      </c>
      <c r="C375" s="53" t="s">
        <v>615</v>
      </c>
      <c r="D375" s="53" t="s">
        <v>447</v>
      </c>
      <c r="E375" s="53">
        <v>2</v>
      </c>
      <c r="F375" s="54">
        <v>45992</v>
      </c>
      <c r="G375" s="54" t="s">
        <v>105</v>
      </c>
      <c r="H375" s="53" t="s">
        <v>105</v>
      </c>
      <c r="I375" s="53" t="s">
        <v>616</v>
      </c>
      <c r="J375" s="53" t="s">
        <v>101</v>
      </c>
      <c r="K375" s="53">
        <v>98.84</v>
      </c>
      <c r="L375" s="53" t="s">
        <v>101</v>
      </c>
      <c r="M375" s="53">
        <v>3.5059999999999998</v>
      </c>
      <c r="N375" s="53">
        <v>3.5059999999999998</v>
      </c>
      <c r="O375" s="53" t="s">
        <v>101</v>
      </c>
      <c r="P375" s="53" t="s">
        <v>448</v>
      </c>
      <c r="Q375" s="53" t="s">
        <v>457</v>
      </c>
      <c r="R375" s="55" t="s">
        <v>608</v>
      </c>
    </row>
    <row r="376" spans="1:18" x14ac:dyDescent="0.5">
      <c r="A376" s="56" t="str">
        <f>"762800QF0"</f>
        <v>762800QF0</v>
      </c>
      <c r="B376" s="57" t="s">
        <v>496</v>
      </c>
      <c r="C376" s="57" t="s">
        <v>617</v>
      </c>
      <c r="D376" s="53" t="s">
        <v>447</v>
      </c>
      <c r="E376" s="57">
        <v>2</v>
      </c>
      <c r="F376" s="58">
        <v>45992</v>
      </c>
      <c r="G376" s="58">
        <v>45733</v>
      </c>
      <c r="H376" s="57" t="s">
        <v>105</v>
      </c>
      <c r="I376" s="57" t="s">
        <v>616</v>
      </c>
      <c r="J376" s="57" t="s">
        <v>101</v>
      </c>
      <c r="K376" s="57">
        <v>98.668000000000006</v>
      </c>
      <c r="L376" s="57" t="s">
        <v>101</v>
      </c>
      <c r="M376" s="57">
        <v>3.7320000000000002</v>
      </c>
      <c r="N376" s="57">
        <v>3.7320000000000002</v>
      </c>
      <c r="O376" s="53" t="s">
        <v>101</v>
      </c>
      <c r="P376" s="57" t="s">
        <v>448</v>
      </c>
      <c r="Q376" s="57" t="s">
        <v>618</v>
      </c>
      <c r="R376" s="59" t="s">
        <v>454</v>
      </c>
    </row>
    <row r="377" spans="1:18" x14ac:dyDescent="0.5">
      <c r="A377" s="52" t="str">
        <f>"776154VG8"</f>
        <v>776154VG8</v>
      </c>
      <c r="B377" s="53" t="s">
        <v>491</v>
      </c>
      <c r="C377" s="53" t="s">
        <v>619</v>
      </c>
      <c r="D377" s="53" t="s">
        <v>447</v>
      </c>
      <c r="E377" s="53">
        <v>2</v>
      </c>
      <c r="F377" s="54">
        <v>46021</v>
      </c>
      <c r="G377" s="54" t="s">
        <v>105</v>
      </c>
      <c r="H377" s="53" t="s">
        <v>613</v>
      </c>
      <c r="I377" s="53" t="s">
        <v>105</v>
      </c>
      <c r="J377" s="53" t="s">
        <v>101</v>
      </c>
      <c r="K377" s="53">
        <v>98.7</v>
      </c>
      <c r="L377" s="53" t="s">
        <v>101</v>
      </c>
      <c r="M377" s="53">
        <v>3.5339999999999998</v>
      </c>
      <c r="N377" s="53">
        <v>3.5339999999999998</v>
      </c>
      <c r="O377" s="53" t="s">
        <v>101</v>
      </c>
      <c r="P377" s="53" t="s">
        <v>448</v>
      </c>
      <c r="Q377" s="53" t="s">
        <v>538</v>
      </c>
      <c r="R377" s="55" t="s">
        <v>614</v>
      </c>
    </row>
    <row r="378" spans="1:18" x14ac:dyDescent="0.5">
      <c r="A378" s="56" t="str">
        <f>"097552JQ7"</f>
        <v>097552JQ7</v>
      </c>
      <c r="B378" s="57" t="s">
        <v>491</v>
      </c>
      <c r="C378" s="57" t="s">
        <v>620</v>
      </c>
      <c r="D378" s="53" t="s">
        <v>447</v>
      </c>
      <c r="E378" s="57">
        <v>0</v>
      </c>
      <c r="F378" s="58">
        <v>46023</v>
      </c>
      <c r="G378" s="58" t="s">
        <v>105</v>
      </c>
      <c r="H378" s="57" t="s">
        <v>610</v>
      </c>
      <c r="I378" s="57" t="s">
        <v>182</v>
      </c>
      <c r="J378" s="57" t="s">
        <v>101</v>
      </c>
      <c r="K378" s="57">
        <v>97.001999999999995</v>
      </c>
      <c r="L378" s="57" t="s">
        <v>101</v>
      </c>
      <c r="M378" s="57">
        <v>3.532</v>
      </c>
      <c r="N378" s="57">
        <v>3.532</v>
      </c>
      <c r="O378" s="53" t="s">
        <v>101</v>
      </c>
      <c r="P378" s="57" t="s">
        <v>448</v>
      </c>
      <c r="Q378" s="57" t="s">
        <v>457</v>
      </c>
      <c r="R378" s="59" t="s">
        <v>621</v>
      </c>
    </row>
    <row r="379" spans="1:18" x14ac:dyDescent="0.5">
      <c r="A379" s="52" t="str">
        <f>"611312NC9"</f>
        <v>611312NC9</v>
      </c>
      <c r="B379" s="53" t="s">
        <v>477</v>
      </c>
      <c r="C379" s="53" t="s">
        <v>622</v>
      </c>
      <c r="D379" s="53" t="s">
        <v>447</v>
      </c>
      <c r="E379" s="53">
        <v>2</v>
      </c>
      <c r="F379" s="54">
        <v>46174</v>
      </c>
      <c r="G379" s="54" t="s">
        <v>105</v>
      </c>
      <c r="H379" s="53" t="s">
        <v>105</v>
      </c>
      <c r="I379" s="53" t="s">
        <v>509</v>
      </c>
      <c r="J379" s="53" t="s">
        <v>101</v>
      </c>
      <c r="K379" s="53">
        <v>98.12</v>
      </c>
      <c r="L379" s="53" t="s">
        <v>101</v>
      </c>
      <c r="M379" s="53">
        <v>3.5059999999999998</v>
      </c>
      <c r="N379" s="53">
        <v>3.5059999999999998</v>
      </c>
      <c r="O379" s="53" t="s">
        <v>101</v>
      </c>
      <c r="P379" s="53" t="s">
        <v>448</v>
      </c>
      <c r="Q379" s="53" t="s">
        <v>457</v>
      </c>
      <c r="R379" s="55" t="s">
        <v>614</v>
      </c>
    </row>
    <row r="380" spans="1:18" x14ac:dyDescent="0.5">
      <c r="A380" s="56" t="str">
        <f>"7170874S6"</f>
        <v>7170874S6</v>
      </c>
      <c r="B380" s="57" t="s">
        <v>451</v>
      </c>
      <c r="C380" s="57" t="s">
        <v>623</v>
      </c>
      <c r="D380" s="53" t="s">
        <v>447</v>
      </c>
      <c r="E380" s="57">
        <v>2</v>
      </c>
      <c r="F380" s="58">
        <v>46235</v>
      </c>
      <c r="G380" s="58" t="s">
        <v>105</v>
      </c>
      <c r="H380" s="57" t="s">
        <v>624</v>
      </c>
      <c r="I380" s="57" t="s">
        <v>105</v>
      </c>
      <c r="J380" s="57" t="s">
        <v>101</v>
      </c>
      <c r="K380" s="57">
        <v>97.84</v>
      </c>
      <c r="L380" s="57" t="s">
        <v>101</v>
      </c>
      <c r="M380" s="57">
        <v>3.5379999999999998</v>
      </c>
      <c r="N380" s="57">
        <v>3.5379999999999998</v>
      </c>
      <c r="O380" s="53" t="s">
        <v>101</v>
      </c>
      <c r="P380" s="57" t="s">
        <v>448</v>
      </c>
      <c r="Q380" s="57" t="s">
        <v>503</v>
      </c>
      <c r="R380" s="59" t="s">
        <v>614</v>
      </c>
    </row>
    <row r="381" spans="1:18" x14ac:dyDescent="0.5">
      <c r="A381" s="52" t="str">
        <f>"157792JG8"</f>
        <v>157792JG8</v>
      </c>
      <c r="B381" s="53" t="s">
        <v>451</v>
      </c>
      <c r="C381" s="53" t="s">
        <v>625</v>
      </c>
      <c r="D381" s="53" t="s">
        <v>447</v>
      </c>
      <c r="E381" s="53">
        <v>2.5</v>
      </c>
      <c r="F381" s="54">
        <v>46266</v>
      </c>
      <c r="G381" s="54">
        <v>45733</v>
      </c>
      <c r="H381" s="53" t="s">
        <v>610</v>
      </c>
      <c r="I381" s="53" t="s">
        <v>105</v>
      </c>
      <c r="J381" s="53" t="s">
        <v>101</v>
      </c>
      <c r="K381" s="53">
        <v>98.231999999999999</v>
      </c>
      <c r="L381" s="53" t="s">
        <v>101</v>
      </c>
      <c r="M381" s="53">
        <v>3.694</v>
      </c>
      <c r="N381" s="53">
        <v>3.694</v>
      </c>
      <c r="O381" s="53" t="s">
        <v>101</v>
      </c>
      <c r="P381" s="53" t="s">
        <v>448</v>
      </c>
      <c r="Q381" s="53" t="s">
        <v>485</v>
      </c>
      <c r="R381" s="55" t="s">
        <v>454</v>
      </c>
    </row>
    <row r="382" spans="1:18" x14ac:dyDescent="0.5">
      <c r="A382" s="56" t="str">
        <f>"37149AFG1"</f>
        <v>37149AFG1</v>
      </c>
      <c r="B382" s="57" t="s">
        <v>451</v>
      </c>
      <c r="C382" s="57" t="s">
        <v>626</v>
      </c>
      <c r="D382" s="53" t="s">
        <v>447</v>
      </c>
      <c r="E382" s="57">
        <v>2</v>
      </c>
      <c r="F382" s="58">
        <v>46266</v>
      </c>
      <c r="G382" s="58">
        <v>45733</v>
      </c>
      <c r="H382" s="57" t="s">
        <v>627</v>
      </c>
      <c r="I382" s="57" t="s">
        <v>628</v>
      </c>
      <c r="J382" s="57" t="s">
        <v>101</v>
      </c>
      <c r="K382" s="57">
        <v>97.658000000000001</v>
      </c>
      <c r="L382" s="57" t="s">
        <v>101</v>
      </c>
      <c r="M382" s="57">
        <v>3.58</v>
      </c>
      <c r="N382" s="57">
        <v>3.58</v>
      </c>
      <c r="O382" s="53" t="s">
        <v>101</v>
      </c>
      <c r="P382" s="57" t="s">
        <v>448</v>
      </c>
      <c r="Q382" s="57" t="s">
        <v>629</v>
      </c>
      <c r="R382" s="59" t="s">
        <v>630</v>
      </c>
    </row>
    <row r="383" spans="1:18" x14ac:dyDescent="0.5">
      <c r="A383" s="52" t="str">
        <f>"41456PLM7"</f>
        <v>41456PLM7</v>
      </c>
      <c r="B383" s="53" t="s">
        <v>451</v>
      </c>
      <c r="C383" s="53" t="s">
        <v>631</v>
      </c>
      <c r="D383" s="53" t="s">
        <v>447</v>
      </c>
      <c r="E383" s="53">
        <v>2</v>
      </c>
      <c r="F383" s="54">
        <v>46266</v>
      </c>
      <c r="G383" s="54">
        <v>45901</v>
      </c>
      <c r="H383" s="53" t="s">
        <v>624</v>
      </c>
      <c r="I383" s="53" t="s">
        <v>105</v>
      </c>
      <c r="J383" s="53" t="s">
        <v>101</v>
      </c>
      <c r="K383" s="53">
        <v>97.483000000000004</v>
      </c>
      <c r="L383" s="53" t="s">
        <v>101</v>
      </c>
      <c r="M383" s="53">
        <v>3.7</v>
      </c>
      <c r="N383" s="53">
        <v>3.7</v>
      </c>
      <c r="O383" s="53" t="s">
        <v>101</v>
      </c>
      <c r="P383" s="53" t="s">
        <v>448</v>
      </c>
      <c r="Q383" s="53" t="s">
        <v>503</v>
      </c>
      <c r="R383" s="55" t="s">
        <v>454</v>
      </c>
    </row>
    <row r="384" spans="1:18" x14ac:dyDescent="0.5">
      <c r="A384" s="56" t="str">
        <f>"452031AD9"</f>
        <v>452031AD9</v>
      </c>
      <c r="B384" s="57" t="s">
        <v>491</v>
      </c>
      <c r="C384" s="57" t="s">
        <v>632</v>
      </c>
      <c r="D384" s="53" t="s">
        <v>447</v>
      </c>
      <c r="E384" s="57">
        <v>5</v>
      </c>
      <c r="F384" s="58">
        <v>46296</v>
      </c>
      <c r="G384" s="58" t="s">
        <v>101</v>
      </c>
      <c r="H384" s="57" t="s">
        <v>105</v>
      </c>
      <c r="I384" s="57" t="s">
        <v>633</v>
      </c>
      <c r="J384" s="57" t="s">
        <v>101</v>
      </c>
      <c r="K384" s="57">
        <v>101.979</v>
      </c>
      <c r="L384" s="57" t="s">
        <v>101</v>
      </c>
      <c r="M384" s="57">
        <v>3.7269999999999999</v>
      </c>
      <c r="N384" s="57">
        <v>3.7269999999999999</v>
      </c>
      <c r="O384" s="53" t="s">
        <v>101</v>
      </c>
      <c r="P384" s="57" t="s">
        <v>448</v>
      </c>
      <c r="Q384" s="57" t="s">
        <v>479</v>
      </c>
      <c r="R384" s="59" t="s">
        <v>450</v>
      </c>
    </row>
    <row r="385" spans="1:18" x14ac:dyDescent="0.5">
      <c r="A385" s="52" t="str">
        <f>"484080RG3"</f>
        <v>484080RG3</v>
      </c>
      <c r="B385" s="53" t="s">
        <v>491</v>
      </c>
      <c r="C385" s="53" t="s">
        <v>634</v>
      </c>
      <c r="D385" s="53" t="s">
        <v>447</v>
      </c>
      <c r="E385" s="53">
        <v>3.55</v>
      </c>
      <c r="F385" s="54">
        <v>46388</v>
      </c>
      <c r="G385" s="54">
        <v>45733</v>
      </c>
      <c r="H385" s="53" t="s">
        <v>105</v>
      </c>
      <c r="I385" s="53" t="s">
        <v>628</v>
      </c>
      <c r="J385" s="53" t="s">
        <v>101</v>
      </c>
      <c r="K385" s="53">
        <v>99.95</v>
      </c>
      <c r="L385" s="53" t="s">
        <v>101</v>
      </c>
      <c r="M385" s="53">
        <v>3.5760000000000001</v>
      </c>
      <c r="N385" s="53">
        <v>3.5760000000000001</v>
      </c>
      <c r="O385" s="53" t="s">
        <v>101</v>
      </c>
      <c r="P385" s="53" t="s">
        <v>448</v>
      </c>
      <c r="Q385" s="53" t="s">
        <v>635</v>
      </c>
      <c r="R385" s="55" t="s">
        <v>454</v>
      </c>
    </row>
    <row r="386" spans="1:18" x14ac:dyDescent="0.5">
      <c r="A386" s="56" t="str">
        <f>"282749UJ7"</f>
        <v>282749UJ7</v>
      </c>
      <c r="B386" s="57" t="s">
        <v>451</v>
      </c>
      <c r="C386" s="57" t="s">
        <v>636</v>
      </c>
      <c r="D386" s="53" t="s">
        <v>447</v>
      </c>
      <c r="E386" s="57">
        <v>1.875</v>
      </c>
      <c r="F386" s="58">
        <v>46419</v>
      </c>
      <c r="G386" s="58" t="s">
        <v>105</v>
      </c>
      <c r="H386" s="57" t="s">
        <v>105</v>
      </c>
      <c r="I386" s="57" t="s">
        <v>616</v>
      </c>
      <c r="J386" s="57" t="s">
        <v>101</v>
      </c>
      <c r="K386" s="57">
        <v>96.82</v>
      </c>
      <c r="L386" s="57" t="s">
        <v>101</v>
      </c>
      <c r="M386" s="57">
        <v>3.5750000000000002</v>
      </c>
      <c r="N386" s="57">
        <v>3.5750000000000002</v>
      </c>
      <c r="O386" s="53" t="s">
        <v>101</v>
      </c>
      <c r="P386" s="57" t="s">
        <v>448</v>
      </c>
      <c r="Q386" s="57" t="s">
        <v>475</v>
      </c>
      <c r="R386" s="59" t="s">
        <v>614</v>
      </c>
    </row>
    <row r="387" spans="1:18" x14ac:dyDescent="0.5">
      <c r="A387" s="52" t="str">
        <f>"954898ED0"</f>
        <v>954898ED0</v>
      </c>
      <c r="B387" s="53" t="s">
        <v>477</v>
      </c>
      <c r="C387" s="53" t="s">
        <v>637</v>
      </c>
      <c r="D387" s="53" t="s">
        <v>447</v>
      </c>
      <c r="E387" s="53">
        <v>2</v>
      </c>
      <c r="F387" s="54">
        <v>46419</v>
      </c>
      <c r="G387" s="54">
        <v>46054</v>
      </c>
      <c r="H387" s="53" t="s">
        <v>105</v>
      </c>
      <c r="I387" s="53" t="s">
        <v>628</v>
      </c>
      <c r="J387" s="53" t="s">
        <v>101</v>
      </c>
      <c r="K387" s="53">
        <v>96.915999999999997</v>
      </c>
      <c r="L387" s="53" t="s">
        <v>101</v>
      </c>
      <c r="M387" s="53">
        <v>3.65</v>
      </c>
      <c r="N387" s="53">
        <v>3.65</v>
      </c>
      <c r="O387" s="53" t="s">
        <v>101</v>
      </c>
      <c r="P387" s="53" t="s">
        <v>448</v>
      </c>
      <c r="Q387" s="53" t="s">
        <v>453</v>
      </c>
      <c r="R387" s="55" t="s">
        <v>454</v>
      </c>
    </row>
    <row r="388" spans="1:18" x14ac:dyDescent="0.5">
      <c r="A388" s="56" t="str">
        <f>"488725DP4"</f>
        <v>488725DP4</v>
      </c>
      <c r="B388" s="57" t="s">
        <v>451</v>
      </c>
      <c r="C388" s="57" t="s">
        <v>638</v>
      </c>
      <c r="D388" s="53" t="s">
        <v>447</v>
      </c>
      <c r="E388" s="57">
        <v>2</v>
      </c>
      <c r="F388" s="58">
        <v>46447</v>
      </c>
      <c r="G388" s="58">
        <v>45733</v>
      </c>
      <c r="H388" s="57" t="s">
        <v>540</v>
      </c>
      <c r="I388" s="57" t="s">
        <v>105</v>
      </c>
      <c r="J388" s="57" t="s">
        <v>101</v>
      </c>
      <c r="K388" s="57">
        <v>96.784000000000006</v>
      </c>
      <c r="L388" s="57" t="s">
        <v>101</v>
      </c>
      <c r="M388" s="57">
        <v>3.653</v>
      </c>
      <c r="N388" s="57">
        <v>3.653</v>
      </c>
      <c r="O388" s="53" t="s">
        <v>101</v>
      </c>
      <c r="P388" s="57" t="s">
        <v>448</v>
      </c>
      <c r="Q388" s="57" t="s">
        <v>556</v>
      </c>
      <c r="R388" s="59" t="s">
        <v>454</v>
      </c>
    </row>
    <row r="389" spans="1:18" x14ac:dyDescent="0.5">
      <c r="A389" s="52" t="str">
        <f>"595493NL7"</f>
        <v>595493NL7</v>
      </c>
      <c r="B389" s="53" t="s">
        <v>496</v>
      </c>
      <c r="C389" s="53" t="s">
        <v>639</v>
      </c>
      <c r="D389" s="53" t="s">
        <v>447</v>
      </c>
      <c r="E389" s="53">
        <v>2</v>
      </c>
      <c r="F389" s="54">
        <v>46447</v>
      </c>
      <c r="G389" s="54" t="s">
        <v>105</v>
      </c>
      <c r="H389" s="53" t="s">
        <v>540</v>
      </c>
      <c r="I389" s="53" t="s">
        <v>105</v>
      </c>
      <c r="J389" s="53" t="s">
        <v>101</v>
      </c>
      <c r="K389" s="53">
        <v>97.06</v>
      </c>
      <c r="L389" s="53" t="s">
        <v>101</v>
      </c>
      <c r="M389" s="53">
        <v>3.508</v>
      </c>
      <c r="N389" s="53">
        <v>3.508</v>
      </c>
      <c r="O389" s="53" t="s">
        <v>101</v>
      </c>
      <c r="P389" s="53" t="s">
        <v>448</v>
      </c>
      <c r="Q389" s="53" t="s">
        <v>503</v>
      </c>
      <c r="R389" s="55" t="s">
        <v>614</v>
      </c>
    </row>
    <row r="390" spans="1:18" x14ac:dyDescent="0.5">
      <c r="A390" s="56" t="str">
        <f>"378550YM3"</f>
        <v>378550YM3</v>
      </c>
      <c r="B390" s="57" t="s">
        <v>496</v>
      </c>
      <c r="C390" s="57" t="s">
        <v>640</v>
      </c>
      <c r="D390" s="53" t="s">
        <v>447</v>
      </c>
      <c r="E390" s="57">
        <v>2.4</v>
      </c>
      <c r="F390" s="58">
        <v>46478</v>
      </c>
      <c r="G390" s="58">
        <v>45733</v>
      </c>
      <c r="H390" s="57" t="s">
        <v>641</v>
      </c>
      <c r="I390" s="57" t="s">
        <v>105</v>
      </c>
      <c r="J390" s="57" t="s">
        <v>101</v>
      </c>
      <c r="K390" s="57">
        <v>97.268000000000001</v>
      </c>
      <c r="L390" s="57" t="s">
        <v>101</v>
      </c>
      <c r="M390" s="57">
        <v>3.7519999999999998</v>
      </c>
      <c r="N390" s="57">
        <v>3.7519999999999998</v>
      </c>
      <c r="O390" s="53" t="s">
        <v>101</v>
      </c>
      <c r="P390" s="57" t="s">
        <v>448</v>
      </c>
      <c r="Q390" s="57" t="s">
        <v>453</v>
      </c>
      <c r="R390" s="59" t="s">
        <v>454</v>
      </c>
    </row>
    <row r="391" spans="1:18" x14ac:dyDescent="0.5">
      <c r="A391" s="52" t="str">
        <f>"230561B35"</f>
        <v>230561B35</v>
      </c>
      <c r="B391" s="53" t="s">
        <v>477</v>
      </c>
      <c r="C391" s="53" t="s">
        <v>642</v>
      </c>
      <c r="D391" s="53" t="s">
        <v>447</v>
      </c>
      <c r="E391" s="53">
        <v>2</v>
      </c>
      <c r="F391" s="54">
        <v>46522</v>
      </c>
      <c r="G391" s="54" t="s">
        <v>105</v>
      </c>
      <c r="H391" s="53" t="s">
        <v>105</v>
      </c>
      <c r="I391" s="53" t="s">
        <v>616</v>
      </c>
      <c r="J391" s="53" t="s">
        <v>101</v>
      </c>
      <c r="K391" s="53">
        <v>96.722999999999999</v>
      </c>
      <c r="L391" s="53" t="s">
        <v>101</v>
      </c>
      <c r="M391" s="53">
        <v>3.532</v>
      </c>
      <c r="N391" s="53">
        <v>3.532</v>
      </c>
      <c r="O391" s="53" t="s">
        <v>101</v>
      </c>
      <c r="P391" s="53" t="s">
        <v>448</v>
      </c>
      <c r="Q391" s="53" t="s">
        <v>469</v>
      </c>
      <c r="R391" s="55" t="s">
        <v>614</v>
      </c>
    </row>
    <row r="392" spans="1:18" x14ac:dyDescent="0.5">
      <c r="A392" s="56" t="str">
        <f>"236092DW9"</f>
        <v>236092DW9</v>
      </c>
      <c r="B392" s="57" t="s">
        <v>496</v>
      </c>
      <c r="C392" s="57" t="s">
        <v>643</v>
      </c>
      <c r="D392" s="53" t="s">
        <v>447</v>
      </c>
      <c r="E392" s="57">
        <v>2</v>
      </c>
      <c r="F392" s="58">
        <v>46539</v>
      </c>
      <c r="G392" s="58">
        <v>46174</v>
      </c>
      <c r="H392" s="57" t="s">
        <v>105</v>
      </c>
      <c r="I392" s="57" t="s">
        <v>104</v>
      </c>
      <c r="J392" s="57" t="s">
        <v>101</v>
      </c>
      <c r="K392" s="57">
        <v>96.302999999999997</v>
      </c>
      <c r="L392" s="57" t="s">
        <v>101</v>
      </c>
      <c r="M392" s="57">
        <v>3.7</v>
      </c>
      <c r="N392" s="57">
        <v>3.7</v>
      </c>
      <c r="O392" s="53" t="s">
        <v>101</v>
      </c>
      <c r="P392" s="57" t="s">
        <v>448</v>
      </c>
      <c r="Q392" s="57" t="s">
        <v>644</v>
      </c>
      <c r="R392" s="59" t="s">
        <v>454</v>
      </c>
    </row>
    <row r="393" spans="1:18" x14ac:dyDescent="0.5">
      <c r="A393" s="52" t="str">
        <f>"343137BG9"</f>
        <v>343137BG9</v>
      </c>
      <c r="B393" s="53" t="s">
        <v>499</v>
      </c>
      <c r="C393" s="53" t="s">
        <v>645</v>
      </c>
      <c r="D393" s="53" t="s">
        <v>447</v>
      </c>
      <c r="E393" s="53">
        <v>2.625</v>
      </c>
      <c r="F393" s="54">
        <v>46569</v>
      </c>
      <c r="G393" s="54">
        <v>45839</v>
      </c>
      <c r="H393" s="53" t="s">
        <v>613</v>
      </c>
      <c r="I393" s="53" t="s">
        <v>105</v>
      </c>
      <c r="J393" s="53" t="s">
        <v>101</v>
      </c>
      <c r="K393" s="53">
        <v>97.935000000000002</v>
      </c>
      <c r="L393" s="53" t="s">
        <v>101</v>
      </c>
      <c r="M393" s="53">
        <v>3.54</v>
      </c>
      <c r="N393" s="53">
        <v>3.54</v>
      </c>
      <c r="O393" s="53" t="s">
        <v>101</v>
      </c>
      <c r="P393" s="53" t="s">
        <v>448</v>
      </c>
      <c r="Q393" s="53" t="s">
        <v>453</v>
      </c>
      <c r="R393" s="55" t="s">
        <v>589</v>
      </c>
    </row>
    <row r="394" spans="1:18" x14ac:dyDescent="0.5">
      <c r="A394" s="56" t="str">
        <f>"895139LN1"</f>
        <v>895139LN1</v>
      </c>
      <c r="B394" s="57" t="s">
        <v>477</v>
      </c>
      <c r="C394" s="57" t="s">
        <v>646</v>
      </c>
      <c r="D394" s="53" t="s">
        <v>447</v>
      </c>
      <c r="E394" s="57">
        <v>2</v>
      </c>
      <c r="F394" s="58">
        <v>46583</v>
      </c>
      <c r="G394" s="58" t="s">
        <v>105</v>
      </c>
      <c r="H394" s="57" t="s">
        <v>610</v>
      </c>
      <c r="I394" s="57" t="s">
        <v>628</v>
      </c>
      <c r="J394" s="57" t="s">
        <v>101</v>
      </c>
      <c r="K394" s="57">
        <v>96.24</v>
      </c>
      <c r="L394" s="57" t="s">
        <v>101</v>
      </c>
      <c r="M394" s="57">
        <v>3.6440000000000001</v>
      </c>
      <c r="N394" s="57">
        <v>3.6440000000000001</v>
      </c>
      <c r="O394" s="53" t="s">
        <v>101</v>
      </c>
      <c r="P394" s="57" t="s">
        <v>448</v>
      </c>
      <c r="Q394" s="57" t="s">
        <v>453</v>
      </c>
      <c r="R394" s="59" t="s">
        <v>647</v>
      </c>
    </row>
    <row r="395" spans="1:18" x14ac:dyDescent="0.5">
      <c r="A395" s="52" t="str">
        <f>"537095MD0"</f>
        <v>537095MD0</v>
      </c>
      <c r="B395" s="53" t="s">
        <v>451</v>
      </c>
      <c r="C395" s="53" t="s">
        <v>648</v>
      </c>
      <c r="D395" s="53" t="s">
        <v>447</v>
      </c>
      <c r="E395" s="53">
        <v>2.375</v>
      </c>
      <c r="F395" s="54">
        <v>46600</v>
      </c>
      <c r="G395" s="54">
        <v>45733</v>
      </c>
      <c r="H395" s="53" t="s">
        <v>613</v>
      </c>
      <c r="I395" s="53" t="s">
        <v>105</v>
      </c>
      <c r="J395" s="53" t="s">
        <v>101</v>
      </c>
      <c r="K395" s="53">
        <v>96.837000000000003</v>
      </c>
      <c r="L395" s="53" t="s">
        <v>101</v>
      </c>
      <c r="M395" s="53">
        <v>3.7360000000000002</v>
      </c>
      <c r="N395" s="53">
        <v>3.7360000000000002</v>
      </c>
      <c r="O395" s="53" t="s">
        <v>101</v>
      </c>
      <c r="P395" s="53" t="s">
        <v>448</v>
      </c>
      <c r="Q395" s="53" t="s">
        <v>488</v>
      </c>
      <c r="R395" s="55" t="s">
        <v>504</v>
      </c>
    </row>
    <row r="396" spans="1:18" x14ac:dyDescent="0.5">
      <c r="A396" s="56" t="str">
        <f>"779244DQ2"</f>
        <v>779244DQ2</v>
      </c>
      <c r="B396" s="57" t="s">
        <v>451</v>
      </c>
      <c r="C396" s="57" t="s">
        <v>649</v>
      </c>
      <c r="D396" s="53" t="s">
        <v>447</v>
      </c>
      <c r="E396" s="57">
        <v>2.5</v>
      </c>
      <c r="F396" s="58">
        <v>46600</v>
      </c>
      <c r="G396" s="58">
        <v>46235</v>
      </c>
      <c r="H396" s="57" t="s">
        <v>105</v>
      </c>
      <c r="I396" s="57" t="s">
        <v>104</v>
      </c>
      <c r="J396" s="57" t="s">
        <v>101</v>
      </c>
      <c r="K396" s="57">
        <v>97.668000000000006</v>
      </c>
      <c r="L396" s="57" t="s">
        <v>101</v>
      </c>
      <c r="M396" s="57">
        <v>3.5</v>
      </c>
      <c r="N396" s="57">
        <v>3.5</v>
      </c>
      <c r="O396" s="53" t="s">
        <v>101</v>
      </c>
      <c r="P396" s="57" t="s">
        <v>448</v>
      </c>
      <c r="Q396" s="57" t="s">
        <v>527</v>
      </c>
      <c r="R396" s="59" t="s">
        <v>504</v>
      </c>
    </row>
    <row r="397" spans="1:18" x14ac:dyDescent="0.5">
      <c r="A397" s="52" t="str">
        <f>"954898FX5"</f>
        <v>954898FX5</v>
      </c>
      <c r="B397" s="53" t="s">
        <v>477</v>
      </c>
      <c r="C397" s="53" t="s">
        <v>650</v>
      </c>
      <c r="D397" s="53" t="s">
        <v>447</v>
      </c>
      <c r="E397" s="53">
        <v>2</v>
      </c>
      <c r="F397" s="54">
        <v>46600</v>
      </c>
      <c r="G397" s="54" t="s">
        <v>105</v>
      </c>
      <c r="H397" s="53" t="s">
        <v>105</v>
      </c>
      <c r="I397" s="53" t="s">
        <v>628</v>
      </c>
      <c r="J397" s="53" t="s">
        <v>101</v>
      </c>
      <c r="K397" s="53">
        <v>96.411000000000001</v>
      </c>
      <c r="L397" s="53" t="s">
        <v>101</v>
      </c>
      <c r="M397" s="53">
        <v>3.54</v>
      </c>
      <c r="N397" s="53">
        <v>3.54</v>
      </c>
      <c r="O397" s="53" t="s">
        <v>101</v>
      </c>
      <c r="P397" s="53" t="s">
        <v>448</v>
      </c>
      <c r="Q397" s="53" t="s">
        <v>517</v>
      </c>
      <c r="R397" s="55" t="s">
        <v>614</v>
      </c>
    </row>
    <row r="398" spans="1:18" x14ac:dyDescent="0.5">
      <c r="A398" s="56" t="str">
        <f>"539107QQ8"</f>
        <v>539107QQ8</v>
      </c>
      <c r="B398" s="57" t="s">
        <v>451</v>
      </c>
      <c r="C398" s="57" t="s">
        <v>651</v>
      </c>
      <c r="D398" s="53" t="s">
        <v>447</v>
      </c>
      <c r="E398" s="57">
        <v>2</v>
      </c>
      <c r="F398" s="58">
        <v>46614</v>
      </c>
      <c r="G398" s="58" t="s">
        <v>105</v>
      </c>
      <c r="H398" s="57" t="s">
        <v>105</v>
      </c>
      <c r="I398" s="57" t="s">
        <v>104</v>
      </c>
      <c r="J398" s="57" t="s">
        <v>101</v>
      </c>
      <c r="K398" s="57">
        <v>96.27</v>
      </c>
      <c r="L398" s="57" t="s">
        <v>101</v>
      </c>
      <c r="M398" s="57">
        <v>3.5779999999999998</v>
      </c>
      <c r="N398" s="57">
        <v>3.5779999999999998</v>
      </c>
      <c r="O398" s="53" t="s">
        <v>101</v>
      </c>
      <c r="P398" s="57" t="s">
        <v>448</v>
      </c>
      <c r="Q398" s="57" t="s">
        <v>652</v>
      </c>
      <c r="R398" s="59" t="s">
        <v>614</v>
      </c>
    </row>
    <row r="399" spans="1:18" x14ac:dyDescent="0.5">
      <c r="A399" s="52" t="str">
        <f>"17239VGS1"</f>
        <v>17239VGS1</v>
      </c>
      <c r="B399" s="53" t="s">
        <v>451</v>
      </c>
      <c r="C399" s="53" t="s">
        <v>653</v>
      </c>
      <c r="D399" s="53" t="s">
        <v>447</v>
      </c>
      <c r="E399" s="53">
        <v>3</v>
      </c>
      <c r="F399" s="54">
        <v>46631</v>
      </c>
      <c r="G399" s="54">
        <v>45733</v>
      </c>
      <c r="H399" s="53" t="s">
        <v>610</v>
      </c>
      <c r="I399" s="53" t="s">
        <v>628</v>
      </c>
      <c r="J399" s="53" t="s">
        <v>101</v>
      </c>
      <c r="K399" s="53">
        <v>98.68</v>
      </c>
      <c r="L399" s="53" t="s">
        <v>101</v>
      </c>
      <c r="M399" s="53">
        <v>3.548</v>
      </c>
      <c r="N399" s="53">
        <v>3.548</v>
      </c>
      <c r="O399" s="53" t="s">
        <v>101</v>
      </c>
      <c r="P399" s="53" t="s">
        <v>448</v>
      </c>
      <c r="Q399" s="53" t="s">
        <v>457</v>
      </c>
      <c r="R399" s="55" t="s">
        <v>630</v>
      </c>
    </row>
    <row r="400" spans="1:18" x14ac:dyDescent="0.5">
      <c r="A400" s="56" t="str">
        <f>"41450GQF3"</f>
        <v>41450GQF3</v>
      </c>
      <c r="B400" s="57" t="s">
        <v>451</v>
      </c>
      <c r="C400" s="57" t="s">
        <v>654</v>
      </c>
      <c r="D400" s="53" t="s">
        <v>447</v>
      </c>
      <c r="E400" s="57">
        <v>2</v>
      </c>
      <c r="F400" s="58">
        <v>46631</v>
      </c>
      <c r="G400" s="58">
        <v>45901</v>
      </c>
      <c r="H400" s="57" t="s">
        <v>105</v>
      </c>
      <c r="I400" s="57" t="s">
        <v>628</v>
      </c>
      <c r="J400" s="57" t="s">
        <v>101</v>
      </c>
      <c r="K400" s="57">
        <v>95.686000000000007</v>
      </c>
      <c r="L400" s="57" t="s">
        <v>101</v>
      </c>
      <c r="M400" s="57">
        <v>3.8</v>
      </c>
      <c r="N400" s="57">
        <v>3.8</v>
      </c>
      <c r="O400" s="53" t="s">
        <v>101</v>
      </c>
      <c r="P400" s="57" t="s">
        <v>448</v>
      </c>
      <c r="Q400" s="57" t="s">
        <v>655</v>
      </c>
      <c r="R400" s="59" t="s">
        <v>630</v>
      </c>
    </row>
    <row r="401" spans="1:18" x14ac:dyDescent="0.5">
      <c r="A401" s="52" t="str">
        <f>"581732LG7"</f>
        <v>581732LG7</v>
      </c>
      <c r="B401" s="53" t="s">
        <v>451</v>
      </c>
      <c r="C401" s="53" t="s">
        <v>656</v>
      </c>
      <c r="D401" s="53" t="s">
        <v>447</v>
      </c>
      <c r="E401" s="53">
        <v>2</v>
      </c>
      <c r="F401" s="54">
        <v>46631</v>
      </c>
      <c r="G401" s="54">
        <v>46266</v>
      </c>
      <c r="H401" s="53" t="s">
        <v>641</v>
      </c>
      <c r="I401" s="53" t="s">
        <v>628</v>
      </c>
      <c r="J401" s="53" t="s">
        <v>101</v>
      </c>
      <c r="K401" s="53">
        <v>95.918999999999997</v>
      </c>
      <c r="L401" s="53" t="s">
        <v>101</v>
      </c>
      <c r="M401" s="53">
        <v>3.7</v>
      </c>
      <c r="N401" s="53">
        <v>3.7</v>
      </c>
      <c r="O401" s="53" t="s">
        <v>101</v>
      </c>
      <c r="P401" s="53" t="s">
        <v>448</v>
      </c>
      <c r="Q401" s="53" t="s">
        <v>453</v>
      </c>
      <c r="R401" s="55" t="s">
        <v>630</v>
      </c>
    </row>
    <row r="402" spans="1:18" x14ac:dyDescent="0.5">
      <c r="A402" s="56" t="str">
        <f>"76958PAM8"</f>
        <v>76958PAM8</v>
      </c>
      <c r="B402" s="57" t="s">
        <v>499</v>
      </c>
      <c r="C402" s="57" t="s">
        <v>657</v>
      </c>
      <c r="D402" s="53" t="s">
        <v>447</v>
      </c>
      <c r="E402" s="57">
        <v>2.375</v>
      </c>
      <c r="F402" s="58">
        <v>46692</v>
      </c>
      <c r="G402" s="58">
        <v>45962</v>
      </c>
      <c r="H402" s="57" t="s">
        <v>105</v>
      </c>
      <c r="I402" s="57" t="s">
        <v>658</v>
      </c>
      <c r="J402" s="57" t="s">
        <v>101</v>
      </c>
      <c r="K402" s="57">
        <v>96.775000000000006</v>
      </c>
      <c r="L402" s="57" t="s">
        <v>101</v>
      </c>
      <c r="M402" s="57">
        <v>3.6379999999999999</v>
      </c>
      <c r="N402" s="57">
        <v>3.6379999999999999</v>
      </c>
      <c r="O402" s="53" t="s">
        <v>101</v>
      </c>
      <c r="P402" s="57" t="s">
        <v>448</v>
      </c>
      <c r="Q402" s="57" t="s">
        <v>527</v>
      </c>
      <c r="R402" s="59" t="s">
        <v>504</v>
      </c>
    </row>
    <row r="403" spans="1:18" x14ac:dyDescent="0.5">
      <c r="A403" s="52" t="str">
        <f>"488764YP0"</f>
        <v>488764YP0</v>
      </c>
      <c r="B403" s="53" t="s">
        <v>491</v>
      </c>
      <c r="C403" s="53" t="s">
        <v>659</v>
      </c>
      <c r="D403" s="53" t="s">
        <v>447</v>
      </c>
      <c r="E403" s="53">
        <v>0</v>
      </c>
      <c r="F403" s="54">
        <v>46784</v>
      </c>
      <c r="G403" s="54" t="s">
        <v>105</v>
      </c>
      <c r="H403" s="53" t="s">
        <v>641</v>
      </c>
      <c r="I403" s="53" t="s">
        <v>105</v>
      </c>
      <c r="J403" s="53" t="s">
        <v>101</v>
      </c>
      <c r="K403" s="53">
        <v>90.15</v>
      </c>
      <c r="L403" s="53" t="s">
        <v>101</v>
      </c>
      <c r="M403" s="53">
        <v>3.5430000000000001</v>
      </c>
      <c r="N403" s="53">
        <v>3.5430000000000001</v>
      </c>
      <c r="O403" s="53" t="s">
        <v>101</v>
      </c>
      <c r="P403" s="53" t="s">
        <v>448</v>
      </c>
      <c r="Q403" s="53" t="s">
        <v>488</v>
      </c>
      <c r="R403" s="55" t="s">
        <v>647</v>
      </c>
    </row>
    <row r="404" spans="1:18" x14ac:dyDescent="0.5">
      <c r="A404" s="56" t="str">
        <f>"954898EE8"</f>
        <v>954898EE8</v>
      </c>
      <c r="B404" s="57" t="s">
        <v>477</v>
      </c>
      <c r="C404" s="57" t="s">
        <v>660</v>
      </c>
      <c r="D404" s="53" t="s">
        <v>447</v>
      </c>
      <c r="E404" s="57">
        <v>2</v>
      </c>
      <c r="F404" s="58">
        <v>46784</v>
      </c>
      <c r="G404" s="58">
        <v>46054</v>
      </c>
      <c r="H404" s="57" t="s">
        <v>105</v>
      </c>
      <c r="I404" s="57" t="s">
        <v>628</v>
      </c>
      <c r="J404" s="57" t="s">
        <v>101</v>
      </c>
      <c r="K404" s="57">
        <v>94.954999999999998</v>
      </c>
      <c r="L404" s="57" t="s">
        <v>101</v>
      </c>
      <c r="M404" s="57">
        <v>3.823</v>
      </c>
      <c r="N404" s="57">
        <v>3.823</v>
      </c>
      <c r="O404" s="53" t="s">
        <v>101</v>
      </c>
      <c r="P404" s="57" t="s">
        <v>448</v>
      </c>
      <c r="Q404" s="57" t="s">
        <v>457</v>
      </c>
      <c r="R404" s="59" t="s">
        <v>454</v>
      </c>
    </row>
    <row r="405" spans="1:18" x14ac:dyDescent="0.5">
      <c r="A405" s="52" t="str">
        <f>"90634PPZ6"</f>
        <v>90634PPZ6</v>
      </c>
      <c r="B405" s="53" t="s">
        <v>477</v>
      </c>
      <c r="C405" s="53" t="s">
        <v>661</v>
      </c>
      <c r="D405" s="53" t="s">
        <v>447</v>
      </c>
      <c r="E405" s="53">
        <v>2</v>
      </c>
      <c r="F405" s="54">
        <v>46813</v>
      </c>
      <c r="G405" s="54">
        <v>46631</v>
      </c>
      <c r="H405" s="53" t="s">
        <v>104</v>
      </c>
      <c r="I405" s="53" t="s">
        <v>105</v>
      </c>
      <c r="J405" s="53" t="s">
        <v>101</v>
      </c>
      <c r="K405" s="53">
        <v>94.992999999999995</v>
      </c>
      <c r="L405" s="53" t="s">
        <v>101</v>
      </c>
      <c r="M405" s="53">
        <v>3.76</v>
      </c>
      <c r="N405" s="53">
        <v>3.76</v>
      </c>
      <c r="O405" s="53" t="s">
        <v>101</v>
      </c>
      <c r="P405" s="53" t="s">
        <v>448</v>
      </c>
      <c r="Q405" s="53" t="s">
        <v>488</v>
      </c>
      <c r="R405" s="55" t="s">
        <v>454</v>
      </c>
    </row>
    <row r="406" spans="1:18" x14ac:dyDescent="0.5">
      <c r="A406" s="56" t="str">
        <f>"614155KH1"</f>
        <v>614155KH1</v>
      </c>
      <c r="B406" s="57" t="s">
        <v>477</v>
      </c>
      <c r="C406" s="57" t="s">
        <v>662</v>
      </c>
      <c r="D406" s="53" t="s">
        <v>447</v>
      </c>
      <c r="E406" s="57">
        <v>2</v>
      </c>
      <c r="F406" s="58">
        <v>46858</v>
      </c>
      <c r="G406" s="58">
        <v>45762</v>
      </c>
      <c r="H406" s="57" t="s">
        <v>105</v>
      </c>
      <c r="I406" s="57" t="s">
        <v>509</v>
      </c>
      <c r="J406" s="57" t="s">
        <v>101</v>
      </c>
      <c r="K406" s="57">
        <v>94.998999999999995</v>
      </c>
      <c r="L406" s="57" t="s">
        <v>101</v>
      </c>
      <c r="M406" s="57">
        <v>3.6909999999999998</v>
      </c>
      <c r="N406" s="57">
        <v>3.6909999999999998</v>
      </c>
      <c r="O406" s="53" t="s">
        <v>101</v>
      </c>
      <c r="P406" s="57" t="s">
        <v>448</v>
      </c>
      <c r="Q406" s="57" t="s">
        <v>663</v>
      </c>
      <c r="R406" s="59" t="s">
        <v>454</v>
      </c>
    </row>
    <row r="407" spans="1:18" x14ac:dyDescent="0.5">
      <c r="A407" s="52" t="str">
        <f>"715382L62"</f>
        <v>715382L62</v>
      </c>
      <c r="B407" s="53" t="s">
        <v>477</v>
      </c>
      <c r="C407" s="53" t="s">
        <v>664</v>
      </c>
      <c r="D407" s="53" t="s">
        <v>447</v>
      </c>
      <c r="E407" s="53">
        <v>2</v>
      </c>
      <c r="F407" s="54">
        <v>46874</v>
      </c>
      <c r="G407" s="54">
        <v>46143</v>
      </c>
      <c r="H407" s="53" t="s">
        <v>105</v>
      </c>
      <c r="I407" s="53" t="s">
        <v>628</v>
      </c>
      <c r="J407" s="53" t="s">
        <v>101</v>
      </c>
      <c r="K407" s="53">
        <v>94.424999999999997</v>
      </c>
      <c r="L407" s="53" t="s">
        <v>101</v>
      </c>
      <c r="M407" s="53">
        <v>3.867</v>
      </c>
      <c r="N407" s="53">
        <v>3.867</v>
      </c>
      <c r="O407" s="53" t="s">
        <v>101</v>
      </c>
      <c r="P407" s="53" t="s">
        <v>448</v>
      </c>
      <c r="Q407" s="53" t="s">
        <v>460</v>
      </c>
      <c r="R407" s="55" t="s">
        <v>630</v>
      </c>
    </row>
    <row r="408" spans="1:18" x14ac:dyDescent="0.5">
      <c r="A408" s="56" t="str">
        <f>"68825WJH3"</f>
        <v>68825WJH3</v>
      </c>
      <c r="B408" s="57" t="s">
        <v>496</v>
      </c>
      <c r="C408" s="57" t="s">
        <v>665</v>
      </c>
      <c r="D408" s="53" t="s">
        <v>447</v>
      </c>
      <c r="E408" s="57">
        <v>2</v>
      </c>
      <c r="F408" s="58">
        <v>46905</v>
      </c>
      <c r="G408" s="58">
        <v>46174</v>
      </c>
      <c r="H408" s="57" t="s">
        <v>624</v>
      </c>
      <c r="I408" s="57" t="s">
        <v>105</v>
      </c>
      <c r="J408" s="57" t="s">
        <v>101</v>
      </c>
      <c r="K408" s="57">
        <v>95.085999999999999</v>
      </c>
      <c r="L408" s="57" t="s">
        <v>101</v>
      </c>
      <c r="M408" s="57">
        <v>3.5979999999999999</v>
      </c>
      <c r="N408" s="57">
        <v>3.5979999999999999</v>
      </c>
      <c r="O408" s="53" t="s">
        <v>101</v>
      </c>
      <c r="P408" s="57" t="s">
        <v>448</v>
      </c>
      <c r="Q408" s="57" t="s">
        <v>666</v>
      </c>
      <c r="R408" s="59" t="s">
        <v>454</v>
      </c>
    </row>
    <row r="409" spans="1:18" x14ac:dyDescent="0.5">
      <c r="A409" s="52" t="str">
        <f>"34114CCF0"</f>
        <v>34114CCF0</v>
      </c>
      <c r="B409" s="53" t="s">
        <v>499</v>
      </c>
      <c r="C409" s="53" t="s">
        <v>667</v>
      </c>
      <c r="D409" s="53" t="s">
        <v>447</v>
      </c>
      <c r="E409" s="53">
        <v>3.125</v>
      </c>
      <c r="F409" s="54">
        <v>46935</v>
      </c>
      <c r="G409" s="54">
        <v>45839</v>
      </c>
      <c r="H409" s="53" t="s">
        <v>624</v>
      </c>
      <c r="I409" s="53" t="s">
        <v>105</v>
      </c>
      <c r="J409" s="53" t="s">
        <v>101</v>
      </c>
      <c r="K409" s="53">
        <v>98.295000000000002</v>
      </c>
      <c r="L409" s="53" t="s">
        <v>101</v>
      </c>
      <c r="M409" s="53">
        <v>3.6669999999999998</v>
      </c>
      <c r="N409" s="53">
        <v>3.6669999999999998</v>
      </c>
      <c r="O409" s="53" t="s">
        <v>101</v>
      </c>
      <c r="P409" s="53" t="s">
        <v>448</v>
      </c>
      <c r="Q409" s="53" t="s">
        <v>485</v>
      </c>
      <c r="R409" s="55" t="s">
        <v>504</v>
      </c>
    </row>
    <row r="410" spans="1:18" x14ac:dyDescent="0.5">
      <c r="A410" s="56" t="str">
        <f>"774280R29"</f>
        <v>774280R29</v>
      </c>
      <c r="B410" s="57" t="s">
        <v>451</v>
      </c>
      <c r="C410" s="57" t="s">
        <v>668</v>
      </c>
      <c r="D410" s="53" t="s">
        <v>447</v>
      </c>
      <c r="E410" s="57">
        <v>2.75</v>
      </c>
      <c r="F410" s="58">
        <v>46966</v>
      </c>
      <c r="G410" s="58">
        <v>46054</v>
      </c>
      <c r="H410" s="57" t="s">
        <v>613</v>
      </c>
      <c r="I410" s="57" t="s">
        <v>509</v>
      </c>
      <c r="J410" s="57" t="s">
        <v>101</v>
      </c>
      <c r="K410" s="57">
        <v>97.388999999999996</v>
      </c>
      <c r="L410" s="57" t="s">
        <v>101</v>
      </c>
      <c r="M410" s="57">
        <v>3.56</v>
      </c>
      <c r="N410" s="57">
        <v>3.56</v>
      </c>
      <c r="O410" s="53" t="s">
        <v>101</v>
      </c>
      <c r="P410" s="57" t="s">
        <v>448</v>
      </c>
      <c r="Q410" s="57" t="s">
        <v>457</v>
      </c>
      <c r="R410" s="59" t="s">
        <v>482</v>
      </c>
    </row>
    <row r="411" spans="1:18" x14ac:dyDescent="0.5">
      <c r="A411" s="52" t="str">
        <f>"970554ES6"</f>
        <v>970554ES6</v>
      </c>
      <c r="B411" s="53" t="s">
        <v>451</v>
      </c>
      <c r="C411" s="53" t="s">
        <v>669</v>
      </c>
      <c r="D411" s="53" t="s">
        <v>447</v>
      </c>
      <c r="E411" s="53">
        <v>2</v>
      </c>
      <c r="F411" s="54">
        <v>46966</v>
      </c>
      <c r="G411" s="54">
        <v>45733</v>
      </c>
      <c r="H411" s="53" t="s">
        <v>670</v>
      </c>
      <c r="I411" s="53" t="s">
        <v>182</v>
      </c>
      <c r="J411" s="53" t="s">
        <v>101</v>
      </c>
      <c r="K411" s="53">
        <v>94.016999999999996</v>
      </c>
      <c r="L411" s="53" t="s">
        <v>101</v>
      </c>
      <c r="M411" s="53">
        <v>3.867</v>
      </c>
      <c r="N411" s="53">
        <v>3.867</v>
      </c>
      <c r="O411" s="53" t="s">
        <v>101</v>
      </c>
      <c r="P411" s="53" t="s">
        <v>448</v>
      </c>
      <c r="Q411" s="53" t="s">
        <v>527</v>
      </c>
      <c r="R411" s="55" t="s">
        <v>630</v>
      </c>
    </row>
    <row r="412" spans="1:18" x14ac:dyDescent="0.5">
      <c r="A412" s="56" t="str">
        <f>"303171DS8"</f>
        <v>303171DS8</v>
      </c>
      <c r="B412" s="57" t="s">
        <v>477</v>
      </c>
      <c r="C412" s="57" t="s">
        <v>671</v>
      </c>
      <c r="D412" s="53" t="s">
        <v>447</v>
      </c>
      <c r="E412" s="57">
        <v>2.5</v>
      </c>
      <c r="F412" s="58">
        <v>46980</v>
      </c>
      <c r="G412" s="58">
        <v>46249</v>
      </c>
      <c r="H412" s="57" t="s">
        <v>105</v>
      </c>
      <c r="I412" s="57" t="s">
        <v>509</v>
      </c>
      <c r="J412" s="57" t="s">
        <v>101</v>
      </c>
      <c r="K412" s="57">
        <v>96.728999999999999</v>
      </c>
      <c r="L412" s="57" t="s">
        <v>101</v>
      </c>
      <c r="M412" s="57">
        <v>3.5030000000000001</v>
      </c>
      <c r="N412" s="57">
        <v>3.5030000000000001</v>
      </c>
      <c r="O412" s="53" t="s">
        <v>101</v>
      </c>
      <c r="P412" s="57" t="s">
        <v>448</v>
      </c>
      <c r="Q412" s="57" t="s">
        <v>527</v>
      </c>
      <c r="R412" s="59" t="s">
        <v>454</v>
      </c>
    </row>
    <row r="413" spans="1:18" x14ac:dyDescent="0.5">
      <c r="A413" s="52" t="str">
        <f>"373029FC6"</f>
        <v>373029FC6</v>
      </c>
      <c r="B413" s="53" t="s">
        <v>451</v>
      </c>
      <c r="C413" s="53" t="s">
        <v>672</v>
      </c>
      <c r="D413" s="53" t="s">
        <v>447</v>
      </c>
      <c r="E413" s="53">
        <v>2.375</v>
      </c>
      <c r="F413" s="54">
        <v>46980</v>
      </c>
      <c r="G413" s="54">
        <v>45884</v>
      </c>
      <c r="H413" s="53" t="s">
        <v>105</v>
      </c>
      <c r="I413" s="53" t="s">
        <v>104</v>
      </c>
      <c r="J413" s="53" t="s">
        <v>101</v>
      </c>
      <c r="K413" s="53">
        <v>96.301000000000002</v>
      </c>
      <c r="L413" s="53" t="s">
        <v>101</v>
      </c>
      <c r="M413" s="53">
        <v>3.51</v>
      </c>
      <c r="N413" s="53">
        <v>3.51</v>
      </c>
      <c r="O413" s="53" t="s">
        <v>101</v>
      </c>
      <c r="P413" s="53" t="s">
        <v>448</v>
      </c>
      <c r="Q413" s="53" t="s">
        <v>485</v>
      </c>
      <c r="R413" s="55" t="s">
        <v>504</v>
      </c>
    </row>
    <row r="414" spans="1:18" x14ac:dyDescent="0.5">
      <c r="A414" s="56" t="str">
        <f>"798765CD3"</f>
        <v>798765CD3</v>
      </c>
      <c r="B414" s="57" t="s">
        <v>451</v>
      </c>
      <c r="C414" s="57" t="s">
        <v>673</v>
      </c>
      <c r="D414" s="53" t="s">
        <v>447</v>
      </c>
      <c r="E414" s="57">
        <v>2.125</v>
      </c>
      <c r="F414" s="58">
        <v>46980</v>
      </c>
      <c r="G414" s="58">
        <v>45884</v>
      </c>
      <c r="H414" s="57" t="s">
        <v>105</v>
      </c>
      <c r="I414" s="57" t="s">
        <v>628</v>
      </c>
      <c r="J414" s="57" t="s">
        <v>101</v>
      </c>
      <c r="K414" s="57">
        <v>94.718999999999994</v>
      </c>
      <c r="L414" s="57" t="s">
        <v>101</v>
      </c>
      <c r="M414" s="57">
        <v>3.7530000000000001</v>
      </c>
      <c r="N414" s="57">
        <v>3.7530000000000001</v>
      </c>
      <c r="O414" s="53" t="s">
        <v>101</v>
      </c>
      <c r="P414" s="57" t="s">
        <v>448</v>
      </c>
      <c r="Q414" s="57" t="s">
        <v>488</v>
      </c>
      <c r="R414" s="59" t="s">
        <v>504</v>
      </c>
    </row>
    <row r="415" spans="1:18" x14ac:dyDescent="0.5">
      <c r="A415" s="52" t="str">
        <f>"278407QY0"</f>
        <v>278407QY0</v>
      </c>
      <c r="B415" s="53" t="s">
        <v>496</v>
      </c>
      <c r="C415" s="53" t="s">
        <v>674</v>
      </c>
      <c r="D415" s="53" t="s">
        <v>447</v>
      </c>
      <c r="E415" s="53">
        <v>2</v>
      </c>
      <c r="F415" s="54">
        <v>46997</v>
      </c>
      <c r="G415" s="54">
        <v>46631</v>
      </c>
      <c r="H415" s="53" t="s">
        <v>613</v>
      </c>
      <c r="I415" s="53" t="s">
        <v>105</v>
      </c>
      <c r="J415" s="53" t="s">
        <v>101</v>
      </c>
      <c r="K415" s="53">
        <v>93.59</v>
      </c>
      <c r="L415" s="53" t="s">
        <v>101</v>
      </c>
      <c r="M415" s="53">
        <v>3.96</v>
      </c>
      <c r="N415" s="53">
        <v>3.96</v>
      </c>
      <c r="O415" s="53" t="s">
        <v>101</v>
      </c>
      <c r="P415" s="53" t="s">
        <v>448</v>
      </c>
      <c r="Q415" s="53" t="s">
        <v>675</v>
      </c>
      <c r="R415" s="55" t="s">
        <v>454</v>
      </c>
    </row>
    <row r="416" spans="1:18" x14ac:dyDescent="0.5">
      <c r="A416" s="56" t="str">
        <f>"346793KK7"</f>
        <v>346793KK7</v>
      </c>
      <c r="B416" s="57" t="s">
        <v>451</v>
      </c>
      <c r="C416" s="57" t="s">
        <v>676</v>
      </c>
      <c r="D416" s="53" t="s">
        <v>447</v>
      </c>
      <c r="E416" s="57">
        <v>2</v>
      </c>
      <c r="F416" s="58">
        <v>46997</v>
      </c>
      <c r="G416" s="58">
        <v>46266</v>
      </c>
      <c r="H416" s="57" t="s">
        <v>677</v>
      </c>
      <c r="I416" s="57" t="s">
        <v>628</v>
      </c>
      <c r="J416" s="57" t="s">
        <v>101</v>
      </c>
      <c r="K416" s="57">
        <v>93.778999999999996</v>
      </c>
      <c r="L416" s="57" t="s">
        <v>101</v>
      </c>
      <c r="M416" s="57">
        <v>3.9</v>
      </c>
      <c r="N416" s="57">
        <v>3.9</v>
      </c>
      <c r="O416" s="53" t="s">
        <v>101</v>
      </c>
      <c r="P416" s="57" t="s">
        <v>448</v>
      </c>
      <c r="Q416" s="57" t="s">
        <v>457</v>
      </c>
      <c r="R416" s="59" t="s">
        <v>630</v>
      </c>
    </row>
    <row r="417" spans="1:18" x14ac:dyDescent="0.5">
      <c r="A417" s="52" t="str">
        <f>"34683JDK4"</f>
        <v>34683JDK4</v>
      </c>
      <c r="B417" s="53" t="s">
        <v>451</v>
      </c>
      <c r="C417" s="53" t="s">
        <v>678</v>
      </c>
      <c r="D417" s="53" t="s">
        <v>447</v>
      </c>
      <c r="E417" s="53">
        <v>2.25</v>
      </c>
      <c r="F417" s="54">
        <v>46997</v>
      </c>
      <c r="G417" s="54">
        <v>45733</v>
      </c>
      <c r="H417" s="53" t="s">
        <v>641</v>
      </c>
      <c r="I417" s="53" t="s">
        <v>628</v>
      </c>
      <c r="J417" s="53" t="s">
        <v>101</v>
      </c>
      <c r="K417" s="53">
        <v>94.823999999999998</v>
      </c>
      <c r="L417" s="53" t="s">
        <v>101</v>
      </c>
      <c r="M417" s="53">
        <v>3.8290000000000002</v>
      </c>
      <c r="N417" s="53">
        <v>3.8290000000000002</v>
      </c>
      <c r="O417" s="53" t="s">
        <v>101</v>
      </c>
      <c r="P417" s="53" t="s">
        <v>448</v>
      </c>
      <c r="Q417" s="53" t="s">
        <v>457</v>
      </c>
      <c r="R417" s="55" t="s">
        <v>630</v>
      </c>
    </row>
    <row r="418" spans="1:18" x14ac:dyDescent="0.5">
      <c r="A418" s="56" t="str">
        <f>"346900UE1"</f>
        <v>346900UE1</v>
      </c>
      <c r="B418" s="57" t="s">
        <v>451</v>
      </c>
      <c r="C418" s="57" t="s">
        <v>679</v>
      </c>
      <c r="D418" s="53" t="s">
        <v>447</v>
      </c>
      <c r="E418" s="57">
        <v>3</v>
      </c>
      <c r="F418" s="58">
        <v>46997</v>
      </c>
      <c r="G418" s="58">
        <v>45733</v>
      </c>
      <c r="H418" s="57" t="s">
        <v>610</v>
      </c>
      <c r="I418" s="57" t="s">
        <v>628</v>
      </c>
      <c r="J418" s="57" t="s">
        <v>101</v>
      </c>
      <c r="K418" s="57">
        <v>98.22</v>
      </c>
      <c r="L418" s="57" t="s">
        <v>101</v>
      </c>
      <c r="M418" s="57">
        <v>3.54</v>
      </c>
      <c r="N418" s="57">
        <v>3.54</v>
      </c>
      <c r="O418" s="53" t="s">
        <v>101</v>
      </c>
      <c r="P418" s="57" t="s">
        <v>448</v>
      </c>
      <c r="Q418" s="57" t="s">
        <v>453</v>
      </c>
      <c r="R418" s="59" t="s">
        <v>680</v>
      </c>
    </row>
    <row r="419" spans="1:18" x14ac:dyDescent="0.5">
      <c r="A419" s="52" t="str">
        <f>"38609QLU9"</f>
        <v>38609QLU9</v>
      </c>
      <c r="B419" s="53" t="s">
        <v>451</v>
      </c>
      <c r="C419" s="53" t="s">
        <v>681</v>
      </c>
      <c r="D419" s="53" t="s">
        <v>447</v>
      </c>
      <c r="E419" s="53">
        <v>3.375</v>
      </c>
      <c r="F419" s="54">
        <v>46997</v>
      </c>
      <c r="G419" s="54">
        <v>45733</v>
      </c>
      <c r="H419" s="53" t="s">
        <v>105</v>
      </c>
      <c r="I419" s="53" t="s">
        <v>628</v>
      </c>
      <c r="J419" s="53" t="s">
        <v>101</v>
      </c>
      <c r="K419" s="53">
        <v>99.47</v>
      </c>
      <c r="L419" s="53" t="s">
        <v>101</v>
      </c>
      <c r="M419" s="53">
        <v>3.5350000000000001</v>
      </c>
      <c r="N419" s="53">
        <v>3.5350000000000001</v>
      </c>
      <c r="O419" s="53" t="s">
        <v>101</v>
      </c>
      <c r="P419" s="53" t="s">
        <v>448</v>
      </c>
      <c r="Q419" s="53" t="s">
        <v>682</v>
      </c>
      <c r="R419" s="55" t="s">
        <v>630</v>
      </c>
    </row>
    <row r="420" spans="1:18" x14ac:dyDescent="0.5">
      <c r="A420" s="56" t="str">
        <f>"41420PFM7"</f>
        <v>41420PFM7</v>
      </c>
      <c r="B420" s="57" t="s">
        <v>451</v>
      </c>
      <c r="C420" s="57" t="s">
        <v>683</v>
      </c>
      <c r="D420" s="53" t="s">
        <v>447</v>
      </c>
      <c r="E420" s="57">
        <v>2.75</v>
      </c>
      <c r="F420" s="58">
        <v>46997</v>
      </c>
      <c r="G420" s="58">
        <v>45733</v>
      </c>
      <c r="H420" s="57" t="s">
        <v>670</v>
      </c>
      <c r="I420" s="57" t="s">
        <v>628</v>
      </c>
      <c r="J420" s="57" t="s">
        <v>101</v>
      </c>
      <c r="K420" s="57">
        <v>96.233999999999995</v>
      </c>
      <c r="L420" s="57" t="s">
        <v>101</v>
      </c>
      <c r="M420" s="57">
        <v>3.9</v>
      </c>
      <c r="N420" s="57">
        <v>3.9</v>
      </c>
      <c r="O420" s="53" t="s">
        <v>101</v>
      </c>
      <c r="P420" s="57" t="s">
        <v>448</v>
      </c>
      <c r="Q420" s="57" t="s">
        <v>457</v>
      </c>
      <c r="R420" s="59" t="s">
        <v>630</v>
      </c>
    </row>
    <row r="421" spans="1:18" x14ac:dyDescent="0.5">
      <c r="A421" s="52" t="str">
        <f>"581733EF5"</f>
        <v>581733EF5</v>
      </c>
      <c r="B421" s="53" t="s">
        <v>451</v>
      </c>
      <c r="C421" s="53" t="s">
        <v>684</v>
      </c>
      <c r="D421" s="53" t="s">
        <v>447</v>
      </c>
      <c r="E421" s="53">
        <v>6.5</v>
      </c>
      <c r="F421" s="54">
        <v>46997</v>
      </c>
      <c r="G421" s="54" t="s">
        <v>105</v>
      </c>
      <c r="H421" s="53" t="s">
        <v>685</v>
      </c>
      <c r="I421" s="53" t="s">
        <v>628</v>
      </c>
      <c r="J421" s="53" t="s">
        <v>101</v>
      </c>
      <c r="K421" s="53">
        <v>109.54</v>
      </c>
      <c r="L421" s="53" t="s">
        <v>101</v>
      </c>
      <c r="M421" s="53">
        <v>3.6019999999999999</v>
      </c>
      <c r="N421" s="53">
        <v>3.6019999999999999</v>
      </c>
      <c r="O421" s="53" t="s">
        <v>101</v>
      </c>
      <c r="P421" s="53" t="s">
        <v>448</v>
      </c>
      <c r="Q421" s="53" t="s">
        <v>479</v>
      </c>
      <c r="R421" s="55" t="s">
        <v>621</v>
      </c>
    </row>
    <row r="422" spans="1:18" x14ac:dyDescent="0.5">
      <c r="A422" s="56" t="str">
        <f>"97989CFH2"</f>
        <v>97989CFH2</v>
      </c>
      <c r="B422" s="57" t="s">
        <v>477</v>
      </c>
      <c r="C422" s="57" t="s">
        <v>686</v>
      </c>
      <c r="D422" s="53" t="s">
        <v>447</v>
      </c>
      <c r="E422" s="57">
        <v>1</v>
      </c>
      <c r="F422" s="58">
        <v>46997</v>
      </c>
      <c r="G422" s="58" t="s">
        <v>105</v>
      </c>
      <c r="H422" s="57" t="s">
        <v>105</v>
      </c>
      <c r="I422" s="57" t="s">
        <v>628</v>
      </c>
      <c r="J422" s="57" t="s">
        <v>101</v>
      </c>
      <c r="K422" s="57">
        <v>91.21</v>
      </c>
      <c r="L422" s="57" t="s">
        <v>101</v>
      </c>
      <c r="M422" s="57">
        <v>3.673</v>
      </c>
      <c r="N422" s="57">
        <v>3.673</v>
      </c>
      <c r="O422" s="53" t="s">
        <v>101</v>
      </c>
      <c r="P422" s="57" t="s">
        <v>448</v>
      </c>
      <c r="Q422" s="57" t="s">
        <v>517</v>
      </c>
      <c r="R422" s="59" t="s">
        <v>614</v>
      </c>
    </row>
    <row r="423" spans="1:18" x14ac:dyDescent="0.5">
      <c r="A423" s="52" t="str">
        <f>"356502PU2"</f>
        <v>356502PU2</v>
      </c>
      <c r="B423" s="53" t="s">
        <v>477</v>
      </c>
      <c r="C423" s="53" t="s">
        <v>687</v>
      </c>
      <c r="D423" s="53" t="s">
        <v>447</v>
      </c>
      <c r="E423" s="53">
        <v>2.375</v>
      </c>
      <c r="F423" s="54">
        <v>47011</v>
      </c>
      <c r="G423" s="54">
        <v>46280</v>
      </c>
      <c r="H423" s="53" t="s">
        <v>105</v>
      </c>
      <c r="I423" s="53" t="s">
        <v>509</v>
      </c>
      <c r="J423" s="53" t="s">
        <v>101</v>
      </c>
      <c r="K423" s="53">
        <v>95.78</v>
      </c>
      <c r="L423" s="53" t="s">
        <v>101</v>
      </c>
      <c r="M423" s="53">
        <v>3.6440000000000001</v>
      </c>
      <c r="N423" s="53">
        <v>3.6440000000000001</v>
      </c>
      <c r="O423" s="53" t="s">
        <v>101</v>
      </c>
      <c r="P423" s="53" t="s">
        <v>448</v>
      </c>
      <c r="Q423" s="53" t="s">
        <v>663</v>
      </c>
      <c r="R423" s="55" t="s">
        <v>454</v>
      </c>
    </row>
    <row r="424" spans="1:18" x14ac:dyDescent="0.5">
      <c r="A424" s="56" t="str">
        <f>"622205QK1"</f>
        <v>622205QK1</v>
      </c>
      <c r="B424" s="57" t="s">
        <v>477</v>
      </c>
      <c r="C424" s="57" t="s">
        <v>688</v>
      </c>
      <c r="D424" s="53" t="s">
        <v>447</v>
      </c>
      <c r="E424" s="57">
        <v>2</v>
      </c>
      <c r="F424" s="58">
        <v>47011</v>
      </c>
      <c r="G424" s="58">
        <v>46645</v>
      </c>
      <c r="H424" s="57" t="s">
        <v>105</v>
      </c>
      <c r="I424" s="57" t="s">
        <v>509</v>
      </c>
      <c r="J424" s="57" t="s">
        <v>101</v>
      </c>
      <c r="K424" s="57">
        <v>94.546999999999997</v>
      </c>
      <c r="L424" s="57" t="s">
        <v>101</v>
      </c>
      <c r="M424" s="57">
        <v>3.64</v>
      </c>
      <c r="N424" s="57">
        <v>3.64</v>
      </c>
      <c r="O424" s="53" t="s">
        <v>101</v>
      </c>
      <c r="P424" s="57" t="s">
        <v>448</v>
      </c>
      <c r="Q424" s="57" t="s">
        <v>503</v>
      </c>
      <c r="R424" s="59" t="s">
        <v>454</v>
      </c>
    </row>
    <row r="425" spans="1:18" x14ac:dyDescent="0.5">
      <c r="A425" s="52" t="str">
        <f>"452031AF4"</f>
        <v>452031AF4</v>
      </c>
      <c r="B425" s="53" t="s">
        <v>491</v>
      </c>
      <c r="C425" s="53" t="s">
        <v>689</v>
      </c>
      <c r="D425" s="53" t="s">
        <v>447</v>
      </c>
      <c r="E425" s="53">
        <v>5</v>
      </c>
      <c r="F425" s="54">
        <v>47027</v>
      </c>
      <c r="G425" s="54" t="s">
        <v>101</v>
      </c>
      <c r="H425" s="53" t="s">
        <v>105</v>
      </c>
      <c r="I425" s="53" t="s">
        <v>633</v>
      </c>
      <c r="J425" s="53" t="s">
        <v>101</v>
      </c>
      <c r="K425" s="53">
        <v>105.038</v>
      </c>
      <c r="L425" s="53" t="s">
        <v>101</v>
      </c>
      <c r="M425" s="53">
        <v>3.5049999999999999</v>
      </c>
      <c r="N425" s="53">
        <v>3.5049999999999999</v>
      </c>
      <c r="O425" s="53" t="s">
        <v>101</v>
      </c>
      <c r="P425" s="53" t="s">
        <v>448</v>
      </c>
      <c r="Q425" s="53" t="s">
        <v>457</v>
      </c>
      <c r="R425" s="55" t="s">
        <v>450</v>
      </c>
    </row>
    <row r="426" spans="1:18" x14ac:dyDescent="0.5">
      <c r="A426" s="56" t="str">
        <f>"674736BQ5"</f>
        <v>674736BQ5</v>
      </c>
      <c r="B426" s="57" t="s">
        <v>477</v>
      </c>
      <c r="C426" s="57" t="s">
        <v>690</v>
      </c>
      <c r="D426" s="53" t="s">
        <v>447</v>
      </c>
      <c r="E426" s="57">
        <v>2</v>
      </c>
      <c r="F426" s="58">
        <v>47027</v>
      </c>
      <c r="G426" s="58">
        <v>45931</v>
      </c>
      <c r="H426" s="57" t="s">
        <v>104</v>
      </c>
      <c r="I426" s="57" t="s">
        <v>105</v>
      </c>
      <c r="J426" s="57" t="s">
        <v>101</v>
      </c>
      <c r="K426" s="57">
        <v>94.25</v>
      </c>
      <c r="L426" s="57" t="s">
        <v>101</v>
      </c>
      <c r="M426" s="57">
        <v>3.7120000000000002</v>
      </c>
      <c r="N426" s="57">
        <v>3.7120000000000002</v>
      </c>
      <c r="O426" s="53" t="s">
        <v>101</v>
      </c>
      <c r="P426" s="57" t="s">
        <v>691</v>
      </c>
      <c r="Q426" s="57" t="s">
        <v>556</v>
      </c>
      <c r="R426" s="59" t="s">
        <v>454</v>
      </c>
    </row>
    <row r="427" spans="1:18" x14ac:dyDescent="0.5">
      <c r="A427" s="52" t="str">
        <f>"684554EL8"</f>
        <v>684554EL8</v>
      </c>
      <c r="B427" s="53" t="s">
        <v>499</v>
      </c>
      <c r="C427" s="53" t="s">
        <v>692</v>
      </c>
      <c r="D427" s="53" t="s">
        <v>447</v>
      </c>
      <c r="E427" s="53">
        <v>2</v>
      </c>
      <c r="F427" s="54">
        <v>47027</v>
      </c>
      <c r="G427" s="54">
        <v>45733</v>
      </c>
      <c r="H427" s="53" t="s">
        <v>105</v>
      </c>
      <c r="I427" s="53" t="s">
        <v>104</v>
      </c>
      <c r="J427" s="53" t="s">
        <v>101</v>
      </c>
      <c r="K427" s="53">
        <v>94.352999999999994</v>
      </c>
      <c r="L427" s="53" t="s">
        <v>101</v>
      </c>
      <c r="M427" s="53">
        <v>3.68</v>
      </c>
      <c r="N427" s="53">
        <v>3.68</v>
      </c>
      <c r="O427" s="53" t="s">
        <v>101</v>
      </c>
      <c r="P427" s="53" t="s">
        <v>448</v>
      </c>
      <c r="Q427" s="53" t="s">
        <v>556</v>
      </c>
      <c r="R427" s="55" t="s">
        <v>504</v>
      </c>
    </row>
    <row r="428" spans="1:18" x14ac:dyDescent="0.5">
      <c r="A428" s="56" t="str">
        <f>"88906REL0"</f>
        <v>88906REL0</v>
      </c>
      <c r="B428" s="57" t="s">
        <v>499</v>
      </c>
      <c r="C428" s="57" t="s">
        <v>693</v>
      </c>
      <c r="D428" s="53" t="s">
        <v>447</v>
      </c>
      <c r="E428" s="57">
        <v>2.5</v>
      </c>
      <c r="F428" s="58">
        <v>47027</v>
      </c>
      <c r="G428" s="58">
        <v>46296</v>
      </c>
      <c r="H428" s="57" t="s">
        <v>105</v>
      </c>
      <c r="I428" s="57" t="s">
        <v>104</v>
      </c>
      <c r="J428" s="57" t="s">
        <v>101</v>
      </c>
      <c r="K428" s="57">
        <v>96.007000000000005</v>
      </c>
      <c r="L428" s="57" t="s">
        <v>101</v>
      </c>
      <c r="M428" s="57">
        <v>3.6880000000000002</v>
      </c>
      <c r="N428" s="57">
        <v>3.6880000000000002</v>
      </c>
      <c r="O428" s="53" t="s">
        <v>101</v>
      </c>
      <c r="P428" s="57" t="s">
        <v>448</v>
      </c>
      <c r="Q428" s="57" t="s">
        <v>527</v>
      </c>
      <c r="R428" s="59" t="s">
        <v>504</v>
      </c>
    </row>
    <row r="429" spans="1:18" x14ac:dyDescent="0.5">
      <c r="A429" s="52" t="str">
        <f>"69651ABN3"</f>
        <v>69651ABN3</v>
      </c>
      <c r="B429" s="53" t="s">
        <v>499</v>
      </c>
      <c r="C429" s="53" t="s">
        <v>694</v>
      </c>
      <c r="D429" s="53" t="s">
        <v>447</v>
      </c>
      <c r="E429" s="53">
        <v>5</v>
      </c>
      <c r="F429" s="54">
        <v>47058</v>
      </c>
      <c r="G429" s="54" t="s">
        <v>101</v>
      </c>
      <c r="H429" s="53" t="s">
        <v>105</v>
      </c>
      <c r="I429" s="53" t="s">
        <v>695</v>
      </c>
      <c r="J429" s="53" t="s">
        <v>101</v>
      </c>
      <c r="K429" s="53">
        <v>105.128</v>
      </c>
      <c r="L429" s="53" t="s">
        <v>101</v>
      </c>
      <c r="M429" s="53">
        <v>3.51</v>
      </c>
      <c r="N429" s="53">
        <v>3.51</v>
      </c>
      <c r="O429" s="53" t="s">
        <v>101</v>
      </c>
      <c r="P429" s="53" t="s">
        <v>448</v>
      </c>
      <c r="Q429" s="53" t="s">
        <v>696</v>
      </c>
      <c r="R429" s="55" t="s">
        <v>506</v>
      </c>
    </row>
    <row r="430" spans="1:18" x14ac:dyDescent="0.5">
      <c r="A430" s="56" t="str">
        <f>"674684RE7"</f>
        <v>674684RE7</v>
      </c>
      <c r="B430" s="57" t="s">
        <v>477</v>
      </c>
      <c r="C430" s="57" t="s">
        <v>697</v>
      </c>
      <c r="D430" s="53" t="s">
        <v>447</v>
      </c>
      <c r="E430" s="57">
        <v>1</v>
      </c>
      <c r="F430" s="58">
        <v>47072</v>
      </c>
      <c r="G430" s="58">
        <v>45733</v>
      </c>
      <c r="H430" s="57" t="s">
        <v>105</v>
      </c>
      <c r="I430" s="57" t="s">
        <v>628</v>
      </c>
      <c r="J430" s="57" t="s">
        <v>101</v>
      </c>
      <c r="K430" s="57">
        <v>89.894000000000005</v>
      </c>
      <c r="L430" s="57" t="s">
        <v>101</v>
      </c>
      <c r="M430" s="57">
        <v>3.93</v>
      </c>
      <c r="N430" s="57">
        <v>3.93</v>
      </c>
      <c r="O430" s="53" t="s">
        <v>101</v>
      </c>
      <c r="P430" s="57" t="s">
        <v>448</v>
      </c>
      <c r="Q430" s="57" t="s">
        <v>457</v>
      </c>
      <c r="R430" s="59" t="s">
        <v>454</v>
      </c>
    </row>
    <row r="431" spans="1:18" x14ac:dyDescent="0.5">
      <c r="A431" s="52" t="str">
        <f>"36423GCL9"</f>
        <v>36423GCL9</v>
      </c>
      <c r="B431" s="53" t="s">
        <v>451</v>
      </c>
      <c r="C431" s="53" t="s">
        <v>698</v>
      </c>
      <c r="D431" s="53" t="s">
        <v>447</v>
      </c>
      <c r="E431" s="53">
        <v>2</v>
      </c>
      <c r="F431" s="54">
        <v>47088</v>
      </c>
      <c r="G431" s="54">
        <v>45733</v>
      </c>
      <c r="H431" s="53" t="s">
        <v>670</v>
      </c>
      <c r="I431" s="53" t="s">
        <v>628</v>
      </c>
      <c r="J431" s="53" t="s">
        <v>101</v>
      </c>
      <c r="K431" s="53">
        <v>93.704999999999998</v>
      </c>
      <c r="L431" s="53" t="s">
        <v>101</v>
      </c>
      <c r="M431" s="53">
        <v>3.8</v>
      </c>
      <c r="N431" s="53">
        <v>3.8</v>
      </c>
      <c r="O431" s="53" t="s">
        <v>101</v>
      </c>
      <c r="P431" s="53" t="s">
        <v>448</v>
      </c>
      <c r="Q431" s="53" t="s">
        <v>503</v>
      </c>
      <c r="R431" s="55" t="s">
        <v>630</v>
      </c>
    </row>
    <row r="432" spans="1:18" x14ac:dyDescent="0.5">
      <c r="A432" s="56" t="str">
        <f>"392856FX3"</f>
        <v>392856FX3</v>
      </c>
      <c r="B432" s="57" t="s">
        <v>496</v>
      </c>
      <c r="C432" s="57" t="s">
        <v>699</v>
      </c>
      <c r="D432" s="53" t="s">
        <v>447</v>
      </c>
      <c r="E432" s="57">
        <v>2</v>
      </c>
      <c r="F432" s="58">
        <v>47088</v>
      </c>
      <c r="G432" s="58" t="s">
        <v>105</v>
      </c>
      <c r="H432" s="57" t="s">
        <v>624</v>
      </c>
      <c r="I432" s="57" t="s">
        <v>105</v>
      </c>
      <c r="J432" s="57" t="s">
        <v>101</v>
      </c>
      <c r="K432" s="57">
        <v>94.06</v>
      </c>
      <c r="L432" s="57" t="s">
        <v>101</v>
      </c>
      <c r="M432" s="57">
        <v>3.6949999999999998</v>
      </c>
      <c r="N432" s="57">
        <v>3.6949999999999998</v>
      </c>
      <c r="O432" s="53" t="s">
        <v>101</v>
      </c>
      <c r="P432" s="57" t="s">
        <v>448</v>
      </c>
      <c r="Q432" s="57" t="s">
        <v>457</v>
      </c>
      <c r="R432" s="59" t="s">
        <v>614</v>
      </c>
    </row>
    <row r="433" spans="1:18" x14ac:dyDescent="0.5">
      <c r="A433" s="52" t="str">
        <f>"434462PR2"</f>
        <v>434462PR2</v>
      </c>
      <c r="B433" s="53" t="s">
        <v>491</v>
      </c>
      <c r="C433" s="53" t="s">
        <v>700</v>
      </c>
      <c r="D433" s="53" t="s">
        <v>447</v>
      </c>
      <c r="E433" s="53">
        <v>3</v>
      </c>
      <c r="F433" s="54">
        <v>47088</v>
      </c>
      <c r="G433" s="54">
        <v>46722</v>
      </c>
      <c r="H433" s="53" t="s">
        <v>105</v>
      </c>
      <c r="I433" s="53" t="s">
        <v>509</v>
      </c>
      <c r="J433" s="53" t="s">
        <v>101</v>
      </c>
      <c r="K433" s="53">
        <v>97.74</v>
      </c>
      <c r="L433" s="53" t="s">
        <v>101</v>
      </c>
      <c r="M433" s="53">
        <v>3.6440000000000001</v>
      </c>
      <c r="N433" s="53">
        <v>3.6440000000000001</v>
      </c>
      <c r="O433" s="53" t="s">
        <v>101</v>
      </c>
      <c r="P433" s="53" t="s">
        <v>448</v>
      </c>
      <c r="Q433" s="53" t="s">
        <v>488</v>
      </c>
      <c r="R433" s="55" t="s">
        <v>454</v>
      </c>
    </row>
    <row r="434" spans="1:18" x14ac:dyDescent="0.5">
      <c r="A434" s="56" t="str">
        <f>"45204EBN7"</f>
        <v>45204EBN7</v>
      </c>
      <c r="B434" s="57" t="s">
        <v>491</v>
      </c>
      <c r="C434" s="57" t="s">
        <v>701</v>
      </c>
      <c r="D434" s="53" t="s">
        <v>447</v>
      </c>
      <c r="E434" s="57">
        <v>4</v>
      </c>
      <c r="F434" s="58">
        <v>47088</v>
      </c>
      <c r="G434" s="58">
        <v>46174</v>
      </c>
      <c r="H434" s="57" t="s">
        <v>610</v>
      </c>
      <c r="I434" s="57" t="s">
        <v>105</v>
      </c>
      <c r="J434" s="57" t="s">
        <v>101</v>
      </c>
      <c r="K434" s="57">
        <v>100.53</v>
      </c>
      <c r="L434" s="57" t="s">
        <v>101</v>
      </c>
      <c r="M434" s="57">
        <v>3.5710000000000002</v>
      </c>
      <c r="N434" s="57">
        <v>3.847</v>
      </c>
      <c r="O434" s="53" t="s">
        <v>101</v>
      </c>
      <c r="P434" s="57" t="s">
        <v>448</v>
      </c>
      <c r="Q434" s="57" t="s">
        <v>453</v>
      </c>
      <c r="R434" s="59" t="s">
        <v>450</v>
      </c>
    </row>
    <row r="435" spans="1:18" x14ac:dyDescent="0.5">
      <c r="A435" s="52" t="str">
        <f>"68825WHD4"</f>
        <v>68825WHD4</v>
      </c>
      <c r="B435" s="53" t="s">
        <v>496</v>
      </c>
      <c r="C435" s="53" t="s">
        <v>702</v>
      </c>
      <c r="D435" s="53" t="s">
        <v>447</v>
      </c>
      <c r="E435" s="53">
        <v>3</v>
      </c>
      <c r="F435" s="54">
        <v>47088</v>
      </c>
      <c r="G435" s="54">
        <v>45992</v>
      </c>
      <c r="H435" s="53" t="s">
        <v>624</v>
      </c>
      <c r="I435" s="53" t="s">
        <v>105</v>
      </c>
      <c r="J435" s="53" t="s">
        <v>101</v>
      </c>
      <c r="K435" s="53">
        <v>97.716999999999999</v>
      </c>
      <c r="L435" s="53" t="s">
        <v>101</v>
      </c>
      <c r="M435" s="53">
        <v>3.65</v>
      </c>
      <c r="N435" s="53">
        <v>3.65</v>
      </c>
      <c r="O435" s="53" t="s">
        <v>101</v>
      </c>
      <c r="P435" s="53" t="s">
        <v>448</v>
      </c>
      <c r="Q435" s="53" t="s">
        <v>488</v>
      </c>
      <c r="R435" s="55" t="s">
        <v>454</v>
      </c>
    </row>
    <row r="436" spans="1:18" x14ac:dyDescent="0.5">
      <c r="A436" s="56" t="str">
        <f>"82102RJF3"</f>
        <v>82102RJF3</v>
      </c>
      <c r="B436" s="57" t="s">
        <v>496</v>
      </c>
      <c r="C436" s="57" t="s">
        <v>703</v>
      </c>
      <c r="D436" s="53" t="s">
        <v>447</v>
      </c>
      <c r="E436" s="57">
        <v>2</v>
      </c>
      <c r="F436" s="58">
        <v>47088</v>
      </c>
      <c r="G436" s="58" t="s">
        <v>105</v>
      </c>
      <c r="H436" s="57" t="s">
        <v>613</v>
      </c>
      <c r="I436" s="57" t="s">
        <v>105</v>
      </c>
      <c r="J436" s="57" t="s">
        <v>101</v>
      </c>
      <c r="K436" s="57">
        <v>94.17</v>
      </c>
      <c r="L436" s="57" t="s">
        <v>101</v>
      </c>
      <c r="M436" s="57">
        <v>3.6619999999999999</v>
      </c>
      <c r="N436" s="57">
        <v>3.6619999999999999</v>
      </c>
      <c r="O436" s="53" t="s">
        <v>101</v>
      </c>
      <c r="P436" s="57" t="s">
        <v>448</v>
      </c>
      <c r="Q436" s="57" t="s">
        <v>488</v>
      </c>
      <c r="R436" s="59" t="s">
        <v>614</v>
      </c>
    </row>
    <row r="437" spans="1:18" x14ac:dyDescent="0.5">
      <c r="A437" s="52" t="str">
        <f>"948560RA7"</f>
        <v>948560RA7</v>
      </c>
      <c r="B437" s="53" t="s">
        <v>477</v>
      </c>
      <c r="C437" s="53" t="s">
        <v>704</v>
      </c>
      <c r="D437" s="53" t="s">
        <v>447</v>
      </c>
      <c r="E437" s="53">
        <v>2</v>
      </c>
      <c r="F437" s="54">
        <v>47150</v>
      </c>
      <c r="G437" s="54" t="s">
        <v>105</v>
      </c>
      <c r="H437" s="53" t="s">
        <v>685</v>
      </c>
      <c r="I437" s="53" t="s">
        <v>628</v>
      </c>
      <c r="J437" s="53" t="s">
        <v>101</v>
      </c>
      <c r="K437" s="53">
        <v>93.4</v>
      </c>
      <c r="L437" s="53" t="s">
        <v>101</v>
      </c>
      <c r="M437" s="53">
        <v>3.8140000000000001</v>
      </c>
      <c r="N437" s="53">
        <v>3.8140000000000001</v>
      </c>
      <c r="O437" s="53" t="s">
        <v>101</v>
      </c>
      <c r="P437" s="53" t="s">
        <v>448</v>
      </c>
      <c r="Q437" s="53" t="s">
        <v>488</v>
      </c>
      <c r="R437" s="55" t="s">
        <v>621</v>
      </c>
    </row>
    <row r="438" spans="1:18" x14ac:dyDescent="0.5">
      <c r="A438" s="56" t="str">
        <f>"5217687K1"</f>
        <v>5217687K1</v>
      </c>
      <c r="B438" s="57" t="s">
        <v>451</v>
      </c>
      <c r="C438" s="57" t="s">
        <v>705</v>
      </c>
      <c r="D438" s="53" t="s">
        <v>447</v>
      </c>
      <c r="E438" s="57">
        <v>2.25</v>
      </c>
      <c r="F438" s="58">
        <v>47164</v>
      </c>
      <c r="G438" s="58">
        <v>46068</v>
      </c>
      <c r="H438" s="57" t="s">
        <v>540</v>
      </c>
      <c r="I438" s="57" t="s">
        <v>509</v>
      </c>
      <c r="J438" s="57" t="s">
        <v>101</v>
      </c>
      <c r="K438" s="57">
        <v>94.790999999999997</v>
      </c>
      <c r="L438" s="57" t="s">
        <v>101</v>
      </c>
      <c r="M438" s="57">
        <v>3.665</v>
      </c>
      <c r="N438" s="57">
        <v>3.665</v>
      </c>
      <c r="O438" s="53" t="s">
        <v>101</v>
      </c>
      <c r="P438" s="57" t="s">
        <v>448</v>
      </c>
      <c r="Q438" s="57" t="s">
        <v>460</v>
      </c>
      <c r="R438" s="59" t="s">
        <v>504</v>
      </c>
    </row>
    <row r="439" spans="1:18" x14ac:dyDescent="0.5">
      <c r="A439" s="52" t="str">
        <f>"5217687Y1"</f>
        <v>5217687Y1</v>
      </c>
      <c r="B439" s="53" t="s">
        <v>451</v>
      </c>
      <c r="C439" s="53" t="s">
        <v>706</v>
      </c>
      <c r="D439" s="53" t="s">
        <v>447</v>
      </c>
      <c r="E439" s="53">
        <v>2.125</v>
      </c>
      <c r="F439" s="54">
        <v>47164</v>
      </c>
      <c r="G439" s="54">
        <v>46068</v>
      </c>
      <c r="H439" s="53" t="s">
        <v>540</v>
      </c>
      <c r="I439" s="53" t="s">
        <v>105</v>
      </c>
      <c r="J439" s="53" t="s">
        <v>101</v>
      </c>
      <c r="K439" s="53">
        <v>94.146000000000001</v>
      </c>
      <c r="L439" s="53" t="s">
        <v>101</v>
      </c>
      <c r="M439" s="53">
        <v>3.7170000000000001</v>
      </c>
      <c r="N439" s="53">
        <v>3.7170000000000001</v>
      </c>
      <c r="O439" s="53" t="s">
        <v>101</v>
      </c>
      <c r="P439" s="53" t="s">
        <v>448</v>
      </c>
      <c r="Q439" s="53" t="s">
        <v>488</v>
      </c>
      <c r="R439" s="55" t="s">
        <v>454</v>
      </c>
    </row>
    <row r="440" spans="1:18" x14ac:dyDescent="0.5">
      <c r="A440" s="56" t="str">
        <f>"194756SB9"</f>
        <v>194756SB9</v>
      </c>
      <c r="B440" s="57" t="s">
        <v>477</v>
      </c>
      <c r="C440" s="57" t="s">
        <v>707</v>
      </c>
      <c r="D440" s="53" t="s">
        <v>447</v>
      </c>
      <c r="E440" s="57">
        <v>2</v>
      </c>
      <c r="F440" s="58">
        <v>47178</v>
      </c>
      <c r="G440" s="58">
        <v>46447</v>
      </c>
      <c r="H440" s="57" t="s">
        <v>105</v>
      </c>
      <c r="I440" s="57" t="s">
        <v>628</v>
      </c>
      <c r="J440" s="57" t="s">
        <v>101</v>
      </c>
      <c r="K440" s="57">
        <v>92.744</v>
      </c>
      <c r="L440" s="57" t="s">
        <v>101</v>
      </c>
      <c r="M440" s="57">
        <v>3.9630000000000001</v>
      </c>
      <c r="N440" s="57">
        <v>3.9630000000000001</v>
      </c>
      <c r="O440" s="53" t="s">
        <v>101</v>
      </c>
      <c r="P440" s="57" t="s">
        <v>448</v>
      </c>
      <c r="Q440" s="57" t="s">
        <v>556</v>
      </c>
      <c r="R440" s="59" t="s">
        <v>680</v>
      </c>
    </row>
    <row r="441" spans="1:18" x14ac:dyDescent="0.5">
      <c r="A441" s="52" t="str">
        <f>"34686TBG0"</f>
        <v>34686TBG0</v>
      </c>
      <c r="B441" s="53" t="s">
        <v>451</v>
      </c>
      <c r="C441" s="53" t="s">
        <v>708</v>
      </c>
      <c r="D441" s="53" t="s">
        <v>447</v>
      </c>
      <c r="E441" s="53">
        <v>2.5</v>
      </c>
      <c r="F441" s="54">
        <v>47178</v>
      </c>
      <c r="G441" s="54">
        <v>46082</v>
      </c>
      <c r="H441" s="53" t="s">
        <v>105</v>
      </c>
      <c r="I441" s="53" t="s">
        <v>628</v>
      </c>
      <c r="J441" s="53" t="s">
        <v>101</v>
      </c>
      <c r="K441" s="53">
        <v>94.896000000000001</v>
      </c>
      <c r="L441" s="53" t="s">
        <v>101</v>
      </c>
      <c r="M441" s="53">
        <v>3.8780000000000001</v>
      </c>
      <c r="N441" s="53">
        <v>3.8780000000000001</v>
      </c>
      <c r="O441" s="53" t="s">
        <v>101</v>
      </c>
      <c r="P441" s="53" t="s">
        <v>448</v>
      </c>
      <c r="Q441" s="53" t="s">
        <v>457</v>
      </c>
      <c r="R441" s="55" t="s">
        <v>630</v>
      </c>
    </row>
    <row r="442" spans="1:18" x14ac:dyDescent="0.5">
      <c r="A442" s="56" t="str">
        <f>"359863JG3"</f>
        <v>359863JG3</v>
      </c>
      <c r="B442" s="57" t="s">
        <v>451</v>
      </c>
      <c r="C442" s="57" t="s">
        <v>709</v>
      </c>
      <c r="D442" s="53" t="s">
        <v>447</v>
      </c>
      <c r="E442" s="57">
        <v>2</v>
      </c>
      <c r="F442" s="58">
        <v>47178</v>
      </c>
      <c r="G442" s="58">
        <v>46447</v>
      </c>
      <c r="H442" s="57" t="s">
        <v>641</v>
      </c>
      <c r="I442" s="57" t="s">
        <v>628</v>
      </c>
      <c r="J442" s="57" t="s">
        <v>101</v>
      </c>
      <c r="K442" s="57">
        <v>92.26</v>
      </c>
      <c r="L442" s="57" t="s">
        <v>101</v>
      </c>
      <c r="M442" s="57">
        <v>4.0999999999999996</v>
      </c>
      <c r="N442" s="57">
        <v>4.0999999999999996</v>
      </c>
      <c r="O442" s="53" t="s">
        <v>101</v>
      </c>
      <c r="P442" s="57" t="s">
        <v>448</v>
      </c>
      <c r="Q442" s="57" t="s">
        <v>457</v>
      </c>
      <c r="R442" s="59" t="s">
        <v>630</v>
      </c>
    </row>
    <row r="443" spans="1:18" x14ac:dyDescent="0.5">
      <c r="A443" s="52" t="str">
        <f>"414962SR2"</f>
        <v>414962SR2</v>
      </c>
      <c r="B443" s="53" t="s">
        <v>451</v>
      </c>
      <c r="C443" s="53" t="s">
        <v>710</v>
      </c>
      <c r="D443" s="53" t="s">
        <v>447</v>
      </c>
      <c r="E443" s="53">
        <v>3</v>
      </c>
      <c r="F443" s="54">
        <v>47178</v>
      </c>
      <c r="G443" s="54">
        <v>45717</v>
      </c>
      <c r="H443" s="53" t="s">
        <v>610</v>
      </c>
      <c r="I443" s="53" t="s">
        <v>182</v>
      </c>
      <c r="J443" s="53" t="s">
        <v>101</v>
      </c>
      <c r="K443" s="53">
        <v>97.79</v>
      </c>
      <c r="L443" s="53" t="s">
        <v>101</v>
      </c>
      <c r="M443" s="53">
        <v>3.593</v>
      </c>
      <c r="N443" s="53">
        <v>3.593</v>
      </c>
      <c r="O443" s="53" t="s">
        <v>101</v>
      </c>
      <c r="P443" s="53" t="s">
        <v>448</v>
      </c>
      <c r="Q443" s="53" t="s">
        <v>488</v>
      </c>
      <c r="R443" s="55" t="s">
        <v>630</v>
      </c>
    </row>
    <row r="444" spans="1:18" x14ac:dyDescent="0.5">
      <c r="A444" s="56" t="str">
        <f>"580441HP1"</f>
        <v>580441HP1</v>
      </c>
      <c r="B444" s="57" t="s">
        <v>496</v>
      </c>
      <c r="C444" s="57" t="s">
        <v>711</v>
      </c>
      <c r="D444" s="53" t="s">
        <v>447</v>
      </c>
      <c r="E444" s="57">
        <v>1</v>
      </c>
      <c r="F444" s="58">
        <v>47178</v>
      </c>
      <c r="G444" s="58">
        <v>46813</v>
      </c>
      <c r="H444" s="57" t="s">
        <v>613</v>
      </c>
      <c r="I444" s="57" t="s">
        <v>105</v>
      </c>
      <c r="J444" s="57" t="s">
        <v>101</v>
      </c>
      <c r="K444" s="57">
        <v>90.085999999999999</v>
      </c>
      <c r="L444" s="57" t="s">
        <v>101</v>
      </c>
      <c r="M444" s="57">
        <v>3.665</v>
      </c>
      <c r="N444" s="57">
        <v>3.665</v>
      </c>
      <c r="O444" s="53" t="s">
        <v>101</v>
      </c>
      <c r="P444" s="57" t="s">
        <v>448</v>
      </c>
      <c r="Q444" s="57" t="s">
        <v>571</v>
      </c>
      <c r="R444" s="59" t="s">
        <v>454</v>
      </c>
    </row>
    <row r="445" spans="1:18" x14ac:dyDescent="0.5">
      <c r="A445" s="52" t="str">
        <f>"602366UV6"</f>
        <v>602366UV6</v>
      </c>
      <c r="B445" s="53" t="s">
        <v>496</v>
      </c>
      <c r="C445" s="53" t="s">
        <v>712</v>
      </c>
      <c r="D445" s="53" t="s">
        <v>447</v>
      </c>
      <c r="E445" s="53">
        <v>2.5</v>
      </c>
      <c r="F445" s="54">
        <v>47178</v>
      </c>
      <c r="G445" s="54">
        <v>46082</v>
      </c>
      <c r="H445" s="53" t="s">
        <v>627</v>
      </c>
      <c r="I445" s="53" t="s">
        <v>713</v>
      </c>
      <c r="J445" s="53" t="s">
        <v>101</v>
      </c>
      <c r="K445" s="53">
        <v>94.926000000000002</v>
      </c>
      <c r="L445" s="53" t="s">
        <v>101</v>
      </c>
      <c r="M445" s="53">
        <v>3.87</v>
      </c>
      <c r="N445" s="53">
        <v>3.87</v>
      </c>
      <c r="O445" s="53" t="s">
        <v>101</v>
      </c>
      <c r="P445" s="53" t="s">
        <v>448</v>
      </c>
      <c r="Q445" s="53" t="s">
        <v>460</v>
      </c>
      <c r="R445" s="55" t="s">
        <v>454</v>
      </c>
    </row>
    <row r="446" spans="1:18" x14ac:dyDescent="0.5">
      <c r="A446" s="56" t="str">
        <f>"869315VQ1"</f>
        <v>869315VQ1</v>
      </c>
      <c r="B446" s="57" t="s">
        <v>496</v>
      </c>
      <c r="C446" s="57" t="s">
        <v>714</v>
      </c>
      <c r="D446" s="53" t="s">
        <v>447</v>
      </c>
      <c r="E446" s="57">
        <v>2.5</v>
      </c>
      <c r="F446" s="58">
        <v>47178</v>
      </c>
      <c r="G446" s="58">
        <v>45717</v>
      </c>
      <c r="H446" s="57" t="s">
        <v>613</v>
      </c>
      <c r="I446" s="57" t="s">
        <v>105</v>
      </c>
      <c r="J446" s="57" t="s">
        <v>101</v>
      </c>
      <c r="K446" s="57">
        <v>95.356999999999999</v>
      </c>
      <c r="L446" s="57" t="s">
        <v>101</v>
      </c>
      <c r="M446" s="57">
        <v>3.75</v>
      </c>
      <c r="N446" s="57">
        <v>3.75</v>
      </c>
      <c r="O446" s="53" t="s">
        <v>101</v>
      </c>
      <c r="P446" s="57" t="s">
        <v>448</v>
      </c>
      <c r="Q446" s="57" t="s">
        <v>715</v>
      </c>
      <c r="R446" s="59" t="s">
        <v>454</v>
      </c>
    </row>
    <row r="447" spans="1:18" x14ac:dyDescent="0.5">
      <c r="A447" s="52" t="str">
        <f>"90350TAP8"</f>
        <v>90350TAP8</v>
      </c>
      <c r="B447" s="53" t="s">
        <v>499</v>
      </c>
      <c r="C447" s="53" t="s">
        <v>716</v>
      </c>
      <c r="D447" s="53" t="s">
        <v>447</v>
      </c>
      <c r="E447" s="53">
        <v>3.25</v>
      </c>
      <c r="F447" s="54">
        <v>47178</v>
      </c>
      <c r="G447" s="54">
        <v>46082</v>
      </c>
      <c r="H447" s="53" t="s">
        <v>105</v>
      </c>
      <c r="I447" s="53" t="s">
        <v>658</v>
      </c>
      <c r="J447" s="53" t="s">
        <v>101</v>
      </c>
      <c r="K447" s="53">
        <v>99.02</v>
      </c>
      <c r="L447" s="53" t="s">
        <v>101</v>
      </c>
      <c r="M447" s="53">
        <v>3.512</v>
      </c>
      <c r="N447" s="53">
        <v>3.512</v>
      </c>
      <c r="O447" s="53" t="s">
        <v>101</v>
      </c>
      <c r="P447" s="53" t="s">
        <v>448</v>
      </c>
      <c r="Q447" s="53" t="s">
        <v>488</v>
      </c>
      <c r="R447" s="55" t="s">
        <v>504</v>
      </c>
    </row>
    <row r="448" spans="1:18" x14ac:dyDescent="0.5">
      <c r="A448" s="56" t="str">
        <f>"90634PKS7"</f>
        <v>90634PKS7</v>
      </c>
      <c r="B448" s="57" t="s">
        <v>477</v>
      </c>
      <c r="C448" s="57" t="s">
        <v>717</v>
      </c>
      <c r="D448" s="53" t="s">
        <v>447</v>
      </c>
      <c r="E448" s="57">
        <v>2</v>
      </c>
      <c r="F448" s="58">
        <v>47178</v>
      </c>
      <c r="G448" s="58">
        <v>46082</v>
      </c>
      <c r="H448" s="57" t="s">
        <v>104</v>
      </c>
      <c r="I448" s="57" t="s">
        <v>509</v>
      </c>
      <c r="J448" s="57" t="s">
        <v>101</v>
      </c>
      <c r="K448" s="57">
        <v>93.477000000000004</v>
      </c>
      <c r="L448" s="57" t="s">
        <v>101</v>
      </c>
      <c r="M448" s="57">
        <v>3.7570000000000001</v>
      </c>
      <c r="N448" s="57">
        <v>3.7570000000000001</v>
      </c>
      <c r="O448" s="53" t="s">
        <v>101</v>
      </c>
      <c r="P448" s="57" t="s">
        <v>448</v>
      </c>
      <c r="Q448" s="57" t="s">
        <v>718</v>
      </c>
      <c r="R448" s="59" t="s">
        <v>482</v>
      </c>
    </row>
    <row r="449" spans="1:18" x14ac:dyDescent="0.5">
      <c r="A449" s="52" t="str">
        <f>"938752PM8"</f>
        <v>938752PM8</v>
      </c>
      <c r="B449" s="53" t="s">
        <v>496</v>
      </c>
      <c r="C449" s="53" t="s">
        <v>719</v>
      </c>
      <c r="D449" s="53" t="s">
        <v>447</v>
      </c>
      <c r="E449" s="53">
        <v>2</v>
      </c>
      <c r="F449" s="54">
        <v>47178</v>
      </c>
      <c r="G449" s="54" t="s">
        <v>105</v>
      </c>
      <c r="H449" s="53" t="s">
        <v>104</v>
      </c>
      <c r="I449" s="53" t="s">
        <v>105</v>
      </c>
      <c r="J449" s="53" t="s">
        <v>101</v>
      </c>
      <c r="K449" s="53">
        <v>93.99</v>
      </c>
      <c r="L449" s="53" t="s">
        <v>101</v>
      </c>
      <c r="M449" s="53">
        <v>3.6139999999999999</v>
      </c>
      <c r="N449" s="53">
        <v>3.6139999999999999</v>
      </c>
      <c r="O449" s="53" t="s">
        <v>101</v>
      </c>
      <c r="P449" s="53" t="s">
        <v>448</v>
      </c>
      <c r="Q449" s="53" t="s">
        <v>488</v>
      </c>
      <c r="R449" s="55" t="s">
        <v>614</v>
      </c>
    </row>
    <row r="450" spans="1:18" x14ac:dyDescent="0.5">
      <c r="A450" s="56" t="str">
        <f>"752176GM3"</f>
        <v>752176GM3</v>
      </c>
      <c r="B450" s="57" t="s">
        <v>477</v>
      </c>
      <c r="C450" s="57" t="s">
        <v>720</v>
      </c>
      <c r="D450" s="53" t="s">
        <v>447</v>
      </c>
      <c r="E450" s="57">
        <v>2.25</v>
      </c>
      <c r="F450" s="58">
        <v>47192</v>
      </c>
      <c r="G450" s="58" t="s">
        <v>105</v>
      </c>
      <c r="H450" s="57" t="s">
        <v>613</v>
      </c>
      <c r="I450" s="57" t="s">
        <v>105</v>
      </c>
      <c r="J450" s="57" t="s">
        <v>101</v>
      </c>
      <c r="K450" s="57">
        <v>94.79</v>
      </c>
      <c r="L450" s="57" t="s">
        <v>101</v>
      </c>
      <c r="M450" s="57">
        <v>3.637</v>
      </c>
      <c r="N450" s="57">
        <v>3.637</v>
      </c>
      <c r="O450" s="53" t="s">
        <v>101</v>
      </c>
      <c r="P450" s="57" t="s">
        <v>448</v>
      </c>
      <c r="Q450" s="57" t="s">
        <v>457</v>
      </c>
      <c r="R450" s="59" t="s">
        <v>614</v>
      </c>
    </row>
    <row r="451" spans="1:18" x14ac:dyDescent="0.5">
      <c r="A451" s="52" t="str">
        <f>"0381056S6"</f>
        <v>0381056S6</v>
      </c>
      <c r="B451" s="53" t="s">
        <v>496</v>
      </c>
      <c r="C451" s="53" t="s">
        <v>721</v>
      </c>
      <c r="D451" s="53" t="s">
        <v>447</v>
      </c>
      <c r="E451" s="53">
        <v>2</v>
      </c>
      <c r="F451" s="54">
        <v>47209</v>
      </c>
      <c r="G451" s="54">
        <v>46478</v>
      </c>
      <c r="H451" s="53" t="s">
        <v>540</v>
      </c>
      <c r="I451" s="53" t="s">
        <v>105</v>
      </c>
      <c r="J451" s="53" t="s">
        <v>101</v>
      </c>
      <c r="K451" s="53">
        <v>93.048000000000002</v>
      </c>
      <c r="L451" s="53" t="s">
        <v>101</v>
      </c>
      <c r="M451" s="53">
        <v>3.84</v>
      </c>
      <c r="N451" s="53">
        <v>3.84</v>
      </c>
      <c r="O451" s="53" t="s">
        <v>101</v>
      </c>
      <c r="P451" s="53" t="s">
        <v>448</v>
      </c>
      <c r="Q451" s="53" t="s">
        <v>722</v>
      </c>
      <c r="R451" s="55" t="s">
        <v>454</v>
      </c>
    </row>
    <row r="452" spans="1:18" x14ac:dyDescent="0.5">
      <c r="A452" s="56" t="str">
        <f>"0381057B2"</f>
        <v>0381057B2</v>
      </c>
      <c r="B452" s="57" t="s">
        <v>496</v>
      </c>
      <c r="C452" s="57" t="s">
        <v>723</v>
      </c>
      <c r="D452" s="53" t="s">
        <v>447</v>
      </c>
      <c r="E452" s="57">
        <v>2</v>
      </c>
      <c r="F452" s="58">
        <v>47209</v>
      </c>
      <c r="G452" s="58">
        <v>46844</v>
      </c>
      <c r="H452" s="57" t="s">
        <v>540</v>
      </c>
      <c r="I452" s="57" t="s">
        <v>105</v>
      </c>
      <c r="J452" s="57" t="s">
        <v>101</v>
      </c>
      <c r="K452" s="57">
        <v>92.570999999999998</v>
      </c>
      <c r="L452" s="57" t="s">
        <v>101</v>
      </c>
      <c r="M452" s="57">
        <v>3.972</v>
      </c>
      <c r="N452" s="57">
        <v>3.972</v>
      </c>
      <c r="O452" s="53" t="s">
        <v>101</v>
      </c>
      <c r="P452" s="57" t="s">
        <v>448</v>
      </c>
      <c r="Q452" s="57" t="s">
        <v>479</v>
      </c>
      <c r="R452" s="59" t="s">
        <v>454</v>
      </c>
    </row>
    <row r="453" spans="1:18" x14ac:dyDescent="0.5">
      <c r="A453" s="52" t="str">
        <f>"351514KT0"</f>
        <v>351514KT0</v>
      </c>
      <c r="B453" s="53" t="s">
        <v>496</v>
      </c>
      <c r="C453" s="53" t="s">
        <v>724</v>
      </c>
      <c r="D453" s="53" t="s">
        <v>447</v>
      </c>
      <c r="E453" s="53">
        <v>2</v>
      </c>
      <c r="F453" s="54">
        <v>47209</v>
      </c>
      <c r="G453" s="54">
        <v>46113</v>
      </c>
      <c r="H453" s="53" t="s">
        <v>104</v>
      </c>
      <c r="I453" s="53" t="s">
        <v>105</v>
      </c>
      <c r="J453" s="53" t="s">
        <v>101</v>
      </c>
      <c r="K453" s="53">
        <v>92.603999999999999</v>
      </c>
      <c r="L453" s="53" t="s">
        <v>101</v>
      </c>
      <c r="M453" s="53">
        <v>3.9630000000000001</v>
      </c>
      <c r="N453" s="53">
        <v>3.9630000000000001</v>
      </c>
      <c r="O453" s="53" t="s">
        <v>101</v>
      </c>
      <c r="P453" s="53" t="s">
        <v>448</v>
      </c>
      <c r="Q453" s="53" t="s">
        <v>457</v>
      </c>
      <c r="R453" s="55" t="s">
        <v>454</v>
      </c>
    </row>
    <row r="454" spans="1:18" x14ac:dyDescent="0.5">
      <c r="A454" s="56" t="str">
        <f>"300471NT2"</f>
        <v>300471NT2</v>
      </c>
      <c r="B454" s="57" t="s">
        <v>477</v>
      </c>
      <c r="C454" s="57" t="s">
        <v>725</v>
      </c>
      <c r="D454" s="53" t="s">
        <v>447</v>
      </c>
      <c r="E454" s="57">
        <v>2.125</v>
      </c>
      <c r="F454" s="58">
        <v>47239</v>
      </c>
      <c r="G454" s="58">
        <v>46143</v>
      </c>
      <c r="H454" s="57" t="s">
        <v>613</v>
      </c>
      <c r="I454" s="57" t="s">
        <v>105</v>
      </c>
      <c r="J454" s="57" t="s">
        <v>101</v>
      </c>
      <c r="K454" s="57">
        <v>93.352000000000004</v>
      </c>
      <c r="L454" s="57" t="s">
        <v>101</v>
      </c>
      <c r="M454" s="57">
        <v>3.8530000000000002</v>
      </c>
      <c r="N454" s="57">
        <v>3.8530000000000002</v>
      </c>
      <c r="O454" s="53" t="s">
        <v>101</v>
      </c>
      <c r="P454" s="57" t="s">
        <v>448</v>
      </c>
      <c r="Q454" s="57" t="s">
        <v>591</v>
      </c>
      <c r="R454" s="59" t="s">
        <v>454</v>
      </c>
    </row>
    <row r="455" spans="1:18" x14ac:dyDescent="0.5">
      <c r="A455" s="52" t="str">
        <f>"427747BK5"</f>
        <v>427747BK5</v>
      </c>
      <c r="B455" s="53" t="s">
        <v>499</v>
      </c>
      <c r="C455" s="53" t="s">
        <v>726</v>
      </c>
      <c r="D455" s="53" t="s">
        <v>447</v>
      </c>
      <c r="E455" s="53">
        <v>2.5</v>
      </c>
      <c r="F455" s="54">
        <v>47239</v>
      </c>
      <c r="G455" s="54" t="s">
        <v>101</v>
      </c>
      <c r="H455" s="53" t="s">
        <v>105</v>
      </c>
      <c r="I455" s="53" t="s">
        <v>628</v>
      </c>
      <c r="J455" s="53" t="s">
        <v>101</v>
      </c>
      <c r="K455" s="53">
        <v>95.34</v>
      </c>
      <c r="L455" s="53" t="s">
        <v>101</v>
      </c>
      <c r="M455" s="53">
        <v>3.7069999999999999</v>
      </c>
      <c r="N455" s="53">
        <v>3.7069999999999999</v>
      </c>
      <c r="O455" s="53" t="s">
        <v>101</v>
      </c>
      <c r="P455" s="53" t="s">
        <v>448</v>
      </c>
      <c r="Q455" s="53" t="s">
        <v>457</v>
      </c>
      <c r="R455" s="55" t="s">
        <v>727</v>
      </c>
    </row>
    <row r="456" spans="1:18" x14ac:dyDescent="0.5">
      <c r="A456" s="56" t="str">
        <f>"436272GC6"</f>
        <v>436272GC6</v>
      </c>
      <c r="B456" s="57" t="s">
        <v>477</v>
      </c>
      <c r="C456" s="57" t="s">
        <v>728</v>
      </c>
      <c r="D456" s="53" t="s">
        <v>447</v>
      </c>
      <c r="E456" s="57">
        <v>2</v>
      </c>
      <c r="F456" s="58">
        <v>47239</v>
      </c>
      <c r="G456" s="58">
        <v>46143</v>
      </c>
      <c r="H456" s="57" t="s">
        <v>104</v>
      </c>
      <c r="I456" s="57" t="s">
        <v>105</v>
      </c>
      <c r="J456" s="57" t="s">
        <v>101</v>
      </c>
      <c r="K456" s="57">
        <v>92.804000000000002</v>
      </c>
      <c r="L456" s="57" t="s">
        <v>101</v>
      </c>
      <c r="M456" s="57">
        <v>3.871</v>
      </c>
      <c r="N456" s="57">
        <v>3.871</v>
      </c>
      <c r="O456" s="53" t="s">
        <v>101</v>
      </c>
      <c r="P456" s="57" t="s">
        <v>448</v>
      </c>
      <c r="Q456" s="57" t="s">
        <v>485</v>
      </c>
      <c r="R456" s="59" t="s">
        <v>482</v>
      </c>
    </row>
    <row r="457" spans="1:18" x14ac:dyDescent="0.5">
      <c r="A457" s="52" t="str">
        <f>"570833HW6"</f>
        <v>570833HW6</v>
      </c>
      <c r="B457" s="53" t="s">
        <v>477</v>
      </c>
      <c r="C457" s="53" t="s">
        <v>729</v>
      </c>
      <c r="D457" s="53" t="s">
        <v>447</v>
      </c>
      <c r="E457" s="53">
        <v>2</v>
      </c>
      <c r="F457" s="54">
        <v>47239</v>
      </c>
      <c r="G457" s="54">
        <v>46874</v>
      </c>
      <c r="H457" s="53" t="s">
        <v>104</v>
      </c>
      <c r="I457" s="53" t="s">
        <v>105</v>
      </c>
      <c r="J457" s="53" t="s">
        <v>101</v>
      </c>
      <c r="K457" s="53">
        <v>93.599000000000004</v>
      </c>
      <c r="L457" s="53" t="s">
        <v>101</v>
      </c>
      <c r="M457" s="53">
        <v>3.6560000000000001</v>
      </c>
      <c r="N457" s="53">
        <v>3.6560000000000001</v>
      </c>
      <c r="O457" s="53" t="s">
        <v>101</v>
      </c>
      <c r="P457" s="53" t="s">
        <v>448</v>
      </c>
      <c r="Q457" s="53" t="s">
        <v>488</v>
      </c>
      <c r="R457" s="55" t="s">
        <v>454</v>
      </c>
    </row>
    <row r="458" spans="1:18" x14ac:dyDescent="0.5">
      <c r="A458" s="56" t="str">
        <f>"79410SBQ8"</f>
        <v>79410SBQ8</v>
      </c>
      <c r="B458" s="57" t="s">
        <v>477</v>
      </c>
      <c r="C458" s="57" t="s">
        <v>730</v>
      </c>
      <c r="D458" s="53" t="s">
        <v>447</v>
      </c>
      <c r="E458" s="57">
        <v>2.25</v>
      </c>
      <c r="F458" s="58">
        <v>47270</v>
      </c>
      <c r="G458" s="58" t="s">
        <v>101</v>
      </c>
      <c r="H458" s="57" t="s">
        <v>610</v>
      </c>
      <c r="I458" s="57" t="s">
        <v>611</v>
      </c>
      <c r="J458" s="57" t="s">
        <v>101</v>
      </c>
      <c r="K458" s="57">
        <v>93.480999999999995</v>
      </c>
      <c r="L458" s="57" t="s">
        <v>101</v>
      </c>
      <c r="M458" s="57">
        <v>3.9159999999999999</v>
      </c>
      <c r="N458" s="57">
        <v>3.9159999999999999</v>
      </c>
      <c r="O458" s="53" t="s">
        <v>101</v>
      </c>
      <c r="P458" s="57" t="s">
        <v>448</v>
      </c>
      <c r="Q458" s="57" t="s">
        <v>460</v>
      </c>
      <c r="R458" s="59" t="s">
        <v>450</v>
      </c>
    </row>
    <row r="459" spans="1:18" x14ac:dyDescent="0.5">
      <c r="A459" s="52" t="str">
        <f>"888808HE5"</f>
        <v>888808HE5</v>
      </c>
      <c r="B459" s="53" t="s">
        <v>477</v>
      </c>
      <c r="C459" s="53" t="s">
        <v>731</v>
      </c>
      <c r="D459" s="53" t="s">
        <v>447</v>
      </c>
      <c r="E459" s="53">
        <v>5</v>
      </c>
      <c r="F459" s="54">
        <v>47270</v>
      </c>
      <c r="G459" s="54">
        <v>46905</v>
      </c>
      <c r="H459" s="53" t="s">
        <v>105</v>
      </c>
      <c r="I459" s="53" t="s">
        <v>611</v>
      </c>
      <c r="J459" s="53" t="s">
        <v>101</v>
      </c>
      <c r="K459" s="53">
        <v>104.27</v>
      </c>
      <c r="L459" s="53" t="s">
        <v>101</v>
      </c>
      <c r="M459" s="53">
        <v>3.609</v>
      </c>
      <c r="N459" s="53">
        <v>3.907</v>
      </c>
      <c r="O459" s="53" t="s">
        <v>101</v>
      </c>
      <c r="P459" s="53" t="s">
        <v>585</v>
      </c>
      <c r="Q459" s="53" t="s">
        <v>503</v>
      </c>
      <c r="R459" s="55" t="s">
        <v>450</v>
      </c>
    </row>
    <row r="460" spans="1:18" x14ac:dyDescent="0.5">
      <c r="A460" s="56" t="str">
        <f>"9273962R1"</f>
        <v>9273962R1</v>
      </c>
      <c r="B460" s="57" t="s">
        <v>477</v>
      </c>
      <c r="C460" s="57" t="s">
        <v>732</v>
      </c>
      <c r="D460" s="53" t="s">
        <v>447</v>
      </c>
      <c r="E460" s="57">
        <v>2.5</v>
      </c>
      <c r="F460" s="58">
        <v>47270</v>
      </c>
      <c r="G460" s="58">
        <v>46174</v>
      </c>
      <c r="H460" s="57" t="s">
        <v>105</v>
      </c>
      <c r="I460" s="57" t="s">
        <v>628</v>
      </c>
      <c r="J460" s="57" t="s">
        <v>101</v>
      </c>
      <c r="K460" s="57">
        <v>95.653000000000006</v>
      </c>
      <c r="L460" s="57" t="s">
        <v>101</v>
      </c>
      <c r="M460" s="57">
        <v>3.6030000000000002</v>
      </c>
      <c r="N460" s="57">
        <v>3.6030000000000002</v>
      </c>
      <c r="O460" s="53" t="s">
        <v>101</v>
      </c>
      <c r="P460" s="57" t="s">
        <v>448</v>
      </c>
      <c r="Q460" s="57" t="s">
        <v>485</v>
      </c>
      <c r="R460" s="59" t="s">
        <v>630</v>
      </c>
    </row>
    <row r="461" spans="1:18" x14ac:dyDescent="0.5">
      <c r="A461" s="52" t="str">
        <f>"452227KQ3"</f>
        <v>452227KQ3</v>
      </c>
      <c r="B461" s="53" t="s">
        <v>491</v>
      </c>
      <c r="C461" s="53" t="s">
        <v>733</v>
      </c>
      <c r="D461" s="53" t="s">
        <v>447</v>
      </c>
      <c r="E461" s="53">
        <v>4</v>
      </c>
      <c r="F461" s="54">
        <v>47284</v>
      </c>
      <c r="G461" s="54">
        <v>46188</v>
      </c>
      <c r="H461" s="53" t="s">
        <v>105</v>
      </c>
      <c r="I461" s="53" t="s">
        <v>611</v>
      </c>
      <c r="J461" s="53" t="s">
        <v>101</v>
      </c>
      <c r="K461" s="53">
        <v>100.19</v>
      </c>
      <c r="L461" s="53" t="s">
        <v>101</v>
      </c>
      <c r="M461" s="53">
        <v>3.8479999999999999</v>
      </c>
      <c r="N461" s="53">
        <v>3.9510000000000001</v>
      </c>
      <c r="O461" s="53" t="s">
        <v>101</v>
      </c>
      <c r="P461" s="53" t="s">
        <v>448</v>
      </c>
      <c r="Q461" s="53" t="s">
        <v>457</v>
      </c>
      <c r="R461" s="55" t="s">
        <v>504</v>
      </c>
    </row>
    <row r="462" spans="1:18" x14ac:dyDescent="0.5">
      <c r="A462" s="56" t="str">
        <f>"592247GA2"</f>
        <v>592247GA2</v>
      </c>
      <c r="B462" s="57" t="s">
        <v>491</v>
      </c>
      <c r="C462" s="57" t="s">
        <v>734</v>
      </c>
      <c r="D462" s="53" t="s">
        <v>447</v>
      </c>
      <c r="E462" s="57">
        <v>0</v>
      </c>
      <c r="F462" s="58">
        <v>47284</v>
      </c>
      <c r="G462" s="58" t="s">
        <v>105</v>
      </c>
      <c r="H462" s="57" t="s">
        <v>677</v>
      </c>
      <c r="I462" s="57" t="s">
        <v>611</v>
      </c>
      <c r="J462" s="57">
        <v>82.477999999999994</v>
      </c>
      <c r="K462" s="57">
        <v>86.028000000000006</v>
      </c>
      <c r="L462" s="57">
        <v>4.5039999999999996</v>
      </c>
      <c r="M462" s="57">
        <v>3.51</v>
      </c>
      <c r="N462" s="57">
        <v>3.51</v>
      </c>
      <c r="O462" s="53" t="s">
        <v>101</v>
      </c>
      <c r="P462" s="57" t="s">
        <v>735</v>
      </c>
      <c r="Q462" s="57" t="s">
        <v>457</v>
      </c>
      <c r="R462" s="59" t="s">
        <v>736</v>
      </c>
    </row>
    <row r="463" spans="1:18" x14ac:dyDescent="0.5">
      <c r="A463" s="52" t="str">
        <f>"6460668A1"</f>
        <v>6460668A1</v>
      </c>
      <c r="B463" s="53" t="s">
        <v>477</v>
      </c>
      <c r="C463" s="53" t="s">
        <v>737</v>
      </c>
      <c r="D463" s="53" t="s">
        <v>447</v>
      </c>
      <c r="E463" s="53">
        <v>3.375</v>
      </c>
      <c r="F463" s="54">
        <v>47300</v>
      </c>
      <c r="G463" s="54">
        <v>45839</v>
      </c>
      <c r="H463" s="53" t="s">
        <v>105</v>
      </c>
      <c r="I463" s="53" t="s">
        <v>611</v>
      </c>
      <c r="J463" s="53" t="s">
        <v>101</v>
      </c>
      <c r="K463" s="53">
        <v>99.335999999999999</v>
      </c>
      <c r="L463" s="53" t="s">
        <v>101</v>
      </c>
      <c r="M463" s="53">
        <v>3.54</v>
      </c>
      <c r="N463" s="53">
        <v>3.54</v>
      </c>
      <c r="O463" s="53" t="s">
        <v>101</v>
      </c>
      <c r="P463" s="53" t="s">
        <v>448</v>
      </c>
      <c r="Q463" s="53" t="s">
        <v>556</v>
      </c>
      <c r="R463" s="55" t="s">
        <v>450</v>
      </c>
    </row>
    <row r="464" spans="1:18" x14ac:dyDescent="0.5">
      <c r="A464" s="56" t="str">
        <f>"74442EDB3"</f>
        <v>74442EDB3</v>
      </c>
      <c r="B464" s="57" t="s">
        <v>496</v>
      </c>
      <c r="C464" s="57" t="s">
        <v>738</v>
      </c>
      <c r="D464" s="53" t="s">
        <v>447</v>
      </c>
      <c r="E464" s="57">
        <v>5</v>
      </c>
      <c r="F464" s="58">
        <v>47300</v>
      </c>
      <c r="G464" s="58">
        <v>46935</v>
      </c>
      <c r="H464" s="57" t="s">
        <v>105</v>
      </c>
      <c r="I464" s="57" t="s">
        <v>695</v>
      </c>
      <c r="J464" s="57" t="s">
        <v>101</v>
      </c>
      <c r="K464" s="57">
        <v>104.386</v>
      </c>
      <c r="L464" s="57" t="s">
        <v>101</v>
      </c>
      <c r="M464" s="57">
        <v>3.605</v>
      </c>
      <c r="N464" s="57">
        <v>3.8969999999999998</v>
      </c>
      <c r="O464" s="53" t="s">
        <v>101</v>
      </c>
      <c r="P464" s="57" t="s">
        <v>448</v>
      </c>
      <c r="Q464" s="57" t="s">
        <v>460</v>
      </c>
      <c r="R464" s="59" t="s">
        <v>450</v>
      </c>
    </row>
    <row r="465" spans="1:18" x14ac:dyDescent="0.5">
      <c r="A465" s="52" t="str">
        <f>"105205LQ9"</f>
        <v>105205LQ9</v>
      </c>
      <c r="B465" s="53" t="s">
        <v>477</v>
      </c>
      <c r="C465" s="53" t="s">
        <v>739</v>
      </c>
      <c r="D465" s="53" t="s">
        <v>447</v>
      </c>
      <c r="E465" s="53">
        <v>2.5</v>
      </c>
      <c r="F465" s="54">
        <v>47314</v>
      </c>
      <c r="G465" s="54">
        <v>46218</v>
      </c>
      <c r="H465" s="53" t="s">
        <v>105</v>
      </c>
      <c r="I465" s="53" t="s">
        <v>509</v>
      </c>
      <c r="J465" s="53" t="s">
        <v>101</v>
      </c>
      <c r="K465" s="53">
        <v>95.725999999999999</v>
      </c>
      <c r="L465" s="53" t="s">
        <v>101</v>
      </c>
      <c r="M465" s="53">
        <v>3.556</v>
      </c>
      <c r="N465" s="53">
        <v>3.556</v>
      </c>
      <c r="O465" s="53" t="s">
        <v>101</v>
      </c>
      <c r="P465" s="53" t="s">
        <v>448</v>
      </c>
      <c r="Q465" s="53" t="s">
        <v>556</v>
      </c>
      <c r="R465" s="55" t="s">
        <v>454</v>
      </c>
    </row>
    <row r="466" spans="1:18" x14ac:dyDescent="0.5">
      <c r="A466" s="56" t="str">
        <f>"274803DH5"</f>
        <v>274803DH5</v>
      </c>
      <c r="B466" s="57" t="s">
        <v>477</v>
      </c>
      <c r="C466" s="57" t="s">
        <v>740</v>
      </c>
      <c r="D466" s="53" t="s">
        <v>447</v>
      </c>
      <c r="E466" s="57">
        <v>2</v>
      </c>
      <c r="F466" s="58">
        <v>47314</v>
      </c>
      <c r="G466" s="58">
        <v>46949</v>
      </c>
      <c r="H466" s="57" t="s">
        <v>105</v>
      </c>
      <c r="I466" s="57" t="s">
        <v>628</v>
      </c>
      <c r="J466" s="57" t="s">
        <v>101</v>
      </c>
      <c r="K466" s="57">
        <v>91.988</v>
      </c>
      <c r="L466" s="57" t="s">
        <v>101</v>
      </c>
      <c r="M466" s="57">
        <v>4</v>
      </c>
      <c r="N466" s="57">
        <v>4</v>
      </c>
      <c r="O466" s="53" t="s">
        <v>101</v>
      </c>
      <c r="P466" s="57" t="s">
        <v>448</v>
      </c>
      <c r="Q466" s="57" t="s">
        <v>479</v>
      </c>
      <c r="R466" s="59" t="s">
        <v>680</v>
      </c>
    </row>
    <row r="467" spans="1:18" x14ac:dyDescent="0.5">
      <c r="A467" s="52" t="str">
        <f>"280353CZ4"</f>
        <v>280353CZ4</v>
      </c>
      <c r="B467" s="53" t="s">
        <v>477</v>
      </c>
      <c r="C467" s="53" t="s">
        <v>741</v>
      </c>
      <c r="D467" s="53" t="s">
        <v>447</v>
      </c>
      <c r="E467" s="53">
        <v>2.125</v>
      </c>
      <c r="F467" s="54">
        <v>47314</v>
      </c>
      <c r="G467" s="54">
        <v>46218</v>
      </c>
      <c r="H467" s="53" t="s">
        <v>610</v>
      </c>
      <c r="I467" s="53" t="s">
        <v>628</v>
      </c>
      <c r="J467" s="53" t="s">
        <v>101</v>
      </c>
      <c r="K467" s="53">
        <v>92.823999999999998</v>
      </c>
      <c r="L467" s="53" t="s">
        <v>101</v>
      </c>
      <c r="M467" s="53">
        <v>3.9129999999999998</v>
      </c>
      <c r="N467" s="53">
        <v>3.9129999999999998</v>
      </c>
      <c r="O467" s="53" t="s">
        <v>101</v>
      </c>
      <c r="P467" s="53" t="s">
        <v>448</v>
      </c>
      <c r="Q467" s="53" t="s">
        <v>571</v>
      </c>
      <c r="R467" s="55" t="s">
        <v>630</v>
      </c>
    </row>
    <row r="468" spans="1:18" x14ac:dyDescent="0.5">
      <c r="A468" s="56" t="str">
        <f>"432380KK8"</f>
        <v>432380KK8</v>
      </c>
      <c r="B468" s="57" t="s">
        <v>477</v>
      </c>
      <c r="C468" s="57" t="s">
        <v>742</v>
      </c>
      <c r="D468" s="53" t="s">
        <v>447</v>
      </c>
      <c r="E468" s="57">
        <v>2</v>
      </c>
      <c r="F468" s="58">
        <v>47314</v>
      </c>
      <c r="G468" s="58">
        <v>46583</v>
      </c>
      <c r="H468" s="57" t="s">
        <v>105</v>
      </c>
      <c r="I468" s="57" t="s">
        <v>616</v>
      </c>
      <c r="J468" s="57" t="s">
        <v>101</v>
      </c>
      <c r="K468" s="57">
        <v>91.988</v>
      </c>
      <c r="L468" s="57" t="s">
        <v>101</v>
      </c>
      <c r="M468" s="57">
        <v>4</v>
      </c>
      <c r="N468" s="57">
        <v>4</v>
      </c>
      <c r="O468" s="53" t="s">
        <v>101</v>
      </c>
      <c r="P468" s="57" t="s">
        <v>448</v>
      </c>
      <c r="Q468" s="57" t="s">
        <v>488</v>
      </c>
      <c r="R468" s="59" t="s">
        <v>454</v>
      </c>
    </row>
    <row r="469" spans="1:18" x14ac:dyDescent="0.5">
      <c r="A469" s="52" t="str">
        <f>"414935LZ7"</f>
        <v>414935LZ7</v>
      </c>
      <c r="B469" s="53" t="s">
        <v>451</v>
      </c>
      <c r="C469" s="53" t="s">
        <v>743</v>
      </c>
      <c r="D469" s="53" t="s">
        <v>447</v>
      </c>
      <c r="E469" s="53">
        <v>1.125</v>
      </c>
      <c r="F469" s="54">
        <v>47331</v>
      </c>
      <c r="G469" s="54">
        <v>46235</v>
      </c>
      <c r="H469" s="53" t="s">
        <v>105</v>
      </c>
      <c r="I469" s="53" t="s">
        <v>628</v>
      </c>
      <c r="J469" s="53" t="s">
        <v>101</v>
      </c>
      <c r="K469" s="53">
        <v>87.441999999999993</v>
      </c>
      <c r="L469" s="53" t="s">
        <v>101</v>
      </c>
      <c r="M469" s="53">
        <v>4.25</v>
      </c>
      <c r="N469" s="53">
        <v>4.25</v>
      </c>
      <c r="O469" s="53" t="s">
        <v>101</v>
      </c>
      <c r="P469" s="53" t="s">
        <v>448</v>
      </c>
      <c r="Q469" s="53" t="s">
        <v>503</v>
      </c>
      <c r="R469" s="55" t="s">
        <v>630</v>
      </c>
    </row>
    <row r="470" spans="1:18" x14ac:dyDescent="0.5">
      <c r="A470" s="56" t="str">
        <f>"269696FF2"</f>
        <v>269696FF2</v>
      </c>
      <c r="B470" s="57" t="s">
        <v>451</v>
      </c>
      <c r="C470" s="57" t="s">
        <v>744</v>
      </c>
      <c r="D470" s="53" t="s">
        <v>447</v>
      </c>
      <c r="E470" s="57">
        <v>3</v>
      </c>
      <c r="F470" s="58">
        <v>47345</v>
      </c>
      <c r="G470" s="58">
        <v>45733</v>
      </c>
      <c r="H470" s="57" t="s">
        <v>105</v>
      </c>
      <c r="I470" s="57" t="s">
        <v>104</v>
      </c>
      <c r="J470" s="57" t="s">
        <v>101</v>
      </c>
      <c r="K470" s="57">
        <v>97.497</v>
      </c>
      <c r="L470" s="57" t="s">
        <v>101</v>
      </c>
      <c r="M470" s="57">
        <v>3.609</v>
      </c>
      <c r="N470" s="57">
        <v>3.609</v>
      </c>
      <c r="O470" s="53" t="s">
        <v>101</v>
      </c>
      <c r="P470" s="57" t="s">
        <v>448</v>
      </c>
      <c r="Q470" s="57" t="s">
        <v>460</v>
      </c>
      <c r="R470" s="59" t="s">
        <v>454</v>
      </c>
    </row>
    <row r="471" spans="1:18" x14ac:dyDescent="0.5">
      <c r="A471" s="52" t="str">
        <f>"373064B86"</f>
        <v>373064B86</v>
      </c>
      <c r="B471" s="53" t="s">
        <v>451</v>
      </c>
      <c r="C471" s="53" t="s">
        <v>745</v>
      </c>
      <c r="D471" s="53" t="s">
        <v>447</v>
      </c>
      <c r="E471" s="53">
        <v>2.375</v>
      </c>
      <c r="F471" s="54">
        <v>47345</v>
      </c>
      <c r="G471" s="54">
        <v>45884</v>
      </c>
      <c r="H471" s="53" t="s">
        <v>105</v>
      </c>
      <c r="I471" s="53" t="s">
        <v>658</v>
      </c>
      <c r="J471" s="53" t="s">
        <v>101</v>
      </c>
      <c r="K471" s="53">
        <v>94.161000000000001</v>
      </c>
      <c r="L471" s="53" t="s">
        <v>101</v>
      </c>
      <c r="M471" s="53">
        <v>3.8010000000000002</v>
      </c>
      <c r="N471" s="53">
        <v>3.8010000000000002</v>
      </c>
      <c r="O471" s="53" t="s">
        <v>101</v>
      </c>
      <c r="P471" s="53" t="s">
        <v>448</v>
      </c>
      <c r="Q471" s="53" t="s">
        <v>485</v>
      </c>
      <c r="R471" s="55" t="s">
        <v>504</v>
      </c>
    </row>
    <row r="472" spans="1:18" x14ac:dyDescent="0.5">
      <c r="A472" s="56" t="str">
        <f>"373064L85"</f>
        <v>373064L85</v>
      </c>
      <c r="B472" s="57" t="s">
        <v>451</v>
      </c>
      <c r="C472" s="57" t="s">
        <v>746</v>
      </c>
      <c r="D472" s="53" t="s">
        <v>447</v>
      </c>
      <c r="E472" s="57">
        <v>3</v>
      </c>
      <c r="F472" s="58">
        <v>47345</v>
      </c>
      <c r="G472" s="58">
        <v>46433</v>
      </c>
      <c r="H472" s="57" t="s">
        <v>105</v>
      </c>
      <c r="I472" s="57" t="s">
        <v>658</v>
      </c>
      <c r="J472" s="57" t="s">
        <v>101</v>
      </c>
      <c r="K472" s="57">
        <v>97.616</v>
      </c>
      <c r="L472" s="57" t="s">
        <v>101</v>
      </c>
      <c r="M472" s="57">
        <v>3.5790000000000002</v>
      </c>
      <c r="N472" s="57">
        <v>3.5790000000000002</v>
      </c>
      <c r="O472" s="53" t="s">
        <v>101</v>
      </c>
      <c r="P472" s="57" t="s">
        <v>448</v>
      </c>
      <c r="Q472" s="57" t="s">
        <v>485</v>
      </c>
      <c r="R472" s="59" t="s">
        <v>504</v>
      </c>
    </row>
    <row r="473" spans="1:18" x14ac:dyDescent="0.5">
      <c r="A473" s="52" t="str">
        <f>"501552GE7"</f>
        <v>501552GE7</v>
      </c>
      <c r="B473" s="53" t="s">
        <v>451</v>
      </c>
      <c r="C473" s="53" t="s">
        <v>747</v>
      </c>
      <c r="D473" s="53" t="s">
        <v>447</v>
      </c>
      <c r="E473" s="53">
        <v>3.125</v>
      </c>
      <c r="F473" s="54">
        <v>47345</v>
      </c>
      <c r="G473" s="54">
        <v>45733</v>
      </c>
      <c r="H473" s="53" t="s">
        <v>105</v>
      </c>
      <c r="I473" s="53" t="s">
        <v>616</v>
      </c>
      <c r="J473" s="53" t="s">
        <v>101</v>
      </c>
      <c r="K473" s="53">
        <v>98.15</v>
      </c>
      <c r="L473" s="53" t="s">
        <v>101</v>
      </c>
      <c r="M473" s="53">
        <v>3.5739999999999998</v>
      </c>
      <c r="N473" s="53">
        <v>3.5739999999999998</v>
      </c>
      <c r="O473" s="53" t="s">
        <v>101</v>
      </c>
      <c r="P473" s="53" t="s">
        <v>448</v>
      </c>
      <c r="Q473" s="53" t="s">
        <v>488</v>
      </c>
      <c r="R473" s="55" t="s">
        <v>454</v>
      </c>
    </row>
    <row r="474" spans="1:18" x14ac:dyDescent="0.5">
      <c r="A474" s="56" t="str">
        <f>"650346CK3"</f>
        <v>650346CK3</v>
      </c>
      <c r="B474" s="57" t="s">
        <v>451</v>
      </c>
      <c r="C474" s="57" t="s">
        <v>748</v>
      </c>
      <c r="D474" s="53" t="s">
        <v>447</v>
      </c>
      <c r="E474" s="57">
        <v>3</v>
      </c>
      <c r="F474" s="58">
        <v>47345</v>
      </c>
      <c r="G474" s="58">
        <v>46614</v>
      </c>
      <c r="H474" s="57" t="s">
        <v>105</v>
      </c>
      <c r="I474" s="57" t="s">
        <v>104</v>
      </c>
      <c r="J474" s="57" t="s">
        <v>101</v>
      </c>
      <c r="K474" s="57">
        <v>97.203999999999994</v>
      </c>
      <c r="L474" s="57" t="s">
        <v>101</v>
      </c>
      <c r="M474" s="57">
        <v>3.681</v>
      </c>
      <c r="N474" s="57">
        <v>3.681</v>
      </c>
      <c r="O474" s="53" t="s">
        <v>101</v>
      </c>
      <c r="P474" s="57" t="s">
        <v>448</v>
      </c>
      <c r="Q474" s="57" t="s">
        <v>488</v>
      </c>
      <c r="R474" s="59" t="s">
        <v>450</v>
      </c>
    </row>
    <row r="475" spans="1:18" x14ac:dyDescent="0.5">
      <c r="A475" s="52" t="str">
        <f>"839091SR7"</f>
        <v>839091SR7</v>
      </c>
      <c r="B475" s="53" t="s">
        <v>477</v>
      </c>
      <c r="C475" s="53" t="s">
        <v>749</v>
      </c>
      <c r="D475" s="53" t="s">
        <v>447</v>
      </c>
      <c r="E475" s="53">
        <v>2</v>
      </c>
      <c r="F475" s="54">
        <v>47345</v>
      </c>
      <c r="G475" s="54" t="s">
        <v>105</v>
      </c>
      <c r="H475" s="53" t="s">
        <v>610</v>
      </c>
      <c r="I475" s="53" t="s">
        <v>105</v>
      </c>
      <c r="J475" s="53" t="s">
        <v>101</v>
      </c>
      <c r="K475" s="53">
        <v>93.644000000000005</v>
      </c>
      <c r="L475" s="53" t="s">
        <v>101</v>
      </c>
      <c r="M475" s="53">
        <v>3.5430000000000001</v>
      </c>
      <c r="N475" s="53">
        <v>3.5430000000000001</v>
      </c>
      <c r="O475" s="53" t="s">
        <v>101</v>
      </c>
      <c r="P475" s="53" t="s">
        <v>448</v>
      </c>
      <c r="Q475" s="53" t="s">
        <v>460</v>
      </c>
      <c r="R475" s="55" t="s">
        <v>614</v>
      </c>
    </row>
    <row r="476" spans="1:18" x14ac:dyDescent="0.5">
      <c r="A476" s="56" t="str">
        <f>"151141TR9"</f>
        <v>151141TR9</v>
      </c>
      <c r="B476" s="57" t="s">
        <v>451</v>
      </c>
      <c r="C476" s="57" t="s">
        <v>750</v>
      </c>
      <c r="D476" s="53" t="s">
        <v>447</v>
      </c>
      <c r="E476" s="57">
        <v>2.25</v>
      </c>
      <c r="F476" s="58">
        <v>47362</v>
      </c>
      <c r="G476" s="58">
        <v>46266</v>
      </c>
      <c r="H476" s="57" t="s">
        <v>105</v>
      </c>
      <c r="I476" s="57" t="s">
        <v>628</v>
      </c>
      <c r="J476" s="57" t="s">
        <v>101</v>
      </c>
      <c r="K476" s="57">
        <v>94.174999999999997</v>
      </c>
      <c r="L476" s="57" t="s">
        <v>101</v>
      </c>
      <c r="M476" s="57">
        <v>3.6549999999999998</v>
      </c>
      <c r="N476" s="57">
        <v>3.6549999999999998</v>
      </c>
      <c r="O476" s="53" t="s">
        <v>101</v>
      </c>
      <c r="P476" s="57" t="s">
        <v>448</v>
      </c>
      <c r="Q476" s="57" t="s">
        <v>488</v>
      </c>
      <c r="R476" s="59" t="s">
        <v>504</v>
      </c>
    </row>
    <row r="477" spans="1:18" x14ac:dyDescent="0.5">
      <c r="A477" s="52" t="str">
        <f>"296804WJ2"</f>
        <v>296804WJ2</v>
      </c>
      <c r="B477" s="53" t="s">
        <v>477</v>
      </c>
      <c r="C477" s="53" t="s">
        <v>751</v>
      </c>
      <c r="D477" s="53" t="s">
        <v>447</v>
      </c>
      <c r="E477" s="53">
        <v>2.125</v>
      </c>
      <c r="F477" s="54">
        <v>47362</v>
      </c>
      <c r="G477" s="54">
        <v>46266</v>
      </c>
      <c r="H477" s="53" t="s">
        <v>540</v>
      </c>
      <c r="I477" s="53" t="s">
        <v>105</v>
      </c>
      <c r="J477" s="53" t="s">
        <v>101</v>
      </c>
      <c r="K477" s="53">
        <v>93.409000000000006</v>
      </c>
      <c r="L477" s="53" t="s">
        <v>101</v>
      </c>
      <c r="M477" s="53">
        <v>3.7170000000000001</v>
      </c>
      <c r="N477" s="53">
        <v>3.7170000000000001</v>
      </c>
      <c r="O477" s="53" t="s">
        <v>101</v>
      </c>
      <c r="P477" s="53" t="s">
        <v>448</v>
      </c>
      <c r="Q477" s="53" t="s">
        <v>453</v>
      </c>
      <c r="R477" s="55" t="s">
        <v>454</v>
      </c>
    </row>
    <row r="478" spans="1:18" x14ac:dyDescent="0.5">
      <c r="A478" s="56" t="str">
        <f>"34679TQG3"</f>
        <v>34679TQG3</v>
      </c>
      <c r="B478" s="57" t="s">
        <v>451</v>
      </c>
      <c r="C478" s="57" t="s">
        <v>752</v>
      </c>
      <c r="D478" s="53" t="s">
        <v>447</v>
      </c>
      <c r="E478" s="57">
        <v>3</v>
      </c>
      <c r="F478" s="58">
        <v>47362</v>
      </c>
      <c r="G478" s="58">
        <v>45733</v>
      </c>
      <c r="H478" s="57" t="s">
        <v>624</v>
      </c>
      <c r="I478" s="57" t="s">
        <v>628</v>
      </c>
      <c r="J478" s="57" t="s">
        <v>101</v>
      </c>
      <c r="K478" s="57">
        <v>97.676000000000002</v>
      </c>
      <c r="L478" s="57" t="s">
        <v>101</v>
      </c>
      <c r="M478" s="57">
        <v>3.5590000000000002</v>
      </c>
      <c r="N478" s="57">
        <v>3.5590000000000002</v>
      </c>
      <c r="O478" s="53" t="s">
        <v>101</v>
      </c>
      <c r="P478" s="57" t="s">
        <v>448</v>
      </c>
      <c r="Q478" s="57" t="s">
        <v>485</v>
      </c>
      <c r="R478" s="59" t="s">
        <v>630</v>
      </c>
    </row>
    <row r="479" spans="1:18" x14ac:dyDescent="0.5">
      <c r="A479" s="52" t="str">
        <f>"34679TVE2"</f>
        <v>34679TVE2</v>
      </c>
      <c r="B479" s="53" t="s">
        <v>451</v>
      </c>
      <c r="C479" s="53" t="s">
        <v>753</v>
      </c>
      <c r="D479" s="53" t="s">
        <v>447</v>
      </c>
      <c r="E479" s="53">
        <v>1</v>
      </c>
      <c r="F479" s="54">
        <v>47362</v>
      </c>
      <c r="G479" s="54">
        <v>45901</v>
      </c>
      <c r="H479" s="53" t="s">
        <v>624</v>
      </c>
      <c r="I479" s="53" t="s">
        <v>628</v>
      </c>
      <c r="J479" s="53" t="s">
        <v>101</v>
      </c>
      <c r="K479" s="53">
        <v>87.99</v>
      </c>
      <c r="L479" s="53" t="s">
        <v>101</v>
      </c>
      <c r="M479" s="53">
        <v>3.915</v>
      </c>
      <c r="N479" s="53">
        <v>3.915</v>
      </c>
      <c r="O479" s="53" t="s">
        <v>101</v>
      </c>
      <c r="P479" s="53" t="s">
        <v>448</v>
      </c>
      <c r="Q479" s="53" t="s">
        <v>479</v>
      </c>
      <c r="R479" s="55" t="s">
        <v>680</v>
      </c>
    </row>
    <row r="480" spans="1:18" x14ac:dyDescent="0.5">
      <c r="A480" s="56" t="str">
        <f>"34682BAN9"</f>
        <v>34682BAN9</v>
      </c>
      <c r="B480" s="57" t="s">
        <v>451</v>
      </c>
      <c r="C480" s="57" t="s">
        <v>754</v>
      </c>
      <c r="D480" s="53" t="s">
        <v>447</v>
      </c>
      <c r="E480" s="57">
        <v>3</v>
      </c>
      <c r="F480" s="58">
        <v>47362</v>
      </c>
      <c r="G480" s="58">
        <v>45733</v>
      </c>
      <c r="H480" s="57" t="s">
        <v>105</v>
      </c>
      <c r="I480" s="57" t="s">
        <v>628</v>
      </c>
      <c r="J480" s="57" t="s">
        <v>101</v>
      </c>
      <c r="K480" s="57">
        <v>97.712999999999994</v>
      </c>
      <c r="L480" s="57" t="s">
        <v>101</v>
      </c>
      <c r="M480" s="57">
        <v>3.55</v>
      </c>
      <c r="N480" s="57">
        <v>3.55</v>
      </c>
      <c r="O480" s="53" t="s">
        <v>101</v>
      </c>
      <c r="P480" s="57" t="s">
        <v>448</v>
      </c>
      <c r="Q480" s="57" t="s">
        <v>663</v>
      </c>
      <c r="R480" s="59" t="s">
        <v>630</v>
      </c>
    </row>
    <row r="481" spans="1:18" x14ac:dyDescent="0.5">
      <c r="A481" s="52" t="str">
        <f>"34683NDL3"</f>
        <v>34683NDL3</v>
      </c>
      <c r="B481" s="53" t="s">
        <v>451</v>
      </c>
      <c r="C481" s="53" t="s">
        <v>755</v>
      </c>
      <c r="D481" s="53" t="s">
        <v>447</v>
      </c>
      <c r="E481" s="53">
        <v>2</v>
      </c>
      <c r="F481" s="54">
        <v>47362</v>
      </c>
      <c r="G481" s="54">
        <v>45733</v>
      </c>
      <c r="H481" s="53" t="s">
        <v>670</v>
      </c>
      <c r="I481" s="53" t="s">
        <v>628</v>
      </c>
      <c r="J481" s="53" t="s">
        <v>101</v>
      </c>
      <c r="K481" s="53">
        <v>91.097999999999999</v>
      </c>
      <c r="L481" s="53" t="s">
        <v>101</v>
      </c>
      <c r="M481" s="53">
        <v>4.1740000000000004</v>
      </c>
      <c r="N481" s="53">
        <v>4.1740000000000004</v>
      </c>
      <c r="O481" s="53" t="s">
        <v>101</v>
      </c>
      <c r="P481" s="53" t="s">
        <v>448</v>
      </c>
      <c r="Q481" s="53" t="s">
        <v>722</v>
      </c>
      <c r="R481" s="55" t="s">
        <v>630</v>
      </c>
    </row>
    <row r="482" spans="1:18" x14ac:dyDescent="0.5">
      <c r="A482" s="56" t="str">
        <f>"346900UF8"</f>
        <v>346900UF8</v>
      </c>
      <c r="B482" s="57" t="s">
        <v>451</v>
      </c>
      <c r="C482" s="57" t="s">
        <v>756</v>
      </c>
      <c r="D482" s="53" t="s">
        <v>447</v>
      </c>
      <c r="E482" s="57">
        <v>3</v>
      </c>
      <c r="F482" s="58">
        <v>47362</v>
      </c>
      <c r="G482" s="58">
        <v>45733</v>
      </c>
      <c r="H482" s="57" t="s">
        <v>610</v>
      </c>
      <c r="I482" s="57" t="s">
        <v>628</v>
      </c>
      <c r="J482" s="57" t="s">
        <v>101</v>
      </c>
      <c r="K482" s="57">
        <v>97.918000000000006</v>
      </c>
      <c r="L482" s="57" t="s">
        <v>101</v>
      </c>
      <c r="M482" s="57">
        <v>3.5</v>
      </c>
      <c r="N482" s="57">
        <v>3.5</v>
      </c>
      <c r="O482" s="53" t="s">
        <v>101</v>
      </c>
      <c r="P482" s="57" t="s">
        <v>448</v>
      </c>
      <c r="Q482" s="57" t="s">
        <v>757</v>
      </c>
      <c r="R482" s="59" t="s">
        <v>680</v>
      </c>
    </row>
    <row r="483" spans="1:18" x14ac:dyDescent="0.5">
      <c r="A483" s="52" t="str">
        <f>"413956KT9"</f>
        <v>413956KT9</v>
      </c>
      <c r="B483" s="53" t="s">
        <v>451</v>
      </c>
      <c r="C483" s="53" t="s">
        <v>758</v>
      </c>
      <c r="D483" s="53" t="s">
        <v>447</v>
      </c>
      <c r="E483" s="53">
        <v>2</v>
      </c>
      <c r="F483" s="54">
        <v>47362</v>
      </c>
      <c r="G483" s="54">
        <v>46266</v>
      </c>
      <c r="H483" s="53" t="s">
        <v>105</v>
      </c>
      <c r="I483" s="53" t="s">
        <v>628</v>
      </c>
      <c r="J483" s="53" t="s">
        <v>101</v>
      </c>
      <c r="K483" s="53">
        <v>92.63</v>
      </c>
      <c r="L483" s="53" t="s">
        <v>101</v>
      </c>
      <c r="M483" s="53">
        <v>3.7829999999999999</v>
      </c>
      <c r="N483" s="53">
        <v>3.7829999999999999</v>
      </c>
      <c r="O483" s="53" t="s">
        <v>101</v>
      </c>
      <c r="P483" s="53" t="s">
        <v>448</v>
      </c>
      <c r="Q483" s="53" t="s">
        <v>485</v>
      </c>
      <c r="R483" s="55" t="s">
        <v>630</v>
      </c>
    </row>
    <row r="484" spans="1:18" x14ac:dyDescent="0.5">
      <c r="A484" s="56" t="str">
        <f>"41421VGB6"</f>
        <v>41421VGB6</v>
      </c>
      <c r="B484" s="57" t="s">
        <v>451</v>
      </c>
      <c r="C484" s="57" t="s">
        <v>759</v>
      </c>
      <c r="D484" s="53" t="s">
        <v>447</v>
      </c>
      <c r="E484" s="57">
        <v>3</v>
      </c>
      <c r="F484" s="58">
        <v>47362</v>
      </c>
      <c r="G484" s="58">
        <v>45733</v>
      </c>
      <c r="H484" s="57" t="s">
        <v>641</v>
      </c>
      <c r="I484" s="57" t="s">
        <v>628</v>
      </c>
      <c r="J484" s="57" t="s">
        <v>101</v>
      </c>
      <c r="K484" s="57">
        <v>97.1</v>
      </c>
      <c r="L484" s="57" t="s">
        <v>101</v>
      </c>
      <c r="M484" s="57">
        <v>3.7</v>
      </c>
      <c r="N484" s="57">
        <v>3.7</v>
      </c>
      <c r="O484" s="53" t="s">
        <v>101</v>
      </c>
      <c r="P484" s="57" t="s">
        <v>448</v>
      </c>
      <c r="Q484" s="57" t="s">
        <v>460</v>
      </c>
      <c r="R484" s="59" t="s">
        <v>680</v>
      </c>
    </row>
    <row r="485" spans="1:18" x14ac:dyDescent="0.5">
      <c r="A485" s="52" t="str">
        <f>"41453APA5"</f>
        <v>41453APA5</v>
      </c>
      <c r="B485" s="53" t="s">
        <v>451</v>
      </c>
      <c r="C485" s="53" t="s">
        <v>760</v>
      </c>
      <c r="D485" s="53" t="s">
        <v>447</v>
      </c>
      <c r="E485" s="53">
        <v>3</v>
      </c>
      <c r="F485" s="54">
        <v>47362</v>
      </c>
      <c r="G485" s="54">
        <v>45733</v>
      </c>
      <c r="H485" s="53" t="s">
        <v>641</v>
      </c>
      <c r="I485" s="53" t="s">
        <v>628</v>
      </c>
      <c r="J485" s="53" t="s">
        <v>101</v>
      </c>
      <c r="K485" s="53">
        <v>97.638000000000005</v>
      </c>
      <c r="L485" s="53" t="s">
        <v>101</v>
      </c>
      <c r="M485" s="53">
        <v>3.5680000000000001</v>
      </c>
      <c r="N485" s="53">
        <v>3.5680000000000001</v>
      </c>
      <c r="O485" s="53" t="s">
        <v>101</v>
      </c>
      <c r="P485" s="53" t="s">
        <v>448</v>
      </c>
      <c r="Q485" s="53" t="s">
        <v>573</v>
      </c>
      <c r="R485" s="55" t="s">
        <v>630</v>
      </c>
    </row>
    <row r="486" spans="1:18" x14ac:dyDescent="0.5">
      <c r="A486" s="56" t="str">
        <f>"413844DQ1"</f>
        <v>413844DQ1</v>
      </c>
      <c r="B486" s="57" t="s">
        <v>451</v>
      </c>
      <c r="C486" s="57" t="s">
        <v>761</v>
      </c>
      <c r="D486" s="53" t="s">
        <v>447</v>
      </c>
      <c r="E486" s="57">
        <v>3</v>
      </c>
      <c r="F486" s="58">
        <v>47362</v>
      </c>
      <c r="G486" s="58">
        <v>45733</v>
      </c>
      <c r="H486" s="57" t="s">
        <v>641</v>
      </c>
      <c r="I486" s="57" t="s">
        <v>628</v>
      </c>
      <c r="J486" s="57" t="s">
        <v>101</v>
      </c>
      <c r="K486" s="57">
        <v>97.290999999999997</v>
      </c>
      <c r="L486" s="57" t="s">
        <v>101</v>
      </c>
      <c r="M486" s="57">
        <v>3.653</v>
      </c>
      <c r="N486" s="57">
        <v>3.653</v>
      </c>
      <c r="O486" s="53" t="s">
        <v>101</v>
      </c>
      <c r="P486" s="57" t="s">
        <v>448</v>
      </c>
      <c r="Q486" s="57" t="s">
        <v>485</v>
      </c>
      <c r="R486" s="59" t="s">
        <v>630</v>
      </c>
    </row>
    <row r="487" spans="1:18" x14ac:dyDescent="0.5">
      <c r="A487" s="52" t="str">
        <f>"614148JE5"</f>
        <v>614148JE5</v>
      </c>
      <c r="B487" s="53" t="s">
        <v>477</v>
      </c>
      <c r="C487" s="53" t="s">
        <v>762</v>
      </c>
      <c r="D487" s="53" t="s">
        <v>447</v>
      </c>
      <c r="E487" s="53">
        <v>2.5</v>
      </c>
      <c r="F487" s="54">
        <v>47362</v>
      </c>
      <c r="G487" s="54">
        <v>46631</v>
      </c>
      <c r="H487" s="53" t="s">
        <v>104</v>
      </c>
      <c r="I487" s="53" t="s">
        <v>105</v>
      </c>
      <c r="J487" s="53" t="s">
        <v>101</v>
      </c>
      <c r="K487" s="53">
        <v>94.629000000000005</v>
      </c>
      <c r="L487" s="53" t="s">
        <v>101</v>
      </c>
      <c r="M487" s="53">
        <v>3.8</v>
      </c>
      <c r="N487" s="53">
        <v>3.8</v>
      </c>
      <c r="O487" s="53" t="s">
        <v>101</v>
      </c>
      <c r="P487" s="53" t="s">
        <v>448</v>
      </c>
      <c r="Q487" s="53" t="s">
        <v>503</v>
      </c>
      <c r="R487" s="55" t="s">
        <v>454</v>
      </c>
    </row>
    <row r="488" spans="1:18" x14ac:dyDescent="0.5">
      <c r="A488" s="56" t="str">
        <f>"662832JK1"</f>
        <v>662832JK1</v>
      </c>
      <c r="B488" s="57" t="s">
        <v>451</v>
      </c>
      <c r="C488" s="57" t="s">
        <v>763</v>
      </c>
      <c r="D488" s="53" t="s">
        <v>447</v>
      </c>
      <c r="E488" s="57">
        <v>3</v>
      </c>
      <c r="F488" s="58">
        <v>47362</v>
      </c>
      <c r="G488" s="58">
        <v>46631</v>
      </c>
      <c r="H488" s="57" t="s">
        <v>613</v>
      </c>
      <c r="I488" s="57" t="s">
        <v>509</v>
      </c>
      <c r="J488" s="57" t="s">
        <v>101</v>
      </c>
      <c r="K488" s="57">
        <v>97.814999999999998</v>
      </c>
      <c r="L488" s="57" t="s">
        <v>101</v>
      </c>
      <c r="M488" s="57">
        <v>3.5249999999999999</v>
      </c>
      <c r="N488" s="57">
        <v>3.5249999999999999</v>
      </c>
      <c r="O488" s="53" t="s">
        <v>101</v>
      </c>
      <c r="P488" s="57" t="s">
        <v>448</v>
      </c>
      <c r="Q488" s="57" t="s">
        <v>764</v>
      </c>
      <c r="R488" s="59" t="s">
        <v>504</v>
      </c>
    </row>
    <row r="489" spans="1:18" x14ac:dyDescent="0.5">
      <c r="A489" s="52" t="str">
        <f>"811403VA9"</f>
        <v>811403VA9</v>
      </c>
      <c r="B489" s="53" t="s">
        <v>477</v>
      </c>
      <c r="C489" s="53" t="s">
        <v>765</v>
      </c>
      <c r="D489" s="53" t="s">
        <v>447</v>
      </c>
      <c r="E489" s="53">
        <v>2</v>
      </c>
      <c r="F489" s="54">
        <v>47362</v>
      </c>
      <c r="G489" s="54">
        <v>46266</v>
      </c>
      <c r="H489" s="53" t="s">
        <v>105</v>
      </c>
      <c r="I489" s="53" t="s">
        <v>628</v>
      </c>
      <c r="J489" s="53" t="s">
        <v>101</v>
      </c>
      <c r="K489" s="53">
        <v>91.819000000000003</v>
      </c>
      <c r="L489" s="53" t="s">
        <v>101</v>
      </c>
      <c r="M489" s="53">
        <v>3.9889999999999999</v>
      </c>
      <c r="N489" s="53">
        <v>3.9889999999999999</v>
      </c>
      <c r="O489" s="53" t="s">
        <v>101</v>
      </c>
      <c r="P489" s="53" t="s">
        <v>448</v>
      </c>
      <c r="Q489" s="53" t="s">
        <v>485</v>
      </c>
      <c r="R489" s="55" t="s">
        <v>482</v>
      </c>
    </row>
    <row r="490" spans="1:18" x14ac:dyDescent="0.5">
      <c r="A490" s="56" t="str">
        <f>"82622PAG5"</f>
        <v>82622PAG5</v>
      </c>
      <c r="B490" s="57" t="s">
        <v>451</v>
      </c>
      <c r="C490" s="57" t="s">
        <v>766</v>
      </c>
      <c r="D490" s="53" t="s">
        <v>447</v>
      </c>
      <c r="E490" s="57">
        <v>3</v>
      </c>
      <c r="F490" s="58">
        <v>47362</v>
      </c>
      <c r="G490" s="58">
        <v>46478</v>
      </c>
      <c r="H490" s="57" t="s">
        <v>641</v>
      </c>
      <c r="I490" s="57" t="s">
        <v>628</v>
      </c>
      <c r="J490" s="57" t="s">
        <v>101</v>
      </c>
      <c r="K490" s="57">
        <v>96.977999999999994</v>
      </c>
      <c r="L490" s="57" t="s">
        <v>101</v>
      </c>
      <c r="M490" s="57">
        <v>3.73</v>
      </c>
      <c r="N490" s="57">
        <v>3.73</v>
      </c>
      <c r="O490" s="53" t="s">
        <v>101</v>
      </c>
      <c r="P490" s="57" t="s">
        <v>448</v>
      </c>
      <c r="Q490" s="57" t="s">
        <v>488</v>
      </c>
      <c r="R490" s="59" t="s">
        <v>680</v>
      </c>
    </row>
    <row r="491" spans="1:18" x14ac:dyDescent="0.5">
      <c r="A491" s="52" t="str">
        <f>"346901ZZ7"</f>
        <v>346901ZZ7</v>
      </c>
      <c r="B491" s="53" t="s">
        <v>451</v>
      </c>
      <c r="C491" s="53" t="s">
        <v>767</v>
      </c>
      <c r="D491" s="53" t="s">
        <v>447</v>
      </c>
      <c r="E491" s="53">
        <v>4</v>
      </c>
      <c r="F491" s="54">
        <v>47392</v>
      </c>
      <c r="G491" s="54">
        <v>45931</v>
      </c>
      <c r="H491" s="53" t="s">
        <v>610</v>
      </c>
      <c r="I491" s="53" t="s">
        <v>628</v>
      </c>
      <c r="J491" s="53" t="s">
        <v>101</v>
      </c>
      <c r="K491" s="53">
        <v>100.3</v>
      </c>
      <c r="L491" s="53" t="s">
        <v>101</v>
      </c>
      <c r="M491" s="53">
        <v>3.5009999999999999</v>
      </c>
      <c r="N491" s="53">
        <v>3.9279999999999999</v>
      </c>
      <c r="O491" s="53" t="s">
        <v>101</v>
      </c>
      <c r="P491" s="53" t="s">
        <v>448</v>
      </c>
      <c r="Q491" s="53" t="s">
        <v>485</v>
      </c>
      <c r="R491" s="55" t="s">
        <v>630</v>
      </c>
    </row>
    <row r="492" spans="1:18" x14ac:dyDescent="0.5">
      <c r="A492" s="56" t="str">
        <f>"302644EC9"</f>
        <v>302644EC9</v>
      </c>
      <c r="B492" s="57" t="s">
        <v>499</v>
      </c>
      <c r="C492" s="57" t="s">
        <v>768</v>
      </c>
      <c r="D492" s="53" t="s">
        <v>447</v>
      </c>
      <c r="E492" s="57">
        <v>3.5</v>
      </c>
      <c r="F492" s="58">
        <v>47392</v>
      </c>
      <c r="G492" s="58">
        <v>45733</v>
      </c>
      <c r="H492" s="57" t="s">
        <v>641</v>
      </c>
      <c r="I492" s="57" t="s">
        <v>105</v>
      </c>
      <c r="J492" s="57" t="s">
        <v>101</v>
      </c>
      <c r="K492" s="57">
        <v>99.61</v>
      </c>
      <c r="L492" s="57" t="s">
        <v>101</v>
      </c>
      <c r="M492" s="57">
        <v>3.5920000000000001</v>
      </c>
      <c r="N492" s="57">
        <v>3.5920000000000001</v>
      </c>
      <c r="O492" s="53" t="s">
        <v>101</v>
      </c>
      <c r="P492" s="57" t="s">
        <v>448</v>
      </c>
      <c r="Q492" s="57" t="s">
        <v>457</v>
      </c>
      <c r="R492" s="59" t="s">
        <v>450</v>
      </c>
    </row>
    <row r="493" spans="1:18" x14ac:dyDescent="0.5">
      <c r="A493" s="52" t="str">
        <f>"302644FE4"</f>
        <v>302644FE4</v>
      </c>
      <c r="B493" s="53" t="s">
        <v>499</v>
      </c>
      <c r="C493" s="53" t="s">
        <v>769</v>
      </c>
      <c r="D493" s="53" t="s">
        <v>447</v>
      </c>
      <c r="E493" s="53">
        <v>3.25</v>
      </c>
      <c r="F493" s="54">
        <v>47392</v>
      </c>
      <c r="G493" s="54">
        <v>45733</v>
      </c>
      <c r="H493" s="53" t="s">
        <v>641</v>
      </c>
      <c r="I493" s="53" t="s">
        <v>105</v>
      </c>
      <c r="J493" s="53" t="s">
        <v>101</v>
      </c>
      <c r="K493" s="53">
        <v>97.98</v>
      </c>
      <c r="L493" s="53" t="s">
        <v>101</v>
      </c>
      <c r="M493" s="53">
        <v>3.7290000000000001</v>
      </c>
      <c r="N493" s="53">
        <v>3.7290000000000001</v>
      </c>
      <c r="O493" s="53" t="s">
        <v>101</v>
      </c>
      <c r="P493" s="53" t="s">
        <v>448</v>
      </c>
      <c r="Q493" s="53" t="s">
        <v>488</v>
      </c>
      <c r="R493" s="55" t="s">
        <v>450</v>
      </c>
    </row>
    <row r="494" spans="1:18" x14ac:dyDescent="0.5">
      <c r="A494" s="56" t="str">
        <f>"43232ABN6"</f>
        <v>43232ABN6</v>
      </c>
      <c r="B494" s="57" t="s">
        <v>499</v>
      </c>
      <c r="C494" s="57" t="s">
        <v>770</v>
      </c>
      <c r="D494" s="53" t="s">
        <v>447</v>
      </c>
      <c r="E494" s="57">
        <v>2.25</v>
      </c>
      <c r="F494" s="58">
        <v>47392</v>
      </c>
      <c r="G494" s="58">
        <v>46296</v>
      </c>
      <c r="H494" s="57" t="s">
        <v>540</v>
      </c>
      <c r="I494" s="57" t="s">
        <v>628</v>
      </c>
      <c r="J494" s="57" t="s">
        <v>101</v>
      </c>
      <c r="K494" s="57">
        <v>93.644999999999996</v>
      </c>
      <c r="L494" s="57" t="s">
        <v>101</v>
      </c>
      <c r="M494" s="57">
        <v>3.7610000000000001</v>
      </c>
      <c r="N494" s="57">
        <v>3.7610000000000001</v>
      </c>
      <c r="O494" s="53" t="s">
        <v>101</v>
      </c>
      <c r="P494" s="57" t="s">
        <v>448</v>
      </c>
      <c r="Q494" s="57" t="s">
        <v>485</v>
      </c>
      <c r="R494" s="59" t="s">
        <v>771</v>
      </c>
    </row>
    <row r="495" spans="1:18" x14ac:dyDescent="0.5">
      <c r="A495" s="52" t="str">
        <f>"45203MTS0"</f>
        <v>45203MTS0</v>
      </c>
      <c r="B495" s="53" t="s">
        <v>491</v>
      </c>
      <c r="C495" s="53" t="s">
        <v>772</v>
      </c>
      <c r="D495" s="53" t="s">
        <v>447</v>
      </c>
      <c r="E495" s="53">
        <v>4.0999999999999996</v>
      </c>
      <c r="F495" s="54">
        <v>47392</v>
      </c>
      <c r="G495" s="54" t="s">
        <v>101</v>
      </c>
      <c r="H495" s="53" t="s">
        <v>104</v>
      </c>
      <c r="I495" s="53" t="s">
        <v>105</v>
      </c>
      <c r="J495" s="53" t="s">
        <v>101</v>
      </c>
      <c r="K495" s="53">
        <v>102.4</v>
      </c>
      <c r="L495" s="53" t="s">
        <v>101</v>
      </c>
      <c r="M495" s="53">
        <v>3.532</v>
      </c>
      <c r="N495" s="53">
        <v>3.532</v>
      </c>
      <c r="O495" s="53" t="s">
        <v>101</v>
      </c>
      <c r="P495" s="53" t="s">
        <v>448</v>
      </c>
      <c r="Q495" s="53" t="s">
        <v>475</v>
      </c>
      <c r="R495" s="55" t="s">
        <v>506</v>
      </c>
    </row>
    <row r="496" spans="1:18" x14ac:dyDescent="0.5">
      <c r="A496" s="56" t="str">
        <f>"849520TA9"</f>
        <v>849520TA9</v>
      </c>
      <c r="B496" s="57" t="s">
        <v>451</v>
      </c>
      <c r="C496" s="57" t="s">
        <v>773</v>
      </c>
      <c r="D496" s="53" t="s">
        <v>447</v>
      </c>
      <c r="E496" s="57">
        <v>3</v>
      </c>
      <c r="F496" s="58">
        <v>47392</v>
      </c>
      <c r="G496" s="58">
        <v>45733</v>
      </c>
      <c r="H496" s="57" t="s">
        <v>641</v>
      </c>
      <c r="I496" s="57" t="s">
        <v>628</v>
      </c>
      <c r="J496" s="57" t="s">
        <v>101</v>
      </c>
      <c r="K496" s="57">
        <v>97.094999999999999</v>
      </c>
      <c r="L496" s="57" t="s">
        <v>101</v>
      </c>
      <c r="M496" s="57">
        <v>3.6890000000000001</v>
      </c>
      <c r="N496" s="57">
        <v>3.6890000000000001</v>
      </c>
      <c r="O496" s="53" t="s">
        <v>101</v>
      </c>
      <c r="P496" s="57" t="s">
        <v>448</v>
      </c>
      <c r="Q496" s="57" t="s">
        <v>485</v>
      </c>
      <c r="R496" s="59" t="s">
        <v>630</v>
      </c>
    </row>
    <row r="497" spans="1:18" x14ac:dyDescent="0.5">
      <c r="A497" s="52" t="str">
        <f>"943080VP3"</f>
        <v>943080VP3</v>
      </c>
      <c r="B497" s="53" t="s">
        <v>496</v>
      </c>
      <c r="C497" s="53" t="s">
        <v>774</v>
      </c>
      <c r="D497" s="53" t="s">
        <v>447</v>
      </c>
      <c r="E497" s="53">
        <v>2</v>
      </c>
      <c r="F497" s="54">
        <v>47392</v>
      </c>
      <c r="G497" s="54">
        <v>47027</v>
      </c>
      <c r="H497" s="53" t="s">
        <v>613</v>
      </c>
      <c r="I497" s="53" t="s">
        <v>105</v>
      </c>
      <c r="J497" s="53" t="s">
        <v>101</v>
      </c>
      <c r="K497" s="53">
        <v>92.227999999999994</v>
      </c>
      <c r="L497" s="53" t="s">
        <v>101</v>
      </c>
      <c r="M497" s="53">
        <v>3.8519999999999999</v>
      </c>
      <c r="N497" s="53">
        <v>3.8519999999999999</v>
      </c>
      <c r="O497" s="53" t="s">
        <v>101</v>
      </c>
      <c r="P497" s="53" t="s">
        <v>448</v>
      </c>
      <c r="Q497" s="53" t="s">
        <v>485</v>
      </c>
      <c r="R497" s="55" t="s">
        <v>454</v>
      </c>
    </row>
    <row r="498" spans="1:18" x14ac:dyDescent="0.5">
      <c r="A498" s="56" t="str">
        <f>"943080VX6"</f>
        <v>943080VX6</v>
      </c>
      <c r="B498" s="57" t="s">
        <v>496</v>
      </c>
      <c r="C498" s="57" t="s">
        <v>775</v>
      </c>
      <c r="D498" s="53" t="s">
        <v>447</v>
      </c>
      <c r="E498" s="57">
        <v>2</v>
      </c>
      <c r="F498" s="58">
        <v>47392</v>
      </c>
      <c r="G498" s="58">
        <v>47027</v>
      </c>
      <c r="H498" s="57" t="s">
        <v>613</v>
      </c>
      <c r="I498" s="57" t="s">
        <v>105</v>
      </c>
      <c r="J498" s="57" t="s">
        <v>101</v>
      </c>
      <c r="K498" s="57">
        <v>91.370999999999995</v>
      </c>
      <c r="L498" s="57" t="s">
        <v>101</v>
      </c>
      <c r="M498" s="57">
        <v>4.0670000000000002</v>
      </c>
      <c r="N498" s="57">
        <v>4.0670000000000002</v>
      </c>
      <c r="O498" s="53" t="s">
        <v>101</v>
      </c>
      <c r="P498" s="57" t="s">
        <v>448</v>
      </c>
      <c r="Q498" s="57" t="s">
        <v>485</v>
      </c>
      <c r="R498" s="59" t="s">
        <v>454</v>
      </c>
    </row>
    <row r="499" spans="1:18" x14ac:dyDescent="0.5">
      <c r="A499" s="52" t="str">
        <f>"050897DZ7"</f>
        <v>050897DZ7</v>
      </c>
      <c r="B499" s="53" t="s">
        <v>477</v>
      </c>
      <c r="C499" s="53" t="s">
        <v>776</v>
      </c>
      <c r="D499" s="53" t="s">
        <v>447</v>
      </c>
      <c r="E499" s="53">
        <v>2.25</v>
      </c>
      <c r="F499" s="54">
        <v>47423</v>
      </c>
      <c r="G499" s="54">
        <v>46327</v>
      </c>
      <c r="H499" s="53" t="s">
        <v>624</v>
      </c>
      <c r="I499" s="53" t="s">
        <v>105</v>
      </c>
      <c r="J499" s="53" t="s">
        <v>101</v>
      </c>
      <c r="K499" s="53">
        <v>93.555000000000007</v>
      </c>
      <c r="L499" s="53" t="s">
        <v>101</v>
      </c>
      <c r="M499" s="53">
        <v>3.7570000000000001</v>
      </c>
      <c r="N499" s="53">
        <v>3.7570000000000001</v>
      </c>
      <c r="O499" s="53" t="s">
        <v>101</v>
      </c>
      <c r="P499" s="53" t="s">
        <v>448</v>
      </c>
      <c r="Q499" s="53" t="s">
        <v>457</v>
      </c>
      <c r="R499" s="55" t="s">
        <v>454</v>
      </c>
    </row>
    <row r="500" spans="1:18" x14ac:dyDescent="0.5">
      <c r="A500" s="56" t="str">
        <f>"083763WJ7"</f>
        <v>083763WJ7</v>
      </c>
      <c r="B500" s="57" t="s">
        <v>477</v>
      </c>
      <c r="C500" s="57" t="s">
        <v>777</v>
      </c>
      <c r="D500" s="53" t="s">
        <v>447</v>
      </c>
      <c r="E500" s="57">
        <v>2</v>
      </c>
      <c r="F500" s="58">
        <v>47423</v>
      </c>
      <c r="G500" s="58">
        <v>47058</v>
      </c>
      <c r="H500" s="57" t="s">
        <v>104</v>
      </c>
      <c r="I500" s="57" t="s">
        <v>105</v>
      </c>
      <c r="J500" s="57" t="s">
        <v>101</v>
      </c>
      <c r="K500" s="57">
        <v>92.311999999999998</v>
      </c>
      <c r="L500" s="57" t="s">
        <v>101</v>
      </c>
      <c r="M500" s="57">
        <v>3.8</v>
      </c>
      <c r="N500" s="57">
        <v>3.8</v>
      </c>
      <c r="O500" s="53" t="s">
        <v>101</v>
      </c>
      <c r="P500" s="57" t="s">
        <v>448</v>
      </c>
      <c r="Q500" s="57" t="s">
        <v>453</v>
      </c>
      <c r="R500" s="59" t="s">
        <v>454</v>
      </c>
    </row>
    <row r="501" spans="1:18" x14ac:dyDescent="0.5">
      <c r="A501" s="52" t="str">
        <f>"34073TKQ9"</f>
        <v>34073TKQ9</v>
      </c>
      <c r="B501" s="53" t="s">
        <v>499</v>
      </c>
      <c r="C501" s="53" t="s">
        <v>778</v>
      </c>
      <c r="D501" s="53" t="s">
        <v>447</v>
      </c>
      <c r="E501" s="53">
        <v>3</v>
      </c>
      <c r="F501" s="54">
        <v>47423</v>
      </c>
      <c r="G501" s="54">
        <v>46327</v>
      </c>
      <c r="H501" s="53" t="s">
        <v>105</v>
      </c>
      <c r="I501" s="53" t="s">
        <v>633</v>
      </c>
      <c r="J501" s="53" t="s">
        <v>101</v>
      </c>
      <c r="K501" s="53">
        <v>95.230999999999995</v>
      </c>
      <c r="L501" s="53" t="s">
        <v>101</v>
      </c>
      <c r="M501" s="53">
        <v>4.125</v>
      </c>
      <c r="N501" s="53">
        <v>4.125</v>
      </c>
      <c r="O501" s="53" t="s">
        <v>101</v>
      </c>
      <c r="P501" s="53" t="s">
        <v>448</v>
      </c>
      <c r="Q501" s="53" t="s">
        <v>457</v>
      </c>
      <c r="R501" s="55" t="s">
        <v>450</v>
      </c>
    </row>
    <row r="502" spans="1:18" x14ac:dyDescent="0.5">
      <c r="A502" s="56" t="str">
        <f>"69651ABP8"</f>
        <v>69651ABP8</v>
      </c>
      <c r="B502" s="57" t="s">
        <v>499</v>
      </c>
      <c r="C502" s="57" t="s">
        <v>779</v>
      </c>
      <c r="D502" s="53" t="s">
        <v>447</v>
      </c>
      <c r="E502" s="57">
        <v>5</v>
      </c>
      <c r="F502" s="58">
        <v>47423</v>
      </c>
      <c r="G502" s="58" t="s">
        <v>101</v>
      </c>
      <c r="H502" s="57" t="s">
        <v>105</v>
      </c>
      <c r="I502" s="57" t="s">
        <v>695</v>
      </c>
      <c r="J502" s="57" t="s">
        <v>101</v>
      </c>
      <c r="K502" s="57">
        <v>106.20699999999999</v>
      </c>
      <c r="L502" s="57" t="s">
        <v>101</v>
      </c>
      <c r="M502" s="57">
        <v>3.5539999999999998</v>
      </c>
      <c r="N502" s="57">
        <v>3.5539999999999998</v>
      </c>
      <c r="O502" s="53" t="s">
        <v>101</v>
      </c>
      <c r="P502" s="57" t="s">
        <v>448</v>
      </c>
      <c r="Q502" s="57" t="s">
        <v>780</v>
      </c>
      <c r="R502" s="59" t="s">
        <v>506</v>
      </c>
    </row>
    <row r="503" spans="1:18" x14ac:dyDescent="0.5">
      <c r="A503" s="52" t="str">
        <f>"34682HWF9"</f>
        <v>34682HWF9</v>
      </c>
      <c r="B503" s="53" t="s">
        <v>451</v>
      </c>
      <c r="C503" s="53" t="s">
        <v>781</v>
      </c>
      <c r="D503" s="53" t="s">
        <v>447</v>
      </c>
      <c r="E503" s="53">
        <v>2</v>
      </c>
      <c r="F503" s="54">
        <v>47453</v>
      </c>
      <c r="G503" s="54">
        <v>46722</v>
      </c>
      <c r="H503" s="53" t="s">
        <v>105</v>
      </c>
      <c r="I503" s="53" t="s">
        <v>628</v>
      </c>
      <c r="J503" s="53" t="s">
        <v>101</v>
      </c>
      <c r="K503" s="53">
        <v>91.159000000000006</v>
      </c>
      <c r="L503" s="53" t="s">
        <v>101</v>
      </c>
      <c r="M503" s="53">
        <v>4.05</v>
      </c>
      <c r="N503" s="53">
        <v>4.05</v>
      </c>
      <c r="O503" s="53" t="s">
        <v>101</v>
      </c>
      <c r="P503" s="53" t="s">
        <v>448</v>
      </c>
      <c r="Q503" s="53" t="s">
        <v>782</v>
      </c>
      <c r="R503" s="55" t="s">
        <v>771</v>
      </c>
    </row>
    <row r="504" spans="1:18" x14ac:dyDescent="0.5">
      <c r="A504" s="56" t="str">
        <f>"348073CG0"</f>
        <v>348073CG0</v>
      </c>
      <c r="B504" s="57" t="s">
        <v>499</v>
      </c>
      <c r="C504" s="57" t="s">
        <v>783</v>
      </c>
      <c r="D504" s="53" t="s">
        <v>447</v>
      </c>
      <c r="E504" s="57">
        <v>3.375</v>
      </c>
      <c r="F504" s="58">
        <v>47453</v>
      </c>
      <c r="G504" s="58">
        <v>45733</v>
      </c>
      <c r="H504" s="57" t="s">
        <v>624</v>
      </c>
      <c r="I504" s="57" t="s">
        <v>628</v>
      </c>
      <c r="J504" s="57" t="s">
        <v>101</v>
      </c>
      <c r="K504" s="57">
        <v>98.8</v>
      </c>
      <c r="L504" s="57" t="s">
        <v>101</v>
      </c>
      <c r="M504" s="57">
        <v>3.65</v>
      </c>
      <c r="N504" s="57">
        <v>3.65</v>
      </c>
      <c r="O504" s="53" t="s">
        <v>101</v>
      </c>
      <c r="P504" s="57" t="s">
        <v>448</v>
      </c>
      <c r="Q504" s="57" t="s">
        <v>488</v>
      </c>
      <c r="R504" s="59" t="s">
        <v>771</v>
      </c>
    </row>
    <row r="505" spans="1:18" x14ac:dyDescent="0.5">
      <c r="A505" s="52" t="str">
        <f>"555545ES7"</f>
        <v>555545ES7</v>
      </c>
      <c r="B505" s="53" t="s">
        <v>491</v>
      </c>
      <c r="C505" s="53" t="s">
        <v>784</v>
      </c>
      <c r="D505" s="53" t="s">
        <v>447</v>
      </c>
      <c r="E505" s="53">
        <v>2.4</v>
      </c>
      <c r="F505" s="54">
        <v>47453</v>
      </c>
      <c r="G505" s="54">
        <v>45733</v>
      </c>
      <c r="H505" s="53" t="s">
        <v>105</v>
      </c>
      <c r="I505" s="53" t="s">
        <v>628</v>
      </c>
      <c r="J505" s="53" t="s">
        <v>101</v>
      </c>
      <c r="K505" s="53">
        <v>93.775000000000006</v>
      </c>
      <c r="L505" s="53" t="s">
        <v>101</v>
      </c>
      <c r="M505" s="53">
        <v>3.835</v>
      </c>
      <c r="N505" s="53">
        <v>3.835</v>
      </c>
      <c r="O505" s="53" t="s">
        <v>101</v>
      </c>
      <c r="P505" s="53" t="s">
        <v>448</v>
      </c>
      <c r="Q505" s="53" t="s">
        <v>785</v>
      </c>
      <c r="R505" s="55" t="s">
        <v>630</v>
      </c>
    </row>
    <row r="506" spans="1:18" x14ac:dyDescent="0.5">
      <c r="A506" s="56" t="str">
        <f>"586413FV3"</f>
        <v>586413FV3</v>
      </c>
      <c r="B506" s="57" t="s">
        <v>491</v>
      </c>
      <c r="C506" s="57" t="s">
        <v>786</v>
      </c>
      <c r="D506" s="53" t="s">
        <v>447</v>
      </c>
      <c r="E506" s="57">
        <v>3.375</v>
      </c>
      <c r="F506" s="58">
        <v>47453</v>
      </c>
      <c r="G506" s="58">
        <v>46722</v>
      </c>
      <c r="H506" s="57" t="s">
        <v>105</v>
      </c>
      <c r="I506" s="57" t="s">
        <v>628</v>
      </c>
      <c r="J506" s="57" t="s">
        <v>101</v>
      </c>
      <c r="K506" s="57">
        <v>99.448999999999998</v>
      </c>
      <c r="L506" s="57" t="s">
        <v>101</v>
      </c>
      <c r="M506" s="57">
        <v>3.5</v>
      </c>
      <c r="N506" s="57">
        <v>3.5</v>
      </c>
      <c r="O506" s="53" t="s">
        <v>101</v>
      </c>
      <c r="P506" s="57" t="s">
        <v>448</v>
      </c>
      <c r="Q506" s="57" t="s">
        <v>453</v>
      </c>
      <c r="R506" s="59" t="s">
        <v>630</v>
      </c>
    </row>
    <row r="507" spans="1:18" x14ac:dyDescent="0.5">
      <c r="A507" s="52" t="str">
        <f>"685312LJ7"</f>
        <v>685312LJ7</v>
      </c>
      <c r="B507" s="53" t="s">
        <v>477</v>
      </c>
      <c r="C507" s="53" t="s">
        <v>787</v>
      </c>
      <c r="D507" s="53" t="s">
        <v>447</v>
      </c>
      <c r="E507" s="53">
        <v>2</v>
      </c>
      <c r="F507" s="54">
        <v>47453</v>
      </c>
      <c r="G507" s="54">
        <v>46722</v>
      </c>
      <c r="H507" s="53" t="s">
        <v>105</v>
      </c>
      <c r="I507" s="53" t="s">
        <v>628</v>
      </c>
      <c r="J507" s="53" t="s">
        <v>101</v>
      </c>
      <c r="K507" s="53">
        <v>91.358999999999995</v>
      </c>
      <c r="L507" s="53" t="s">
        <v>101</v>
      </c>
      <c r="M507" s="53">
        <v>4.0010000000000003</v>
      </c>
      <c r="N507" s="53">
        <v>4.0010000000000003</v>
      </c>
      <c r="O507" s="53" t="s">
        <v>101</v>
      </c>
      <c r="P507" s="53" t="s">
        <v>448</v>
      </c>
      <c r="Q507" s="53" t="s">
        <v>485</v>
      </c>
      <c r="R507" s="55" t="s">
        <v>680</v>
      </c>
    </row>
    <row r="508" spans="1:18" x14ac:dyDescent="0.5">
      <c r="A508" s="56" t="str">
        <f>"686340DA5"</f>
        <v>686340DA5</v>
      </c>
      <c r="B508" s="57" t="s">
        <v>491</v>
      </c>
      <c r="C508" s="57" t="s">
        <v>788</v>
      </c>
      <c r="D508" s="53" t="s">
        <v>447</v>
      </c>
      <c r="E508" s="57">
        <v>4</v>
      </c>
      <c r="F508" s="58">
        <v>47453</v>
      </c>
      <c r="G508" s="58">
        <v>46722</v>
      </c>
      <c r="H508" s="57" t="s">
        <v>105</v>
      </c>
      <c r="I508" s="57" t="s">
        <v>628</v>
      </c>
      <c r="J508" s="57" t="s">
        <v>101</v>
      </c>
      <c r="K508" s="57">
        <v>101.18899999999999</v>
      </c>
      <c r="L508" s="57" t="s">
        <v>101</v>
      </c>
      <c r="M508" s="57">
        <v>3.5459999999999998</v>
      </c>
      <c r="N508" s="57">
        <v>3.7250000000000001</v>
      </c>
      <c r="O508" s="53" t="s">
        <v>101</v>
      </c>
      <c r="P508" s="57" t="s">
        <v>448</v>
      </c>
      <c r="Q508" s="57" t="s">
        <v>538</v>
      </c>
      <c r="R508" s="59" t="s">
        <v>771</v>
      </c>
    </row>
    <row r="509" spans="1:18" x14ac:dyDescent="0.5">
      <c r="A509" s="52" t="str">
        <f>"483854JH9"</f>
        <v>483854JH9</v>
      </c>
      <c r="B509" s="53" t="s">
        <v>491</v>
      </c>
      <c r="C509" s="53" t="s">
        <v>789</v>
      </c>
      <c r="D509" s="53" t="s">
        <v>447</v>
      </c>
      <c r="E509" s="53">
        <v>1.5</v>
      </c>
      <c r="F509" s="54">
        <v>47467</v>
      </c>
      <c r="G509" s="54" t="s">
        <v>105</v>
      </c>
      <c r="H509" s="53" t="s">
        <v>104</v>
      </c>
      <c r="I509" s="53" t="s">
        <v>105</v>
      </c>
      <c r="J509" s="53" t="s">
        <v>101</v>
      </c>
      <c r="K509" s="53">
        <v>89.501999999999995</v>
      </c>
      <c r="L509" s="53" t="s">
        <v>101</v>
      </c>
      <c r="M509" s="53">
        <v>3.9079999999999999</v>
      </c>
      <c r="N509" s="53">
        <v>3.9079999999999999</v>
      </c>
      <c r="O509" s="53" t="s">
        <v>101</v>
      </c>
      <c r="P509" s="53" t="s">
        <v>448</v>
      </c>
      <c r="Q509" s="53" t="s">
        <v>790</v>
      </c>
      <c r="R509" s="55" t="s">
        <v>614</v>
      </c>
    </row>
    <row r="510" spans="1:18" x14ac:dyDescent="0.5">
      <c r="A510" s="56" t="str">
        <f>"65956NER3"</f>
        <v>65956NER3</v>
      </c>
      <c r="B510" s="57" t="s">
        <v>451</v>
      </c>
      <c r="C510" s="57" t="s">
        <v>791</v>
      </c>
      <c r="D510" s="53" t="s">
        <v>447</v>
      </c>
      <c r="E510" s="57">
        <v>3</v>
      </c>
      <c r="F510" s="58">
        <v>47467</v>
      </c>
      <c r="G510" s="58">
        <v>45733</v>
      </c>
      <c r="H510" s="57" t="s">
        <v>641</v>
      </c>
      <c r="I510" s="57" t="s">
        <v>616</v>
      </c>
      <c r="J510" s="57" t="s">
        <v>101</v>
      </c>
      <c r="K510" s="57">
        <v>96.929000000000002</v>
      </c>
      <c r="L510" s="57" t="s">
        <v>101</v>
      </c>
      <c r="M510" s="57">
        <v>3.7</v>
      </c>
      <c r="N510" s="57">
        <v>3.7</v>
      </c>
      <c r="O510" s="53" t="s">
        <v>101</v>
      </c>
      <c r="P510" s="57" t="s">
        <v>448</v>
      </c>
      <c r="Q510" s="57" t="s">
        <v>488</v>
      </c>
      <c r="R510" s="59" t="s">
        <v>504</v>
      </c>
    </row>
    <row r="511" spans="1:18" x14ac:dyDescent="0.5">
      <c r="A511" s="52" t="str">
        <f>"051645M48"</f>
        <v>051645M48</v>
      </c>
      <c r="B511" s="53" t="s">
        <v>491</v>
      </c>
      <c r="C511" s="53" t="s">
        <v>792</v>
      </c>
      <c r="D511" s="53" t="s">
        <v>447</v>
      </c>
      <c r="E511" s="53">
        <v>3.25</v>
      </c>
      <c r="F511" s="54">
        <v>47482</v>
      </c>
      <c r="G511" s="54">
        <v>45733</v>
      </c>
      <c r="H511" s="53" t="s">
        <v>105</v>
      </c>
      <c r="I511" s="53" t="s">
        <v>628</v>
      </c>
      <c r="J511" s="53" t="s">
        <v>101</v>
      </c>
      <c r="K511" s="53">
        <v>98.88</v>
      </c>
      <c r="L511" s="53" t="s">
        <v>101</v>
      </c>
      <c r="M511" s="53">
        <v>3.5019999999999998</v>
      </c>
      <c r="N511" s="53">
        <v>3.5019999999999998</v>
      </c>
      <c r="O511" s="53" t="s">
        <v>101</v>
      </c>
      <c r="P511" s="53" t="s">
        <v>448</v>
      </c>
      <c r="Q511" s="53" t="s">
        <v>453</v>
      </c>
      <c r="R511" s="55" t="s">
        <v>482</v>
      </c>
    </row>
    <row r="512" spans="1:18" x14ac:dyDescent="0.5">
      <c r="A512" s="56" t="str">
        <f>"484026MU0"</f>
        <v>484026MU0</v>
      </c>
      <c r="B512" s="57" t="s">
        <v>491</v>
      </c>
      <c r="C512" s="57" t="s">
        <v>793</v>
      </c>
      <c r="D512" s="53" t="s">
        <v>447</v>
      </c>
      <c r="E512" s="57">
        <v>2.75</v>
      </c>
      <c r="F512" s="58">
        <v>47484</v>
      </c>
      <c r="G512" s="58">
        <v>46023</v>
      </c>
      <c r="H512" s="57" t="s">
        <v>105</v>
      </c>
      <c r="I512" s="57" t="s">
        <v>509</v>
      </c>
      <c r="J512" s="57" t="s">
        <v>101</v>
      </c>
      <c r="K512" s="57">
        <v>95.79</v>
      </c>
      <c r="L512" s="57" t="s">
        <v>101</v>
      </c>
      <c r="M512" s="57">
        <v>3.702</v>
      </c>
      <c r="N512" s="57">
        <v>3.702</v>
      </c>
      <c r="O512" s="53" t="s">
        <v>101</v>
      </c>
      <c r="P512" s="57" t="s">
        <v>448</v>
      </c>
      <c r="Q512" s="57" t="s">
        <v>556</v>
      </c>
      <c r="R512" s="59" t="s">
        <v>454</v>
      </c>
    </row>
    <row r="513" spans="1:18" x14ac:dyDescent="0.5">
      <c r="A513" s="52" t="str">
        <f>"88256RAE6"</f>
        <v>88256RAE6</v>
      </c>
      <c r="B513" s="53" t="s">
        <v>451</v>
      </c>
      <c r="C513" s="53" t="s">
        <v>794</v>
      </c>
      <c r="D513" s="53" t="s">
        <v>447</v>
      </c>
      <c r="E513" s="53">
        <v>5</v>
      </c>
      <c r="F513" s="54">
        <v>47484</v>
      </c>
      <c r="G513" s="54" t="s">
        <v>101</v>
      </c>
      <c r="H513" s="53" t="s">
        <v>641</v>
      </c>
      <c r="I513" s="53" t="s">
        <v>105</v>
      </c>
      <c r="J513" s="53" t="s">
        <v>101</v>
      </c>
      <c r="K513" s="53">
        <v>105.771</v>
      </c>
      <c r="L513" s="53" t="s">
        <v>101</v>
      </c>
      <c r="M513" s="53">
        <v>3.6930000000000001</v>
      </c>
      <c r="N513" s="53">
        <v>3.6930000000000001</v>
      </c>
      <c r="O513" s="53" t="s">
        <v>101</v>
      </c>
      <c r="P513" s="53" t="s">
        <v>448</v>
      </c>
      <c r="Q513" s="53" t="s">
        <v>485</v>
      </c>
      <c r="R513" s="55" t="s">
        <v>795</v>
      </c>
    </row>
    <row r="514" spans="1:18" x14ac:dyDescent="0.5">
      <c r="A514" s="56" t="str">
        <f>"908726CL4"</f>
        <v>908726CL4</v>
      </c>
      <c r="B514" s="57" t="s">
        <v>477</v>
      </c>
      <c r="C514" s="57" t="s">
        <v>796</v>
      </c>
      <c r="D514" s="53" t="s">
        <v>447</v>
      </c>
      <c r="E514" s="57">
        <v>2</v>
      </c>
      <c r="F514" s="58">
        <v>47498</v>
      </c>
      <c r="G514" s="58">
        <v>46767</v>
      </c>
      <c r="H514" s="57" t="s">
        <v>105</v>
      </c>
      <c r="I514" s="57" t="s">
        <v>628</v>
      </c>
      <c r="J514" s="57" t="s">
        <v>101</v>
      </c>
      <c r="K514" s="57">
        <v>91.584999999999994</v>
      </c>
      <c r="L514" s="57" t="s">
        <v>101</v>
      </c>
      <c r="M514" s="57">
        <v>3.9</v>
      </c>
      <c r="N514" s="57">
        <v>3.9</v>
      </c>
      <c r="O514" s="53" t="s">
        <v>101</v>
      </c>
      <c r="P514" s="57" t="s">
        <v>448</v>
      </c>
      <c r="Q514" s="57" t="s">
        <v>460</v>
      </c>
      <c r="R514" s="59" t="s">
        <v>454</v>
      </c>
    </row>
    <row r="515" spans="1:18" x14ac:dyDescent="0.5">
      <c r="A515" s="52" t="str">
        <f>"605128TF4"</f>
        <v>605128TF4</v>
      </c>
      <c r="B515" s="53" t="s">
        <v>451</v>
      </c>
      <c r="C515" s="53" t="s">
        <v>797</v>
      </c>
      <c r="D515" s="53" t="s">
        <v>447</v>
      </c>
      <c r="E515" s="53">
        <v>4</v>
      </c>
      <c r="F515" s="54">
        <v>47529</v>
      </c>
      <c r="G515" s="54">
        <v>45703</v>
      </c>
      <c r="H515" s="53" t="s">
        <v>677</v>
      </c>
      <c r="I515" s="53" t="s">
        <v>105</v>
      </c>
      <c r="J515" s="53" t="s">
        <v>101</v>
      </c>
      <c r="K515" s="53">
        <v>99.54</v>
      </c>
      <c r="L515" s="53" t="s">
        <v>101</v>
      </c>
      <c r="M515" s="53">
        <v>4.1029999999999998</v>
      </c>
      <c r="N515" s="53">
        <v>4.1029999999999998</v>
      </c>
      <c r="O515" s="53" t="s">
        <v>101</v>
      </c>
      <c r="P515" s="53" t="s">
        <v>448</v>
      </c>
      <c r="Q515" s="53" t="s">
        <v>453</v>
      </c>
      <c r="R515" s="55" t="s">
        <v>504</v>
      </c>
    </row>
    <row r="516" spans="1:18" x14ac:dyDescent="0.5">
      <c r="A516" s="56" t="str">
        <f>"166042CC3"</f>
        <v>166042CC3</v>
      </c>
      <c r="B516" s="57" t="s">
        <v>477</v>
      </c>
      <c r="C516" s="57" t="s">
        <v>798</v>
      </c>
      <c r="D516" s="53" t="s">
        <v>447</v>
      </c>
      <c r="E516" s="57">
        <v>4</v>
      </c>
      <c r="F516" s="58">
        <v>47543</v>
      </c>
      <c r="G516" s="58">
        <v>45733</v>
      </c>
      <c r="H516" s="57" t="s">
        <v>105</v>
      </c>
      <c r="I516" s="57" t="s">
        <v>509</v>
      </c>
      <c r="J516" s="57" t="s">
        <v>101</v>
      </c>
      <c r="K516" s="57">
        <v>99.986999999999995</v>
      </c>
      <c r="L516" s="57" t="s">
        <v>101</v>
      </c>
      <c r="M516" s="57">
        <v>4.0030000000000001</v>
      </c>
      <c r="N516" s="57">
        <v>4.0030000000000001</v>
      </c>
      <c r="O516" s="53" t="s">
        <v>101</v>
      </c>
      <c r="P516" s="57" t="s">
        <v>448</v>
      </c>
      <c r="Q516" s="57" t="s">
        <v>479</v>
      </c>
      <c r="R516" s="59" t="s">
        <v>454</v>
      </c>
    </row>
    <row r="517" spans="1:18" x14ac:dyDescent="0.5">
      <c r="A517" s="52" t="str">
        <f>"621645MC1"</f>
        <v>621645MC1</v>
      </c>
      <c r="B517" s="53" t="s">
        <v>451</v>
      </c>
      <c r="C517" s="53" t="s">
        <v>799</v>
      </c>
      <c r="D517" s="53" t="s">
        <v>447</v>
      </c>
      <c r="E517" s="53">
        <v>3</v>
      </c>
      <c r="F517" s="54">
        <v>47543</v>
      </c>
      <c r="G517" s="54" t="s">
        <v>105</v>
      </c>
      <c r="H517" s="53" t="s">
        <v>641</v>
      </c>
      <c r="I517" s="53" t="s">
        <v>628</v>
      </c>
      <c r="J517" s="53" t="s">
        <v>101</v>
      </c>
      <c r="K517" s="53">
        <v>97.346999999999994</v>
      </c>
      <c r="L517" s="53" t="s">
        <v>101</v>
      </c>
      <c r="M517" s="53">
        <v>3.58</v>
      </c>
      <c r="N517" s="53">
        <v>3.58</v>
      </c>
      <c r="O517" s="53" t="s">
        <v>101</v>
      </c>
      <c r="P517" s="53" t="s">
        <v>448</v>
      </c>
      <c r="Q517" s="53" t="s">
        <v>457</v>
      </c>
      <c r="R517" s="55" t="s">
        <v>736</v>
      </c>
    </row>
    <row r="518" spans="1:18" x14ac:dyDescent="0.5">
      <c r="A518" s="56" t="str">
        <f>"786259BM2"</f>
        <v>786259BM2</v>
      </c>
      <c r="B518" s="57" t="s">
        <v>477</v>
      </c>
      <c r="C518" s="57" t="s">
        <v>800</v>
      </c>
      <c r="D518" s="53" t="s">
        <v>447</v>
      </c>
      <c r="E518" s="57">
        <v>1.75</v>
      </c>
      <c r="F518" s="58">
        <v>47543</v>
      </c>
      <c r="G518" s="58">
        <v>46447</v>
      </c>
      <c r="H518" s="57" t="s">
        <v>105</v>
      </c>
      <c r="I518" s="57" t="s">
        <v>104</v>
      </c>
      <c r="J518" s="57" t="s">
        <v>101</v>
      </c>
      <c r="K518" s="57">
        <v>91.349000000000004</v>
      </c>
      <c r="L518" s="57" t="s">
        <v>101</v>
      </c>
      <c r="M518" s="57">
        <v>3.6459999999999999</v>
      </c>
      <c r="N518" s="57">
        <v>3.6459999999999999</v>
      </c>
      <c r="O518" s="53" t="s">
        <v>101</v>
      </c>
      <c r="P518" s="57" t="s">
        <v>448</v>
      </c>
      <c r="Q518" s="57" t="s">
        <v>488</v>
      </c>
      <c r="R518" s="59" t="s">
        <v>454</v>
      </c>
    </row>
    <row r="519" spans="1:18" x14ac:dyDescent="0.5">
      <c r="A519" s="52" t="str">
        <f>"804350HR0"</f>
        <v>804350HR0</v>
      </c>
      <c r="B519" s="53" t="s">
        <v>496</v>
      </c>
      <c r="C519" s="53" t="s">
        <v>801</v>
      </c>
      <c r="D519" s="53" t="s">
        <v>447</v>
      </c>
      <c r="E519" s="53">
        <v>3</v>
      </c>
      <c r="F519" s="54">
        <v>47543</v>
      </c>
      <c r="G519" s="54">
        <v>46813</v>
      </c>
      <c r="H519" s="53" t="s">
        <v>105</v>
      </c>
      <c r="I519" s="53" t="s">
        <v>616</v>
      </c>
      <c r="J519" s="53" t="s">
        <v>101</v>
      </c>
      <c r="K519" s="53">
        <v>97.234999999999999</v>
      </c>
      <c r="L519" s="53" t="s">
        <v>101</v>
      </c>
      <c r="M519" s="53">
        <v>3.605</v>
      </c>
      <c r="N519" s="53">
        <v>3.605</v>
      </c>
      <c r="O519" s="53" t="s">
        <v>101</v>
      </c>
      <c r="P519" s="53" t="s">
        <v>448</v>
      </c>
      <c r="Q519" s="53" t="s">
        <v>488</v>
      </c>
      <c r="R519" s="55" t="s">
        <v>454</v>
      </c>
    </row>
    <row r="520" spans="1:18" x14ac:dyDescent="0.5">
      <c r="A520" s="56" t="str">
        <f>"97689QMV5"</f>
        <v>97689QMV5</v>
      </c>
      <c r="B520" s="57" t="s">
        <v>496</v>
      </c>
      <c r="C520" s="57" t="s">
        <v>802</v>
      </c>
      <c r="D520" s="53" t="s">
        <v>447</v>
      </c>
      <c r="E520" s="57">
        <v>2.15</v>
      </c>
      <c r="F520" s="58">
        <v>47543</v>
      </c>
      <c r="G520" s="58">
        <v>47362</v>
      </c>
      <c r="H520" s="57" t="s">
        <v>613</v>
      </c>
      <c r="I520" s="57" t="s">
        <v>509</v>
      </c>
      <c r="J520" s="57" t="s">
        <v>101</v>
      </c>
      <c r="K520" s="57">
        <v>91.98</v>
      </c>
      <c r="L520" s="57" t="s">
        <v>101</v>
      </c>
      <c r="M520" s="57">
        <v>3.92</v>
      </c>
      <c r="N520" s="57">
        <v>3.92</v>
      </c>
      <c r="O520" s="53" t="s">
        <v>101</v>
      </c>
      <c r="P520" s="57" t="s">
        <v>448</v>
      </c>
      <c r="Q520" s="57" t="s">
        <v>803</v>
      </c>
      <c r="R520" s="59" t="s">
        <v>450</v>
      </c>
    </row>
    <row r="521" spans="1:18" x14ac:dyDescent="0.5">
      <c r="A521" s="52" t="str">
        <f>"170018RR8"</f>
        <v>170018RR8</v>
      </c>
      <c r="B521" s="53" t="s">
        <v>496</v>
      </c>
      <c r="C521" s="53" t="s">
        <v>804</v>
      </c>
      <c r="D521" s="53" t="s">
        <v>447</v>
      </c>
      <c r="E521" s="53">
        <v>1</v>
      </c>
      <c r="F521" s="54">
        <v>47574</v>
      </c>
      <c r="G521" s="54">
        <v>46844</v>
      </c>
      <c r="H521" s="53" t="s">
        <v>540</v>
      </c>
      <c r="I521" s="53" t="s">
        <v>105</v>
      </c>
      <c r="J521" s="53" t="s">
        <v>101</v>
      </c>
      <c r="K521" s="53">
        <v>86.308000000000007</v>
      </c>
      <c r="L521" s="53" t="s">
        <v>101</v>
      </c>
      <c r="M521" s="53">
        <v>3.9830000000000001</v>
      </c>
      <c r="N521" s="53">
        <v>3.9830000000000001</v>
      </c>
      <c r="O521" s="53" t="s">
        <v>101</v>
      </c>
      <c r="P521" s="53" t="s">
        <v>448</v>
      </c>
      <c r="Q521" s="53" t="s">
        <v>460</v>
      </c>
      <c r="R521" s="55" t="s">
        <v>454</v>
      </c>
    </row>
    <row r="522" spans="1:18" x14ac:dyDescent="0.5">
      <c r="A522" s="56" t="str">
        <f>"22169PCM5"</f>
        <v>22169PCM5</v>
      </c>
      <c r="B522" s="57" t="s">
        <v>496</v>
      </c>
      <c r="C522" s="57" t="s">
        <v>805</v>
      </c>
      <c r="D522" s="53" t="s">
        <v>447</v>
      </c>
      <c r="E522" s="57">
        <v>3</v>
      </c>
      <c r="F522" s="58">
        <v>47574</v>
      </c>
      <c r="G522" s="58">
        <v>46478</v>
      </c>
      <c r="H522" s="57" t="s">
        <v>105</v>
      </c>
      <c r="I522" s="57" t="s">
        <v>628</v>
      </c>
      <c r="J522" s="57" t="s">
        <v>101</v>
      </c>
      <c r="K522" s="57">
        <v>97.57</v>
      </c>
      <c r="L522" s="57" t="s">
        <v>101</v>
      </c>
      <c r="M522" s="57">
        <v>3.5219999999999998</v>
      </c>
      <c r="N522" s="57">
        <v>3.5219999999999998</v>
      </c>
      <c r="O522" s="53" t="s">
        <v>101</v>
      </c>
      <c r="P522" s="57" t="s">
        <v>448</v>
      </c>
      <c r="Q522" s="57" t="s">
        <v>488</v>
      </c>
      <c r="R522" s="59" t="s">
        <v>454</v>
      </c>
    </row>
    <row r="523" spans="1:18" x14ac:dyDescent="0.5">
      <c r="A523" s="52" t="str">
        <f>"346806RZ7"</f>
        <v>346806RZ7</v>
      </c>
      <c r="B523" s="53" t="s">
        <v>451</v>
      </c>
      <c r="C523" s="53" t="s">
        <v>806</v>
      </c>
      <c r="D523" s="53" t="s">
        <v>447</v>
      </c>
      <c r="E523" s="53">
        <v>3</v>
      </c>
      <c r="F523" s="54">
        <v>47574</v>
      </c>
      <c r="G523" s="54">
        <v>47209</v>
      </c>
      <c r="H523" s="53" t="s">
        <v>105</v>
      </c>
      <c r="I523" s="53" t="s">
        <v>628</v>
      </c>
      <c r="J523" s="53" t="s">
        <v>101</v>
      </c>
      <c r="K523" s="53">
        <v>96.12</v>
      </c>
      <c r="L523" s="53" t="s">
        <v>101</v>
      </c>
      <c r="M523" s="53">
        <v>3.8420000000000001</v>
      </c>
      <c r="N523" s="53">
        <v>3.8420000000000001</v>
      </c>
      <c r="O523" s="53" t="s">
        <v>101</v>
      </c>
      <c r="P523" s="53" t="s">
        <v>448</v>
      </c>
      <c r="Q523" s="53" t="s">
        <v>488</v>
      </c>
      <c r="R523" s="55" t="s">
        <v>630</v>
      </c>
    </row>
    <row r="524" spans="1:18" x14ac:dyDescent="0.5">
      <c r="A524" s="56" t="str">
        <f>"392641U61"</f>
        <v>392641U61</v>
      </c>
      <c r="B524" s="57" t="s">
        <v>496</v>
      </c>
      <c r="C524" s="57" t="s">
        <v>807</v>
      </c>
      <c r="D524" s="53" t="s">
        <v>447</v>
      </c>
      <c r="E524" s="57">
        <v>3</v>
      </c>
      <c r="F524" s="58">
        <v>47574</v>
      </c>
      <c r="G524" s="58">
        <v>45748</v>
      </c>
      <c r="H524" s="57" t="s">
        <v>624</v>
      </c>
      <c r="I524" s="57" t="s">
        <v>105</v>
      </c>
      <c r="J524" s="57" t="s">
        <v>101</v>
      </c>
      <c r="K524" s="57">
        <v>96.85</v>
      </c>
      <c r="L524" s="57" t="s">
        <v>101</v>
      </c>
      <c r="M524" s="57">
        <v>3.68</v>
      </c>
      <c r="N524" s="57">
        <v>3.68</v>
      </c>
      <c r="O524" s="53" t="s">
        <v>101</v>
      </c>
      <c r="P524" s="57" t="s">
        <v>448</v>
      </c>
      <c r="Q524" s="57" t="s">
        <v>457</v>
      </c>
      <c r="R524" s="59" t="s">
        <v>454</v>
      </c>
    </row>
    <row r="525" spans="1:18" x14ac:dyDescent="0.5">
      <c r="A525" s="52" t="str">
        <f>"392641Z58"</f>
        <v>392641Z58</v>
      </c>
      <c r="B525" s="53" t="s">
        <v>496</v>
      </c>
      <c r="C525" s="53" t="s">
        <v>808</v>
      </c>
      <c r="D525" s="53" t="s">
        <v>447</v>
      </c>
      <c r="E525" s="53">
        <v>3</v>
      </c>
      <c r="F525" s="54">
        <v>47574</v>
      </c>
      <c r="G525" s="54">
        <v>46113</v>
      </c>
      <c r="H525" s="53" t="s">
        <v>624</v>
      </c>
      <c r="I525" s="53" t="s">
        <v>105</v>
      </c>
      <c r="J525" s="53" t="s">
        <v>101</v>
      </c>
      <c r="K525" s="53">
        <v>96.177000000000007</v>
      </c>
      <c r="L525" s="53" t="s">
        <v>101</v>
      </c>
      <c r="M525" s="53">
        <v>3.8290000000000002</v>
      </c>
      <c r="N525" s="53">
        <v>3.8290000000000002</v>
      </c>
      <c r="O525" s="53" t="s">
        <v>101</v>
      </c>
      <c r="P525" s="53" t="s">
        <v>448</v>
      </c>
      <c r="Q525" s="53" t="s">
        <v>485</v>
      </c>
      <c r="R525" s="55" t="s">
        <v>454</v>
      </c>
    </row>
    <row r="526" spans="1:18" x14ac:dyDescent="0.5">
      <c r="A526" s="56" t="str">
        <f>"45203MAT8"</f>
        <v>45203MAT8</v>
      </c>
      <c r="B526" s="57" t="s">
        <v>491</v>
      </c>
      <c r="C526" s="57" t="s">
        <v>809</v>
      </c>
      <c r="D526" s="53" t="s">
        <v>447</v>
      </c>
      <c r="E526" s="57">
        <v>1.5</v>
      </c>
      <c r="F526" s="58">
        <v>47574</v>
      </c>
      <c r="G526" s="58" t="s">
        <v>101</v>
      </c>
      <c r="H526" s="57" t="s">
        <v>104</v>
      </c>
      <c r="I526" s="57" t="s">
        <v>105</v>
      </c>
      <c r="J526" s="57" t="s">
        <v>101</v>
      </c>
      <c r="K526" s="57">
        <v>88.668000000000006</v>
      </c>
      <c r="L526" s="57" t="s">
        <v>101</v>
      </c>
      <c r="M526" s="57">
        <v>3.9670000000000001</v>
      </c>
      <c r="N526" s="57">
        <v>3.9670000000000001</v>
      </c>
      <c r="O526" s="53" t="s">
        <v>101</v>
      </c>
      <c r="P526" s="57" t="s">
        <v>448</v>
      </c>
      <c r="Q526" s="57" t="s">
        <v>810</v>
      </c>
      <c r="R526" s="59" t="s">
        <v>450</v>
      </c>
    </row>
    <row r="527" spans="1:18" x14ac:dyDescent="0.5">
      <c r="A527" s="52" t="str">
        <f>"68825RGK0"</f>
        <v>68825RGK0</v>
      </c>
      <c r="B527" s="53" t="s">
        <v>496</v>
      </c>
      <c r="C527" s="53" t="s">
        <v>811</v>
      </c>
      <c r="D527" s="53" t="s">
        <v>447</v>
      </c>
      <c r="E527" s="53">
        <v>2.5</v>
      </c>
      <c r="F527" s="54">
        <v>47604</v>
      </c>
      <c r="G527" s="54">
        <v>45733</v>
      </c>
      <c r="H527" s="53" t="s">
        <v>641</v>
      </c>
      <c r="I527" s="53" t="s">
        <v>105</v>
      </c>
      <c r="J527" s="53" t="s">
        <v>101</v>
      </c>
      <c r="K527" s="53">
        <v>92.959000000000003</v>
      </c>
      <c r="L527" s="53" t="s">
        <v>101</v>
      </c>
      <c r="M527" s="53">
        <v>4.0119999999999996</v>
      </c>
      <c r="N527" s="53">
        <v>4.0119999999999996</v>
      </c>
      <c r="O527" s="53" t="s">
        <v>101</v>
      </c>
      <c r="P527" s="53" t="s">
        <v>448</v>
      </c>
      <c r="Q527" s="53" t="s">
        <v>460</v>
      </c>
      <c r="R527" s="55" t="s">
        <v>504</v>
      </c>
    </row>
    <row r="528" spans="1:18" x14ac:dyDescent="0.5">
      <c r="A528" s="56" t="str">
        <f>"166510BW6"</f>
        <v>166510BW6</v>
      </c>
      <c r="B528" s="57" t="s">
        <v>477</v>
      </c>
      <c r="C528" s="57" t="s">
        <v>812</v>
      </c>
      <c r="D528" s="53" t="s">
        <v>447</v>
      </c>
      <c r="E528" s="57">
        <v>2.5</v>
      </c>
      <c r="F528" s="58">
        <v>47618</v>
      </c>
      <c r="G528" s="58">
        <v>46157</v>
      </c>
      <c r="H528" s="57" t="s">
        <v>105</v>
      </c>
      <c r="I528" s="57" t="s">
        <v>616</v>
      </c>
      <c r="J528" s="57" t="s">
        <v>101</v>
      </c>
      <c r="K528" s="57">
        <v>93.644000000000005</v>
      </c>
      <c r="L528" s="57" t="s">
        <v>101</v>
      </c>
      <c r="M528" s="57">
        <v>3.85</v>
      </c>
      <c r="N528" s="57">
        <v>3.85</v>
      </c>
      <c r="O528" s="53" t="s">
        <v>101</v>
      </c>
      <c r="P528" s="57" t="s">
        <v>448</v>
      </c>
      <c r="Q528" s="57" t="s">
        <v>503</v>
      </c>
      <c r="R528" s="59" t="s">
        <v>454</v>
      </c>
    </row>
    <row r="529" spans="1:18" x14ac:dyDescent="0.5">
      <c r="A529" s="52" t="str">
        <f>"54811GZB9"</f>
        <v>54811GZB9</v>
      </c>
      <c r="B529" s="53" t="s">
        <v>451</v>
      </c>
      <c r="C529" s="53" t="s">
        <v>813</v>
      </c>
      <c r="D529" s="53" t="s">
        <v>447</v>
      </c>
      <c r="E529" s="53">
        <v>3.375</v>
      </c>
      <c r="F529" s="54">
        <v>47618</v>
      </c>
      <c r="G529" s="54">
        <v>45792</v>
      </c>
      <c r="H529" s="53" t="s">
        <v>641</v>
      </c>
      <c r="I529" s="53" t="s">
        <v>628</v>
      </c>
      <c r="J529" s="53" t="s">
        <v>101</v>
      </c>
      <c r="K529" s="53">
        <v>98.72</v>
      </c>
      <c r="L529" s="53" t="s">
        <v>101</v>
      </c>
      <c r="M529" s="53">
        <v>3.645</v>
      </c>
      <c r="N529" s="53">
        <v>3.645</v>
      </c>
      <c r="O529" s="53" t="s">
        <v>101</v>
      </c>
      <c r="P529" s="53" t="s">
        <v>448</v>
      </c>
      <c r="Q529" s="53" t="s">
        <v>488</v>
      </c>
      <c r="R529" s="55" t="s">
        <v>771</v>
      </c>
    </row>
    <row r="530" spans="1:18" x14ac:dyDescent="0.5">
      <c r="A530" s="56" t="str">
        <f>"452152D73"</f>
        <v>452152D73</v>
      </c>
      <c r="B530" s="57" t="s">
        <v>491</v>
      </c>
      <c r="C530" s="57" t="s">
        <v>814</v>
      </c>
      <c r="D530" s="53" t="s">
        <v>447</v>
      </c>
      <c r="E530" s="57">
        <v>3.5</v>
      </c>
      <c r="F530" s="58">
        <v>47635</v>
      </c>
      <c r="G530" s="58">
        <v>46174</v>
      </c>
      <c r="H530" s="57" t="s">
        <v>627</v>
      </c>
      <c r="I530" s="57" t="s">
        <v>713</v>
      </c>
      <c r="J530" s="57" t="s">
        <v>101</v>
      </c>
      <c r="K530" s="57">
        <v>98.76</v>
      </c>
      <c r="L530" s="57" t="s">
        <v>101</v>
      </c>
      <c r="M530" s="57">
        <v>3.76</v>
      </c>
      <c r="N530" s="57">
        <v>3.76</v>
      </c>
      <c r="O530" s="53" t="s">
        <v>101</v>
      </c>
      <c r="P530" s="57" t="s">
        <v>448</v>
      </c>
      <c r="Q530" s="57" t="s">
        <v>457</v>
      </c>
      <c r="R530" s="59" t="s">
        <v>482</v>
      </c>
    </row>
    <row r="531" spans="1:18" x14ac:dyDescent="0.5">
      <c r="A531" s="52" t="str">
        <f>"60242MDZ3"</f>
        <v>60242MDZ3</v>
      </c>
      <c r="B531" s="53" t="s">
        <v>496</v>
      </c>
      <c r="C531" s="53" t="s">
        <v>815</v>
      </c>
      <c r="D531" s="53" t="s">
        <v>447</v>
      </c>
      <c r="E531" s="53">
        <v>3</v>
      </c>
      <c r="F531" s="54">
        <v>47635</v>
      </c>
      <c r="G531" s="54">
        <v>46174</v>
      </c>
      <c r="H531" s="53" t="s">
        <v>105</v>
      </c>
      <c r="I531" s="53" t="s">
        <v>633</v>
      </c>
      <c r="J531" s="53" t="s">
        <v>101</v>
      </c>
      <c r="K531" s="53">
        <v>95.21</v>
      </c>
      <c r="L531" s="53" t="s">
        <v>101</v>
      </c>
      <c r="M531" s="53">
        <v>4.0140000000000002</v>
      </c>
      <c r="N531" s="53">
        <v>4.0140000000000002</v>
      </c>
      <c r="O531" s="53" t="s">
        <v>101</v>
      </c>
      <c r="P531" s="53" t="s">
        <v>448</v>
      </c>
      <c r="Q531" s="53" t="s">
        <v>488</v>
      </c>
      <c r="R531" s="55" t="s">
        <v>589</v>
      </c>
    </row>
    <row r="532" spans="1:18" x14ac:dyDescent="0.5">
      <c r="A532" s="56" t="str">
        <f>"74442PSM8"</f>
        <v>74442PSM8</v>
      </c>
      <c r="B532" s="57" t="s">
        <v>496</v>
      </c>
      <c r="C532" s="57" t="s">
        <v>816</v>
      </c>
      <c r="D532" s="53" t="s">
        <v>447</v>
      </c>
      <c r="E532" s="57">
        <v>5</v>
      </c>
      <c r="F532" s="58">
        <v>47635</v>
      </c>
      <c r="G532" s="58" t="s">
        <v>101</v>
      </c>
      <c r="H532" s="57" t="s">
        <v>677</v>
      </c>
      <c r="I532" s="57" t="s">
        <v>105</v>
      </c>
      <c r="J532" s="57" t="s">
        <v>101</v>
      </c>
      <c r="K532" s="57">
        <v>105.83</v>
      </c>
      <c r="L532" s="57" t="s">
        <v>101</v>
      </c>
      <c r="M532" s="57">
        <v>3.7719999999999998</v>
      </c>
      <c r="N532" s="57">
        <v>3.7719999999999998</v>
      </c>
      <c r="O532" s="53" t="s">
        <v>101</v>
      </c>
      <c r="P532" s="57" t="s">
        <v>448</v>
      </c>
      <c r="Q532" s="57" t="s">
        <v>479</v>
      </c>
      <c r="R532" s="59" t="s">
        <v>506</v>
      </c>
    </row>
    <row r="533" spans="1:18" x14ac:dyDescent="0.5">
      <c r="A533" s="52" t="str">
        <f>"6060207V1"</f>
        <v>6060207V1</v>
      </c>
      <c r="B533" s="53" t="s">
        <v>451</v>
      </c>
      <c r="C533" s="53" t="s">
        <v>817</v>
      </c>
      <c r="D533" s="53" t="s">
        <v>447</v>
      </c>
      <c r="E533" s="53">
        <v>3</v>
      </c>
      <c r="F533" s="54">
        <v>47649</v>
      </c>
      <c r="G533" s="54">
        <v>47284</v>
      </c>
      <c r="H533" s="53" t="s">
        <v>540</v>
      </c>
      <c r="I533" s="53" t="s">
        <v>105</v>
      </c>
      <c r="J533" s="53" t="s">
        <v>101</v>
      </c>
      <c r="K533" s="53">
        <v>97.539000000000001</v>
      </c>
      <c r="L533" s="53" t="s">
        <v>101</v>
      </c>
      <c r="M533" s="53">
        <v>3.51</v>
      </c>
      <c r="N533" s="53">
        <v>3.51</v>
      </c>
      <c r="O533" s="53" t="s">
        <v>101</v>
      </c>
      <c r="P533" s="53" t="s">
        <v>448</v>
      </c>
      <c r="Q533" s="53" t="s">
        <v>457</v>
      </c>
      <c r="R533" s="55" t="s">
        <v>504</v>
      </c>
    </row>
    <row r="534" spans="1:18" x14ac:dyDescent="0.5">
      <c r="A534" s="56" t="str">
        <f>"107431KZ0"</f>
        <v>107431KZ0</v>
      </c>
      <c r="B534" s="57" t="s">
        <v>499</v>
      </c>
      <c r="C534" s="57" t="s">
        <v>818</v>
      </c>
      <c r="D534" s="53" t="s">
        <v>447</v>
      </c>
      <c r="E534" s="57">
        <v>3.125</v>
      </c>
      <c r="F534" s="58">
        <v>47665</v>
      </c>
      <c r="G534" s="58">
        <v>45733</v>
      </c>
      <c r="H534" s="57" t="s">
        <v>624</v>
      </c>
      <c r="I534" s="57" t="s">
        <v>105</v>
      </c>
      <c r="J534" s="57" t="s">
        <v>101</v>
      </c>
      <c r="K534" s="57">
        <v>98.01</v>
      </c>
      <c r="L534" s="57" t="s">
        <v>101</v>
      </c>
      <c r="M534" s="57">
        <v>3.5350000000000001</v>
      </c>
      <c r="N534" s="57">
        <v>3.5350000000000001</v>
      </c>
      <c r="O534" s="53" t="s">
        <v>101</v>
      </c>
      <c r="P534" s="57" t="s">
        <v>448</v>
      </c>
      <c r="Q534" s="57" t="s">
        <v>488</v>
      </c>
      <c r="R534" s="59" t="s">
        <v>504</v>
      </c>
    </row>
    <row r="535" spans="1:18" x14ac:dyDescent="0.5">
      <c r="A535" s="52" t="str">
        <f>"19744RBN0"</f>
        <v>19744RBN0</v>
      </c>
      <c r="B535" s="53" t="s">
        <v>499</v>
      </c>
      <c r="C535" s="53" t="s">
        <v>819</v>
      </c>
      <c r="D535" s="53" t="s">
        <v>447</v>
      </c>
      <c r="E535" s="53">
        <v>3.375</v>
      </c>
      <c r="F535" s="54">
        <v>47665</v>
      </c>
      <c r="G535" s="54">
        <v>45839</v>
      </c>
      <c r="H535" s="53" t="s">
        <v>105</v>
      </c>
      <c r="I535" s="53" t="s">
        <v>628</v>
      </c>
      <c r="J535" s="53" t="s">
        <v>101</v>
      </c>
      <c r="K535" s="53">
        <v>99</v>
      </c>
      <c r="L535" s="53" t="s">
        <v>101</v>
      </c>
      <c r="M535" s="53">
        <v>3.581</v>
      </c>
      <c r="N535" s="53">
        <v>3.581</v>
      </c>
      <c r="O535" s="53" t="s">
        <v>101</v>
      </c>
      <c r="P535" s="53" t="s">
        <v>448</v>
      </c>
      <c r="Q535" s="53" t="s">
        <v>479</v>
      </c>
      <c r="R535" s="55" t="s">
        <v>820</v>
      </c>
    </row>
    <row r="536" spans="1:18" x14ac:dyDescent="0.5">
      <c r="A536" s="56" t="str">
        <f>"341583CX8"</f>
        <v>341583CX8</v>
      </c>
      <c r="B536" s="57" t="s">
        <v>499</v>
      </c>
      <c r="C536" s="57" t="s">
        <v>821</v>
      </c>
      <c r="D536" s="53" t="s">
        <v>447</v>
      </c>
      <c r="E536" s="57">
        <v>3</v>
      </c>
      <c r="F536" s="58">
        <v>47665</v>
      </c>
      <c r="G536" s="58">
        <v>46569</v>
      </c>
      <c r="H536" s="57" t="s">
        <v>613</v>
      </c>
      <c r="I536" s="57" t="s">
        <v>509</v>
      </c>
      <c r="J536" s="57" t="s">
        <v>101</v>
      </c>
      <c r="K536" s="57">
        <v>97.569000000000003</v>
      </c>
      <c r="L536" s="57" t="s">
        <v>101</v>
      </c>
      <c r="M536" s="57">
        <v>3.5</v>
      </c>
      <c r="N536" s="57">
        <v>3.5</v>
      </c>
      <c r="O536" s="53" t="s">
        <v>101</v>
      </c>
      <c r="P536" s="57" t="s">
        <v>448</v>
      </c>
      <c r="Q536" s="57" t="s">
        <v>457</v>
      </c>
      <c r="R536" s="59" t="s">
        <v>504</v>
      </c>
    </row>
    <row r="537" spans="1:18" x14ac:dyDescent="0.5">
      <c r="A537" s="52" t="str">
        <f>"271281YY7"</f>
        <v>271281YY7</v>
      </c>
      <c r="B537" s="53" t="s">
        <v>477</v>
      </c>
      <c r="C537" s="53" t="s">
        <v>822</v>
      </c>
      <c r="D537" s="53" t="s">
        <v>447</v>
      </c>
      <c r="E537" s="53">
        <v>2</v>
      </c>
      <c r="F537" s="54">
        <v>47679</v>
      </c>
      <c r="G537" s="54">
        <v>46583</v>
      </c>
      <c r="H537" s="53" t="s">
        <v>540</v>
      </c>
      <c r="I537" s="53" t="s">
        <v>105</v>
      </c>
      <c r="J537" s="53" t="s">
        <v>101</v>
      </c>
      <c r="K537" s="53">
        <v>90.403000000000006</v>
      </c>
      <c r="L537" s="53" t="s">
        <v>101</v>
      </c>
      <c r="M537" s="53">
        <v>3.99</v>
      </c>
      <c r="N537" s="53">
        <v>3.99</v>
      </c>
      <c r="O537" s="53" t="s">
        <v>101</v>
      </c>
      <c r="P537" s="53" t="s">
        <v>448</v>
      </c>
      <c r="Q537" s="53" t="s">
        <v>453</v>
      </c>
      <c r="R537" s="55" t="s">
        <v>454</v>
      </c>
    </row>
    <row r="538" spans="1:18" x14ac:dyDescent="0.5">
      <c r="A538" s="56" t="str">
        <f>"750667ZS9"</f>
        <v>750667ZS9</v>
      </c>
      <c r="B538" s="57" t="s">
        <v>477</v>
      </c>
      <c r="C538" s="57" t="s">
        <v>823</v>
      </c>
      <c r="D538" s="53" t="s">
        <v>447</v>
      </c>
      <c r="E538" s="57">
        <v>2</v>
      </c>
      <c r="F538" s="58">
        <v>47679</v>
      </c>
      <c r="G538" s="58">
        <v>46583</v>
      </c>
      <c r="H538" s="57" t="s">
        <v>105</v>
      </c>
      <c r="I538" s="57" t="s">
        <v>628</v>
      </c>
      <c r="J538" s="57" t="s">
        <v>101</v>
      </c>
      <c r="K538" s="57">
        <v>90.448999999999998</v>
      </c>
      <c r="L538" s="57" t="s">
        <v>101</v>
      </c>
      <c r="M538" s="57">
        <v>3.98</v>
      </c>
      <c r="N538" s="57">
        <v>3.98</v>
      </c>
      <c r="O538" s="53" t="s">
        <v>101</v>
      </c>
      <c r="P538" s="57" t="s">
        <v>448</v>
      </c>
      <c r="Q538" s="57" t="s">
        <v>790</v>
      </c>
      <c r="R538" s="59" t="s">
        <v>454</v>
      </c>
    </row>
    <row r="539" spans="1:18" x14ac:dyDescent="0.5">
      <c r="A539" s="52" t="str">
        <f>"768457LA9"</f>
        <v>768457LA9</v>
      </c>
      <c r="B539" s="53" t="s">
        <v>477</v>
      </c>
      <c r="C539" s="53" t="s">
        <v>824</v>
      </c>
      <c r="D539" s="53" t="s">
        <v>447</v>
      </c>
      <c r="E539" s="53">
        <v>2</v>
      </c>
      <c r="F539" s="54">
        <v>47679</v>
      </c>
      <c r="G539" s="54">
        <v>46583</v>
      </c>
      <c r="H539" s="53" t="s">
        <v>105</v>
      </c>
      <c r="I539" s="53" t="s">
        <v>628</v>
      </c>
      <c r="J539" s="53" t="s">
        <v>101</v>
      </c>
      <c r="K539" s="53">
        <v>89.903999999999996</v>
      </c>
      <c r="L539" s="53" t="s">
        <v>101</v>
      </c>
      <c r="M539" s="53">
        <v>4.0999999999999996</v>
      </c>
      <c r="N539" s="53">
        <v>4.0999999999999996</v>
      </c>
      <c r="O539" s="53" t="s">
        <v>101</v>
      </c>
      <c r="P539" s="53" t="s">
        <v>448</v>
      </c>
      <c r="Q539" s="53" t="s">
        <v>503</v>
      </c>
      <c r="R539" s="55" t="s">
        <v>454</v>
      </c>
    </row>
    <row r="540" spans="1:18" x14ac:dyDescent="0.5">
      <c r="A540" s="56" t="str">
        <f>"770286HP0"</f>
        <v>770286HP0</v>
      </c>
      <c r="B540" s="57" t="s">
        <v>477</v>
      </c>
      <c r="C540" s="57" t="s">
        <v>825</v>
      </c>
      <c r="D540" s="53" t="s">
        <v>447</v>
      </c>
      <c r="E540" s="57">
        <v>2.25</v>
      </c>
      <c r="F540" s="58">
        <v>47679</v>
      </c>
      <c r="G540" s="58">
        <v>46218</v>
      </c>
      <c r="H540" s="57" t="s">
        <v>105</v>
      </c>
      <c r="I540" s="57" t="s">
        <v>628</v>
      </c>
      <c r="J540" s="57" t="s">
        <v>101</v>
      </c>
      <c r="K540" s="57">
        <v>92.036000000000001</v>
      </c>
      <c r="L540" s="57" t="s">
        <v>101</v>
      </c>
      <c r="M540" s="57">
        <v>3.8969999999999998</v>
      </c>
      <c r="N540" s="57">
        <v>3.8969999999999998</v>
      </c>
      <c r="O540" s="53" t="s">
        <v>101</v>
      </c>
      <c r="P540" s="57" t="s">
        <v>448</v>
      </c>
      <c r="Q540" s="57" t="s">
        <v>464</v>
      </c>
      <c r="R540" s="59" t="s">
        <v>454</v>
      </c>
    </row>
    <row r="541" spans="1:18" x14ac:dyDescent="0.5">
      <c r="A541" s="52" t="str">
        <f>"805805ND6"</f>
        <v>805805ND6</v>
      </c>
      <c r="B541" s="53" t="s">
        <v>477</v>
      </c>
      <c r="C541" s="53" t="s">
        <v>826</v>
      </c>
      <c r="D541" s="53" t="s">
        <v>447</v>
      </c>
      <c r="E541" s="53">
        <v>3</v>
      </c>
      <c r="F541" s="54">
        <v>47679</v>
      </c>
      <c r="G541" s="54">
        <v>45733</v>
      </c>
      <c r="H541" s="53" t="s">
        <v>610</v>
      </c>
      <c r="I541" s="53" t="s">
        <v>105</v>
      </c>
      <c r="J541" s="53" t="s">
        <v>101</v>
      </c>
      <c r="K541" s="53">
        <v>96.738</v>
      </c>
      <c r="L541" s="53" t="s">
        <v>101</v>
      </c>
      <c r="M541" s="53">
        <v>3.67</v>
      </c>
      <c r="N541" s="53">
        <v>3.67</v>
      </c>
      <c r="O541" s="53" t="s">
        <v>101</v>
      </c>
      <c r="P541" s="53" t="s">
        <v>448</v>
      </c>
      <c r="Q541" s="53" t="s">
        <v>457</v>
      </c>
      <c r="R541" s="55" t="s">
        <v>482</v>
      </c>
    </row>
    <row r="542" spans="1:18" x14ac:dyDescent="0.5">
      <c r="A542" s="56" t="str">
        <f>"922799SP7"</f>
        <v>922799SP7</v>
      </c>
      <c r="B542" s="57" t="s">
        <v>477</v>
      </c>
      <c r="C542" s="57" t="s">
        <v>827</v>
      </c>
      <c r="D542" s="53" t="s">
        <v>447</v>
      </c>
      <c r="E542" s="57">
        <v>2</v>
      </c>
      <c r="F542" s="58">
        <v>47679</v>
      </c>
      <c r="G542" s="58" t="s">
        <v>105</v>
      </c>
      <c r="H542" s="57" t="s">
        <v>105</v>
      </c>
      <c r="I542" s="57" t="s">
        <v>628</v>
      </c>
      <c r="J542" s="57" t="s">
        <v>101</v>
      </c>
      <c r="K542" s="57">
        <v>91.125</v>
      </c>
      <c r="L542" s="57" t="s">
        <v>101</v>
      </c>
      <c r="M542" s="57">
        <v>3.8319999999999999</v>
      </c>
      <c r="N542" s="57">
        <v>3.8319999999999999</v>
      </c>
      <c r="O542" s="53" t="s">
        <v>101</v>
      </c>
      <c r="P542" s="57" t="s">
        <v>448</v>
      </c>
      <c r="Q542" s="57" t="s">
        <v>453</v>
      </c>
      <c r="R542" s="59" t="s">
        <v>603</v>
      </c>
    </row>
    <row r="543" spans="1:18" x14ac:dyDescent="0.5">
      <c r="A543" s="52" t="str">
        <f>"117467DU1"</f>
        <v>117467DU1</v>
      </c>
      <c r="B543" s="53" t="s">
        <v>451</v>
      </c>
      <c r="C543" s="53" t="s">
        <v>828</v>
      </c>
      <c r="D543" s="53" t="s">
        <v>447</v>
      </c>
      <c r="E543" s="53">
        <v>3</v>
      </c>
      <c r="F543" s="54">
        <v>47696</v>
      </c>
      <c r="G543" s="54">
        <v>46235</v>
      </c>
      <c r="H543" s="53" t="s">
        <v>105</v>
      </c>
      <c r="I543" s="53" t="s">
        <v>509</v>
      </c>
      <c r="J543" s="53" t="s">
        <v>101</v>
      </c>
      <c r="K543" s="53">
        <v>96.406000000000006</v>
      </c>
      <c r="L543" s="53" t="s">
        <v>101</v>
      </c>
      <c r="M543" s="53">
        <v>3.734</v>
      </c>
      <c r="N543" s="53">
        <v>3.734</v>
      </c>
      <c r="O543" s="53" t="s">
        <v>101</v>
      </c>
      <c r="P543" s="53" t="s">
        <v>448</v>
      </c>
      <c r="Q543" s="53" t="s">
        <v>464</v>
      </c>
      <c r="R543" s="55" t="s">
        <v>589</v>
      </c>
    </row>
    <row r="544" spans="1:18" x14ac:dyDescent="0.5">
      <c r="A544" s="56" t="str">
        <f>"139042UV5"</f>
        <v>139042UV5</v>
      </c>
      <c r="B544" s="57" t="s">
        <v>451</v>
      </c>
      <c r="C544" s="57" t="s">
        <v>829</v>
      </c>
      <c r="D544" s="53" t="s">
        <v>447</v>
      </c>
      <c r="E544" s="57">
        <v>3</v>
      </c>
      <c r="F544" s="58">
        <v>47696</v>
      </c>
      <c r="G544" s="58" t="s">
        <v>105</v>
      </c>
      <c r="H544" s="57" t="s">
        <v>105</v>
      </c>
      <c r="I544" s="57" t="s">
        <v>658</v>
      </c>
      <c r="J544" s="57" t="s">
        <v>101</v>
      </c>
      <c r="K544" s="57">
        <v>97.486000000000004</v>
      </c>
      <c r="L544" s="57" t="s">
        <v>101</v>
      </c>
      <c r="M544" s="57">
        <v>3.51</v>
      </c>
      <c r="N544" s="57">
        <v>3.51</v>
      </c>
      <c r="O544" s="53" t="s">
        <v>101</v>
      </c>
      <c r="P544" s="57" t="s">
        <v>448</v>
      </c>
      <c r="Q544" s="57" t="s">
        <v>485</v>
      </c>
      <c r="R544" s="59" t="s">
        <v>608</v>
      </c>
    </row>
    <row r="545" spans="1:18" x14ac:dyDescent="0.5">
      <c r="A545" s="52" t="str">
        <f>"448492VE5"</f>
        <v>448492VE5</v>
      </c>
      <c r="B545" s="53" t="s">
        <v>451</v>
      </c>
      <c r="C545" s="53" t="s">
        <v>830</v>
      </c>
      <c r="D545" s="53" t="s">
        <v>447</v>
      </c>
      <c r="E545" s="53">
        <v>3</v>
      </c>
      <c r="F545" s="54">
        <v>47696</v>
      </c>
      <c r="G545" s="54">
        <v>45733</v>
      </c>
      <c r="H545" s="53" t="s">
        <v>105</v>
      </c>
      <c r="I545" s="53" t="s">
        <v>104</v>
      </c>
      <c r="J545" s="53" t="s">
        <v>101</v>
      </c>
      <c r="K545" s="53">
        <v>97.376000000000005</v>
      </c>
      <c r="L545" s="53" t="s">
        <v>101</v>
      </c>
      <c r="M545" s="53">
        <v>3.5329999999999999</v>
      </c>
      <c r="N545" s="53">
        <v>3.5329999999999999</v>
      </c>
      <c r="O545" s="53" t="s">
        <v>101</v>
      </c>
      <c r="P545" s="53" t="s">
        <v>448</v>
      </c>
      <c r="Q545" s="53" t="s">
        <v>527</v>
      </c>
      <c r="R545" s="55" t="s">
        <v>454</v>
      </c>
    </row>
    <row r="546" spans="1:18" x14ac:dyDescent="0.5">
      <c r="A546" s="56" t="str">
        <f>"537095SD4"</f>
        <v>537095SD4</v>
      </c>
      <c r="B546" s="57" t="s">
        <v>451</v>
      </c>
      <c r="C546" s="57" t="s">
        <v>831</v>
      </c>
      <c r="D546" s="53" t="s">
        <v>447</v>
      </c>
      <c r="E546" s="57">
        <v>3</v>
      </c>
      <c r="F546" s="58">
        <v>47696</v>
      </c>
      <c r="G546" s="58">
        <v>45870</v>
      </c>
      <c r="H546" s="57" t="s">
        <v>105</v>
      </c>
      <c r="I546" s="57" t="s">
        <v>509</v>
      </c>
      <c r="J546" s="57" t="s">
        <v>101</v>
      </c>
      <c r="K546" s="57">
        <v>95.85</v>
      </c>
      <c r="L546" s="57" t="s">
        <v>101</v>
      </c>
      <c r="M546" s="57">
        <v>3.851</v>
      </c>
      <c r="N546" s="57">
        <v>3.851</v>
      </c>
      <c r="O546" s="53" t="s">
        <v>101</v>
      </c>
      <c r="P546" s="57" t="s">
        <v>448</v>
      </c>
      <c r="Q546" s="57" t="s">
        <v>457</v>
      </c>
      <c r="R546" s="59" t="s">
        <v>504</v>
      </c>
    </row>
    <row r="547" spans="1:18" x14ac:dyDescent="0.5">
      <c r="A547" s="52" t="str">
        <f>"537190CS7"</f>
        <v>537190CS7</v>
      </c>
      <c r="B547" s="53" t="s">
        <v>477</v>
      </c>
      <c r="C547" s="53" t="s">
        <v>832</v>
      </c>
      <c r="D547" s="53" t="s">
        <v>447</v>
      </c>
      <c r="E547" s="53">
        <v>2.5</v>
      </c>
      <c r="F547" s="54">
        <v>47696</v>
      </c>
      <c r="G547" s="54">
        <v>46235</v>
      </c>
      <c r="H547" s="53" t="s">
        <v>105</v>
      </c>
      <c r="I547" s="53" t="s">
        <v>628</v>
      </c>
      <c r="J547" s="53" t="s">
        <v>101</v>
      </c>
      <c r="K547" s="53">
        <v>94.525000000000006</v>
      </c>
      <c r="L547" s="53" t="s">
        <v>101</v>
      </c>
      <c r="M547" s="53">
        <v>3.6150000000000002</v>
      </c>
      <c r="N547" s="53">
        <v>3.6150000000000002</v>
      </c>
      <c r="O547" s="53" t="s">
        <v>101</v>
      </c>
      <c r="P547" s="53" t="s">
        <v>448</v>
      </c>
      <c r="Q547" s="53" t="s">
        <v>527</v>
      </c>
      <c r="R547" s="55" t="s">
        <v>454</v>
      </c>
    </row>
    <row r="548" spans="1:18" x14ac:dyDescent="0.5">
      <c r="A548" s="56" t="str">
        <f>"734122AR5"</f>
        <v>734122AR5</v>
      </c>
      <c r="B548" s="57" t="s">
        <v>451</v>
      </c>
      <c r="C548" s="57" t="s">
        <v>833</v>
      </c>
      <c r="D548" s="53" t="s">
        <v>447</v>
      </c>
      <c r="E548" s="57">
        <v>2.125</v>
      </c>
      <c r="F548" s="58">
        <v>47696</v>
      </c>
      <c r="G548" s="58">
        <v>47331</v>
      </c>
      <c r="H548" s="57" t="s">
        <v>613</v>
      </c>
      <c r="I548" s="57" t="s">
        <v>105</v>
      </c>
      <c r="J548" s="57" t="s">
        <v>101</v>
      </c>
      <c r="K548" s="57">
        <v>90.94</v>
      </c>
      <c r="L548" s="57" t="s">
        <v>101</v>
      </c>
      <c r="M548" s="57">
        <v>3.99</v>
      </c>
      <c r="N548" s="57">
        <v>3.99</v>
      </c>
      <c r="O548" s="53" t="s">
        <v>101</v>
      </c>
      <c r="P548" s="57" t="s">
        <v>448</v>
      </c>
      <c r="Q548" s="57" t="s">
        <v>457</v>
      </c>
      <c r="R548" s="59" t="s">
        <v>454</v>
      </c>
    </row>
    <row r="549" spans="1:18" x14ac:dyDescent="0.5">
      <c r="A549" s="52" t="str">
        <f>"068599HK8"</f>
        <v>068599HK8</v>
      </c>
      <c r="B549" s="53" t="s">
        <v>477</v>
      </c>
      <c r="C549" s="53" t="s">
        <v>834</v>
      </c>
      <c r="D549" s="53" t="s">
        <v>447</v>
      </c>
      <c r="E549" s="53">
        <v>2</v>
      </c>
      <c r="F549" s="54">
        <v>47710</v>
      </c>
      <c r="G549" s="54" t="s">
        <v>105</v>
      </c>
      <c r="H549" s="53" t="s">
        <v>105</v>
      </c>
      <c r="I549" s="53" t="s">
        <v>628</v>
      </c>
      <c r="J549" s="53" t="s">
        <v>101</v>
      </c>
      <c r="K549" s="53">
        <v>91.84</v>
      </c>
      <c r="L549" s="53" t="s">
        <v>101</v>
      </c>
      <c r="M549" s="53">
        <v>3.653</v>
      </c>
      <c r="N549" s="53">
        <v>3.653</v>
      </c>
      <c r="O549" s="53" t="s">
        <v>101</v>
      </c>
      <c r="P549" s="53" t="s">
        <v>448</v>
      </c>
      <c r="Q549" s="53" t="s">
        <v>457</v>
      </c>
      <c r="R549" s="55" t="s">
        <v>621</v>
      </c>
    </row>
    <row r="550" spans="1:18" x14ac:dyDescent="0.5">
      <c r="A550" s="56" t="str">
        <f>"1175658N4"</f>
        <v>1175658N4</v>
      </c>
      <c r="B550" s="57" t="s">
        <v>451</v>
      </c>
      <c r="C550" s="57" t="s">
        <v>835</v>
      </c>
      <c r="D550" s="53" t="s">
        <v>447</v>
      </c>
      <c r="E550" s="57">
        <v>2.25</v>
      </c>
      <c r="F550" s="58">
        <v>47710</v>
      </c>
      <c r="G550" s="58">
        <v>46249</v>
      </c>
      <c r="H550" s="57" t="s">
        <v>105</v>
      </c>
      <c r="I550" s="57" t="s">
        <v>509</v>
      </c>
      <c r="J550" s="57" t="s">
        <v>101</v>
      </c>
      <c r="K550" s="57">
        <v>91.793000000000006</v>
      </c>
      <c r="L550" s="57" t="s">
        <v>101</v>
      </c>
      <c r="M550" s="57">
        <v>3.9260000000000002</v>
      </c>
      <c r="N550" s="57">
        <v>3.9260000000000002</v>
      </c>
      <c r="O550" s="53" t="s">
        <v>101</v>
      </c>
      <c r="P550" s="57" t="s">
        <v>448</v>
      </c>
      <c r="Q550" s="57" t="s">
        <v>503</v>
      </c>
      <c r="R550" s="59" t="s">
        <v>504</v>
      </c>
    </row>
    <row r="551" spans="1:18" x14ac:dyDescent="0.5">
      <c r="A551" s="52" t="str">
        <f>"1175656A4"</f>
        <v>1175656A4</v>
      </c>
      <c r="B551" s="53" t="s">
        <v>451</v>
      </c>
      <c r="C551" s="53" t="s">
        <v>836</v>
      </c>
      <c r="D551" s="53" t="s">
        <v>447</v>
      </c>
      <c r="E551" s="53">
        <v>3.15</v>
      </c>
      <c r="F551" s="54">
        <v>47710</v>
      </c>
      <c r="G551" s="54">
        <v>45733</v>
      </c>
      <c r="H551" s="53" t="s">
        <v>105</v>
      </c>
      <c r="I551" s="53" t="s">
        <v>509</v>
      </c>
      <c r="J551" s="53" t="s">
        <v>101</v>
      </c>
      <c r="K551" s="53">
        <v>97.57</v>
      </c>
      <c r="L551" s="53" t="s">
        <v>101</v>
      </c>
      <c r="M551" s="53">
        <v>3.6419999999999999</v>
      </c>
      <c r="N551" s="53">
        <v>3.6419999999999999</v>
      </c>
      <c r="O551" s="53" t="s">
        <v>101</v>
      </c>
      <c r="P551" s="53" t="s">
        <v>448</v>
      </c>
      <c r="Q551" s="53" t="s">
        <v>457</v>
      </c>
      <c r="R551" s="55" t="s">
        <v>454</v>
      </c>
    </row>
    <row r="552" spans="1:18" x14ac:dyDescent="0.5">
      <c r="A552" s="56" t="str">
        <f>"303171DU3"</f>
        <v>303171DU3</v>
      </c>
      <c r="B552" s="57" t="s">
        <v>477</v>
      </c>
      <c r="C552" s="57" t="s">
        <v>837</v>
      </c>
      <c r="D552" s="53" t="s">
        <v>447</v>
      </c>
      <c r="E552" s="57">
        <v>2.5</v>
      </c>
      <c r="F552" s="58">
        <v>47710</v>
      </c>
      <c r="G552" s="58">
        <v>46249</v>
      </c>
      <c r="H552" s="57" t="s">
        <v>105</v>
      </c>
      <c r="I552" s="57" t="s">
        <v>509</v>
      </c>
      <c r="J552" s="57" t="s">
        <v>101</v>
      </c>
      <c r="K552" s="57">
        <v>93.61</v>
      </c>
      <c r="L552" s="57" t="s">
        <v>101</v>
      </c>
      <c r="M552" s="57">
        <v>3.8</v>
      </c>
      <c r="N552" s="57">
        <v>3.8</v>
      </c>
      <c r="O552" s="53" t="s">
        <v>101</v>
      </c>
      <c r="P552" s="57" t="s">
        <v>448</v>
      </c>
      <c r="Q552" s="57" t="s">
        <v>838</v>
      </c>
      <c r="R552" s="59" t="s">
        <v>454</v>
      </c>
    </row>
    <row r="553" spans="1:18" x14ac:dyDescent="0.5">
      <c r="A553" s="52" t="str">
        <f>"340459CU8"</f>
        <v>340459CU8</v>
      </c>
      <c r="B553" s="53" t="s">
        <v>477</v>
      </c>
      <c r="C553" s="53" t="s">
        <v>839</v>
      </c>
      <c r="D553" s="53" t="s">
        <v>447</v>
      </c>
      <c r="E553" s="53">
        <v>2.25</v>
      </c>
      <c r="F553" s="54">
        <v>47710</v>
      </c>
      <c r="G553" s="54">
        <v>46614</v>
      </c>
      <c r="H553" s="53" t="s">
        <v>613</v>
      </c>
      <c r="I553" s="53" t="s">
        <v>105</v>
      </c>
      <c r="J553" s="53" t="s">
        <v>101</v>
      </c>
      <c r="K553" s="53">
        <v>91.355000000000004</v>
      </c>
      <c r="L553" s="53" t="s">
        <v>101</v>
      </c>
      <c r="M553" s="53">
        <v>4.0199999999999996</v>
      </c>
      <c r="N553" s="53">
        <v>4.0199999999999996</v>
      </c>
      <c r="O553" s="53" t="s">
        <v>101</v>
      </c>
      <c r="P553" s="53" t="s">
        <v>448</v>
      </c>
      <c r="Q553" s="53" t="s">
        <v>457</v>
      </c>
      <c r="R553" s="55" t="s">
        <v>454</v>
      </c>
    </row>
    <row r="554" spans="1:18" x14ac:dyDescent="0.5">
      <c r="A554" s="56" t="str">
        <f>"373064L93"</f>
        <v>373064L93</v>
      </c>
      <c r="B554" s="57" t="s">
        <v>451</v>
      </c>
      <c r="C554" s="57" t="s">
        <v>840</v>
      </c>
      <c r="D554" s="53" t="s">
        <v>447</v>
      </c>
      <c r="E554" s="57">
        <v>3</v>
      </c>
      <c r="F554" s="58">
        <v>47710</v>
      </c>
      <c r="G554" s="58">
        <v>46433</v>
      </c>
      <c r="H554" s="57" t="s">
        <v>105</v>
      </c>
      <c r="I554" s="57" t="s">
        <v>658</v>
      </c>
      <c r="J554" s="57" t="s">
        <v>101</v>
      </c>
      <c r="K554" s="57">
        <v>97.129000000000005</v>
      </c>
      <c r="L554" s="57" t="s">
        <v>101</v>
      </c>
      <c r="M554" s="57">
        <v>3.58</v>
      </c>
      <c r="N554" s="57">
        <v>3.58</v>
      </c>
      <c r="O554" s="53" t="s">
        <v>101</v>
      </c>
      <c r="P554" s="57" t="s">
        <v>448</v>
      </c>
      <c r="Q554" s="57" t="s">
        <v>453</v>
      </c>
      <c r="R554" s="59" t="s">
        <v>504</v>
      </c>
    </row>
    <row r="555" spans="1:18" x14ac:dyDescent="0.5">
      <c r="A555" s="52" t="str">
        <f>"373064ZE7"</f>
        <v>373064ZE7</v>
      </c>
      <c r="B555" s="53" t="s">
        <v>451</v>
      </c>
      <c r="C555" s="53" t="s">
        <v>841</v>
      </c>
      <c r="D555" s="53" t="s">
        <v>447</v>
      </c>
      <c r="E555" s="53">
        <v>3.1</v>
      </c>
      <c r="F555" s="54">
        <v>47710</v>
      </c>
      <c r="G555" s="54">
        <v>45733</v>
      </c>
      <c r="H555" s="53" t="s">
        <v>105</v>
      </c>
      <c r="I555" s="53" t="s">
        <v>658</v>
      </c>
      <c r="J555" s="53" t="s">
        <v>101</v>
      </c>
      <c r="K555" s="53">
        <v>96.623000000000005</v>
      </c>
      <c r="L555" s="53" t="s">
        <v>101</v>
      </c>
      <c r="M555" s="53">
        <v>3.7869999999999999</v>
      </c>
      <c r="N555" s="53">
        <v>3.7869999999999999</v>
      </c>
      <c r="O555" s="53" t="s">
        <v>101</v>
      </c>
      <c r="P555" s="53" t="s">
        <v>448</v>
      </c>
      <c r="Q555" s="53" t="s">
        <v>460</v>
      </c>
      <c r="R555" s="55" t="s">
        <v>504</v>
      </c>
    </row>
    <row r="556" spans="1:18" x14ac:dyDescent="0.5">
      <c r="A556" s="56" t="str">
        <f>"479014BK7"</f>
        <v>479014BK7</v>
      </c>
      <c r="B556" s="57" t="s">
        <v>451</v>
      </c>
      <c r="C556" s="57" t="s">
        <v>842</v>
      </c>
      <c r="D556" s="53" t="s">
        <v>447</v>
      </c>
      <c r="E556" s="57">
        <v>3</v>
      </c>
      <c r="F556" s="58">
        <v>47710</v>
      </c>
      <c r="G556" s="58">
        <v>45733</v>
      </c>
      <c r="H556" s="57" t="s">
        <v>105</v>
      </c>
      <c r="I556" s="57" t="s">
        <v>616</v>
      </c>
      <c r="J556" s="57" t="s">
        <v>101</v>
      </c>
      <c r="K556" s="57">
        <v>96.790999999999997</v>
      </c>
      <c r="L556" s="57" t="s">
        <v>101</v>
      </c>
      <c r="M556" s="57">
        <v>3.65</v>
      </c>
      <c r="N556" s="57">
        <v>3.65</v>
      </c>
      <c r="O556" s="53" t="s">
        <v>101</v>
      </c>
      <c r="P556" s="57" t="s">
        <v>448</v>
      </c>
      <c r="Q556" s="57" t="s">
        <v>843</v>
      </c>
      <c r="R556" s="59" t="s">
        <v>504</v>
      </c>
    </row>
    <row r="557" spans="1:18" x14ac:dyDescent="0.5">
      <c r="A557" s="52" t="str">
        <f>"501552GF4"</f>
        <v>501552GF4</v>
      </c>
      <c r="B557" s="53" t="s">
        <v>451</v>
      </c>
      <c r="C557" s="53" t="s">
        <v>844</v>
      </c>
      <c r="D557" s="53" t="s">
        <v>447</v>
      </c>
      <c r="E557" s="53">
        <v>3.125</v>
      </c>
      <c r="F557" s="54">
        <v>47710</v>
      </c>
      <c r="G557" s="54">
        <v>45733</v>
      </c>
      <c r="H557" s="53" t="s">
        <v>105</v>
      </c>
      <c r="I557" s="53" t="s">
        <v>616</v>
      </c>
      <c r="J557" s="53" t="s">
        <v>101</v>
      </c>
      <c r="K557" s="53">
        <v>98.042000000000002</v>
      </c>
      <c r="L557" s="53" t="s">
        <v>101</v>
      </c>
      <c r="M557" s="53">
        <v>3.52</v>
      </c>
      <c r="N557" s="53">
        <v>3.52</v>
      </c>
      <c r="O557" s="53" t="s">
        <v>101</v>
      </c>
      <c r="P557" s="53" t="s">
        <v>448</v>
      </c>
      <c r="Q557" s="53" t="s">
        <v>479</v>
      </c>
      <c r="R557" s="55" t="s">
        <v>454</v>
      </c>
    </row>
    <row r="558" spans="1:18" x14ac:dyDescent="0.5">
      <c r="A558" s="56" t="str">
        <f>"708305FA0"</f>
        <v>708305FA0</v>
      </c>
      <c r="B558" s="57" t="s">
        <v>477</v>
      </c>
      <c r="C558" s="57" t="s">
        <v>845</v>
      </c>
      <c r="D558" s="53" t="s">
        <v>447</v>
      </c>
      <c r="E558" s="57">
        <v>2</v>
      </c>
      <c r="F558" s="58">
        <v>47710</v>
      </c>
      <c r="G558" s="58">
        <v>46614</v>
      </c>
      <c r="H558" s="57" t="s">
        <v>105</v>
      </c>
      <c r="I558" s="57" t="s">
        <v>509</v>
      </c>
      <c r="J558" s="57" t="s">
        <v>101</v>
      </c>
      <c r="K558" s="57">
        <v>91.972999999999999</v>
      </c>
      <c r="L558" s="57" t="s">
        <v>101</v>
      </c>
      <c r="M558" s="57">
        <v>3.625</v>
      </c>
      <c r="N558" s="57">
        <v>3.625</v>
      </c>
      <c r="O558" s="53" t="s">
        <v>101</v>
      </c>
      <c r="P558" s="57" t="s">
        <v>448</v>
      </c>
      <c r="Q558" s="57" t="s">
        <v>527</v>
      </c>
      <c r="R558" s="59" t="s">
        <v>454</v>
      </c>
    </row>
    <row r="559" spans="1:18" x14ac:dyDescent="0.5">
      <c r="A559" s="52" t="str">
        <f>"838810DT3"</f>
        <v>838810DT3</v>
      </c>
      <c r="B559" s="53" t="s">
        <v>499</v>
      </c>
      <c r="C559" s="53" t="s">
        <v>846</v>
      </c>
      <c r="D559" s="53" t="s">
        <v>447</v>
      </c>
      <c r="E559" s="53">
        <v>3</v>
      </c>
      <c r="F559" s="54">
        <v>47710</v>
      </c>
      <c r="G559" s="54">
        <v>46614</v>
      </c>
      <c r="H559" s="53" t="s">
        <v>641</v>
      </c>
      <c r="I559" s="53" t="s">
        <v>616</v>
      </c>
      <c r="J559" s="53" t="s">
        <v>101</v>
      </c>
      <c r="K559" s="53">
        <v>96.387</v>
      </c>
      <c r="L559" s="53" t="s">
        <v>101</v>
      </c>
      <c r="M559" s="53">
        <v>3.734</v>
      </c>
      <c r="N559" s="53">
        <v>3.734</v>
      </c>
      <c r="O559" s="53" t="s">
        <v>101</v>
      </c>
      <c r="P559" s="53" t="s">
        <v>448</v>
      </c>
      <c r="Q559" s="53" t="s">
        <v>485</v>
      </c>
      <c r="R559" s="55" t="s">
        <v>506</v>
      </c>
    </row>
    <row r="560" spans="1:18" x14ac:dyDescent="0.5">
      <c r="A560" s="56" t="str">
        <f>"839091SS5"</f>
        <v>839091SS5</v>
      </c>
      <c r="B560" s="57" t="s">
        <v>477</v>
      </c>
      <c r="C560" s="57" t="s">
        <v>847</v>
      </c>
      <c r="D560" s="53" t="s">
        <v>447</v>
      </c>
      <c r="E560" s="57">
        <v>2</v>
      </c>
      <c r="F560" s="58">
        <v>47710</v>
      </c>
      <c r="G560" s="58">
        <v>47345</v>
      </c>
      <c r="H560" s="57" t="s">
        <v>610</v>
      </c>
      <c r="I560" s="57" t="s">
        <v>105</v>
      </c>
      <c r="J560" s="57" t="s">
        <v>101</v>
      </c>
      <c r="K560" s="57">
        <v>89.762</v>
      </c>
      <c r="L560" s="57" t="s">
        <v>101</v>
      </c>
      <c r="M560" s="57">
        <v>4.101</v>
      </c>
      <c r="N560" s="57">
        <v>4.101</v>
      </c>
      <c r="O560" s="53" t="s">
        <v>101</v>
      </c>
      <c r="P560" s="57" t="s">
        <v>448</v>
      </c>
      <c r="Q560" s="57" t="s">
        <v>457</v>
      </c>
      <c r="R560" s="59" t="s">
        <v>454</v>
      </c>
    </row>
    <row r="561" spans="1:18" x14ac:dyDescent="0.5">
      <c r="A561" s="52" t="str">
        <f>"509552R49"</f>
        <v>509552R49</v>
      </c>
      <c r="B561" s="53" t="s">
        <v>451</v>
      </c>
      <c r="C561" s="53" t="s">
        <v>848</v>
      </c>
      <c r="D561" s="53" t="s">
        <v>447</v>
      </c>
      <c r="E561" s="53">
        <v>0</v>
      </c>
      <c r="F561" s="54">
        <v>47711</v>
      </c>
      <c r="G561" s="54">
        <v>45885</v>
      </c>
      <c r="H561" s="53" t="s">
        <v>105</v>
      </c>
      <c r="I561" s="53" t="s">
        <v>104</v>
      </c>
      <c r="J561" s="53" t="s">
        <v>101</v>
      </c>
      <c r="K561" s="53">
        <v>81.975999999999999</v>
      </c>
      <c r="L561" s="53" t="s">
        <v>101</v>
      </c>
      <c r="M561" s="53">
        <v>3.65</v>
      </c>
      <c r="N561" s="53">
        <v>3.65</v>
      </c>
      <c r="O561" s="53" t="s">
        <v>101</v>
      </c>
      <c r="P561" s="53" t="s">
        <v>448</v>
      </c>
      <c r="Q561" s="53" t="s">
        <v>790</v>
      </c>
      <c r="R561" s="55" t="s">
        <v>454</v>
      </c>
    </row>
    <row r="562" spans="1:18" x14ac:dyDescent="0.5">
      <c r="A562" s="56" t="str">
        <f>"106057MR0"</f>
        <v>106057MR0</v>
      </c>
      <c r="B562" s="57" t="s">
        <v>451</v>
      </c>
      <c r="C562" s="57" t="s">
        <v>849</v>
      </c>
      <c r="D562" s="53" t="s">
        <v>447</v>
      </c>
      <c r="E562" s="57">
        <v>3</v>
      </c>
      <c r="F562" s="58">
        <v>47727</v>
      </c>
      <c r="G562" s="58">
        <v>45733</v>
      </c>
      <c r="H562" s="57" t="s">
        <v>610</v>
      </c>
      <c r="I562" s="57" t="s">
        <v>628</v>
      </c>
      <c r="J562" s="57" t="s">
        <v>101</v>
      </c>
      <c r="K562" s="57">
        <v>95.555999999999997</v>
      </c>
      <c r="L562" s="57" t="s">
        <v>101</v>
      </c>
      <c r="M562" s="57">
        <v>3.9</v>
      </c>
      <c r="N562" s="57">
        <v>3.9</v>
      </c>
      <c r="O562" s="53" t="s">
        <v>101</v>
      </c>
      <c r="P562" s="57" t="s">
        <v>448</v>
      </c>
      <c r="Q562" s="57" t="s">
        <v>464</v>
      </c>
      <c r="R562" s="59" t="s">
        <v>630</v>
      </c>
    </row>
    <row r="563" spans="1:18" x14ac:dyDescent="0.5">
      <c r="A563" s="52" t="str">
        <f>"346811PJ5"</f>
        <v>346811PJ5</v>
      </c>
      <c r="B563" s="53" t="s">
        <v>451</v>
      </c>
      <c r="C563" s="53" t="s">
        <v>850</v>
      </c>
      <c r="D563" s="53" t="s">
        <v>447</v>
      </c>
      <c r="E563" s="53">
        <v>3</v>
      </c>
      <c r="F563" s="54">
        <v>47727</v>
      </c>
      <c r="G563" s="54">
        <v>45733</v>
      </c>
      <c r="H563" s="53" t="s">
        <v>610</v>
      </c>
      <c r="I563" s="53" t="s">
        <v>628</v>
      </c>
      <c r="J563" s="53" t="s">
        <v>101</v>
      </c>
      <c r="K563" s="53">
        <v>95.57</v>
      </c>
      <c r="L563" s="53" t="s">
        <v>101</v>
      </c>
      <c r="M563" s="53">
        <v>3.8969999999999998</v>
      </c>
      <c r="N563" s="53">
        <v>3.8969999999999998</v>
      </c>
      <c r="O563" s="53" t="s">
        <v>101</v>
      </c>
      <c r="P563" s="53" t="s">
        <v>448</v>
      </c>
      <c r="Q563" s="53" t="s">
        <v>457</v>
      </c>
      <c r="R563" s="55" t="s">
        <v>630</v>
      </c>
    </row>
    <row r="564" spans="1:18" x14ac:dyDescent="0.5">
      <c r="A564" s="56" t="str">
        <f>"34682AVD0"</f>
        <v>34682AVD0</v>
      </c>
      <c r="B564" s="57" t="s">
        <v>451</v>
      </c>
      <c r="C564" s="57" t="s">
        <v>851</v>
      </c>
      <c r="D564" s="53" t="s">
        <v>447</v>
      </c>
      <c r="E564" s="57">
        <v>3</v>
      </c>
      <c r="F564" s="58">
        <v>47727</v>
      </c>
      <c r="G564" s="58">
        <v>45733</v>
      </c>
      <c r="H564" s="57" t="s">
        <v>610</v>
      </c>
      <c r="I564" s="57" t="s">
        <v>628</v>
      </c>
      <c r="J564" s="57" t="s">
        <v>101</v>
      </c>
      <c r="K564" s="57">
        <v>95.52</v>
      </c>
      <c r="L564" s="57" t="s">
        <v>101</v>
      </c>
      <c r="M564" s="57">
        <v>3.9079999999999999</v>
      </c>
      <c r="N564" s="57">
        <v>3.9079999999999999</v>
      </c>
      <c r="O564" s="53" t="s">
        <v>101</v>
      </c>
      <c r="P564" s="57" t="s">
        <v>448</v>
      </c>
      <c r="Q564" s="57" t="s">
        <v>479</v>
      </c>
      <c r="R564" s="59" t="s">
        <v>630</v>
      </c>
    </row>
    <row r="565" spans="1:18" x14ac:dyDescent="0.5">
      <c r="A565" s="52" t="str">
        <f>"34682JQL9"</f>
        <v>34682JQL9</v>
      </c>
      <c r="B565" s="53" t="s">
        <v>451</v>
      </c>
      <c r="C565" s="53" t="s">
        <v>852</v>
      </c>
      <c r="D565" s="53" t="s">
        <v>447</v>
      </c>
      <c r="E565" s="53">
        <v>3.25</v>
      </c>
      <c r="F565" s="54">
        <v>47727</v>
      </c>
      <c r="G565" s="54">
        <v>45733</v>
      </c>
      <c r="H565" s="53" t="s">
        <v>610</v>
      </c>
      <c r="I565" s="53" t="s">
        <v>628</v>
      </c>
      <c r="J565" s="53" t="s">
        <v>101</v>
      </c>
      <c r="K565" s="53">
        <v>97.665999999999997</v>
      </c>
      <c r="L565" s="53" t="s">
        <v>101</v>
      </c>
      <c r="M565" s="53">
        <v>3.72</v>
      </c>
      <c r="N565" s="53">
        <v>3.72</v>
      </c>
      <c r="O565" s="53" t="s">
        <v>101</v>
      </c>
      <c r="P565" s="53" t="s">
        <v>448</v>
      </c>
      <c r="Q565" s="53" t="s">
        <v>453</v>
      </c>
      <c r="R565" s="55" t="s">
        <v>630</v>
      </c>
    </row>
    <row r="566" spans="1:18" x14ac:dyDescent="0.5">
      <c r="A566" s="56" t="str">
        <f>"34683DEP5"</f>
        <v>34683DEP5</v>
      </c>
      <c r="B566" s="57" t="s">
        <v>451</v>
      </c>
      <c r="C566" s="57" t="s">
        <v>853</v>
      </c>
      <c r="D566" s="53" t="s">
        <v>447</v>
      </c>
      <c r="E566" s="57">
        <v>3.5</v>
      </c>
      <c r="F566" s="58">
        <v>47727</v>
      </c>
      <c r="G566" s="58">
        <v>45733</v>
      </c>
      <c r="H566" s="57" t="s">
        <v>670</v>
      </c>
      <c r="I566" s="57" t="s">
        <v>628</v>
      </c>
      <c r="J566" s="57" t="s">
        <v>101</v>
      </c>
      <c r="K566" s="57">
        <v>98.75</v>
      </c>
      <c r="L566" s="57" t="s">
        <v>101</v>
      </c>
      <c r="M566" s="57">
        <v>3.7519999999999998</v>
      </c>
      <c r="N566" s="57">
        <v>3.7519999999999998</v>
      </c>
      <c r="O566" s="53" t="s">
        <v>101</v>
      </c>
      <c r="P566" s="57" t="s">
        <v>448</v>
      </c>
      <c r="Q566" s="57" t="s">
        <v>453</v>
      </c>
      <c r="R566" s="59" t="s">
        <v>630</v>
      </c>
    </row>
    <row r="567" spans="1:18" x14ac:dyDescent="0.5">
      <c r="A567" s="52" t="str">
        <f>"34683GDN4"</f>
        <v>34683GDN4</v>
      </c>
      <c r="B567" s="53" t="s">
        <v>451</v>
      </c>
      <c r="C567" s="53" t="s">
        <v>854</v>
      </c>
      <c r="D567" s="53" t="s">
        <v>447</v>
      </c>
      <c r="E567" s="53">
        <v>3</v>
      </c>
      <c r="F567" s="54">
        <v>47727</v>
      </c>
      <c r="G567" s="54">
        <v>45733</v>
      </c>
      <c r="H567" s="53" t="s">
        <v>641</v>
      </c>
      <c r="I567" s="53" t="s">
        <v>628</v>
      </c>
      <c r="J567" s="53" t="s">
        <v>101</v>
      </c>
      <c r="K567" s="53">
        <v>95.822999999999993</v>
      </c>
      <c r="L567" s="53" t="s">
        <v>101</v>
      </c>
      <c r="M567" s="53">
        <v>3.8450000000000002</v>
      </c>
      <c r="N567" s="53">
        <v>3.8450000000000002</v>
      </c>
      <c r="O567" s="53" t="s">
        <v>101</v>
      </c>
      <c r="P567" s="53" t="s">
        <v>448</v>
      </c>
      <c r="Q567" s="53" t="s">
        <v>479</v>
      </c>
      <c r="R567" s="55" t="s">
        <v>630</v>
      </c>
    </row>
    <row r="568" spans="1:18" x14ac:dyDescent="0.5">
      <c r="A568" s="56" t="str">
        <f>"404792JU8"</f>
        <v>404792JU8</v>
      </c>
      <c r="B568" s="57" t="s">
        <v>477</v>
      </c>
      <c r="C568" s="57" t="s">
        <v>855</v>
      </c>
      <c r="D568" s="53" t="s">
        <v>447</v>
      </c>
      <c r="E568" s="57">
        <v>2.125</v>
      </c>
      <c r="F568" s="58">
        <v>47727</v>
      </c>
      <c r="G568" s="58">
        <v>46266</v>
      </c>
      <c r="H568" s="57" t="s">
        <v>610</v>
      </c>
      <c r="I568" s="57" t="s">
        <v>105</v>
      </c>
      <c r="J568" s="57" t="s">
        <v>101</v>
      </c>
      <c r="K568" s="57">
        <v>90.956000000000003</v>
      </c>
      <c r="L568" s="57" t="s">
        <v>101</v>
      </c>
      <c r="M568" s="57">
        <v>3.96</v>
      </c>
      <c r="N568" s="57">
        <v>3.96</v>
      </c>
      <c r="O568" s="53" t="s">
        <v>101</v>
      </c>
      <c r="P568" s="57" t="s">
        <v>448</v>
      </c>
      <c r="Q568" s="57" t="s">
        <v>453</v>
      </c>
      <c r="R568" s="59" t="s">
        <v>454</v>
      </c>
    </row>
    <row r="569" spans="1:18" x14ac:dyDescent="0.5">
      <c r="A569" s="52" t="str">
        <f>"413897PJ2"</f>
        <v>413897PJ2</v>
      </c>
      <c r="B569" s="53" t="s">
        <v>451</v>
      </c>
      <c r="C569" s="53" t="s">
        <v>856</v>
      </c>
      <c r="D569" s="53" t="s">
        <v>447</v>
      </c>
      <c r="E569" s="53">
        <v>3</v>
      </c>
      <c r="F569" s="54">
        <v>47727</v>
      </c>
      <c r="G569" s="54">
        <v>46631</v>
      </c>
      <c r="H569" s="53" t="s">
        <v>610</v>
      </c>
      <c r="I569" s="53" t="s">
        <v>628</v>
      </c>
      <c r="J569" s="53" t="s">
        <v>101</v>
      </c>
      <c r="K569" s="53">
        <v>96.513000000000005</v>
      </c>
      <c r="L569" s="53" t="s">
        <v>101</v>
      </c>
      <c r="M569" s="53">
        <v>3.702</v>
      </c>
      <c r="N569" s="53">
        <v>3.702</v>
      </c>
      <c r="O569" s="53" t="s">
        <v>101</v>
      </c>
      <c r="P569" s="53" t="s">
        <v>448</v>
      </c>
      <c r="Q569" s="53" t="s">
        <v>457</v>
      </c>
      <c r="R569" s="55" t="s">
        <v>630</v>
      </c>
    </row>
    <row r="570" spans="1:18" x14ac:dyDescent="0.5">
      <c r="A570" s="56" t="str">
        <f>"413954JT6"</f>
        <v>413954JT6</v>
      </c>
      <c r="B570" s="57" t="s">
        <v>451</v>
      </c>
      <c r="C570" s="57" t="s">
        <v>857</v>
      </c>
      <c r="D570" s="53" t="s">
        <v>447</v>
      </c>
      <c r="E570" s="57">
        <v>2</v>
      </c>
      <c r="F570" s="58">
        <v>47727</v>
      </c>
      <c r="G570" s="58">
        <v>45901</v>
      </c>
      <c r="H570" s="57" t="s">
        <v>641</v>
      </c>
      <c r="I570" s="57" t="s">
        <v>628</v>
      </c>
      <c r="J570" s="57" t="s">
        <v>101</v>
      </c>
      <c r="K570" s="57">
        <v>89.691999999999993</v>
      </c>
      <c r="L570" s="57" t="s">
        <v>101</v>
      </c>
      <c r="M570" s="57">
        <v>4.0999999999999996</v>
      </c>
      <c r="N570" s="57">
        <v>4.0999999999999996</v>
      </c>
      <c r="O570" s="53" t="s">
        <v>101</v>
      </c>
      <c r="P570" s="57" t="s">
        <v>448</v>
      </c>
      <c r="Q570" s="57" t="s">
        <v>858</v>
      </c>
      <c r="R570" s="59" t="s">
        <v>630</v>
      </c>
    </row>
    <row r="571" spans="1:18" x14ac:dyDescent="0.5">
      <c r="A571" s="52" t="str">
        <f>"41423LDQ6"</f>
        <v>41423LDQ6</v>
      </c>
      <c r="B571" s="53" t="s">
        <v>451</v>
      </c>
      <c r="C571" s="53" t="s">
        <v>859</v>
      </c>
      <c r="D571" s="53" t="s">
        <v>447</v>
      </c>
      <c r="E571" s="53">
        <v>2.5</v>
      </c>
      <c r="F571" s="54">
        <v>47727</v>
      </c>
      <c r="G571" s="54">
        <v>45901</v>
      </c>
      <c r="H571" s="53" t="s">
        <v>105</v>
      </c>
      <c r="I571" s="53" t="s">
        <v>628</v>
      </c>
      <c r="J571" s="53" t="s">
        <v>101</v>
      </c>
      <c r="K571" s="53">
        <v>91.561999999999998</v>
      </c>
      <c r="L571" s="53" t="s">
        <v>101</v>
      </c>
      <c r="M571" s="53">
        <v>4.2249999999999996</v>
      </c>
      <c r="N571" s="53">
        <v>4.2249999999999996</v>
      </c>
      <c r="O571" s="53" t="s">
        <v>101</v>
      </c>
      <c r="P571" s="53" t="s">
        <v>448</v>
      </c>
      <c r="Q571" s="53" t="s">
        <v>635</v>
      </c>
      <c r="R571" s="55" t="s">
        <v>630</v>
      </c>
    </row>
    <row r="572" spans="1:18" x14ac:dyDescent="0.5">
      <c r="A572" s="56" t="str">
        <f>"41453AKG7"</f>
        <v>41453AKG7</v>
      </c>
      <c r="B572" s="57" t="s">
        <v>451</v>
      </c>
      <c r="C572" s="57" t="s">
        <v>860</v>
      </c>
      <c r="D572" s="53" t="s">
        <v>447</v>
      </c>
      <c r="E572" s="57">
        <v>3</v>
      </c>
      <c r="F572" s="58">
        <v>47727</v>
      </c>
      <c r="G572" s="58">
        <v>45733</v>
      </c>
      <c r="H572" s="57" t="s">
        <v>641</v>
      </c>
      <c r="I572" s="57" t="s">
        <v>628</v>
      </c>
      <c r="J572" s="57" t="s">
        <v>101</v>
      </c>
      <c r="K572" s="57">
        <v>96.21</v>
      </c>
      <c r="L572" s="57" t="s">
        <v>101</v>
      </c>
      <c r="M572" s="57">
        <v>3.7650000000000001</v>
      </c>
      <c r="N572" s="57">
        <v>3.7650000000000001</v>
      </c>
      <c r="O572" s="53" t="s">
        <v>101</v>
      </c>
      <c r="P572" s="57" t="s">
        <v>448</v>
      </c>
      <c r="Q572" s="57" t="s">
        <v>453</v>
      </c>
      <c r="R572" s="59" t="s">
        <v>630</v>
      </c>
    </row>
    <row r="573" spans="1:18" x14ac:dyDescent="0.5">
      <c r="A573" s="52" t="str">
        <f>"592693PB5"</f>
        <v>592693PB5</v>
      </c>
      <c r="B573" s="53" t="s">
        <v>477</v>
      </c>
      <c r="C573" s="53" t="s">
        <v>861</v>
      </c>
      <c r="D573" s="53" t="s">
        <v>447</v>
      </c>
      <c r="E573" s="53">
        <v>1.375</v>
      </c>
      <c r="F573" s="54">
        <v>47727</v>
      </c>
      <c r="G573" s="54" t="s">
        <v>105</v>
      </c>
      <c r="H573" s="53" t="s">
        <v>540</v>
      </c>
      <c r="I573" s="53" t="s">
        <v>105</v>
      </c>
      <c r="J573" s="53" t="s">
        <v>101</v>
      </c>
      <c r="K573" s="53">
        <v>88.873999999999995</v>
      </c>
      <c r="L573" s="53" t="s">
        <v>101</v>
      </c>
      <c r="M573" s="53">
        <v>3.61</v>
      </c>
      <c r="N573" s="53">
        <v>3.61</v>
      </c>
      <c r="O573" s="53" t="s">
        <v>101</v>
      </c>
      <c r="P573" s="53" t="s">
        <v>448</v>
      </c>
      <c r="Q573" s="53" t="s">
        <v>488</v>
      </c>
      <c r="R573" s="55" t="s">
        <v>614</v>
      </c>
    </row>
    <row r="574" spans="1:18" x14ac:dyDescent="0.5">
      <c r="A574" s="56" t="str">
        <f>"624757CA6"</f>
        <v>624757CA6</v>
      </c>
      <c r="B574" s="57" t="s">
        <v>451</v>
      </c>
      <c r="C574" s="57" t="s">
        <v>862</v>
      </c>
      <c r="D574" s="53" t="s">
        <v>447</v>
      </c>
      <c r="E574" s="57">
        <v>3.25</v>
      </c>
      <c r="F574" s="58">
        <v>47727</v>
      </c>
      <c r="G574" s="58">
        <v>45733</v>
      </c>
      <c r="H574" s="57" t="s">
        <v>105</v>
      </c>
      <c r="I574" s="57" t="s">
        <v>509</v>
      </c>
      <c r="J574" s="57" t="s">
        <v>101</v>
      </c>
      <c r="K574" s="57">
        <v>98.26</v>
      </c>
      <c r="L574" s="57" t="s">
        <v>101</v>
      </c>
      <c r="M574" s="57">
        <v>3.5990000000000002</v>
      </c>
      <c r="N574" s="57">
        <v>3.5990000000000002</v>
      </c>
      <c r="O574" s="53" t="s">
        <v>101</v>
      </c>
      <c r="P574" s="57" t="s">
        <v>448</v>
      </c>
      <c r="Q574" s="57" t="s">
        <v>488</v>
      </c>
      <c r="R574" s="59" t="s">
        <v>504</v>
      </c>
    </row>
    <row r="575" spans="1:18" x14ac:dyDescent="0.5">
      <c r="A575" s="52" t="str">
        <f>"704883NE3"</f>
        <v>704883NE3</v>
      </c>
      <c r="B575" s="53" t="s">
        <v>451</v>
      </c>
      <c r="C575" s="53" t="s">
        <v>863</v>
      </c>
      <c r="D575" s="53" t="s">
        <v>447</v>
      </c>
      <c r="E575" s="53">
        <v>3.25</v>
      </c>
      <c r="F575" s="54">
        <v>47727</v>
      </c>
      <c r="G575" s="54">
        <v>45733</v>
      </c>
      <c r="H575" s="53" t="s">
        <v>627</v>
      </c>
      <c r="I575" s="53" t="s">
        <v>105</v>
      </c>
      <c r="J575" s="53" t="s">
        <v>101</v>
      </c>
      <c r="K575" s="53">
        <v>96.701999999999998</v>
      </c>
      <c r="L575" s="53" t="s">
        <v>101</v>
      </c>
      <c r="M575" s="53">
        <v>3.9180000000000001</v>
      </c>
      <c r="N575" s="53">
        <v>3.9180000000000001</v>
      </c>
      <c r="O575" s="53" t="s">
        <v>101</v>
      </c>
      <c r="P575" s="53" t="s">
        <v>448</v>
      </c>
      <c r="Q575" s="53" t="s">
        <v>485</v>
      </c>
      <c r="R575" s="55" t="s">
        <v>504</v>
      </c>
    </row>
    <row r="576" spans="1:18" x14ac:dyDescent="0.5">
      <c r="A576" s="56" t="str">
        <f>"95308DFJ4"</f>
        <v>95308DFJ4</v>
      </c>
      <c r="B576" s="57" t="s">
        <v>451</v>
      </c>
      <c r="C576" s="57" t="s">
        <v>864</v>
      </c>
      <c r="D576" s="53" t="s">
        <v>447</v>
      </c>
      <c r="E576" s="57">
        <v>3</v>
      </c>
      <c r="F576" s="58">
        <v>47727</v>
      </c>
      <c r="G576" s="58">
        <v>45733</v>
      </c>
      <c r="H576" s="57" t="s">
        <v>641</v>
      </c>
      <c r="I576" s="57" t="s">
        <v>628</v>
      </c>
      <c r="J576" s="57" t="s">
        <v>101</v>
      </c>
      <c r="K576" s="57">
        <v>95.39</v>
      </c>
      <c r="L576" s="57" t="s">
        <v>101</v>
      </c>
      <c r="M576" s="57">
        <v>3.9350000000000001</v>
      </c>
      <c r="N576" s="57">
        <v>3.9350000000000001</v>
      </c>
      <c r="O576" s="53" t="s">
        <v>101</v>
      </c>
      <c r="P576" s="57" t="s">
        <v>448</v>
      </c>
      <c r="Q576" s="57" t="s">
        <v>457</v>
      </c>
      <c r="R576" s="59" t="s">
        <v>630</v>
      </c>
    </row>
    <row r="577" spans="1:18" x14ac:dyDescent="0.5">
      <c r="A577" s="52" t="str">
        <f>"463777G55"</f>
        <v>463777G55</v>
      </c>
      <c r="B577" s="53" t="s">
        <v>451</v>
      </c>
      <c r="C577" s="53" t="s">
        <v>865</v>
      </c>
      <c r="D577" s="53" t="s">
        <v>447</v>
      </c>
      <c r="E577" s="53">
        <v>3.125</v>
      </c>
      <c r="F577" s="54">
        <v>47741</v>
      </c>
      <c r="G577" s="54">
        <v>45733</v>
      </c>
      <c r="H577" s="53" t="s">
        <v>104</v>
      </c>
      <c r="I577" s="53" t="s">
        <v>104</v>
      </c>
      <c r="J577" s="53" t="s">
        <v>101</v>
      </c>
      <c r="K577" s="53">
        <v>98.1</v>
      </c>
      <c r="L577" s="53" t="s">
        <v>101</v>
      </c>
      <c r="M577" s="53">
        <v>3.5030000000000001</v>
      </c>
      <c r="N577" s="53">
        <v>3.5030000000000001</v>
      </c>
      <c r="O577" s="53" t="s">
        <v>101</v>
      </c>
      <c r="P577" s="53" t="s">
        <v>448</v>
      </c>
      <c r="Q577" s="53" t="s">
        <v>488</v>
      </c>
      <c r="R577" s="55" t="s">
        <v>454</v>
      </c>
    </row>
    <row r="578" spans="1:18" x14ac:dyDescent="0.5">
      <c r="A578" s="56" t="str">
        <f>"650367ND3"</f>
        <v>650367ND3</v>
      </c>
      <c r="B578" s="57" t="s">
        <v>477</v>
      </c>
      <c r="C578" s="57" t="s">
        <v>866</v>
      </c>
      <c r="D578" s="53" t="s">
        <v>447</v>
      </c>
      <c r="E578" s="57">
        <v>3</v>
      </c>
      <c r="F578" s="58">
        <v>47741</v>
      </c>
      <c r="G578" s="58">
        <v>46280</v>
      </c>
      <c r="H578" s="57" t="s">
        <v>610</v>
      </c>
      <c r="I578" s="57" t="s">
        <v>628</v>
      </c>
      <c r="J578" s="57" t="s">
        <v>101</v>
      </c>
      <c r="K578" s="57">
        <v>96.98</v>
      </c>
      <c r="L578" s="57" t="s">
        <v>101</v>
      </c>
      <c r="M578" s="57">
        <v>3.6019999999999999</v>
      </c>
      <c r="N578" s="57">
        <v>3.6019999999999999</v>
      </c>
      <c r="O578" s="53" t="s">
        <v>101</v>
      </c>
      <c r="P578" s="57" t="s">
        <v>448</v>
      </c>
      <c r="Q578" s="57" t="s">
        <v>453</v>
      </c>
      <c r="R578" s="59" t="s">
        <v>630</v>
      </c>
    </row>
    <row r="579" spans="1:18" x14ac:dyDescent="0.5">
      <c r="A579" s="52" t="str">
        <f>"01071NBJ9"</f>
        <v>01071NBJ9</v>
      </c>
      <c r="B579" s="53" t="s">
        <v>499</v>
      </c>
      <c r="C579" s="53" t="s">
        <v>867</v>
      </c>
      <c r="D579" s="53" t="s">
        <v>447</v>
      </c>
      <c r="E579" s="53">
        <v>3</v>
      </c>
      <c r="F579" s="54">
        <v>47757</v>
      </c>
      <c r="G579" s="54">
        <v>45931</v>
      </c>
      <c r="H579" s="53" t="s">
        <v>613</v>
      </c>
      <c r="I579" s="53" t="s">
        <v>628</v>
      </c>
      <c r="J579" s="53" t="s">
        <v>101</v>
      </c>
      <c r="K579" s="53">
        <v>97.102999999999994</v>
      </c>
      <c r="L579" s="53" t="s">
        <v>101</v>
      </c>
      <c r="M579" s="53">
        <v>3.573</v>
      </c>
      <c r="N579" s="53">
        <v>3.573</v>
      </c>
      <c r="O579" s="53" t="s">
        <v>101</v>
      </c>
      <c r="P579" s="53" t="s">
        <v>448</v>
      </c>
      <c r="Q579" s="53" t="s">
        <v>485</v>
      </c>
      <c r="R579" s="55" t="s">
        <v>771</v>
      </c>
    </row>
    <row r="580" spans="1:18" x14ac:dyDescent="0.5">
      <c r="A580" s="56" t="str">
        <f>"303164CC9"</f>
        <v>303164CC9</v>
      </c>
      <c r="B580" s="57" t="s">
        <v>477</v>
      </c>
      <c r="C580" s="57" t="s">
        <v>868</v>
      </c>
      <c r="D580" s="53" t="s">
        <v>447</v>
      </c>
      <c r="E580" s="57">
        <v>2</v>
      </c>
      <c r="F580" s="58">
        <v>47757</v>
      </c>
      <c r="G580" s="58">
        <v>46296</v>
      </c>
      <c r="H580" s="57" t="s">
        <v>105</v>
      </c>
      <c r="I580" s="57" t="s">
        <v>509</v>
      </c>
      <c r="J580" s="57" t="s">
        <v>101</v>
      </c>
      <c r="K580" s="57">
        <v>91.05</v>
      </c>
      <c r="L580" s="57" t="s">
        <v>101</v>
      </c>
      <c r="M580" s="57">
        <v>3.7829999999999999</v>
      </c>
      <c r="N580" s="57">
        <v>3.7829999999999999</v>
      </c>
      <c r="O580" s="53" t="s">
        <v>101</v>
      </c>
      <c r="P580" s="57" t="s">
        <v>448</v>
      </c>
      <c r="Q580" s="57" t="s">
        <v>479</v>
      </c>
      <c r="R580" s="59" t="s">
        <v>454</v>
      </c>
    </row>
    <row r="581" spans="1:18" x14ac:dyDescent="0.5">
      <c r="A581" s="52" t="str">
        <f>"302644FF1"</f>
        <v>302644FF1</v>
      </c>
      <c r="B581" s="53" t="s">
        <v>499</v>
      </c>
      <c r="C581" s="53" t="s">
        <v>869</v>
      </c>
      <c r="D581" s="53" t="s">
        <v>447</v>
      </c>
      <c r="E581" s="53">
        <v>3.25</v>
      </c>
      <c r="F581" s="54">
        <v>47757</v>
      </c>
      <c r="G581" s="54">
        <v>45733</v>
      </c>
      <c r="H581" s="53" t="s">
        <v>641</v>
      </c>
      <c r="I581" s="53" t="s">
        <v>105</v>
      </c>
      <c r="J581" s="53" t="s">
        <v>101</v>
      </c>
      <c r="K581" s="53">
        <v>97.68</v>
      </c>
      <c r="L581" s="53" t="s">
        <v>101</v>
      </c>
      <c r="M581" s="53">
        <v>3.7109999999999999</v>
      </c>
      <c r="N581" s="53">
        <v>3.7109999999999999</v>
      </c>
      <c r="O581" s="53" t="s">
        <v>101</v>
      </c>
      <c r="P581" s="53" t="s">
        <v>448</v>
      </c>
      <c r="Q581" s="53" t="s">
        <v>457</v>
      </c>
      <c r="R581" s="55" t="s">
        <v>450</v>
      </c>
    </row>
    <row r="582" spans="1:18" x14ac:dyDescent="0.5">
      <c r="A582" s="56" t="str">
        <f>"432596DU5"</f>
        <v>432596DU5</v>
      </c>
      <c r="B582" s="57" t="s">
        <v>491</v>
      </c>
      <c r="C582" s="57" t="s">
        <v>870</v>
      </c>
      <c r="D582" s="53" t="s">
        <v>447</v>
      </c>
      <c r="E582" s="57">
        <v>4</v>
      </c>
      <c r="F582" s="58">
        <v>47757</v>
      </c>
      <c r="G582" s="58">
        <v>46661</v>
      </c>
      <c r="H582" s="57" t="s">
        <v>105</v>
      </c>
      <c r="I582" s="57" t="s">
        <v>628</v>
      </c>
      <c r="J582" s="57" t="s">
        <v>101</v>
      </c>
      <c r="K582" s="57">
        <v>101.2</v>
      </c>
      <c r="L582" s="57" t="s">
        <v>101</v>
      </c>
      <c r="M582" s="57">
        <v>3.5150000000000001</v>
      </c>
      <c r="N582" s="57">
        <v>3.76</v>
      </c>
      <c r="O582" s="53" t="s">
        <v>101</v>
      </c>
      <c r="P582" s="57" t="s">
        <v>448</v>
      </c>
      <c r="Q582" s="57" t="s">
        <v>457</v>
      </c>
      <c r="R582" s="59" t="s">
        <v>771</v>
      </c>
    </row>
    <row r="583" spans="1:18" x14ac:dyDescent="0.5">
      <c r="A583" s="52" t="str">
        <f>"45203MFM8"</f>
        <v>45203MFM8</v>
      </c>
      <c r="B583" s="53" t="s">
        <v>491</v>
      </c>
      <c r="C583" s="53" t="s">
        <v>871</v>
      </c>
      <c r="D583" s="53" t="s">
        <v>447</v>
      </c>
      <c r="E583" s="53">
        <v>3.1</v>
      </c>
      <c r="F583" s="54">
        <v>47757</v>
      </c>
      <c r="G583" s="54" t="s">
        <v>101</v>
      </c>
      <c r="H583" s="53" t="s">
        <v>104</v>
      </c>
      <c r="I583" s="53" t="s">
        <v>105</v>
      </c>
      <c r="J583" s="53" t="s">
        <v>101</v>
      </c>
      <c r="K583" s="53">
        <v>97.731999999999999</v>
      </c>
      <c r="L583" s="53" t="s">
        <v>101</v>
      </c>
      <c r="M583" s="53">
        <v>3.548</v>
      </c>
      <c r="N583" s="53">
        <v>3.548</v>
      </c>
      <c r="O583" s="53" t="s">
        <v>101</v>
      </c>
      <c r="P583" s="53" t="s">
        <v>448</v>
      </c>
      <c r="Q583" s="53" t="s">
        <v>488</v>
      </c>
      <c r="R583" s="55" t="s">
        <v>450</v>
      </c>
    </row>
    <row r="584" spans="1:18" x14ac:dyDescent="0.5">
      <c r="A584" s="56" t="str">
        <f>"523520CE2"</f>
        <v>523520CE2</v>
      </c>
      <c r="B584" s="57" t="s">
        <v>499</v>
      </c>
      <c r="C584" s="57" t="s">
        <v>872</v>
      </c>
      <c r="D584" s="53" t="s">
        <v>447</v>
      </c>
      <c r="E584" s="57">
        <v>3.25</v>
      </c>
      <c r="F584" s="58">
        <v>47757</v>
      </c>
      <c r="G584" s="58">
        <v>45733</v>
      </c>
      <c r="H584" s="57" t="s">
        <v>613</v>
      </c>
      <c r="I584" s="57" t="s">
        <v>105</v>
      </c>
      <c r="J584" s="57" t="s">
        <v>101</v>
      </c>
      <c r="K584" s="57">
        <v>98.41</v>
      </c>
      <c r="L584" s="57" t="s">
        <v>101</v>
      </c>
      <c r="M584" s="57">
        <v>3.5640000000000001</v>
      </c>
      <c r="N584" s="57">
        <v>3.5640000000000001</v>
      </c>
      <c r="O584" s="53" t="s">
        <v>101</v>
      </c>
      <c r="P584" s="57" t="s">
        <v>448</v>
      </c>
      <c r="Q584" s="57" t="s">
        <v>488</v>
      </c>
      <c r="R584" s="59" t="s">
        <v>504</v>
      </c>
    </row>
    <row r="585" spans="1:18" x14ac:dyDescent="0.5">
      <c r="A585" s="52" t="str">
        <f>"688031DR1"</f>
        <v>688031DR1</v>
      </c>
      <c r="B585" s="53" t="s">
        <v>499</v>
      </c>
      <c r="C585" s="53" t="s">
        <v>873</v>
      </c>
      <c r="D585" s="53" t="s">
        <v>447</v>
      </c>
      <c r="E585" s="53">
        <v>5</v>
      </c>
      <c r="F585" s="54">
        <v>47757</v>
      </c>
      <c r="G585" s="54">
        <v>47392</v>
      </c>
      <c r="H585" s="53" t="s">
        <v>105</v>
      </c>
      <c r="I585" s="53" t="s">
        <v>633</v>
      </c>
      <c r="J585" s="53" t="s">
        <v>101</v>
      </c>
      <c r="K585" s="53">
        <v>106.014</v>
      </c>
      <c r="L585" s="53" t="s">
        <v>101</v>
      </c>
      <c r="M585" s="53">
        <v>3.5750000000000002</v>
      </c>
      <c r="N585" s="53">
        <v>3.8</v>
      </c>
      <c r="O585" s="53" t="s">
        <v>101</v>
      </c>
      <c r="P585" s="53" t="s">
        <v>448</v>
      </c>
      <c r="Q585" s="53" t="s">
        <v>874</v>
      </c>
      <c r="R585" s="55" t="s">
        <v>504</v>
      </c>
    </row>
    <row r="586" spans="1:18" x14ac:dyDescent="0.5">
      <c r="A586" s="56" t="str">
        <f>"724292YE1"</f>
        <v>724292YE1</v>
      </c>
      <c r="B586" s="57" t="s">
        <v>477</v>
      </c>
      <c r="C586" s="57" t="s">
        <v>875</v>
      </c>
      <c r="D586" s="53" t="s">
        <v>447</v>
      </c>
      <c r="E586" s="57">
        <v>2</v>
      </c>
      <c r="F586" s="58">
        <v>47757</v>
      </c>
      <c r="G586" s="58">
        <v>47392</v>
      </c>
      <c r="H586" s="57" t="s">
        <v>105</v>
      </c>
      <c r="I586" s="57" t="s">
        <v>509</v>
      </c>
      <c r="J586" s="57" t="s">
        <v>101</v>
      </c>
      <c r="K586" s="57">
        <v>89.567999999999998</v>
      </c>
      <c r="L586" s="57" t="s">
        <v>101</v>
      </c>
      <c r="M586" s="57">
        <v>4.0970000000000004</v>
      </c>
      <c r="N586" s="57">
        <v>4.0970000000000004</v>
      </c>
      <c r="O586" s="53" t="s">
        <v>101</v>
      </c>
      <c r="P586" s="57" t="s">
        <v>448</v>
      </c>
      <c r="Q586" s="57" t="s">
        <v>488</v>
      </c>
      <c r="R586" s="59" t="s">
        <v>454</v>
      </c>
    </row>
    <row r="587" spans="1:18" x14ac:dyDescent="0.5">
      <c r="A587" s="52" t="str">
        <f>"845040KP8"</f>
        <v>845040KP8</v>
      </c>
      <c r="B587" s="53" t="s">
        <v>451</v>
      </c>
      <c r="C587" s="53" t="s">
        <v>876</v>
      </c>
      <c r="D587" s="53" t="s">
        <v>447</v>
      </c>
      <c r="E587" s="53">
        <v>2.5</v>
      </c>
      <c r="F587" s="54">
        <v>47757</v>
      </c>
      <c r="G587" s="54">
        <v>46296</v>
      </c>
      <c r="H587" s="53" t="s">
        <v>624</v>
      </c>
      <c r="I587" s="53" t="s">
        <v>105</v>
      </c>
      <c r="J587" s="53" t="s">
        <v>101</v>
      </c>
      <c r="K587" s="53">
        <v>93.138000000000005</v>
      </c>
      <c r="L587" s="53" t="s">
        <v>101</v>
      </c>
      <c r="M587" s="53">
        <v>3.87</v>
      </c>
      <c r="N587" s="53">
        <v>3.87</v>
      </c>
      <c r="O587" s="53" t="s">
        <v>101</v>
      </c>
      <c r="P587" s="53" t="s">
        <v>448</v>
      </c>
      <c r="Q587" s="53" t="s">
        <v>457</v>
      </c>
      <c r="R587" s="55" t="s">
        <v>504</v>
      </c>
    </row>
    <row r="588" spans="1:18" x14ac:dyDescent="0.5">
      <c r="A588" s="56" t="str">
        <f>"420560JE5"</f>
        <v>420560JE5</v>
      </c>
      <c r="B588" s="57" t="s">
        <v>477</v>
      </c>
      <c r="C588" s="57" t="s">
        <v>877</v>
      </c>
      <c r="D588" s="53" t="s">
        <v>447</v>
      </c>
      <c r="E588" s="57">
        <v>2.15</v>
      </c>
      <c r="F588" s="58">
        <v>47771</v>
      </c>
      <c r="G588" s="58">
        <v>46310</v>
      </c>
      <c r="H588" s="57" t="s">
        <v>613</v>
      </c>
      <c r="I588" s="57" t="s">
        <v>105</v>
      </c>
      <c r="J588" s="57" t="s">
        <v>101</v>
      </c>
      <c r="K588" s="57">
        <v>91.28</v>
      </c>
      <c r="L588" s="57" t="s">
        <v>101</v>
      </c>
      <c r="M588" s="57">
        <v>3.8809999999999998</v>
      </c>
      <c r="N588" s="57">
        <v>3.8809999999999998</v>
      </c>
      <c r="O588" s="53" t="s">
        <v>101</v>
      </c>
      <c r="P588" s="57" t="s">
        <v>448</v>
      </c>
      <c r="Q588" s="57" t="s">
        <v>538</v>
      </c>
      <c r="R588" s="59" t="s">
        <v>454</v>
      </c>
    </row>
    <row r="589" spans="1:18" x14ac:dyDescent="0.5">
      <c r="A589" s="52" t="str">
        <f>"674684SN6"</f>
        <v>674684SN6</v>
      </c>
      <c r="B589" s="53" t="s">
        <v>477</v>
      </c>
      <c r="C589" s="53" t="s">
        <v>878</v>
      </c>
      <c r="D589" s="53" t="s">
        <v>447</v>
      </c>
      <c r="E589" s="53">
        <v>2</v>
      </c>
      <c r="F589" s="54">
        <v>47771</v>
      </c>
      <c r="G589" s="54">
        <v>46675</v>
      </c>
      <c r="H589" s="53" t="s">
        <v>105</v>
      </c>
      <c r="I589" s="53" t="s">
        <v>628</v>
      </c>
      <c r="J589" s="53" t="s">
        <v>101</v>
      </c>
      <c r="K589" s="53">
        <v>89.278000000000006</v>
      </c>
      <c r="L589" s="53" t="s">
        <v>101</v>
      </c>
      <c r="M589" s="53">
        <v>4.1449999999999996</v>
      </c>
      <c r="N589" s="53">
        <v>4.1449999999999996</v>
      </c>
      <c r="O589" s="53" t="s">
        <v>101</v>
      </c>
      <c r="P589" s="53" t="s">
        <v>448</v>
      </c>
      <c r="Q589" s="53" t="s">
        <v>457</v>
      </c>
      <c r="R589" s="55" t="s">
        <v>482</v>
      </c>
    </row>
    <row r="590" spans="1:18" x14ac:dyDescent="0.5">
      <c r="A590" s="56" t="str">
        <f>"702725U91"</f>
        <v>702725U91</v>
      </c>
      <c r="B590" s="57" t="s">
        <v>477</v>
      </c>
      <c r="C590" s="57" t="s">
        <v>879</v>
      </c>
      <c r="D590" s="53" t="s">
        <v>447</v>
      </c>
      <c r="E590" s="57">
        <v>2</v>
      </c>
      <c r="F590" s="58">
        <v>47788</v>
      </c>
      <c r="G590" s="58">
        <v>47423</v>
      </c>
      <c r="H590" s="57" t="s">
        <v>540</v>
      </c>
      <c r="I590" s="57" t="s">
        <v>105</v>
      </c>
      <c r="J590" s="57" t="s">
        <v>101</v>
      </c>
      <c r="K590" s="57">
        <v>89.272000000000006</v>
      </c>
      <c r="L590" s="57" t="s">
        <v>101</v>
      </c>
      <c r="M590" s="57">
        <v>4.13</v>
      </c>
      <c r="N590" s="57">
        <v>4.13</v>
      </c>
      <c r="O590" s="53" t="s">
        <v>101</v>
      </c>
      <c r="P590" s="57" t="s">
        <v>448</v>
      </c>
      <c r="Q590" s="57" t="s">
        <v>488</v>
      </c>
      <c r="R590" s="59" t="s">
        <v>454</v>
      </c>
    </row>
    <row r="591" spans="1:18" x14ac:dyDescent="0.5">
      <c r="A591" s="52" t="str">
        <f>"805788XC5"</f>
        <v>805788XC5</v>
      </c>
      <c r="B591" s="53" t="s">
        <v>477</v>
      </c>
      <c r="C591" s="53" t="s">
        <v>880</v>
      </c>
      <c r="D591" s="53" t="s">
        <v>447</v>
      </c>
      <c r="E591" s="53">
        <v>2</v>
      </c>
      <c r="F591" s="54">
        <v>47788</v>
      </c>
      <c r="G591" s="54">
        <v>47423</v>
      </c>
      <c r="H591" s="53" t="s">
        <v>613</v>
      </c>
      <c r="I591" s="53" t="s">
        <v>105</v>
      </c>
      <c r="J591" s="53" t="s">
        <v>101</v>
      </c>
      <c r="K591" s="53">
        <v>90.180999999999997</v>
      </c>
      <c r="L591" s="53" t="s">
        <v>101</v>
      </c>
      <c r="M591" s="53">
        <v>3.9390000000000001</v>
      </c>
      <c r="N591" s="53">
        <v>3.9390000000000001</v>
      </c>
      <c r="O591" s="53" t="s">
        <v>101</v>
      </c>
      <c r="P591" s="53" t="s">
        <v>448</v>
      </c>
      <c r="Q591" s="53" t="s">
        <v>503</v>
      </c>
      <c r="R591" s="55" t="s">
        <v>454</v>
      </c>
    </row>
    <row r="592" spans="1:18" x14ac:dyDescent="0.5">
      <c r="A592" s="56" t="str">
        <f>"894843FX4"</f>
        <v>894843FX4</v>
      </c>
      <c r="B592" s="57" t="s">
        <v>496</v>
      </c>
      <c r="C592" s="57" t="s">
        <v>881</v>
      </c>
      <c r="D592" s="53" t="s">
        <v>447</v>
      </c>
      <c r="E592" s="57">
        <v>3</v>
      </c>
      <c r="F592" s="58">
        <v>47788</v>
      </c>
      <c r="G592" s="58">
        <v>47423</v>
      </c>
      <c r="H592" s="57" t="s">
        <v>105</v>
      </c>
      <c r="I592" s="57" t="s">
        <v>616</v>
      </c>
      <c r="J592" s="57" t="s">
        <v>101</v>
      </c>
      <c r="K592" s="57">
        <v>97.343999999999994</v>
      </c>
      <c r="L592" s="57" t="s">
        <v>101</v>
      </c>
      <c r="M592" s="57">
        <v>3.5169999999999999</v>
      </c>
      <c r="N592" s="57">
        <v>3.5169999999999999</v>
      </c>
      <c r="O592" s="53" t="s">
        <v>101</v>
      </c>
      <c r="P592" s="57" t="s">
        <v>448</v>
      </c>
      <c r="Q592" s="57" t="s">
        <v>782</v>
      </c>
      <c r="R592" s="59" t="s">
        <v>454</v>
      </c>
    </row>
    <row r="593" spans="1:18" x14ac:dyDescent="0.5">
      <c r="A593" s="52" t="str">
        <f>"414008CD2"</f>
        <v>414008CD2</v>
      </c>
      <c r="B593" s="53" t="s">
        <v>451</v>
      </c>
      <c r="C593" s="53" t="s">
        <v>882</v>
      </c>
      <c r="D593" s="53" t="s">
        <v>447</v>
      </c>
      <c r="E593" s="53">
        <v>4</v>
      </c>
      <c r="F593" s="54">
        <v>47802</v>
      </c>
      <c r="G593" s="54">
        <v>46157</v>
      </c>
      <c r="H593" s="53" t="s">
        <v>105</v>
      </c>
      <c r="I593" s="53" t="s">
        <v>611</v>
      </c>
      <c r="J593" s="53" t="s">
        <v>101</v>
      </c>
      <c r="K593" s="53">
        <v>100.44</v>
      </c>
      <c r="L593" s="53" t="s">
        <v>101</v>
      </c>
      <c r="M593" s="53">
        <v>3.6309999999999998</v>
      </c>
      <c r="N593" s="53">
        <v>3.9129999999999998</v>
      </c>
      <c r="O593" s="53" t="s">
        <v>101</v>
      </c>
      <c r="P593" s="53" t="s">
        <v>448</v>
      </c>
      <c r="Q593" s="53" t="s">
        <v>503</v>
      </c>
      <c r="R593" s="55" t="s">
        <v>506</v>
      </c>
    </row>
    <row r="594" spans="1:18" x14ac:dyDescent="0.5">
      <c r="A594" s="56" t="str">
        <f>"17240FSZ4"</f>
        <v>17240FSZ4</v>
      </c>
      <c r="B594" s="57" t="s">
        <v>451</v>
      </c>
      <c r="C594" s="57" t="s">
        <v>883</v>
      </c>
      <c r="D594" s="53" t="s">
        <v>447</v>
      </c>
      <c r="E594" s="57">
        <v>3</v>
      </c>
      <c r="F594" s="58">
        <v>47818</v>
      </c>
      <c r="G594" s="58">
        <v>45733</v>
      </c>
      <c r="H594" s="57" t="s">
        <v>641</v>
      </c>
      <c r="I594" s="57" t="s">
        <v>628</v>
      </c>
      <c r="J594" s="57" t="s">
        <v>101</v>
      </c>
      <c r="K594" s="57">
        <v>96.638000000000005</v>
      </c>
      <c r="L594" s="57" t="s">
        <v>101</v>
      </c>
      <c r="M594" s="57">
        <v>3.649</v>
      </c>
      <c r="N594" s="57">
        <v>3.649</v>
      </c>
      <c r="O594" s="53" t="s">
        <v>101</v>
      </c>
      <c r="P594" s="57" t="s">
        <v>448</v>
      </c>
      <c r="Q594" s="57" t="s">
        <v>485</v>
      </c>
      <c r="R594" s="59" t="s">
        <v>771</v>
      </c>
    </row>
    <row r="595" spans="1:18" x14ac:dyDescent="0.5">
      <c r="A595" s="52" t="str">
        <f>"213453LS0"</f>
        <v>213453LS0</v>
      </c>
      <c r="B595" s="53" t="s">
        <v>491</v>
      </c>
      <c r="C595" s="53" t="s">
        <v>884</v>
      </c>
      <c r="D595" s="53" t="s">
        <v>447</v>
      </c>
      <c r="E595" s="53">
        <v>3</v>
      </c>
      <c r="F595" s="54">
        <v>47818</v>
      </c>
      <c r="G595" s="54">
        <v>47453</v>
      </c>
      <c r="H595" s="53" t="s">
        <v>104</v>
      </c>
      <c r="I595" s="53" t="s">
        <v>105</v>
      </c>
      <c r="J595" s="53" t="s">
        <v>101</v>
      </c>
      <c r="K595" s="53">
        <v>96.831000000000003</v>
      </c>
      <c r="L595" s="53" t="s">
        <v>101</v>
      </c>
      <c r="M595" s="53">
        <v>3.6110000000000002</v>
      </c>
      <c r="N595" s="53">
        <v>3.6110000000000002</v>
      </c>
      <c r="O595" s="53" t="s">
        <v>101</v>
      </c>
      <c r="P595" s="53" t="s">
        <v>448</v>
      </c>
      <c r="Q595" s="53" t="s">
        <v>485</v>
      </c>
      <c r="R595" s="55" t="s">
        <v>482</v>
      </c>
    </row>
    <row r="596" spans="1:18" x14ac:dyDescent="0.5">
      <c r="A596" s="56" t="str">
        <f>"2992276Q6"</f>
        <v>2992276Q6</v>
      </c>
      <c r="B596" s="57" t="s">
        <v>491</v>
      </c>
      <c r="C596" s="57" t="s">
        <v>885</v>
      </c>
      <c r="D596" s="53" t="s">
        <v>447</v>
      </c>
      <c r="E596" s="57">
        <v>3</v>
      </c>
      <c r="F596" s="58">
        <v>47818</v>
      </c>
      <c r="G596" s="58">
        <v>45733</v>
      </c>
      <c r="H596" s="57" t="s">
        <v>613</v>
      </c>
      <c r="I596" s="57" t="s">
        <v>105</v>
      </c>
      <c r="J596" s="57" t="s">
        <v>101</v>
      </c>
      <c r="K596" s="57">
        <v>96.87</v>
      </c>
      <c r="L596" s="57" t="s">
        <v>101</v>
      </c>
      <c r="M596" s="57">
        <v>3.6040000000000001</v>
      </c>
      <c r="N596" s="57">
        <v>3.6040000000000001</v>
      </c>
      <c r="O596" s="53" t="s">
        <v>101</v>
      </c>
      <c r="P596" s="57" t="s">
        <v>448</v>
      </c>
      <c r="Q596" s="57" t="s">
        <v>571</v>
      </c>
      <c r="R596" s="59" t="s">
        <v>454</v>
      </c>
    </row>
    <row r="597" spans="1:18" x14ac:dyDescent="0.5">
      <c r="A597" s="52" t="str">
        <f>"42934AAC4"</f>
        <v>42934AAC4</v>
      </c>
      <c r="B597" s="53" t="s">
        <v>451</v>
      </c>
      <c r="C597" s="53" t="s">
        <v>886</v>
      </c>
      <c r="D597" s="53" t="s">
        <v>447</v>
      </c>
      <c r="E597" s="53">
        <v>5</v>
      </c>
      <c r="F597" s="54">
        <v>47818</v>
      </c>
      <c r="G597" s="54" t="s">
        <v>105</v>
      </c>
      <c r="H597" s="53" t="s">
        <v>677</v>
      </c>
      <c r="I597" s="53" t="s">
        <v>887</v>
      </c>
      <c r="J597" s="53" t="s">
        <v>101</v>
      </c>
      <c r="K597" s="53">
        <v>106.82</v>
      </c>
      <c r="L597" s="53" t="s">
        <v>101</v>
      </c>
      <c r="M597" s="53">
        <v>3.68</v>
      </c>
      <c r="N597" s="53">
        <v>3.68</v>
      </c>
      <c r="O597" s="53" t="s">
        <v>101</v>
      </c>
      <c r="P597" s="53" t="s">
        <v>448</v>
      </c>
      <c r="Q597" s="53" t="s">
        <v>503</v>
      </c>
      <c r="R597" s="55" t="s">
        <v>608</v>
      </c>
    </row>
    <row r="598" spans="1:18" x14ac:dyDescent="0.5">
      <c r="A598" s="56" t="str">
        <f>"609592KL3"</f>
        <v>609592KL3</v>
      </c>
      <c r="B598" s="57" t="s">
        <v>491</v>
      </c>
      <c r="C598" s="57" t="s">
        <v>888</v>
      </c>
      <c r="D598" s="53" t="s">
        <v>447</v>
      </c>
      <c r="E598" s="57">
        <v>0</v>
      </c>
      <c r="F598" s="58">
        <v>47818</v>
      </c>
      <c r="G598" s="58" t="s">
        <v>105</v>
      </c>
      <c r="H598" s="57" t="s">
        <v>105</v>
      </c>
      <c r="I598" s="57" t="s">
        <v>628</v>
      </c>
      <c r="J598" s="57" t="s">
        <v>101</v>
      </c>
      <c r="K598" s="57">
        <v>79.2</v>
      </c>
      <c r="L598" s="57" t="s">
        <v>101</v>
      </c>
      <c r="M598" s="57">
        <v>4.0709999999999997</v>
      </c>
      <c r="N598" s="57">
        <v>4.0709999999999997</v>
      </c>
      <c r="O598" s="53" t="s">
        <v>101</v>
      </c>
      <c r="P598" s="57" t="s">
        <v>448</v>
      </c>
      <c r="Q598" s="57" t="s">
        <v>517</v>
      </c>
      <c r="R598" s="59" t="s">
        <v>621</v>
      </c>
    </row>
    <row r="599" spans="1:18" x14ac:dyDescent="0.5">
      <c r="A599" s="52" t="str">
        <f>"68825WFH7"</f>
        <v>68825WFH7</v>
      </c>
      <c r="B599" s="53" t="s">
        <v>496</v>
      </c>
      <c r="C599" s="53" t="s">
        <v>889</v>
      </c>
      <c r="D599" s="53" t="s">
        <v>447</v>
      </c>
      <c r="E599" s="53">
        <v>3</v>
      </c>
      <c r="F599" s="54">
        <v>47818</v>
      </c>
      <c r="G599" s="54">
        <v>46357</v>
      </c>
      <c r="H599" s="53" t="s">
        <v>624</v>
      </c>
      <c r="I599" s="53" t="s">
        <v>105</v>
      </c>
      <c r="J599" s="53" t="s">
        <v>101</v>
      </c>
      <c r="K599" s="53">
        <v>96.075000000000003</v>
      </c>
      <c r="L599" s="53" t="s">
        <v>101</v>
      </c>
      <c r="M599" s="53">
        <v>3.76</v>
      </c>
      <c r="N599" s="53">
        <v>3.76</v>
      </c>
      <c r="O599" s="53" t="s">
        <v>101</v>
      </c>
      <c r="P599" s="53" t="s">
        <v>448</v>
      </c>
      <c r="Q599" s="53" t="s">
        <v>488</v>
      </c>
      <c r="R599" s="55" t="s">
        <v>454</v>
      </c>
    </row>
    <row r="600" spans="1:18" x14ac:dyDescent="0.5">
      <c r="A600" s="56" t="str">
        <f>"70643QGB8"</f>
        <v>70643QGB8</v>
      </c>
      <c r="B600" s="57" t="s">
        <v>499</v>
      </c>
      <c r="C600" s="57" t="s">
        <v>890</v>
      </c>
      <c r="D600" s="53" t="s">
        <v>447</v>
      </c>
      <c r="E600" s="57">
        <v>3</v>
      </c>
      <c r="F600" s="58">
        <v>47818</v>
      </c>
      <c r="G600" s="58">
        <v>46539</v>
      </c>
      <c r="H600" s="57" t="s">
        <v>641</v>
      </c>
      <c r="I600" s="57" t="s">
        <v>628</v>
      </c>
      <c r="J600" s="57" t="s">
        <v>101</v>
      </c>
      <c r="K600" s="57">
        <v>97.21</v>
      </c>
      <c r="L600" s="57" t="s">
        <v>101</v>
      </c>
      <c r="M600" s="57">
        <v>3.5369999999999999</v>
      </c>
      <c r="N600" s="57">
        <v>3.5369999999999999</v>
      </c>
      <c r="O600" s="53" t="s">
        <v>101</v>
      </c>
      <c r="P600" s="57" t="s">
        <v>448</v>
      </c>
      <c r="Q600" s="57" t="s">
        <v>488</v>
      </c>
      <c r="R600" s="59" t="s">
        <v>771</v>
      </c>
    </row>
    <row r="601" spans="1:18" x14ac:dyDescent="0.5">
      <c r="A601" s="52" t="str">
        <f>"825230KM6"</f>
        <v>825230KM6</v>
      </c>
      <c r="B601" s="53" t="s">
        <v>496</v>
      </c>
      <c r="C601" s="53" t="s">
        <v>891</v>
      </c>
      <c r="D601" s="53" t="s">
        <v>447</v>
      </c>
      <c r="E601" s="53">
        <v>3</v>
      </c>
      <c r="F601" s="54">
        <v>47818</v>
      </c>
      <c r="G601" s="54">
        <v>45733</v>
      </c>
      <c r="H601" s="53" t="s">
        <v>613</v>
      </c>
      <c r="I601" s="53" t="s">
        <v>105</v>
      </c>
      <c r="J601" s="53" t="s">
        <v>101</v>
      </c>
      <c r="K601" s="53">
        <v>96.953999999999994</v>
      </c>
      <c r="L601" s="53" t="s">
        <v>101</v>
      </c>
      <c r="M601" s="53">
        <v>3.5870000000000002</v>
      </c>
      <c r="N601" s="53">
        <v>3.5870000000000002</v>
      </c>
      <c r="O601" s="53" t="s">
        <v>101</v>
      </c>
      <c r="P601" s="53" t="s">
        <v>448</v>
      </c>
      <c r="Q601" s="53" t="s">
        <v>464</v>
      </c>
      <c r="R601" s="55" t="s">
        <v>454</v>
      </c>
    </row>
    <row r="602" spans="1:18" x14ac:dyDescent="0.5">
      <c r="A602" s="56" t="str">
        <f>"830728TW1"</f>
        <v>830728TW1</v>
      </c>
      <c r="B602" s="57" t="s">
        <v>491</v>
      </c>
      <c r="C602" s="57" t="s">
        <v>892</v>
      </c>
      <c r="D602" s="53" t="s">
        <v>447</v>
      </c>
      <c r="E602" s="57">
        <v>3</v>
      </c>
      <c r="F602" s="58">
        <v>47818</v>
      </c>
      <c r="G602" s="58">
        <v>47088</v>
      </c>
      <c r="H602" s="57" t="s">
        <v>613</v>
      </c>
      <c r="I602" s="57" t="s">
        <v>105</v>
      </c>
      <c r="J602" s="57" t="s">
        <v>101</v>
      </c>
      <c r="K602" s="57">
        <v>97.34</v>
      </c>
      <c r="L602" s="57" t="s">
        <v>101</v>
      </c>
      <c r="M602" s="57">
        <v>3.5110000000000001</v>
      </c>
      <c r="N602" s="57">
        <v>3.5110000000000001</v>
      </c>
      <c r="O602" s="53" t="s">
        <v>101</v>
      </c>
      <c r="P602" s="57" t="s">
        <v>448</v>
      </c>
      <c r="Q602" s="57" t="s">
        <v>503</v>
      </c>
      <c r="R602" s="59" t="s">
        <v>454</v>
      </c>
    </row>
    <row r="603" spans="1:18" x14ac:dyDescent="0.5">
      <c r="A603" s="52" t="str">
        <f>"968750EP0"</f>
        <v>968750EP0</v>
      </c>
      <c r="B603" s="53" t="s">
        <v>491</v>
      </c>
      <c r="C603" s="53" t="s">
        <v>893</v>
      </c>
      <c r="D603" s="53" t="s">
        <v>447</v>
      </c>
      <c r="E603" s="53">
        <v>3</v>
      </c>
      <c r="F603" s="54">
        <v>47818</v>
      </c>
      <c r="G603" s="54">
        <v>46357</v>
      </c>
      <c r="H603" s="53" t="s">
        <v>641</v>
      </c>
      <c r="I603" s="53" t="s">
        <v>628</v>
      </c>
      <c r="J603" s="53" t="s">
        <v>101</v>
      </c>
      <c r="K603" s="53">
        <v>97.04</v>
      </c>
      <c r="L603" s="53" t="s">
        <v>101</v>
      </c>
      <c r="M603" s="53">
        <v>3.57</v>
      </c>
      <c r="N603" s="53">
        <v>3.57</v>
      </c>
      <c r="O603" s="53" t="s">
        <v>101</v>
      </c>
      <c r="P603" s="53" t="s">
        <v>448</v>
      </c>
      <c r="Q603" s="53" t="s">
        <v>503</v>
      </c>
      <c r="R603" s="55" t="s">
        <v>771</v>
      </c>
    </row>
    <row r="604" spans="1:18" x14ac:dyDescent="0.5">
      <c r="A604" s="56" t="str">
        <f>"215309JV8"</f>
        <v>215309JV8</v>
      </c>
      <c r="B604" s="57" t="s">
        <v>491</v>
      </c>
      <c r="C604" s="57" t="s">
        <v>894</v>
      </c>
      <c r="D604" s="53" t="s">
        <v>447</v>
      </c>
      <c r="E604" s="57">
        <v>3</v>
      </c>
      <c r="F604" s="58">
        <v>47832</v>
      </c>
      <c r="G604" s="58">
        <v>46736</v>
      </c>
      <c r="H604" s="57" t="s">
        <v>105</v>
      </c>
      <c r="I604" s="57" t="s">
        <v>628</v>
      </c>
      <c r="J604" s="57" t="s">
        <v>101</v>
      </c>
      <c r="K604" s="57">
        <v>96.97</v>
      </c>
      <c r="L604" s="57" t="s">
        <v>101</v>
      </c>
      <c r="M604" s="57">
        <v>3.58</v>
      </c>
      <c r="N604" s="57">
        <v>3.58</v>
      </c>
      <c r="O604" s="53" t="s">
        <v>101</v>
      </c>
      <c r="P604" s="57" t="s">
        <v>448</v>
      </c>
      <c r="Q604" s="57" t="s">
        <v>457</v>
      </c>
      <c r="R604" s="59" t="s">
        <v>630</v>
      </c>
    </row>
    <row r="605" spans="1:18" x14ac:dyDescent="0.5">
      <c r="A605" s="52" t="str">
        <f>"592247J50"</f>
        <v>592247J50</v>
      </c>
      <c r="B605" s="53" t="s">
        <v>491</v>
      </c>
      <c r="C605" s="53" t="s">
        <v>895</v>
      </c>
      <c r="D605" s="53" t="s">
        <v>447</v>
      </c>
      <c r="E605" s="53">
        <v>0</v>
      </c>
      <c r="F605" s="54">
        <v>47832</v>
      </c>
      <c r="G605" s="54" t="s">
        <v>105</v>
      </c>
      <c r="H605" s="53" t="s">
        <v>677</v>
      </c>
      <c r="I605" s="53" t="s">
        <v>611</v>
      </c>
      <c r="J605" s="53">
        <v>77.551000000000002</v>
      </c>
      <c r="K605" s="53">
        <v>81.197999999999993</v>
      </c>
      <c r="L605" s="53">
        <v>4.4130000000000003</v>
      </c>
      <c r="M605" s="53">
        <v>3.6080000000000001</v>
      </c>
      <c r="N605" s="53">
        <v>3.6080000000000001</v>
      </c>
      <c r="O605" s="53" t="s">
        <v>101</v>
      </c>
      <c r="P605" s="53" t="s">
        <v>735</v>
      </c>
      <c r="Q605" s="53" t="s">
        <v>464</v>
      </c>
      <c r="R605" s="55" t="s">
        <v>896</v>
      </c>
    </row>
    <row r="606" spans="1:18" x14ac:dyDescent="0.5">
      <c r="A606" s="56" t="str">
        <f>"051645M55"</f>
        <v>051645M55</v>
      </c>
      <c r="B606" s="57" t="s">
        <v>491</v>
      </c>
      <c r="C606" s="57" t="s">
        <v>897</v>
      </c>
      <c r="D606" s="53" t="s">
        <v>447</v>
      </c>
      <c r="E606" s="57">
        <v>3.375</v>
      </c>
      <c r="F606" s="58">
        <v>47847</v>
      </c>
      <c r="G606" s="58">
        <v>45733</v>
      </c>
      <c r="H606" s="57" t="s">
        <v>105</v>
      </c>
      <c r="I606" s="57" t="s">
        <v>628</v>
      </c>
      <c r="J606" s="57" t="s">
        <v>101</v>
      </c>
      <c r="K606" s="57">
        <v>98.95</v>
      </c>
      <c r="L606" s="57" t="s">
        <v>101</v>
      </c>
      <c r="M606" s="57">
        <v>3.5739999999999998</v>
      </c>
      <c r="N606" s="57">
        <v>3.5739999999999998</v>
      </c>
      <c r="O606" s="53" t="s">
        <v>101</v>
      </c>
      <c r="P606" s="57" t="s">
        <v>448</v>
      </c>
      <c r="Q606" s="57" t="s">
        <v>488</v>
      </c>
      <c r="R606" s="59" t="s">
        <v>454</v>
      </c>
    </row>
    <row r="607" spans="1:18" x14ac:dyDescent="0.5">
      <c r="A607" s="52" t="str">
        <f>"40886FAH4"</f>
        <v>40886FAH4</v>
      </c>
      <c r="B607" s="53" t="s">
        <v>491</v>
      </c>
      <c r="C607" s="53" t="s">
        <v>898</v>
      </c>
      <c r="D607" s="53" t="s">
        <v>447</v>
      </c>
      <c r="E607" s="53">
        <v>4</v>
      </c>
      <c r="F607" s="54">
        <v>47847</v>
      </c>
      <c r="G607" s="54" t="s">
        <v>105</v>
      </c>
      <c r="H607" s="53" t="s">
        <v>641</v>
      </c>
      <c r="I607" s="53" t="s">
        <v>628</v>
      </c>
      <c r="J607" s="53" t="s">
        <v>101</v>
      </c>
      <c r="K607" s="53">
        <v>102.34</v>
      </c>
      <c r="L607" s="53" t="s">
        <v>101</v>
      </c>
      <c r="M607" s="53">
        <v>3.5539999999999998</v>
      </c>
      <c r="N607" s="53">
        <v>3.5539999999999998</v>
      </c>
      <c r="O607" s="53" t="s">
        <v>101</v>
      </c>
      <c r="P607" s="53" t="s">
        <v>448</v>
      </c>
      <c r="Q607" s="53" t="s">
        <v>453</v>
      </c>
      <c r="R607" s="55" t="s">
        <v>899</v>
      </c>
    </row>
    <row r="608" spans="1:18" x14ac:dyDescent="0.5">
      <c r="A608" s="56" t="str">
        <f>"47977EEJ4"</f>
        <v>47977EEJ4</v>
      </c>
      <c r="B608" s="57" t="s">
        <v>491</v>
      </c>
      <c r="C608" s="57" t="s">
        <v>900</v>
      </c>
      <c r="D608" s="53" t="s">
        <v>447</v>
      </c>
      <c r="E608" s="57">
        <v>3</v>
      </c>
      <c r="F608" s="58">
        <v>47847</v>
      </c>
      <c r="G608" s="58">
        <v>47117</v>
      </c>
      <c r="H608" s="57" t="s">
        <v>105</v>
      </c>
      <c r="I608" s="57" t="s">
        <v>628</v>
      </c>
      <c r="J608" s="57" t="s">
        <v>101</v>
      </c>
      <c r="K608" s="57">
        <v>97.159000000000006</v>
      </c>
      <c r="L608" s="57" t="s">
        <v>101</v>
      </c>
      <c r="M608" s="57">
        <v>3.54</v>
      </c>
      <c r="N608" s="57">
        <v>3.54</v>
      </c>
      <c r="O608" s="53" t="s">
        <v>101</v>
      </c>
      <c r="P608" s="57" t="s">
        <v>448</v>
      </c>
      <c r="Q608" s="57" t="s">
        <v>457</v>
      </c>
      <c r="R608" s="59" t="s">
        <v>820</v>
      </c>
    </row>
    <row r="609" spans="1:18" x14ac:dyDescent="0.5">
      <c r="A609" s="52" t="str">
        <f>"167486DQ9"</f>
        <v>167486DQ9</v>
      </c>
      <c r="B609" s="53" t="s">
        <v>491</v>
      </c>
      <c r="C609" s="53" t="s">
        <v>901</v>
      </c>
      <c r="D609" s="53" t="s">
        <v>447</v>
      </c>
      <c r="E609" s="53">
        <v>0</v>
      </c>
      <c r="F609" s="54">
        <v>47849</v>
      </c>
      <c r="G609" s="54" t="s">
        <v>105</v>
      </c>
      <c r="H609" s="53" t="s">
        <v>685</v>
      </c>
      <c r="I609" s="53" t="s">
        <v>887</v>
      </c>
      <c r="J609" s="53" t="s">
        <v>101</v>
      </c>
      <c r="K609" s="53">
        <v>79.046999999999997</v>
      </c>
      <c r="L609" s="53" t="s">
        <v>101</v>
      </c>
      <c r="M609" s="53">
        <v>4.0460000000000003</v>
      </c>
      <c r="N609" s="53">
        <v>4.0460000000000003</v>
      </c>
      <c r="O609" s="53" t="s">
        <v>101</v>
      </c>
      <c r="P609" s="53" t="s">
        <v>448</v>
      </c>
      <c r="Q609" s="53" t="s">
        <v>556</v>
      </c>
      <c r="R609" s="55" t="s">
        <v>614</v>
      </c>
    </row>
    <row r="610" spans="1:18" x14ac:dyDescent="0.5">
      <c r="A610" s="56" t="str">
        <f>"167593UJ9"</f>
        <v>167593UJ9</v>
      </c>
      <c r="B610" s="57" t="s">
        <v>491</v>
      </c>
      <c r="C610" s="57" t="s">
        <v>902</v>
      </c>
      <c r="D610" s="53" t="s">
        <v>447</v>
      </c>
      <c r="E610" s="57">
        <v>4</v>
      </c>
      <c r="F610" s="58">
        <v>47849</v>
      </c>
      <c r="G610" s="58">
        <v>46023</v>
      </c>
      <c r="H610" s="57" t="s">
        <v>105</v>
      </c>
      <c r="I610" s="57" t="s">
        <v>658</v>
      </c>
      <c r="J610" s="57" t="s">
        <v>101</v>
      </c>
      <c r="K610" s="57">
        <v>100.182</v>
      </c>
      <c r="L610" s="57" t="s">
        <v>101</v>
      </c>
      <c r="M610" s="57">
        <v>3.7810000000000001</v>
      </c>
      <c r="N610" s="57">
        <v>3.964</v>
      </c>
      <c r="O610" s="53" t="s">
        <v>101</v>
      </c>
      <c r="P610" s="57" t="s">
        <v>448</v>
      </c>
      <c r="Q610" s="57" t="s">
        <v>475</v>
      </c>
      <c r="R610" s="59" t="s">
        <v>504</v>
      </c>
    </row>
    <row r="611" spans="1:18" x14ac:dyDescent="0.5">
      <c r="A611" s="52" t="str">
        <f>"263021ET0"</f>
        <v>263021ET0</v>
      </c>
      <c r="B611" s="53" t="s">
        <v>491</v>
      </c>
      <c r="C611" s="53" t="s">
        <v>903</v>
      </c>
      <c r="D611" s="53" t="s">
        <v>447</v>
      </c>
      <c r="E611" s="53">
        <v>3.25</v>
      </c>
      <c r="F611" s="54">
        <v>47849</v>
      </c>
      <c r="G611" s="54">
        <v>46388</v>
      </c>
      <c r="H611" s="53" t="s">
        <v>540</v>
      </c>
      <c r="I611" s="53" t="s">
        <v>105</v>
      </c>
      <c r="J611" s="53" t="s">
        <v>101</v>
      </c>
      <c r="K611" s="53">
        <v>98.3</v>
      </c>
      <c r="L611" s="53" t="s">
        <v>101</v>
      </c>
      <c r="M611" s="53">
        <v>3.573</v>
      </c>
      <c r="N611" s="53">
        <v>3.573</v>
      </c>
      <c r="O611" s="53" t="s">
        <v>101</v>
      </c>
      <c r="P611" s="53" t="s">
        <v>448</v>
      </c>
      <c r="Q611" s="53" t="s">
        <v>488</v>
      </c>
      <c r="R611" s="55" t="s">
        <v>454</v>
      </c>
    </row>
    <row r="612" spans="1:18" x14ac:dyDescent="0.5">
      <c r="A612" s="56" t="str">
        <f>"263075SF1"</f>
        <v>263075SF1</v>
      </c>
      <c r="B612" s="57" t="s">
        <v>491</v>
      </c>
      <c r="C612" s="57" t="s">
        <v>904</v>
      </c>
      <c r="D612" s="53" t="s">
        <v>447</v>
      </c>
      <c r="E612" s="57">
        <v>3</v>
      </c>
      <c r="F612" s="58">
        <v>47849</v>
      </c>
      <c r="G612" s="58">
        <v>47119</v>
      </c>
      <c r="H612" s="57" t="s">
        <v>624</v>
      </c>
      <c r="I612" s="57" t="s">
        <v>105</v>
      </c>
      <c r="J612" s="57" t="s">
        <v>101</v>
      </c>
      <c r="K612" s="57">
        <v>96.11</v>
      </c>
      <c r="L612" s="57" t="s">
        <v>101</v>
      </c>
      <c r="M612" s="57">
        <v>3.7440000000000002</v>
      </c>
      <c r="N612" s="57">
        <v>3.7440000000000002</v>
      </c>
      <c r="O612" s="53" t="s">
        <v>101</v>
      </c>
      <c r="P612" s="57" t="s">
        <v>448</v>
      </c>
      <c r="Q612" s="57" t="s">
        <v>488</v>
      </c>
      <c r="R612" s="59" t="s">
        <v>454</v>
      </c>
    </row>
    <row r="613" spans="1:18" x14ac:dyDescent="0.5">
      <c r="A613" s="52" t="str">
        <f>"452152A84"</f>
        <v>452152A84</v>
      </c>
      <c r="B613" s="53" t="s">
        <v>491</v>
      </c>
      <c r="C613" s="53" t="s">
        <v>905</v>
      </c>
      <c r="D613" s="53" t="s">
        <v>447</v>
      </c>
      <c r="E613" s="53">
        <v>4</v>
      </c>
      <c r="F613" s="54">
        <v>47849</v>
      </c>
      <c r="G613" s="54">
        <v>46023</v>
      </c>
      <c r="H613" s="53" t="s">
        <v>627</v>
      </c>
      <c r="I613" s="53" t="s">
        <v>713</v>
      </c>
      <c r="J613" s="53" t="s">
        <v>101</v>
      </c>
      <c r="K613" s="53">
        <v>100.14</v>
      </c>
      <c r="L613" s="53" t="s">
        <v>101</v>
      </c>
      <c r="M613" s="53">
        <v>3.83</v>
      </c>
      <c r="N613" s="53">
        <v>3.972</v>
      </c>
      <c r="O613" s="53" t="s">
        <v>101</v>
      </c>
      <c r="P613" s="53" t="s">
        <v>448</v>
      </c>
      <c r="Q613" s="53" t="s">
        <v>485</v>
      </c>
      <c r="R613" s="55" t="s">
        <v>482</v>
      </c>
    </row>
    <row r="614" spans="1:18" x14ac:dyDescent="0.5">
      <c r="A614" s="56" t="str">
        <f>"508759LU9"</f>
        <v>508759LU9</v>
      </c>
      <c r="B614" s="57" t="s">
        <v>491</v>
      </c>
      <c r="C614" s="57" t="s">
        <v>906</v>
      </c>
      <c r="D614" s="53" t="s">
        <v>447</v>
      </c>
      <c r="E614" s="57">
        <v>4</v>
      </c>
      <c r="F614" s="58">
        <v>47849</v>
      </c>
      <c r="G614" s="58">
        <v>46753</v>
      </c>
      <c r="H614" s="57" t="s">
        <v>105</v>
      </c>
      <c r="I614" s="57" t="s">
        <v>509</v>
      </c>
      <c r="J614" s="57" t="s">
        <v>101</v>
      </c>
      <c r="K614" s="57">
        <v>101.33</v>
      </c>
      <c r="L614" s="57" t="s">
        <v>101</v>
      </c>
      <c r="M614" s="57">
        <v>3.5070000000000001</v>
      </c>
      <c r="N614" s="57">
        <v>3.7450000000000001</v>
      </c>
      <c r="O614" s="53" t="s">
        <v>101</v>
      </c>
      <c r="P614" s="57" t="s">
        <v>448</v>
      </c>
      <c r="Q614" s="57" t="s">
        <v>488</v>
      </c>
      <c r="R614" s="59" t="s">
        <v>482</v>
      </c>
    </row>
    <row r="615" spans="1:18" x14ac:dyDescent="0.5">
      <c r="A615" s="52" t="str">
        <f>"597810GK0"</f>
        <v>597810GK0</v>
      </c>
      <c r="B615" s="53" t="s">
        <v>491</v>
      </c>
      <c r="C615" s="53" t="s">
        <v>907</v>
      </c>
      <c r="D615" s="53" t="s">
        <v>447</v>
      </c>
      <c r="E615" s="53">
        <v>3</v>
      </c>
      <c r="F615" s="54">
        <v>47849</v>
      </c>
      <c r="G615" s="54">
        <v>47119</v>
      </c>
      <c r="H615" s="53" t="s">
        <v>105</v>
      </c>
      <c r="I615" s="53" t="s">
        <v>628</v>
      </c>
      <c r="J615" s="53" t="s">
        <v>101</v>
      </c>
      <c r="K615" s="53">
        <v>96.918999999999997</v>
      </c>
      <c r="L615" s="53" t="s">
        <v>101</v>
      </c>
      <c r="M615" s="53">
        <v>3.5859999999999999</v>
      </c>
      <c r="N615" s="53">
        <v>3.5859999999999999</v>
      </c>
      <c r="O615" s="53" t="s">
        <v>101</v>
      </c>
      <c r="P615" s="53" t="s">
        <v>448</v>
      </c>
      <c r="Q615" s="53" t="s">
        <v>503</v>
      </c>
      <c r="R615" s="55" t="s">
        <v>680</v>
      </c>
    </row>
    <row r="616" spans="1:18" x14ac:dyDescent="0.5">
      <c r="A616" s="56" t="str">
        <f>"66285WVT0"</f>
        <v>66285WVT0</v>
      </c>
      <c r="B616" s="57" t="s">
        <v>451</v>
      </c>
      <c r="C616" s="57" t="s">
        <v>908</v>
      </c>
      <c r="D616" s="53" t="s">
        <v>447</v>
      </c>
      <c r="E616" s="57">
        <v>3</v>
      </c>
      <c r="F616" s="58">
        <v>47849</v>
      </c>
      <c r="G616" s="58">
        <v>46023</v>
      </c>
      <c r="H616" s="57" t="s">
        <v>624</v>
      </c>
      <c r="I616" s="57" t="s">
        <v>616</v>
      </c>
      <c r="J616" s="57" t="s">
        <v>101</v>
      </c>
      <c r="K616" s="57">
        <v>95.822999999999993</v>
      </c>
      <c r="L616" s="57" t="s">
        <v>101</v>
      </c>
      <c r="M616" s="57">
        <v>3.8</v>
      </c>
      <c r="N616" s="57">
        <v>3.8</v>
      </c>
      <c r="O616" s="53" t="s">
        <v>101</v>
      </c>
      <c r="P616" s="57" t="s">
        <v>448</v>
      </c>
      <c r="Q616" s="57" t="s">
        <v>488</v>
      </c>
      <c r="R616" s="59" t="s">
        <v>504</v>
      </c>
    </row>
    <row r="617" spans="1:18" x14ac:dyDescent="0.5">
      <c r="A617" s="52" t="str">
        <f>"688259KE9"</f>
        <v>688259KE9</v>
      </c>
      <c r="B617" s="53" t="s">
        <v>496</v>
      </c>
      <c r="C617" s="53" t="s">
        <v>909</v>
      </c>
      <c r="D617" s="53" t="s">
        <v>447</v>
      </c>
      <c r="E617" s="53">
        <v>3.125</v>
      </c>
      <c r="F617" s="54">
        <v>47849</v>
      </c>
      <c r="G617" s="54">
        <v>45733</v>
      </c>
      <c r="H617" s="53" t="s">
        <v>624</v>
      </c>
      <c r="I617" s="53" t="s">
        <v>105</v>
      </c>
      <c r="J617" s="53" t="s">
        <v>101</v>
      </c>
      <c r="K617" s="53">
        <v>97.29</v>
      </c>
      <c r="L617" s="53" t="s">
        <v>101</v>
      </c>
      <c r="M617" s="53">
        <v>3.641</v>
      </c>
      <c r="N617" s="53">
        <v>3.641</v>
      </c>
      <c r="O617" s="53" t="s">
        <v>101</v>
      </c>
      <c r="P617" s="53" t="s">
        <v>448</v>
      </c>
      <c r="Q617" s="53" t="s">
        <v>488</v>
      </c>
      <c r="R617" s="55" t="s">
        <v>589</v>
      </c>
    </row>
    <row r="618" spans="1:18" x14ac:dyDescent="0.5">
      <c r="A618" s="56" t="str">
        <f>"838530PD9"</f>
        <v>838530PD9</v>
      </c>
      <c r="B618" s="57" t="s">
        <v>477</v>
      </c>
      <c r="C618" s="57" t="s">
        <v>910</v>
      </c>
      <c r="D618" s="53" t="s">
        <v>447</v>
      </c>
      <c r="E618" s="57">
        <v>3.125</v>
      </c>
      <c r="F618" s="58">
        <v>47849</v>
      </c>
      <c r="G618" s="58">
        <v>45728</v>
      </c>
      <c r="H618" s="57" t="s">
        <v>627</v>
      </c>
      <c r="I618" s="57" t="s">
        <v>887</v>
      </c>
      <c r="J618" s="57" t="s">
        <v>101</v>
      </c>
      <c r="K618" s="57">
        <v>96.2</v>
      </c>
      <c r="L618" s="57" t="s">
        <v>101</v>
      </c>
      <c r="M618" s="57">
        <v>3.8540000000000001</v>
      </c>
      <c r="N618" s="57">
        <v>3.8540000000000001</v>
      </c>
      <c r="O618" s="53" t="s">
        <v>101</v>
      </c>
      <c r="P618" s="57" t="s">
        <v>448</v>
      </c>
      <c r="Q618" s="57" t="s">
        <v>488</v>
      </c>
      <c r="R618" s="59" t="s">
        <v>504</v>
      </c>
    </row>
    <row r="619" spans="1:18" x14ac:dyDescent="0.5">
      <c r="A619" s="52" t="str">
        <f>"88256PAP5"</f>
        <v>88256PAP5</v>
      </c>
      <c r="B619" s="53" t="s">
        <v>451</v>
      </c>
      <c r="C619" s="53" t="s">
        <v>911</v>
      </c>
      <c r="D619" s="53" t="s">
        <v>447</v>
      </c>
      <c r="E619" s="53">
        <v>5.5</v>
      </c>
      <c r="F619" s="54">
        <v>47849</v>
      </c>
      <c r="G619" s="54" t="s">
        <v>101</v>
      </c>
      <c r="H619" s="53" t="s">
        <v>641</v>
      </c>
      <c r="I619" s="53" t="s">
        <v>105</v>
      </c>
      <c r="J619" s="53" t="s">
        <v>101</v>
      </c>
      <c r="K619" s="53">
        <v>109.64700000000001</v>
      </c>
      <c r="L619" s="53" t="s">
        <v>101</v>
      </c>
      <c r="M619" s="53">
        <v>3.6579999999999999</v>
      </c>
      <c r="N619" s="53">
        <v>3.6579999999999999</v>
      </c>
      <c r="O619" s="53" t="s">
        <v>101</v>
      </c>
      <c r="P619" s="53" t="s">
        <v>448</v>
      </c>
      <c r="Q619" s="53" t="s">
        <v>488</v>
      </c>
      <c r="R619" s="55" t="s">
        <v>450</v>
      </c>
    </row>
    <row r="620" spans="1:18" x14ac:dyDescent="0.5">
      <c r="A620" s="56" t="str">
        <f>"88256RAF3"</f>
        <v>88256RAF3</v>
      </c>
      <c r="B620" s="57" t="s">
        <v>451</v>
      </c>
      <c r="C620" s="57" t="s">
        <v>912</v>
      </c>
      <c r="D620" s="53" t="s">
        <v>447</v>
      </c>
      <c r="E620" s="57">
        <v>5</v>
      </c>
      <c r="F620" s="58">
        <v>47849</v>
      </c>
      <c r="G620" s="58" t="s">
        <v>101</v>
      </c>
      <c r="H620" s="57" t="s">
        <v>641</v>
      </c>
      <c r="I620" s="57" t="s">
        <v>105</v>
      </c>
      <c r="J620" s="57" t="s">
        <v>101</v>
      </c>
      <c r="K620" s="57">
        <v>107.74299999999999</v>
      </c>
      <c r="L620" s="57" t="s">
        <v>101</v>
      </c>
      <c r="M620" s="57">
        <v>3.5270000000000001</v>
      </c>
      <c r="N620" s="57">
        <v>3.5270000000000001</v>
      </c>
      <c r="O620" s="53" t="s">
        <v>101</v>
      </c>
      <c r="P620" s="57" t="s">
        <v>448</v>
      </c>
      <c r="Q620" s="57" t="s">
        <v>913</v>
      </c>
      <c r="R620" s="59" t="s">
        <v>795</v>
      </c>
    </row>
    <row r="621" spans="1:18" x14ac:dyDescent="0.5">
      <c r="A621" s="52" t="str">
        <f>"960811EY9"</f>
        <v>960811EY9</v>
      </c>
      <c r="B621" s="53" t="s">
        <v>491</v>
      </c>
      <c r="C621" s="53" t="s">
        <v>914</v>
      </c>
      <c r="D621" s="53" t="s">
        <v>447</v>
      </c>
      <c r="E621" s="53">
        <v>3</v>
      </c>
      <c r="F621" s="54">
        <v>47849</v>
      </c>
      <c r="G621" s="54">
        <v>46388</v>
      </c>
      <c r="H621" s="53" t="s">
        <v>105</v>
      </c>
      <c r="I621" s="53" t="s">
        <v>509</v>
      </c>
      <c r="J621" s="53" t="s">
        <v>101</v>
      </c>
      <c r="K621" s="53">
        <v>96.9</v>
      </c>
      <c r="L621" s="53" t="s">
        <v>101</v>
      </c>
      <c r="M621" s="53">
        <v>3.59</v>
      </c>
      <c r="N621" s="53">
        <v>3.59</v>
      </c>
      <c r="O621" s="53" t="s">
        <v>101</v>
      </c>
      <c r="P621" s="53" t="s">
        <v>448</v>
      </c>
      <c r="Q621" s="53" t="s">
        <v>457</v>
      </c>
      <c r="R621" s="55" t="s">
        <v>504</v>
      </c>
    </row>
    <row r="622" spans="1:18" x14ac:dyDescent="0.5">
      <c r="A622" s="56" t="str">
        <f>"452152H46"</f>
        <v>452152H46</v>
      </c>
      <c r="B622" s="57" t="s">
        <v>491</v>
      </c>
      <c r="C622" s="57" t="s">
        <v>915</v>
      </c>
      <c r="D622" s="53" t="s">
        <v>447</v>
      </c>
      <c r="E622" s="57">
        <v>4</v>
      </c>
      <c r="F622" s="58">
        <v>47880</v>
      </c>
      <c r="G622" s="58">
        <v>46419</v>
      </c>
      <c r="H622" s="57" t="s">
        <v>641</v>
      </c>
      <c r="I622" s="57" t="s">
        <v>628</v>
      </c>
      <c r="J622" s="57" t="s">
        <v>101</v>
      </c>
      <c r="K622" s="57">
        <v>100.75</v>
      </c>
      <c r="L622" s="57" t="s">
        <v>101</v>
      </c>
      <c r="M622" s="57">
        <v>3.5979999999999999</v>
      </c>
      <c r="N622" s="57">
        <v>3.8570000000000002</v>
      </c>
      <c r="O622" s="53" t="s">
        <v>101</v>
      </c>
      <c r="P622" s="57" t="s">
        <v>448</v>
      </c>
      <c r="Q622" s="57" t="s">
        <v>479</v>
      </c>
      <c r="R622" s="59" t="s">
        <v>680</v>
      </c>
    </row>
    <row r="623" spans="1:18" x14ac:dyDescent="0.5">
      <c r="A623" s="52" t="str">
        <f>"537095UN9"</f>
        <v>537095UN9</v>
      </c>
      <c r="B623" s="53" t="s">
        <v>451</v>
      </c>
      <c r="C623" s="53" t="s">
        <v>916</v>
      </c>
      <c r="D623" s="53" t="s">
        <v>447</v>
      </c>
      <c r="E623" s="53">
        <v>3</v>
      </c>
      <c r="F623" s="54">
        <v>47880</v>
      </c>
      <c r="G623" s="54">
        <v>46784</v>
      </c>
      <c r="H623" s="53" t="s">
        <v>105</v>
      </c>
      <c r="I623" s="53" t="s">
        <v>509</v>
      </c>
      <c r="J623" s="53" t="s">
        <v>101</v>
      </c>
      <c r="K623" s="53">
        <v>96.56</v>
      </c>
      <c r="L623" s="53" t="s">
        <v>101</v>
      </c>
      <c r="M623" s="53">
        <v>3.6480000000000001</v>
      </c>
      <c r="N623" s="53">
        <v>3.6480000000000001</v>
      </c>
      <c r="O623" s="53" t="s">
        <v>101</v>
      </c>
      <c r="P623" s="53" t="s">
        <v>448</v>
      </c>
      <c r="Q623" s="53" t="s">
        <v>488</v>
      </c>
      <c r="R623" s="55" t="s">
        <v>504</v>
      </c>
    </row>
    <row r="624" spans="1:18" x14ac:dyDescent="0.5">
      <c r="A624" s="56" t="str">
        <f>"537095VT5"</f>
        <v>537095VT5</v>
      </c>
      <c r="B624" s="57" t="s">
        <v>451</v>
      </c>
      <c r="C624" s="57" t="s">
        <v>917</v>
      </c>
      <c r="D624" s="53" t="s">
        <v>447</v>
      </c>
      <c r="E624" s="57">
        <v>3</v>
      </c>
      <c r="F624" s="58">
        <v>47880</v>
      </c>
      <c r="G624" s="58">
        <v>46784</v>
      </c>
      <c r="H624" s="57" t="s">
        <v>105</v>
      </c>
      <c r="I624" s="57" t="s">
        <v>509</v>
      </c>
      <c r="J624" s="57" t="s">
        <v>101</v>
      </c>
      <c r="K624" s="57">
        <v>96.43</v>
      </c>
      <c r="L624" s="57" t="s">
        <v>101</v>
      </c>
      <c r="M624" s="57">
        <v>3.673</v>
      </c>
      <c r="N624" s="57">
        <v>3.673</v>
      </c>
      <c r="O624" s="53" t="s">
        <v>101</v>
      </c>
      <c r="P624" s="57" t="s">
        <v>448</v>
      </c>
      <c r="Q624" s="57" t="s">
        <v>488</v>
      </c>
      <c r="R624" s="59" t="s">
        <v>504</v>
      </c>
    </row>
    <row r="625" spans="1:18" x14ac:dyDescent="0.5">
      <c r="A625" s="52" t="str">
        <f>"565777PS2"</f>
        <v>565777PS2</v>
      </c>
      <c r="B625" s="53" t="s">
        <v>496</v>
      </c>
      <c r="C625" s="53" t="s">
        <v>918</v>
      </c>
      <c r="D625" s="53" t="s">
        <v>447</v>
      </c>
      <c r="E625" s="53">
        <v>2</v>
      </c>
      <c r="F625" s="54">
        <v>47880</v>
      </c>
      <c r="G625" s="54" t="s">
        <v>105</v>
      </c>
      <c r="H625" s="53" t="s">
        <v>540</v>
      </c>
      <c r="I625" s="53" t="s">
        <v>105</v>
      </c>
      <c r="J625" s="53" t="s">
        <v>101</v>
      </c>
      <c r="K625" s="53">
        <v>91.55</v>
      </c>
      <c r="L625" s="53" t="s">
        <v>101</v>
      </c>
      <c r="M625" s="53">
        <v>3.589</v>
      </c>
      <c r="N625" s="53">
        <v>3.589</v>
      </c>
      <c r="O625" s="53" t="s">
        <v>101</v>
      </c>
      <c r="P625" s="53" t="s">
        <v>448</v>
      </c>
      <c r="Q625" s="53" t="s">
        <v>919</v>
      </c>
      <c r="R625" s="55" t="s">
        <v>614</v>
      </c>
    </row>
    <row r="626" spans="1:18" x14ac:dyDescent="0.5">
      <c r="A626" s="56" t="str">
        <f>"580811CQ8"</f>
        <v>580811CQ8</v>
      </c>
      <c r="B626" s="57" t="s">
        <v>491</v>
      </c>
      <c r="C626" s="57" t="s">
        <v>920</v>
      </c>
      <c r="D626" s="53" t="s">
        <v>447</v>
      </c>
      <c r="E626" s="57">
        <v>3</v>
      </c>
      <c r="F626" s="58">
        <v>47880</v>
      </c>
      <c r="G626" s="58">
        <v>46784</v>
      </c>
      <c r="H626" s="57" t="s">
        <v>624</v>
      </c>
      <c r="I626" s="57" t="s">
        <v>105</v>
      </c>
      <c r="J626" s="57" t="s">
        <v>101</v>
      </c>
      <c r="K626" s="57">
        <v>96.75</v>
      </c>
      <c r="L626" s="57" t="s">
        <v>101</v>
      </c>
      <c r="M626" s="57">
        <v>3.6110000000000002</v>
      </c>
      <c r="N626" s="57">
        <v>3.6110000000000002</v>
      </c>
      <c r="O626" s="53" t="s">
        <v>101</v>
      </c>
      <c r="P626" s="57" t="s">
        <v>448</v>
      </c>
      <c r="Q626" s="57" t="s">
        <v>479</v>
      </c>
      <c r="R626" s="59" t="s">
        <v>482</v>
      </c>
    </row>
    <row r="627" spans="1:18" x14ac:dyDescent="0.5">
      <c r="A627" s="52" t="str">
        <f>"724292WQ6"</f>
        <v>724292WQ6</v>
      </c>
      <c r="B627" s="53" t="s">
        <v>477</v>
      </c>
      <c r="C627" s="53" t="s">
        <v>921</v>
      </c>
      <c r="D627" s="53" t="s">
        <v>447</v>
      </c>
      <c r="E627" s="53">
        <v>2</v>
      </c>
      <c r="F627" s="54">
        <v>47880</v>
      </c>
      <c r="G627" s="54">
        <v>46054</v>
      </c>
      <c r="H627" s="53" t="s">
        <v>105</v>
      </c>
      <c r="I627" s="53" t="s">
        <v>509</v>
      </c>
      <c r="J627" s="53" t="s">
        <v>101</v>
      </c>
      <c r="K627" s="53">
        <v>89.924999999999997</v>
      </c>
      <c r="L627" s="53" t="s">
        <v>101</v>
      </c>
      <c r="M627" s="53">
        <v>3.9140000000000001</v>
      </c>
      <c r="N627" s="53">
        <v>3.9140000000000001</v>
      </c>
      <c r="O627" s="53" t="s">
        <v>101</v>
      </c>
      <c r="P627" s="53" t="s">
        <v>448</v>
      </c>
      <c r="Q627" s="53" t="s">
        <v>488</v>
      </c>
      <c r="R627" s="55" t="s">
        <v>454</v>
      </c>
    </row>
    <row r="628" spans="1:18" x14ac:dyDescent="0.5">
      <c r="A628" s="56" t="str">
        <f>"896564VP3"</f>
        <v>896564VP3</v>
      </c>
      <c r="B628" s="57" t="s">
        <v>451</v>
      </c>
      <c r="C628" s="57" t="s">
        <v>922</v>
      </c>
      <c r="D628" s="53" t="s">
        <v>447</v>
      </c>
      <c r="E628" s="57">
        <v>3</v>
      </c>
      <c r="F628" s="58">
        <v>47880</v>
      </c>
      <c r="G628" s="58">
        <v>46054</v>
      </c>
      <c r="H628" s="57" t="s">
        <v>105</v>
      </c>
      <c r="I628" s="57" t="s">
        <v>509</v>
      </c>
      <c r="J628" s="57" t="s">
        <v>101</v>
      </c>
      <c r="K628" s="57">
        <v>97.01</v>
      </c>
      <c r="L628" s="57" t="s">
        <v>101</v>
      </c>
      <c r="M628" s="57">
        <v>3.5619999999999998</v>
      </c>
      <c r="N628" s="57">
        <v>3.5619999999999998</v>
      </c>
      <c r="O628" s="53" t="s">
        <v>101</v>
      </c>
      <c r="P628" s="57" t="s">
        <v>448</v>
      </c>
      <c r="Q628" s="57" t="s">
        <v>488</v>
      </c>
      <c r="R628" s="59" t="s">
        <v>504</v>
      </c>
    </row>
    <row r="629" spans="1:18" x14ac:dyDescent="0.5">
      <c r="A629" s="52" t="str">
        <f>"929831MZ5"</f>
        <v>929831MZ5</v>
      </c>
      <c r="B629" s="53" t="s">
        <v>451</v>
      </c>
      <c r="C629" s="53" t="s">
        <v>923</v>
      </c>
      <c r="D629" s="53" t="s">
        <v>447</v>
      </c>
      <c r="E629" s="53">
        <v>3</v>
      </c>
      <c r="F629" s="54">
        <v>47880</v>
      </c>
      <c r="G629" s="54">
        <v>46419</v>
      </c>
      <c r="H629" s="53" t="s">
        <v>540</v>
      </c>
      <c r="I629" s="53" t="s">
        <v>509</v>
      </c>
      <c r="J629" s="53" t="s">
        <v>101</v>
      </c>
      <c r="K629" s="53">
        <v>96.99</v>
      </c>
      <c r="L629" s="53" t="s">
        <v>101</v>
      </c>
      <c r="M629" s="53">
        <v>3.5649999999999999</v>
      </c>
      <c r="N629" s="53">
        <v>3.5649999999999999</v>
      </c>
      <c r="O629" s="53" t="s">
        <v>101</v>
      </c>
      <c r="P629" s="53" t="s">
        <v>448</v>
      </c>
      <c r="Q629" s="53" t="s">
        <v>488</v>
      </c>
      <c r="R629" s="55" t="s">
        <v>504</v>
      </c>
    </row>
    <row r="630" spans="1:18" x14ac:dyDescent="0.5">
      <c r="A630" s="56" t="str">
        <f>"929831KP9"</f>
        <v>929831KP9</v>
      </c>
      <c r="B630" s="57" t="s">
        <v>451</v>
      </c>
      <c r="C630" s="57" t="s">
        <v>924</v>
      </c>
      <c r="D630" s="53" t="s">
        <v>447</v>
      </c>
      <c r="E630" s="57">
        <v>3</v>
      </c>
      <c r="F630" s="58">
        <v>47880</v>
      </c>
      <c r="G630" s="58">
        <v>45733</v>
      </c>
      <c r="H630" s="57" t="s">
        <v>540</v>
      </c>
      <c r="I630" s="57" t="s">
        <v>509</v>
      </c>
      <c r="J630" s="57" t="s">
        <v>101</v>
      </c>
      <c r="K630" s="57">
        <v>96.97</v>
      </c>
      <c r="L630" s="57" t="s">
        <v>101</v>
      </c>
      <c r="M630" s="57">
        <v>3.569</v>
      </c>
      <c r="N630" s="57">
        <v>3.569</v>
      </c>
      <c r="O630" s="53" t="s">
        <v>101</v>
      </c>
      <c r="P630" s="57" t="s">
        <v>585</v>
      </c>
      <c r="Q630" s="57" t="s">
        <v>573</v>
      </c>
      <c r="R630" s="59" t="s">
        <v>504</v>
      </c>
    </row>
    <row r="631" spans="1:18" x14ac:dyDescent="0.5">
      <c r="A631" s="52" t="str">
        <f>"929831NU5"</f>
        <v>929831NU5</v>
      </c>
      <c r="B631" s="53" t="s">
        <v>451</v>
      </c>
      <c r="C631" s="53" t="s">
        <v>925</v>
      </c>
      <c r="D631" s="53" t="s">
        <v>447</v>
      </c>
      <c r="E631" s="53">
        <v>3</v>
      </c>
      <c r="F631" s="54">
        <v>47880</v>
      </c>
      <c r="G631" s="54">
        <v>46784</v>
      </c>
      <c r="H631" s="53" t="s">
        <v>540</v>
      </c>
      <c r="I631" s="53" t="s">
        <v>509</v>
      </c>
      <c r="J631" s="53" t="s">
        <v>101</v>
      </c>
      <c r="K631" s="53">
        <v>97.07</v>
      </c>
      <c r="L631" s="53" t="s">
        <v>101</v>
      </c>
      <c r="M631" s="53">
        <v>3.55</v>
      </c>
      <c r="N631" s="53">
        <v>3.55</v>
      </c>
      <c r="O631" s="53" t="s">
        <v>101</v>
      </c>
      <c r="P631" s="53" t="s">
        <v>448</v>
      </c>
      <c r="Q631" s="53" t="s">
        <v>488</v>
      </c>
      <c r="R631" s="55" t="s">
        <v>454</v>
      </c>
    </row>
    <row r="632" spans="1:18" x14ac:dyDescent="0.5">
      <c r="A632" s="56" t="str">
        <f>"954898EH1"</f>
        <v>954898EH1</v>
      </c>
      <c r="B632" s="57" t="s">
        <v>477</v>
      </c>
      <c r="C632" s="57" t="s">
        <v>926</v>
      </c>
      <c r="D632" s="53" t="s">
        <v>447</v>
      </c>
      <c r="E632" s="57">
        <v>2.25</v>
      </c>
      <c r="F632" s="58">
        <v>47880</v>
      </c>
      <c r="G632" s="58">
        <v>46054</v>
      </c>
      <c r="H632" s="57" t="s">
        <v>105</v>
      </c>
      <c r="I632" s="57" t="s">
        <v>628</v>
      </c>
      <c r="J632" s="57" t="s">
        <v>101</v>
      </c>
      <c r="K632" s="57">
        <v>91.478999999999999</v>
      </c>
      <c r="L632" s="57" t="s">
        <v>101</v>
      </c>
      <c r="M632" s="57">
        <v>3.8660000000000001</v>
      </c>
      <c r="N632" s="57">
        <v>3.8660000000000001</v>
      </c>
      <c r="O632" s="53" t="s">
        <v>101</v>
      </c>
      <c r="P632" s="57" t="s">
        <v>448</v>
      </c>
      <c r="Q632" s="57" t="s">
        <v>527</v>
      </c>
      <c r="R632" s="59" t="s">
        <v>454</v>
      </c>
    </row>
    <row r="633" spans="1:18" x14ac:dyDescent="0.5">
      <c r="A633" s="52" t="str">
        <f>"97989CEW0"</f>
        <v>97989CEW0</v>
      </c>
      <c r="B633" s="53" t="s">
        <v>477</v>
      </c>
      <c r="C633" s="53" t="s">
        <v>927</v>
      </c>
      <c r="D633" s="53" t="s">
        <v>447</v>
      </c>
      <c r="E633" s="53">
        <v>1.5</v>
      </c>
      <c r="F633" s="54">
        <v>47880</v>
      </c>
      <c r="G633" s="54">
        <v>46784</v>
      </c>
      <c r="H633" s="53" t="s">
        <v>105</v>
      </c>
      <c r="I633" s="53" t="s">
        <v>628</v>
      </c>
      <c r="J633" s="53" t="s">
        <v>101</v>
      </c>
      <c r="K633" s="53">
        <v>86.44</v>
      </c>
      <c r="L633" s="53" t="s">
        <v>101</v>
      </c>
      <c r="M633" s="53">
        <v>4.0890000000000004</v>
      </c>
      <c r="N633" s="53">
        <v>4.0890000000000004</v>
      </c>
      <c r="O633" s="53" t="s">
        <v>101</v>
      </c>
      <c r="P633" s="53" t="s">
        <v>448</v>
      </c>
      <c r="Q633" s="53" t="s">
        <v>475</v>
      </c>
      <c r="R633" s="55" t="s">
        <v>454</v>
      </c>
    </row>
    <row r="634" spans="1:18" x14ac:dyDescent="0.5">
      <c r="A634" s="56" t="str">
        <f>"088365FJ5"</f>
        <v>088365FJ5</v>
      </c>
      <c r="B634" s="57" t="s">
        <v>451</v>
      </c>
      <c r="C634" s="57" t="s">
        <v>928</v>
      </c>
      <c r="D634" s="53" t="s">
        <v>447</v>
      </c>
      <c r="E634" s="57">
        <v>3</v>
      </c>
      <c r="F634" s="58">
        <v>47894</v>
      </c>
      <c r="G634" s="58">
        <v>46068</v>
      </c>
      <c r="H634" s="57" t="s">
        <v>540</v>
      </c>
      <c r="I634" s="57" t="s">
        <v>628</v>
      </c>
      <c r="J634" s="57" t="s">
        <v>101</v>
      </c>
      <c r="K634" s="57">
        <v>96.457999999999998</v>
      </c>
      <c r="L634" s="57" t="s">
        <v>101</v>
      </c>
      <c r="M634" s="57">
        <v>3.6640000000000001</v>
      </c>
      <c r="N634" s="57">
        <v>3.6640000000000001</v>
      </c>
      <c r="O634" s="53" t="s">
        <v>101</v>
      </c>
      <c r="P634" s="57" t="s">
        <v>448</v>
      </c>
      <c r="Q634" s="57" t="s">
        <v>556</v>
      </c>
      <c r="R634" s="59" t="s">
        <v>454</v>
      </c>
    </row>
    <row r="635" spans="1:18" x14ac:dyDescent="0.5">
      <c r="A635" s="52" t="str">
        <f>"194740MX1"</f>
        <v>194740MX1</v>
      </c>
      <c r="B635" s="53" t="s">
        <v>451</v>
      </c>
      <c r="C635" s="53" t="s">
        <v>929</v>
      </c>
      <c r="D635" s="53" t="s">
        <v>447</v>
      </c>
      <c r="E635" s="53">
        <v>3</v>
      </c>
      <c r="F635" s="54">
        <v>47894</v>
      </c>
      <c r="G635" s="54">
        <v>46798</v>
      </c>
      <c r="H635" s="53" t="s">
        <v>104</v>
      </c>
      <c r="I635" s="53" t="s">
        <v>104</v>
      </c>
      <c r="J635" s="53" t="s">
        <v>101</v>
      </c>
      <c r="K635" s="53">
        <v>97.254999999999995</v>
      </c>
      <c r="L635" s="53" t="s">
        <v>101</v>
      </c>
      <c r="M635" s="53">
        <v>3.512</v>
      </c>
      <c r="N635" s="53">
        <v>3.512</v>
      </c>
      <c r="O635" s="53" t="s">
        <v>101</v>
      </c>
      <c r="P635" s="53" t="s">
        <v>448</v>
      </c>
      <c r="Q635" s="53" t="s">
        <v>488</v>
      </c>
      <c r="R635" s="55" t="s">
        <v>454</v>
      </c>
    </row>
    <row r="636" spans="1:18" x14ac:dyDescent="0.5">
      <c r="A636" s="56" t="str">
        <f>"194748DL0"</f>
        <v>194748DL0</v>
      </c>
      <c r="B636" s="57" t="s">
        <v>451</v>
      </c>
      <c r="C636" s="57" t="s">
        <v>930</v>
      </c>
      <c r="D636" s="53" t="s">
        <v>447</v>
      </c>
      <c r="E636" s="57">
        <v>3</v>
      </c>
      <c r="F636" s="58">
        <v>47894</v>
      </c>
      <c r="G636" s="58">
        <v>45733</v>
      </c>
      <c r="H636" s="57" t="s">
        <v>641</v>
      </c>
      <c r="I636" s="57" t="s">
        <v>628</v>
      </c>
      <c r="J636" s="57" t="s">
        <v>101</v>
      </c>
      <c r="K636" s="57">
        <v>94.832999999999998</v>
      </c>
      <c r="L636" s="57" t="s">
        <v>101</v>
      </c>
      <c r="M636" s="57">
        <v>3.9780000000000002</v>
      </c>
      <c r="N636" s="57">
        <v>3.9780000000000002</v>
      </c>
      <c r="O636" s="53" t="s">
        <v>101</v>
      </c>
      <c r="P636" s="57" t="s">
        <v>448</v>
      </c>
      <c r="Q636" s="57" t="s">
        <v>460</v>
      </c>
      <c r="R636" s="59" t="s">
        <v>630</v>
      </c>
    </row>
    <row r="637" spans="1:18" x14ac:dyDescent="0.5">
      <c r="A637" s="52" t="str">
        <f>"24879YNL3"</f>
        <v>24879YNL3</v>
      </c>
      <c r="B637" s="53" t="s">
        <v>451</v>
      </c>
      <c r="C637" s="53" t="s">
        <v>931</v>
      </c>
      <c r="D637" s="53" t="s">
        <v>447</v>
      </c>
      <c r="E637" s="53">
        <v>3</v>
      </c>
      <c r="F637" s="54">
        <v>47894</v>
      </c>
      <c r="G637" s="54">
        <v>45703</v>
      </c>
      <c r="H637" s="53" t="s">
        <v>641</v>
      </c>
      <c r="I637" s="53" t="s">
        <v>628</v>
      </c>
      <c r="J637" s="53" t="s">
        <v>101</v>
      </c>
      <c r="K637" s="53">
        <v>96.06</v>
      </c>
      <c r="L637" s="53" t="s">
        <v>101</v>
      </c>
      <c r="M637" s="53">
        <v>3.74</v>
      </c>
      <c r="N637" s="53">
        <v>3.74</v>
      </c>
      <c r="O637" s="53" t="s">
        <v>101</v>
      </c>
      <c r="P637" s="53" t="s">
        <v>448</v>
      </c>
      <c r="Q637" s="53" t="s">
        <v>517</v>
      </c>
      <c r="R637" s="55" t="s">
        <v>630</v>
      </c>
    </row>
    <row r="638" spans="1:18" x14ac:dyDescent="0.5">
      <c r="A638" s="56" t="str">
        <f>"271281ZJ9"</f>
        <v>271281ZJ9</v>
      </c>
      <c r="B638" s="57" t="s">
        <v>477</v>
      </c>
      <c r="C638" s="57" t="s">
        <v>932</v>
      </c>
      <c r="D638" s="53" t="s">
        <v>447</v>
      </c>
      <c r="E638" s="57">
        <v>2</v>
      </c>
      <c r="F638" s="58">
        <v>47894</v>
      </c>
      <c r="G638" s="58">
        <v>47164</v>
      </c>
      <c r="H638" s="57" t="s">
        <v>540</v>
      </c>
      <c r="I638" s="57" t="s">
        <v>105</v>
      </c>
      <c r="J638" s="57" t="s">
        <v>101</v>
      </c>
      <c r="K638" s="57">
        <v>88.894000000000005</v>
      </c>
      <c r="L638" s="57" t="s">
        <v>101</v>
      </c>
      <c r="M638" s="57">
        <v>4.1100000000000003</v>
      </c>
      <c r="N638" s="57">
        <v>4.1100000000000003</v>
      </c>
      <c r="O638" s="53" t="s">
        <v>101</v>
      </c>
      <c r="P638" s="57" t="s">
        <v>448</v>
      </c>
      <c r="Q638" s="57" t="s">
        <v>503</v>
      </c>
      <c r="R638" s="59" t="s">
        <v>454</v>
      </c>
    </row>
    <row r="639" spans="1:18" x14ac:dyDescent="0.5">
      <c r="A639" s="52" t="str">
        <f>"388625KC8"</f>
        <v>388625KC8</v>
      </c>
      <c r="B639" s="53" t="s">
        <v>451</v>
      </c>
      <c r="C639" s="53" t="s">
        <v>933</v>
      </c>
      <c r="D639" s="53" t="s">
        <v>447</v>
      </c>
      <c r="E639" s="53">
        <v>3</v>
      </c>
      <c r="F639" s="54">
        <v>47894</v>
      </c>
      <c r="G639" s="54">
        <v>47710</v>
      </c>
      <c r="H639" s="53" t="s">
        <v>540</v>
      </c>
      <c r="I639" s="53" t="s">
        <v>509</v>
      </c>
      <c r="J639" s="53" t="s">
        <v>101</v>
      </c>
      <c r="K639" s="53">
        <v>97.171999999999997</v>
      </c>
      <c r="L639" s="53" t="s">
        <v>101</v>
      </c>
      <c r="M639" s="53">
        <v>3.528</v>
      </c>
      <c r="N639" s="53">
        <v>3.528</v>
      </c>
      <c r="O639" s="53" t="s">
        <v>101</v>
      </c>
      <c r="P639" s="53" t="s">
        <v>448</v>
      </c>
      <c r="Q639" s="53" t="s">
        <v>464</v>
      </c>
      <c r="R639" s="55" t="s">
        <v>504</v>
      </c>
    </row>
    <row r="640" spans="1:18" x14ac:dyDescent="0.5">
      <c r="A640" s="56" t="str">
        <f>"404774HL8"</f>
        <v>404774HL8</v>
      </c>
      <c r="B640" s="57" t="s">
        <v>477</v>
      </c>
      <c r="C640" s="57" t="s">
        <v>934</v>
      </c>
      <c r="D640" s="53" t="s">
        <v>447</v>
      </c>
      <c r="E640" s="57">
        <v>2</v>
      </c>
      <c r="F640" s="58">
        <v>47894</v>
      </c>
      <c r="G640" s="58">
        <v>46433</v>
      </c>
      <c r="H640" s="57" t="s">
        <v>540</v>
      </c>
      <c r="I640" s="57" t="s">
        <v>105</v>
      </c>
      <c r="J640" s="57" t="s">
        <v>101</v>
      </c>
      <c r="K640" s="57">
        <v>88.745999999999995</v>
      </c>
      <c r="L640" s="57" t="s">
        <v>101</v>
      </c>
      <c r="M640" s="57">
        <v>4.1399999999999997</v>
      </c>
      <c r="N640" s="57">
        <v>4.1399999999999997</v>
      </c>
      <c r="O640" s="53" t="s">
        <v>101</v>
      </c>
      <c r="P640" s="57" t="s">
        <v>448</v>
      </c>
      <c r="Q640" s="57" t="s">
        <v>488</v>
      </c>
      <c r="R640" s="59" t="s">
        <v>454</v>
      </c>
    </row>
    <row r="641" spans="1:18" x14ac:dyDescent="0.5">
      <c r="A641" s="52" t="str">
        <f>"5217688A2"</f>
        <v>5217688A2</v>
      </c>
      <c r="B641" s="53" t="s">
        <v>451</v>
      </c>
      <c r="C641" s="53" t="s">
        <v>935</v>
      </c>
      <c r="D641" s="53" t="s">
        <v>447</v>
      </c>
      <c r="E641" s="53">
        <v>2.5</v>
      </c>
      <c r="F641" s="54">
        <v>47894</v>
      </c>
      <c r="G641" s="54">
        <v>46068</v>
      </c>
      <c r="H641" s="53" t="s">
        <v>540</v>
      </c>
      <c r="I641" s="53" t="s">
        <v>105</v>
      </c>
      <c r="J641" s="53" t="s">
        <v>101</v>
      </c>
      <c r="K641" s="53">
        <v>92.938999999999993</v>
      </c>
      <c r="L641" s="53" t="s">
        <v>101</v>
      </c>
      <c r="M641" s="53">
        <v>3.83</v>
      </c>
      <c r="N641" s="53">
        <v>3.83</v>
      </c>
      <c r="O641" s="53" t="s">
        <v>101</v>
      </c>
      <c r="P641" s="53" t="s">
        <v>448</v>
      </c>
      <c r="Q641" s="53" t="s">
        <v>488</v>
      </c>
      <c r="R641" s="55" t="s">
        <v>454</v>
      </c>
    </row>
    <row r="642" spans="1:18" x14ac:dyDescent="0.5">
      <c r="A642" s="56" t="str">
        <f>"521769AP4"</f>
        <v>521769AP4</v>
      </c>
      <c r="B642" s="57" t="s">
        <v>451</v>
      </c>
      <c r="C642" s="57" t="s">
        <v>936</v>
      </c>
      <c r="D642" s="53" t="s">
        <v>447</v>
      </c>
      <c r="E642" s="57">
        <v>3</v>
      </c>
      <c r="F642" s="58">
        <v>47894</v>
      </c>
      <c r="G642" s="58">
        <v>46433</v>
      </c>
      <c r="H642" s="57" t="s">
        <v>540</v>
      </c>
      <c r="I642" s="57" t="s">
        <v>509</v>
      </c>
      <c r="J642" s="57" t="s">
        <v>101</v>
      </c>
      <c r="K642" s="57">
        <v>97.18</v>
      </c>
      <c r="L642" s="57" t="s">
        <v>101</v>
      </c>
      <c r="M642" s="57">
        <v>3.5259999999999998</v>
      </c>
      <c r="N642" s="57">
        <v>3.5259999999999998</v>
      </c>
      <c r="O642" s="53" t="s">
        <v>101</v>
      </c>
      <c r="P642" s="57" t="s">
        <v>448</v>
      </c>
      <c r="Q642" s="57" t="s">
        <v>488</v>
      </c>
      <c r="R642" s="59" t="s">
        <v>504</v>
      </c>
    </row>
    <row r="643" spans="1:18" x14ac:dyDescent="0.5">
      <c r="A643" s="52" t="str">
        <f>"702725S60"</f>
        <v>702725S60</v>
      </c>
      <c r="B643" s="53" t="s">
        <v>477</v>
      </c>
      <c r="C643" s="53" t="s">
        <v>937</v>
      </c>
      <c r="D643" s="53" t="s">
        <v>447</v>
      </c>
      <c r="E643" s="53">
        <v>2</v>
      </c>
      <c r="F643" s="54">
        <v>47894</v>
      </c>
      <c r="G643" s="54" t="s">
        <v>105</v>
      </c>
      <c r="H643" s="53" t="s">
        <v>540</v>
      </c>
      <c r="I643" s="53" t="s">
        <v>105</v>
      </c>
      <c r="J643" s="53" t="s">
        <v>101</v>
      </c>
      <c r="K643" s="53">
        <v>91.3</v>
      </c>
      <c r="L643" s="53" t="s">
        <v>101</v>
      </c>
      <c r="M643" s="53">
        <v>3.629</v>
      </c>
      <c r="N643" s="53">
        <v>3.629</v>
      </c>
      <c r="O643" s="53" t="s">
        <v>101</v>
      </c>
      <c r="P643" s="53" t="s">
        <v>448</v>
      </c>
      <c r="Q643" s="53" t="s">
        <v>453</v>
      </c>
      <c r="R643" s="55" t="s">
        <v>614</v>
      </c>
    </row>
    <row r="644" spans="1:18" x14ac:dyDescent="0.5">
      <c r="A644" s="56" t="str">
        <f>"733505NW7"</f>
        <v>733505NW7</v>
      </c>
      <c r="B644" s="57" t="s">
        <v>451</v>
      </c>
      <c r="C644" s="57" t="s">
        <v>938</v>
      </c>
      <c r="D644" s="53" t="s">
        <v>447</v>
      </c>
      <c r="E644" s="57">
        <v>3.25</v>
      </c>
      <c r="F644" s="58">
        <v>47894</v>
      </c>
      <c r="G644" s="58">
        <v>45703</v>
      </c>
      <c r="H644" s="57" t="s">
        <v>610</v>
      </c>
      <c r="I644" s="57" t="s">
        <v>182</v>
      </c>
      <c r="J644" s="57" t="s">
        <v>101</v>
      </c>
      <c r="K644" s="57">
        <v>98.41</v>
      </c>
      <c r="L644" s="57" t="s">
        <v>101</v>
      </c>
      <c r="M644" s="57">
        <v>3.5470000000000002</v>
      </c>
      <c r="N644" s="57">
        <v>3.5470000000000002</v>
      </c>
      <c r="O644" s="53" t="s">
        <v>101</v>
      </c>
      <c r="P644" s="57" t="s">
        <v>448</v>
      </c>
      <c r="Q644" s="57" t="s">
        <v>457</v>
      </c>
      <c r="R644" s="59" t="s">
        <v>454</v>
      </c>
    </row>
    <row r="645" spans="1:18" x14ac:dyDescent="0.5">
      <c r="A645" s="52" t="str">
        <f>"736831SG4"</f>
        <v>736831SG4</v>
      </c>
      <c r="B645" s="53" t="s">
        <v>451</v>
      </c>
      <c r="C645" s="53" t="s">
        <v>939</v>
      </c>
      <c r="D645" s="53" t="s">
        <v>447</v>
      </c>
      <c r="E645" s="53">
        <v>3.125</v>
      </c>
      <c r="F645" s="54">
        <v>47894</v>
      </c>
      <c r="G645" s="54">
        <v>46068</v>
      </c>
      <c r="H645" s="53" t="s">
        <v>105</v>
      </c>
      <c r="I645" s="53" t="s">
        <v>628</v>
      </c>
      <c r="J645" s="53" t="s">
        <v>101</v>
      </c>
      <c r="K645" s="53">
        <v>97.44</v>
      </c>
      <c r="L645" s="53" t="s">
        <v>101</v>
      </c>
      <c r="M645" s="53">
        <v>3.6040000000000001</v>
      </c>
      <c r="N645" s="53">
        <v>3.6040000000000001</v>
      </c>
      <c r="O645" s="53" t="s">
        <v>101</v>
      </c>
      <c r="P645" s="53" t="s">
        <v>448</v>
      </c>
      <c r="Q645" s="53" t="s">
        <v>488</v>
      </c>
      <c r="R645" s="55" t="s">
        <v>454</v>
      </c>
    </row>
    <row r="646" spans="1:18" x14ac:dyDescent="0.5">
      <c r="A646" s="56" t="str">
        <f>"8648556R7"</f>
        <v>8648556R7</v>
      </c>
      <c r="B646" s="57" t="s">
        <v>451</v>
      </c>
      <c r="C646" s="57" t="s">
        <v>940</v>
      </c>
      <c r="D646" s="53" t="s">
        <v>447</v>
      </c>
      <c r="E646" s="57">
        <v>3</v>
      </c>
      <c r="F646" s="58">
        <v>47894</v>
      </c>
      <c r="G646" s="58">
        <v>45733</v>
      </c>
      <c r="H646" s="57" t="s">
        <v>105</v>
      </c>
      <c r="I646" s="57" t="s">
        <v>104</v>
      </c>
      <c r="J646" s="57" t="s">
        <v>101</v>
      </c>
      <c r="K646" s="57">
        <v>96.790999999999997</v>
      </c>
      <c r="L646" s="57" t="s">
        <v>101</v>
      </c>
      <c r="M646" s="57">
        <v>3.6</v>
      </c>
      <c r="N646" s="57">
        <v>3.6</v>
      </c>
      <c r="O646" s="53" t="s">
        <v>101</v>
      </c>
      <c r="P646" s="57" t="s">
        <v>448</v>
      </c>
      <c r="Q646" s="57" t="s">
        <v>479</v>
      </c>
      <c r="R646" s="59" t="s">
        <v>504</v>
      </c>
    </row>
    <row r="647" spans="1:18" x14ac:dyDescent="0.5">
      <c r="A647" s="52" t="str">
        <f>"864856BU2"</f>
        <v>864856BU2</v>
      </c>
      <c r="B647" s="53" t="s">
        <v>451</v>
      </c>
      <c r="C647" s="53" t="s">
        <v>941</v>
      </c>
      <c r="D647" s="53" t="s">
        <v>447</v>
      </c>
      <c r="E647" s="53">
        <v>3</v>
      </c>
      <c r="F647" s="54">
        <v>47894</v>
      </c>
      <c r="G647" s="54">
        <v>45703</v>
      </c>
      <c r="H647" s="53" t="s">
        <v>105</v>
      </c>
      <c r="I647" s="53" t="s">
        <v>104</v>
      </c>
      <c r="J647" s="53" t="s">
        <v>101</v>
      </c>
      <c r="K647" s="53">
        <v>96.165000000000006</v>
      </c>
      <c r="L647" s="53" t="s">
        <v>101</v>
      </c>
      <c r="M647" s="53">
        <v>3.72</v>
      </c>
      <c r="N647" s="53">
        <v>3.72</v>
      </c>
      <c r="O647" s="53" t="s">
        <v>101</v>
      </c>
      <c r="P647" s="53" t="s">
        <v>448</v>
      </c>
      <c r="Q647" s="53" t="s">
        <v>460</v>
      </c>
      <c r="R647" s="55" t="s">
        <v>504</v>
      </c>
    </row>
    <row r="648" spans="1:18" x14ac:dyDescent="0.5">
      <c r="A648" s="56" t="str">
        <f>"950868TP4"</f>
        <v>950868TP4</v>
      </c>
      <c r="B648" s="57" t="s">
        <v>451</v>
      </c>
      <c r="C648" s="57" t="s">
        <v>942</v>
      </c>
      <c r="D648" s="53" t="s">
        <v>447</v>
      </c>
      <c r="E648" s="57">
        <v>3</v>
      </c>
      <c r="F648" s="58">
        <v>47894</v>
      </c>
      <c r="G648" s="58">
        <v>47529</v>
      </c>
      <c r="H648" s="57" t="s">
        <v>105</v>
      </c>
      <c r="I648" s="57" t="s">
        <v>616</v>
      </c>
      <c r="J648" s="57" t="s">
        <v>101</v>
      </c>
      <c r="K648" s="57">
        <v>95.54</v>
      </c>
      <c r="L648" s="57" t="s">
        <v>101</v>
      </c>
      <c r="M648" s="57">
        <v>3.84</v>
      </c>
      <c r="N648" s="57">
        <v>3.84</v>
      </c>
      <c r="O648" s="53" t="s">
        <v>101</v>
      </c>
      <c r="P648" s="57" t="s">
        <v>448</v>
      </c>
      <c r="Q648" s="57" t="s">
        <v>488</v>
      </c>
      <c r="R648" s="59" t="s">
        <v>504</v>
      </c>
    </row>
    <row r="649" spans="1:18" x14ac:dyDescent="0.5">
      <c r="A649" s="52" t="str">
        <f>"964219FJ3"</f>
        <v>964219FJ3</v>
      </c>
      <c r="B649" s="53" t="s">
        <v>451</v>
      </c>
      <c r="C649" s="53" t="s">
        <v>943</v>
      </c>
      <c r="D649" s="53" t="s">
        <v>447</v>
      </c>
      <c r="E649" s="53">
        <v>3</v>
      </c>
      <c r="F649" s="54">
        <v>47894</v>
      </c>
      <c r="G649" s="54">
        <v>46433</v>
      </c>
      <c r="H649" s="53" t="s">
        <v>105</v>
      </c>
      <c r="I649" s="53" t="s">
        <v>104</v>
      </c>
      <c r="J649" s="53" t="s">
        <v>101</v>
      </c>
      <c r="K649" s="53">
        <v>96.76</v>
      </c>
      <c r="L649" s="53" t="s">
        <v>101</v>
      </c>
      <c r="M649" s="53">
        <v>3.6059999999999999</v>
      </c>
      <c r="N649" s="53">
        <v>3.6059999999999999</v>
      </c>
      <c r="O649" s="53" t="s">
        <v>101</v>
      </c>
      <c r="P649" s="53" t="s">
        <v>448</v>
      </c>
      <c r="Q649" s="53" t="s">
        <v>488</v>
      </c>
      <c r="R649" s="55" t="s">
        <v>454</v>
      </c>
    </row>
    <row r="650" spans="1:18" x14ac:dyDescent="0.5">
      <c r="A650" s="56" t="str">
        <f>"9698873F3"</f>
        <v>9698873F3</v>
      </c>
      <c r="B650" s="57" t="s">
        <v>451</v>
      </c>
      <c r="C650" s="57" t="s">
        <v>944</v>
      </c>
      <c r="D650" s="53" t="s">
        <v>447</v>
      </c>
      <c r="E650" s="57">
        <v>3</v>
      </c>
      <c r="F650" s="58">
        <v>47894</v>
      </c>
      <c r="G650" s="58">
        <v>45884</v>
      </c>
      <c r="H650" s="57" t="s">
        <v>105</v>
      </c>
      <c r="I650" s="57" t="s">
        <v>104</v>
      </c>
      <c r="J650" s="57" t="s">
        <v>101</v>
      </c>
      <c r="K650" s="57">
        <v>96.25</v>
      </c>
      <c r="L650" s="57" t="s">
        <v>101</v>
      </c>
      <c r="M650" s="57">
        <v>3.7040000000000002</v>
      </c>
      <c r="N650" s="57">
        <v>3.7040000000000002</v>
      </c>
      <c r="O650" s="53" t="s">
        <v>101</v>
      </c>
      <c r="P650" s="57" t="s">
        <v>448</v>
      </c>
      <c r="Q650" s="57" t="s">
        <v>573</v>
      </c>
      <c r="R650" s="59" t="s">
        <v>454</v>
      </c>
    </row>
    <row r="651" spans="1:18" x14ac:dyDescent="0.5">
      <c r="A651" s="52" t="str">
        <f>"068715FR7"</f>
        <v>068715FR7</v>
      </c>
      <c r="B651" s="53" t="s">
        <v>496</v>
      </c>
      <c r="C651" s="53" t="s">
        <v>945</v>
      </c>
      <c r="D651" s="53" t="s">
        <v>447</v>
      </c>
      <c r="E651" s="53">
        <v>3</v>
      </c>
      <c r="F651" s="54">
        <v>47908</v>
      </c>
      <c r="G651" s="54">
        <v>47178</v>
      </c>
      <c r="H651" s="53" t="s">
        <v>641</v>
      </c>
      <c r="I651" s="53" t="s">
        <v>628</v>
      </c>
      <c r="J651" s="53" t="s">
        <v>101</v>
      </c>
      <c r="K651" s="53">
        <v>95.852000000000004</v>
      </c>
      <c r="L651" s="53" t="s">
        <v>101</v>
      </c>
      <c r="M651" s="53">
        <v>3.7749999999999999</v>
      </c>
      <c r="N651" s="53">
        <v>3.7749999999999999</v>
      </c>
      <c r="O651" s="53" t="s">
        <v>101</v>
      </c>
      <c r="P651" s="53" t="s">
        <v>448</v>
      </c>
      <c r="Q651" s="53" t="s">
        <v>488</v>
      </c>
      <c r="R651" s="55" t="s">
        <v>680</v>
      </c>
    </row>
    <row r="652" spans="1:18" x14ac:dyDescent="0.5">
      <c r="A652" s="56" t="str">
        <f>"157789JT6"</f>
        <v>157789JT6</v>
      </c>
      <c r="B652" s="57" t="s">
        <v>451</v>
      </c>
      <c r="C652" s="57" t="s">
        <v>946</v>
      </c>
      <c r="D652" s="53" t="s">
        <v>447</v>
      </c>
      <c r="E652" s="57">
        <v>3</v>
      </c>
      <c r="F652" s="58">
        <v>47908</v>
      </c>
      <c r="G652" s="58">
        <v>45733</v>
      </c>
      <c r="H652" s="57" t="s">
        <v>105</v>
      </c>
      <c r="I652" s="57" t="s">
        <v>628</v>
      </c>
      <c r="J652" s="57" t="s">
        <v>101</v>
      </c>
      <c r="K652" s="57">
        <v>96.91</v>
      </c>
      <c r="L652" s="57" t="s">
        <v>101</v>
      </c>
      <c r="M652" s="57">
        <v>3.573</v>
      </c>
      <c r="N652" s="57">
        <v>3.573</v>
      </c>
      <c r="O652" s="53" t="s">
        <v>101</v>
      </c>
      <c r="P652" s="57" t="s">
        <v>448</v>
      </c>
      <c r="Q652" s="57" t="s">
        <v>947</v>
      </c>
      <c r="R652" s="59" t="s">
        <v>504</v>
      </c>
    </row>
    <row r="653" spans="1:18" x14ac:dyDescent="0.5">
      <c r="A653" s="52" t="str">
        <f>"1845765H5"</f>
        <v>1845765H5</v>
      </c>
      <c r="B653" s="53" t="s">
        <v>451</v>
      </c>
      <c r="C653" s="53" t="s">
        <v>948</v>
      </c>
      <c r="D653" s="53" t="s">
        <v>447</v>
      </c>
      <c r="E653" s="53">
        <v>3</v>
      </c>
      <c r="F653" s="54">
        <v>47908</v>
      </c>
      <c r="G653" s="54">
        <v>45717</v>
      </c>
      <c r="H653" s="53" t="s">
        <v>624</v>
      </c>
      <c r="I653" s="53" t="s">
        <v>182</v>
      </c>
      <c r="J653" s="53" t="s">
        <v>101</v>
      </c>
      <c r="K653" s="53">
        <v>96.716999999999999</v>
      </c>
      <c r="L653" s="53" t="s">
        <v>101</v>
      </c>
      <c r="M653" s="53">
        <v>3.61</v>
      </c>
      <c r="N653" s="53">
        <v>3.61</v>
      </c>
      <c r="O653" s="53" t="s">
        <v>101</v>
      </c>
      <c r="P653" s="53" t="s">
        <v>448</v>
      </c>
      <c r="Q653" s="53" t="s">
        <v>457</v>
      </c>
      <c r="R653" s="55" t="s">
        <v>771</v>
      </c>
    </row>
    <row r="654" spans="1:18" x14ac:dyDescent="0.5">
      <c r="A654" s="56" t="str">
        <f>"1845766E1"</f>
        <v>1845766E1</v>
      </c>
      <c r="B654" s="57" t="s">
        <v>451</v>
      </c>
      <c r="C654" s="57" t="s">
        <v>949</v>
      </c>
      <c r="D654" s="53" t="s">
        <v>447</v>
      </c>
      <c r="E654" s="57">
        <v>3</v>
      </c>
      <c r="F654" s="58">
        <v>47908</v>
      </c>
      <c r="G654" s="58">
        <v>45717</v>
      </c>
      <c r="H654" s="57" t="s">
        <v>624</v>
      </c>
      <c r="I654" s="57" t="s">
        <v>628</v>
      </c>
      <c r="J654" s="57" t="s">
        <v>101</v>
      </c>
      <c r="K654" s="57">
        <v>96.611000000000004</v>
      </c>
      <c r="L654" s="57" t="s">
        <v>101</v>
      </c>
      <c r="M654" s="57">
        <v>3.63</v>
      </c>
      <c r="N654" s="57">
        <v>3.63</v>
      </c>
      <c r="O654" s="53" t="s">
        <v>101</v>
      </c>
      <c r="P654" s="57" t="s">
        <v>448</v>
      </c>
      <c r="Q654" s="57" t="s">
        <v>453</v>
      </c>
      <c r="R654" s="59" t="s">
        <v>771</v>
      </c>
    </row>
    <row r="655" spans="1:18" x14ac:dyDescent="0.5">
      <c r="A655" s="52" t="str">
        <f>"1845768F6"</f>
        <v>1845768F6</v>
      </c>
      <c r="B655" s="53" t="s">
        <v>451</v>
      </c>
      <c r="C655" s="53" t="s">
        <v>950</v>
      </c>
      <c r="D655" s="53" t="s">
        <v>447</v>
      </c>
      <c r="E655" s="53">
        <v>3</v>
      </c>
      <c r="F655" s="54">
        <v>47908</v>
      </c>
      <c r="G655" s="54">
        <v>45733</v>
      </c>
      <c r="H655" s="53" t="s">
        <v>624</v>
      </c>
      <c r="I655" s="53" t="s">
        <v>105</v>
      </c>
      <c r="J655" s="53" t="s">
        <v>101</v>
      </c>
      <c r="K655" s="53">
        <v>96.453000000000003</v>
      </c>
      <c r="L655" s="53" t="s">
        <v>101</v>
      </c>
      <c r="M655" s="53">
        <v>3.66</v>
      </c>
      <c r="N655" s="53">
        <v>3.66</v>
      </c>
      <c r="O655" s="53" t="s">
        <v>101</v>
      </c>
      <c r="P655" s="53" t="s">
        <v>448</v>
      </c>
      <c r="Q655" s="53" t="s">
        <v>573</v>
      </c>
      <c r="R655" s="55" t="s">
        <v>504</v>
      </c>
    </row>
    <row r="656" spans="1:18" x14ac:dyDescent="0.5">
      <c r="A656" s="56" t="str">
        <f>"188763GW0"</f>
        <v>188763GW0</v>
      </c>
      <c r="B656" s="57" t="s">
        <v>496</v>
      </c>
      <c r="C656" s="57" t="s">
        <v>951</v>
      </c>
      <c r="D656" s="53" t="s">
        <v>447</v>
      </c>
      <c r="E656" s="57">
        <v>2</v>
      </c>
      <c r="F656" s="58">
        <v>47908</v>
      </c>
      <c r="G656" s="58">
        <v>47178</v>
      </c>
      <c r="H656" s="57" t="s">
        <v>105</v>
      </c>
      <c r="I656" s="57" t="s">
        <v>628</v>
      </c>
      <c r="J656" s="57" t="s">
        <v>101</v>
      </c>
      <c r="K656" s="57">
        <v>88.206999999999994</v>
      </c>
      <c r="L656" s="57" t="s">
        <v>101</v>
      </c>
      <c r="M656" s="57">
        <v>4.234</v>
      </c>
      <c r="N656" s="57">
        <v>4.234</v>
      </c>
      <c r="O656" s="53" t="s">
        <v>101</v>
      </c>
      <c r="P656" s="57" t="s">
        <v>448</v>
      </c>
      <c r="Q656" s="57" t="s">
        <v>538</v>
      </c>
      <c r="R656" s="59" t="s">
        <v>630</v>
      </c>
    </row>
    <row r="657" spans="1:18" x14ac:dyDescent="0.5">
      <c r="A657" s="52" t="str">
        <f>"243163SC7"</f>
        <v>243163SC7</v>
      </c>
      <c r="B657" s="53" t="s">
        <v>491</v>
      </c>
      <c r="C657" s="53" t="s">
        <v>952</v>
      </c>
      <c r="D657" s="53" t="s">
        <v>447</v>
      </c>
      <c r="E657" s="53">
        <v>3.625</v>
      </c>
      <c r="F657" s="54">
        <v>47908</v>
      </c>
      <c r="G657" s="54">
        <v>45717</v>
      </c>
      <c r="H657" s="53" t="s">
        <v>105</v>
      </c>
      <c r="I657" s="53" t="s">
        <v>616</v>
      </c>
      <c r="J657" s="53" t="s">
        <v>101</v>
      </c>
      <c r="K657" s="53">
        <v>99.009</v>
      </c>
      <c r="L657" s="53" t="s">
        <v>101</v>
      </c>
      <c r="M657" s="53">
        <v>3.81</v>
      </c>
      <c r="N657" s="53">
        <v>3.81</v>
      </c>
      <c r="O657" s="53" t="s">
        <v>101</v>
      </c>
      <c r="P657" s="53" t="s">
        <v>448</v>
      </c>
      <c r="Q657" s="53" t="s">
        <v>488</v>
      </c>
      <c r="R657" s="55" t="s">
        <v>504</v>
      </c>
    </row>
    <row r="658" spans="1:18" x14ac:dyDescent="0.5">
      <c r="A658" s="56" t="str">
        <f>"283822GQ1"</f>
        <v>283822GQ1</v>
      </c>
      <c r="B658" s="57" t="s">
        <v>451</v>
      </c>
      <c r="C658" s="57" t="s">
        <v>953</v>
      </c>
      <c r="D658" s="53" t="s">
        <v>447</v>
      </c>
      <c r="E658" s="57">
        <v>3.25</v>
      </c>
      <c r="F658" s="58">
        <v>47908</v>
      </c>
      <c r="G658" s="58">
        <v>45733</v>
      </c>
      <c r="H658" s="57" t="s">
        <v>105</v>
      </c>
      <c r="I658" s="57" t="s">
        <v>628</v>
      </c>
      <c r="J658" s="57" t="s">
        <v>101</v>
      </c>
      <c r="K658" s="57">
        <v>98.49</v>
      </c>
      <c r="L658" s="57" t="s">
        <v>101</v>
      </c>
      <c r="M658" s="57">
        <v>3.53</v>
      </c>
      <c r="N658" s="57">
        <v>3.53</v>
      </c>
      <c r="O658" s="53" t="s">
        <v>101</v>
      </c>
      <c r="P658" s="57" t="s">
        <v>448</v>
      </c>
      <c r="Q658" s="57" t="s">
        <v>488</v>
      </c>
      <c r="R658" s="59" t="s">
        <v>504</v>
      </c>
    </row>
    <row r="659" spans="1:18" x14ac:dyDescent="0.5">
      <c r="A659" s="52" t="str">
        <f>"344461MU9"</f>
        <v>344461MU9</v>
      </c>
      <c r="B659" s="53" t="s">
        <v>496</v>
      </c>
      <c r="C659" s="53" t="s">
        <v>954</v>
      </c>
      <c r="D659" s="53" t="s">
        <v>447</v>
      </c>
      <c r="E659" s="53">
        <v>2</v>
      </c>
      <c r="F659" s="54">
        <v>47908</v>
      </c>
      <c r="G659" s="54">
        <v>46997</v>
      </c>
      <c r="H659" s="53" t="s">
        <v>105</v>
      </c>
      <c r="I659" s="53" t="s">
        <v>616</v>
      </c>
      <c r="J659" s="53" t="s">
        <v>101</v>
      </c>
      <c r="K659" s="53">
        <v>88.13</v>
      </c>
      <c r="L659" s="53" t="s">
        <v>101</v>
      </c>
      <c r="M659" s="53">
        <v>4.25</v>
      </c>
      <c r="N659" s="53">
        <v>4.25</v>
      </c>
      <c r="O659" s="53" t="s">
        <v>101</v>
      </c>
      <c r="P659" s="53" t="s">
        <v>448</v>
      </c>
      <c r="Q659" s="53" t="s">
        <v>538</v>
      </c>
      <c r="R659" s="55" t="s">
        <v>454</v>
      </c>
    </row>
    <row r="660" spans="1:18" x14ac:dyDescent="0.5">
      <c r="A660" s="56" t="str">
        <f>"374118F51"</f>
        <v>374118F51</v>
      </c>
      <c r="B660" s="57" t="s">
        <v>496</v>
      </c>
      <c r="C660" s="57" t="s">
        <v>955</v>
      </c>
      <c r="D660" s="53" t="s">
        <v>447</v>
      </c>
      <c r="E660" s="57">
        <v>2.25</v>
      </c>
      <c r="F660" s="58">
        <v>47908</v>
      </c>
      <c r="G660" s="58">
        <v>46447</v>
      </c>
      <c r="H660" s="57" t="s">
        <v>613</v>
      </c>
      <c r="I660" s="57" t="s">
        <v>105</v>
      </c>
      <c r="J660" s="57" t="s">
        <v>101</v>
      </c>
      <c r="K660" s="57">
        <v>89.87</v>
      </c>
      <c r="L660" s="57" t="s">
        <v>101</v>
      </c>
      <c r="M660" s="57">
        <v>4.165</v>
      </c>
      <c r="N660" s="57">
        <v>4.165</v>
      </c>
      <c r="O660" s="53" t="s">
        <v>101</v>
      </c>
      <c r="P660" s="57" t="s">
        <v>448</v>
      </c>
      <c r="Q660" s="57" t="s">
        <v>485</v>
      </c>
      <c r="R660" s="59" t="s">
        <v>454</v>
      </c>
    </row>
    <row r="661" spans="1:18" x14ac:dyDescent="0.5">
      <c r="A661" s="52" t="str">
        <f>"502769AN2"</f>
        <v>502769AN2</v>
      </c>
      <c r="B661" s="53" t="s">
        <v>496</v>
      </c>
      <c r="C661" s="53" t="s">
        <v>956</v>
      </c>
      <c r="D661" s="53" t="s">
        <v>447</v>
      </c>
      <c r="E661" s="53">
        <v>3</v>
      </c>
      <c r="F661" s="54">
        <v>47908</v>
      </c>
      <c r="G661" s="54">
        <v>46447</v>
      </c>
      <c r="H661" s="53" t="s">
        <v>105</v>
      </c>
      <c r="I661" s="53" t="s">
        <v>628</v>
      </c>
      <c r="J661" s="53" t="s">
        <v>101</v>
      </c>
      <c r="K661" s="53">
        <v>96.102000000000004</v>
      </c>
      <c r="L661" s="53" t="s">
        <v>101</v>
      </c>
      <c r="M661" s="53">
        <v>3.7269999999999999</v>
      </c>
      <c r="N661" s="53">
        <v>3.7269999999999999</v>
      </c>
      <c r="O661" s="53" t="s">
        <v>101</v>
      </c>
      <c r="P661" s="53" t="s">
        <v>448</v>
      </c>
      <c r="Q661" s="53" t="s">
        <v>485</v>
      </c>
      <c r="R661" s="55" t="s">
        <v>454</v>
      </c>
    </row>
    <row r="662" spans="1:18" x14ac:dyDescent="0.5">
      <c r="A662" s="56" t="str">
        <f>"52109HLX9"</f>
        <v>52109HLX9</v>
      </c>
      <c r="B662" s="57" t="s">
        <v>451</v>
      </c>
      <c r="C662" s="57" t="s">
        <v>957</v>
      </c>
      <c r="D662" s="53" t="s">
        <v>447</v>
      </c>
      <c r="E662" s="57">
        <v>2</v>
      </c>
      <c r="F662" s="58">
        <v>47908</v>
      </c>
      <c r="G662" s="58">
        <v>45717</v>
      </c>
      <c r="H662" s="57" t="s">
        <v>641</v>
      </c>
      <c r="I662" s="57" t="s">
        <v>628</v>
      </c>
      <c r="J662" s="57" t="s">
        <v>101</v>
      </c>
      <c r="K662" s="57">
        <v>88.13</v>
      </c>
      <c r="L662" s="57" t="s">
        <v>101</v>
      </c>
      <c r="M662" s="57">
        <v>4.25</v>
      </c>
      <c r="N662" s="57">
        <v>4.25</v>
      </c>
      <c r="O662" s="53" t="s">
        <v>101</v>
      </c>
      <c r="P662" s="57" t="s">
        <v>448</v>
      </c>
      <c r="Q662" s="57" t="s">
        <v>790</v>
      </c>
      <c r="R662" s="59" t="s">
        <v>630</v>
      </c>
    </row>
    <row r="663" spans="1:18" x14ac:dyDescent="0.5">
      <c r="A663" s="52" t="str">
        <f>"602366UX2"</f>
        <v>602366UX2</v>
      </c>
      <c r="B663" s="53" t="s">
        <v>496</v>
      </c>
      <c r="C663" s="53" t="s">
        <v>958</v>
      </c>
      <c r="D663" s="53" t="s">
        <v>447</v>
      </c>
      <c r="E663" s="53">
        <v>3</v>
      </c>
      <c r="F663" s="54">
        <v>47908</v>
      </c>
      <c r="G663" s="54">
        <v>46082</v>
      </c>
      <c r="H663" s="53" t="s">
        <v>627</v>
      </c>
      <c r="I663" s="53" t="s">
        <v>713</v>
      </c>
      <c r="J663" s="53" t="s">
        <v>101</v>
      </c>
      <c r="K663" s="53">
        <v>94.369</v>
      </c>
      <c r="L663" s="53" t="s">
        <v>101</v>
      </c>
      <c r="M663" s="53">
        <v>4.0609999999999999</v>
      </c>
      <c r="N663" s="53">
        <v>4.0609999999999999</v>
      </c>
      <c r="O663" s="53" t="s">
        <v>101</v>
      </c>
      <c r="P663" s="53" t="s">
        <v>448</v>
      </c>
      <c r="Q663" s="53" t="s">
        <v>565</v>
      </c>
      <c r="R663" s="55" t="s">
        <v>454</v>
      </c>
    </row>
    <row r="664" spans="1:18" x14ac:dyDescent="0.5">
      <c r="A664" s="56" t="str">
        <f>"64008RAJ7"</f>
        <v>64008RAJ7</v>
      </c>
      <c r="B664" s="57" t="s">
        <v>496</v>
      </c>
      <c r="C664" s="57" t="s">
        <v>959</v>
      </c>
      <c r="D664" s="53" t="s">
        <v>447</v>
      </c>
      <c r="E664" s="57">
        <v>2</v>
      </c>
      <c r="F664" s="58">
        <v>47908</v>
      </c>
      <c r="G664" s="58">
        <v>46813</v>
      </c>
      <c r="H664" s="57" t="s">
        <v>105</v>
      </c>
      <c r="I664" s="57" t="s">
        <v>628</v>
      </c>
      <c r="J664" s="57" t="s">
        <v>101</v>
      </c>
      <c r="K664" s="57">
        <v>88.14</v>
      </c>
      <c r="L664" s="57" t="s">
        <v>101</v>
      </c>
      <c r="M664" s="57">
        <v>4.2480000000000002</v>
      </c>
      <c r="N664" s="57">
        <v>4.2480000000000002</v>
      </c>
      <c r="O664" s="53" t="s">
        <v>101</v>
      </c>
      <c r="P664" s="57" t="s">
        <v>448</v>
      </c>
      <c r="Q664" s="57" t="s">
        <v>479</v>
      </c>
      <c r="R664" s="59" t="s">
        <v>454</v>
      </c>
    </row>
    <row r="665" spans="1:18" x14ac:dyDescent="0.5">
      <c r="A665" s="52" t="str">
        <f>"663662QF4"</f>
        <v>663662QF4</v>
      </c>
      <c r="B665" s="53" t="s">
        <v>451</v>
      </c>
      <c r="C665" s="53" t="s">
        <v>960</v>
      </c>
      <c r="D665" s="53" t="s">
        <v>447</v>
      </c>
      <c r="E665" s="53">
        <v>3.25</v>
      </c>
      <c r="F665" s="54">
        <v>47908</v>
      </c>
      <c r="G665" s="54">
        <v>45717</v>
      </c>
      <c r="H665" s="53" t="s">
        <v>641</v>
      </c>
      <c r="I665" s="53" t="s">
        <v>628</v>
      </c>
      <c r="J665" s="53" t="s">
        <v>101</v>
      </c>
      <c r="K665" s="53">
        <v>98.44</v>
      </c>
      <c r="L665" s="53" t="s">
        <v>101</v>
      </c>
      <c r="M665" s="53">
        <v>3.5390000000000001</v>
      </c>
      <c r="N665" s="53">
        <v>3.5390000000000001</v>
      </c>
      <c r="O665" s="53" t="s">
        <v>101</v>
      </c>
      <c r="P665" s="53" t="s">
        <v>448</v>
      </c>
      <c r="Q665" s="53" t="s">
        <v>503</v>
      </c>
      <c r="R665" s="55" t="s">
        <v>630</v>
      </c>
    </row>
    <row r="666" spans="1:18" x14ac:dyDescent="0.5">
      <c r="A666" s="56" t="str">
        <f>"685814MD4"</f>
        <v>685814MD4</v>
      </c>
      <c r="B666" s="57" t="s">
        <v>496</v>
      </c>
      <c r="C666" s="57" t="s">
        <v>961</v>
      </c>
      <c r="D666" s="53" t="s">
        <v>447</v>
      </c>
      <c r="E666" s="57">
        <v>3</v>
      </c>
      <c r="F666" s="58">
        <v>47908</v>
      </c>
      <c r="G666" s="58">
        <v>45717</v>
      </c>
      <c r="H666" s="57" t="s">
        <v>613</v>
      </c>
      <c r="I666" s="57" t="s">
        <v>105</v>
      </c>
      <c r="J666" s="57" t="s">
        <v>101</v>
      </c>
      <c r="K666" s="57">
        <v>97.302000000000007</v>
      </c>
      <c r="L666" s="57" t="s">
        <v>101</v>
      </c>
      <c r="M666" s="57">
        <v>3.5</v>
      </c>
      <c r="N666" s="57">
        <v>3.5</v>
      </c>
      <c r="O666" s="53" t="s">
        <v>101</v>
      </c>
      <c r="P666" s="57" t="s">
        <v>448</v>
      </c>
      <c r="Q666" s="57" t="s">
        <v>485</v>
      </c>
      <c r="R666" s="59" t="s">
        <v>454</v>
      </c>
    </row>
    <row r="667" spans="1:18" x14ac:dyDescent="0.5">
      <c r="A667" s="52" t="str">
        <f>"687908JM6"</f>
        <v>687908JM6</v>
      </c>
      <c r="B667" s="53" t="s">
        <v>496</v>
      </c>
      <c r="C667" s="53" t="s">
        <v>962</v>
      </c>
      <c r="D667" s="53" t="s">
        <v>447</v>
      </c>
      <c r="E667" s="53">
        <v>3</v>
      </c>
      <c r="F667" s="54">
        <v>47908</v>
      </c>
      <c r="G667" s="54">
        <v>47543</v>
      </c>
      <c r="H667" s="53" t="s">
        <v>105</v>
      </c>
      <c r="I667" s="53" t="s">
        <v>616</v>
      </c>
      <c r="J667" s="53" t="s">
        <v>101</v>
      </c>
      <c r="K667" s="53">
        <v>96.584999999999994</v>
      </c>
      <c r="L667" s="53" t="s">
        <v>101</v>
      </c>
      <c r="M667" s="53">
        <v>3.6349999999999998</v>
      </c>
      <c r="N667" s="53">
        <v>3.6349999999999998</v>
      </c>
      <c r="O667" s="53" t="s">
        <v>101</v>
      </c>
      <c r="P667" s="53" t="s">
        <v>448</v>
      </c>
      <c r="Q667" s="53" t="s">
        <v>485</v>
      </c>
      <c r="R667" s="55" t="s">
        <v>454</v>
      </c>
    </row>
    <row r="668" spans="1:18" x14ac:dyDescent="0.5">
      <c r="A668" s="56" t="str">
        <f>"704865DU5"</f>
        <v>704865DU5</v>
      </c>
      <c r="B668" s="57" t="s">
        <v>451</v>
      </c>
      <c r="C668" s="57" t="s">
        <v>963</v>
      </c>
      <c r="D668" s="53" t="s">
        <v>447</v>
      </c>
      <c r="E668" s="57">
        <v>3</v>
      </c>
      <c r="F668" s="58">
        <v>47908</v>
      </c>
      <c r="G668" s="58">
        <v>46082</v>
      </c>
      <c r="H668" s="57" t="s">
        <v>610</v>
      </c>
      <c r="I668" s="57" t="s">
        <v>105</v>
      </c>
      <c r="J668" s="57" t="s">
        <v>101</v>
      </c>
      <c r="K668" s="57">
        <v>95.92</v>
      </c>
      <c r="L668" s="57" t="s">
        <v>101</v>
      </c>
      <c r="M668" s="57">
        <v>3.762</v>
      </c>
      <c r="N668" s="57">
        <v>3.762</v>
      </c>
      <c r="O668" s="53" t="s">
        <v>101</v>
      </c>
      <c r="P668" s="57" t="s">
        <v>448</v>
      </c>
      <c r="Q668" s="57" t="s">
        <v>457</v>
      </c>
      <c r="R668" s="59" t="s">
        <v>504</v>
      </c>
    </row>
    <row r="669" spans="1:18" x14ac:dyDescent="0.5">
      <c r="A669" s="52" t="str">
        <f>"704865FG4"</f>
        <v>704865FG4</v>
      </c>
      <c r="B669" s="53" t="s">
        <v>451</v>
      </c>
      <c r="C669" s="53" t="s">
        <v>964</v>
      </c>
      <c r="D669" s="53" t="s">
        <v>447</v>
      </c>
      <c r="E669" s="53">
        <v>3</v>
      </c>
      <c r="F669" s="54">
        <v>47908</v>
      </c>
      <c r="G669" s="54">
        <v>46447</v>
      </c>
      <c r="H669" s="53" t="s">
        <v>610</v>
      </c>
      <c r="I669" s="53" t="s">
        <v>105</v>
      </c>
      <c r="J669" s="53" t="s">
        <v>101</v>
      </c>
      <c r="K669" s="53">
        <v>96.772999999999996</v>
      </c>
      <c r="L669" s="53" t="s">
        <v>101</v>
      </c>
      <c r="M669" s="53">
        <v>3.5990000000000002</v>
      </c>
      <c r="N669" s="53">
        <v>3.5990000000000002</v>
      </c>
      <c r="O669" s="53" t="s">
        <v>101</v>
      </c>
      <c r="P669" s="53" t="s">
        <v>448</v>
      </c>
      <c r="Q669" s="53" t="s">
        <v>556</v>
      </c>
      <c r="R669" s="55" t="s">
        <v>454</v>
      </c>
    </row>
    <row r="670" spans="1:18" x14ac:dyDescent="0.5">
      <c r="A670" s="56" t="str">
        <f>"715382Q42"</f>
        <v>715382Q42</v>
      </c>
      <c r="B670" s="57" t="s">
        <v>477</v>
      </c>
      <c r="C670" s="57" t="s">
        <v>965</v>
      </c>
      <c r="D670" s="53" t="s">
        <v>447</v>
      </c>
      <c r="E670" s="57">
        <v>2</v>
      </c>
      <c r="F670" s="58">
        <v>47908</v>
      </c>
      <c r="G670" s="58">
        <v>47543</v>
      </c>
      <c r="H670" s="57" t="s">
        <v>105</v>
      </c>
      <c r="I670" s="57" t="s">
        <v>628</v>
      </c>
      <c r="J670" s="57" t="s">
        <v>101</v>
      </c>
      <c r="K670" s="57">
        <v>89.578000000000003</v>
      </c>
      <c r="L670" s="57" t="s">
        <v>101</v>
      </c>
      <c r="M670" s="57">
        <v>3.9580000000000002</v>
      </c>
      <c r="N670" s="57">
        <v>3.9580000000000002</v>
      </c>
      <c r="O670" s="53" t="s">
        <v>101</v>
      </c>
      <c r="P670" s="57" t="s">
        <v>448</v>
      </c>
      <c r="Q670" s="57" t="s">
        <v>538</v>
      </c>
      <c r="R670" s="59" t="s">
        <v>630</v>
      </c>
    </row>
    <row r="671" spans="1:18" x14ac:dyDescent="0.5">
      <c r="A671" s="52" t="str">
        <f>"715382U47"</f>
        <v>715382U47</v>
      </c>
      <c r="B671" s="53" t="s">
        <v>477</v>
      </c>
      <c r="C671" s="53" t="s">
        <v>966</v>
      </c>
      <c r="D671" s="53" t="s">
        <v>447</v>
      </c>
      <c r="E671" s="53">
        <v>3</v>
      </c>
      <c r="F671" s="54">
        <v>47908</v>
      </c>
      <c r="G671" s="54">
        <v>47543</v>
      </c>
      <c r="H671" s="53" t="s">
        <v>105</v>
      </c>
      <c r="I671" s="53" t="s">
        <v>658</v>
      </c>
      <c r="J671" s="53" t="s">
        <v>101</v>
      </c>
      <c r="K671" s="53">
        <v>97.263000000000005</v>
      </c>
      <c r="L671" s="53" t="s">
        <v>101</v>
      </c>
      <c r="M671" s="53">
        <v>3.5070000000000001</v>
      </c>
      <c r="N671" s="53">
        <v>3.5070000000000001</v>
      </c>
      <c r="O671" s="53" t="s">
        <v>101</v>
      </c>
      <c r="P671" s="53" t="s">
        <v>448</v>
      </c>
      <c r="Q671" s="53" t="s">
        <v>453</v>
      </c>
      <c r="R671" s="55" t="s">
        <v>454</v>
      </c>
    </row>
    <row r="672" spans="1:18" x14ac:dyDescent="0.5">
      <c r="A672" s="56" t="str">
        <f>"733590PK3"</f>
        <v>733590PK3</v>
      </c>
      <c r="B672" s="57" t="s">
        <v>451</v>
      </c>
      <c r="C672" s="57" t="s">
        <v>967</v>
      </c>
      <c r="D672" s="53" t="s">
        <v>447</v>
      </c>
      <c r="E672" s="57">
        <v>3.125</v>
      </c>
      <c r="F672" s="58">
        <v>47908</v>
      </c>
      <c r="G672" s="58">
        <v>46813</v>
      </c>
      <c r="H672" s="57" t="s">
        <v>105</v>
      </c>
      <c r="I672" s="57" t="s">
        <v>628</v>
      </c>
      <c r="J672" s="57" t="s">
        <v>101</v>
      </c>
      <c r="K672" s="57">
        <v>97.933000000000007</v>
      </c>
      <c r="L672" s="57" t="s">
        <v>101</v>
      </c>
      <c r="M672" s="57">
        <v>3.508</v>
      </c>
      <c r="N672" s="57">
        <v>3.508</v>
      </c>
      <c r="O672" s="53" t="s">
        <v>101</v>
      </c>
      <c r="P672" s="57" t="s">
        <v>448</v>
      </c>
      <c r="Q672" s="57" t="s">
        <v>460</v>
      </c>
      <c r="R672" s="59" t="s">
        <v>482</v>
      </c>
    </row>
    <row r="673" spans="1:18" x14ac:dyDescent="0.5">
      <c r="A673" s="52" t="str">
        <f>"804350HS8"</f>
        <v>804350HS8</v>
      </c>
      <c r="B673" s="53" t="s">
        <v>496</v>
      </c>
      <c r="C673" s="53" t="s">
        <v>968</v>
      </c>
      <c r="D673" s="53" t="s">
        <v>447</v>
      </c>
      <c r="E673" s="53">
        <v>3</v>
      </c>
      <c r="F673" s="54">
        <v>47908</v>
      </c>
      <c r="G673" s="54">
        <v>46813</v>
      </c>
      <c r="H673" s="53" t="s">
        <v>105</v>
      </c>
      <c r="I673" s="53" t="s">
        <v>616</v>
      </c>
      <c r="J673" s="53" t="s">
        <v>101</v>
      </c>
      <c r="K673" s="53">
        <v>96.268000000000001</v>
      </c>
      <c r="L673" s="53" t="s">
        <v>101</v>
      </c>
      <c r="M673" s="53">
        <v>3.6949999999999998</v>
      </c>
      <c r="N673" s="53">
        <v>3.6949999999999998</v>
      </c>
      <c r="O673" s="53" t="s">
        <v>101</v>
      </c>
      <c r="P673" s="53" t="s">
        <v>448</v>
      </c>
      <c r="Q673" s="53" t="s">
        <v>457</v>
      </c>
      <c r="R673" s="55" t="s">
        <v>454</v>
      </c>
    </row>
    <row r="674" spans="1:18" x14ac:dyDescent="0.5">
      <c r="A674" s="56" t="str">
        <f>"866854SN3"</f>
        <v>866854SN3</v>
      </c>
      <c r="B674" s="57" t="s">
        <v>496</v>
      </c>
      <c r="C674" s="57" t="s">
        <v>969</v>
      </c>
      <c r="D674" s="53" t="s">
        <v>447</v>
      </c>
      <c r="E674" s="57">
        <v>3</v>
      </c>
      <c r="F674" s="58">
        <v>47908</v>
      </c>
      <c r="G674" s="58">
        <v>46813</v>
      </c>
      <c r="H674" s="57" t="s">
        <v>105</v>
      </c>
      <c r="I674" s="57" t="s">
        <v>628</v>
      </c>
      <c r="J674" s="57" t="s">
        <v>101</v>
      </c>
      <c r="K674" s="57">
        <v>95.9</v>
      </c>
      <c r="L674" s="57" t="s">
        <v>101</v>
      </c>
      <c r="M674" s="57">
        <v>3.766</v>
      </c>
      <c r="N674" s="57">
        <v>3.766</v>
      </c>
      <c r="O674" s="53" t="s">
        <v>101</v>
      </c>
      <c r="P674" s="57" t="s">
        <v>448</v>
      </c>
      <c r="Q674" s="57" t="s">
        <v>488</v>
      </c>
      <c r="R674" s="59" t="s">
        <v>482</v>
      </c>
    </row>
    <row r="675" spans="1:18" x14ac:dyDescent="0.5">
      <c r="A675" s="52" t="str">
        <f>"89453PJT7"</f>
        <v>89453PJT7</v>
      </c>
      <c r="B675" s="53" t="s">
        <v>451</v>
      </c>
      <c r="C675" s="53" t="s">
        <v>970</v>
      </c>
      <c r="D675" s="53" t="s">
        <v>447</v>
      </c>
      <c r="E675" s="53">
        <v>3.125</v>
      </c>
      <c r="F675" s="54">
        <v>47908</v>
      </c>
      <c r="G675" s="54">
        <v>45733</v>
      </c>
      <c r="H675" s="53" t="s">
        <v>104</v>
      </c>
      <c r="I675" s="53" t="s">
        <v>104</v>
      </c>
      <c r="J675" s="53" t="s">
        <v>101</v>
      </c>
      <c r="K675" s="53">
        <v>97.558000000000007</v>
      </c>
      <c r="L675" s="53" t="s">
        <v>101</v>
      </c>
      <c r="M675" s="53">
        <v>3.5779999999999998</v>
      </c>
      <c r="N675" s="53">
        <v>3.5779999999999998</v>
      </c>
      <c r="O675" s="53" t="s">
        <v>101</v>
      </c>
      <c r="P675" s="53" t="s">
        <v>448</v>
      </c>
      <c r="Q675" s="53" t="s">
        <v>460</v>
      </c>
      <c r="R675" s="55" t="s">
        <v>454</v>
      </c>
    </row>
    <row r="676" spans="1:18" x14ac:dyDescent="0.5">
      <c r="A676" s="56" t="str">
        <f>"90634PQC6"</f>
        <v>90634PQC6</v>
      </c>
      <c r="B676" s="57" t="s">
        <v>477</v>
      </c>
      <c r="C676" s="57" t="s">
        <v>971</v>
      </c>
      <c r="D676" s="53" t="s">
        <v>447</v>
      </c>
      <c r="E676" s="57">
        <v>2</v>
      </c>
      <c r="F676" s="58">
        <v>47908</v>
      </c>
      <c r="G676" s="58">
        <v>46631</v>
      </c>
      <c r="H676" s="57" t="s">
        <v>104</v>
      </c>
      <c r="I676" s="57" t="s">
        <v>105</v>
      </c>
      <c r="J676" s="57" t="s">
        <v>101</v>
      </c>
      <c r="K676" s="57">
        <v>89.802000000000007</v>
      </c>
      <c r="L676" s="57" t="s">
        <v>101</v>
      </c>
      <c r="M676" s="57">
        <v>3.9129999999999998</v>
      </c>
      <c r="N676" s="57">
        <v>3.9129999999999998</v>
      </c>
      <c r="O676" s="53" t="s">
        <v>101</v>
      </c>
      <c r="P676" s="57" t="s">
        <v>448</v>
      </c>
      <c r="Q676" s="57" t="s">
        <v>457</v>
      </c>
      <c r="R676" s="59" t="s">
        <v>482</v>
      </c>
    </row>
    <row r="677" spans="1:18" x14ac:dyDescent="0.5">
      <c r="A677" s="52" t="str">
        <f>"925053DU1"</f>
        <v>925053DU1</v>
      </c>
      <c r="B677" s="53" t="s">
        <v>477</v>
      </c>
      <c r="C677" s="53" t="s">
        <v>972</v>
      </c>
      <c r="D677" s="53" t="s">
        <v>447</v>
      </c>
      <c r="E677" s="53">
        <v>2</v>
      </c>
      <c r="F677" s="54">
        <v>47908</v>
      </c>
      <c r="G677" s="54">
        <v>46447</v>
      </c>
      <c r="H677" s="53" t="s">
        <v>105</v>
      </c>
      <c r="I677" s="53" t="s">
        <v>616</v>
      </c>
      <c r="J677" s="53" t="s">
        <v>101</v>
      </c>
      <c r="K677" s="53">
        <v>88.8</v>
      </c>
      <c r="L677" s="53" t="s">
        <v>101</v>
      </c>
      <c r="M677" s="53">
        <v>4.1139999999999999</v>
      </c>
      <c r="N677" s="53">
        <v>4.1139999999999999</v>
      </c>
      <c r="O677" s="53" t="s">
        <v>101</v>
      </c>
      <c r="P677" s="53" t="s">
        <v>448</v>
      </c>
      <c r="Q677" s="53" t="s">
        <v>479</v>
      </c>
      <c r="R677" s="55" t="s">
        <v>454</v>
      </c>
    </row>
    <row r="678" spans="1:18" x14ac:dyDescent="0.5">
      <c r="A678" s="56" t="str">
        <f>"97689QPB6"</f>
        <v>97689QPB6</v>
      </c>
      <c r="B678" s="57" t="s">
        <v>496</v>
      </c>
      <c r="C678" s="57" t="s">
        <v>973</v>
      </c>
      <c r="D678" s="53" t="s">
        <v>447</v>
      </c>
      <c r="E678" s="57">
        <v>1.8</v>
      </c>
      <c r="F678" s="58">
        <v>47908</v>
      </c>
      <c r="G678" s="58">
        <v>47727</v>
      </c>
      <c r="H678" s="57" t="s">
        <v>613</v>
      </c>
      <c r="I678" s="57" t="s">
        <v>509</v>
      </c>
      <c r="J678" s="57" t="s">
        <v>101</v>
      </c>
      <c r="K678" s="57">
        <v>90.409000000000006</v>
      </c>
      <c r="L678" s="57" t="s">
        <v>101</v>
      </c>
      <c r="M678" s="57">
        <v>3.581</v>
      </c>
      <c r="N678" s="57">
        <v>3.581</v>
      </c>
      <c r="O678" s="53" t="s">
        <v>101</v>
      </c>
      <c r="P678" s="57" t="s">
        <v>448</v>
      </c>
      <c r="Q678" s="57" t="s">
        <v>974</v>
      </c>
      <c r="R678" s="59" t="s">
        <v>450</v>
      </c>
    </row>
    <row r="679" spans="1:18" x14ac:dyDescent="0.5">
      <c r="A679" s="52" t="str">
        <f>"851513DG3"</f>
        <v>851513DG3</v>
      </c>
      <c r="B679" s="53" t="s">
        <v>477</v>
      </c>
      <c r="C679" s="53" t="s">
        <v>975</v>
      </c>
      <c r="D679" s="53" t="s">
        <v>447</v>
      </c>
      <c r="E679" s="53">
        <v>3</v>
      </c>
      <c r="F679" s="54">
        <v>47922</v>
      </c>
      <c r="G679" s="54">
        <v>46096</v>
      </c>
      <c r="H679" s="53" t="s">
        <v>105</v>
      </c>
      <c r="I679" s="53" t="s">
        <v>616</v>
      </c>
      <c r="J679" s="53" t="s">
        <v>101</v>
      </c>
      <c r="K679" s="53">
        <v>97.11</v>
      </c>
      <c r="L679" s="53" t="s">
        <v>101</v>
      </c>
      <c r="M679" s="53">
        <v>3.532</v>
      </c>
      <c r="N679" s="53">
        <v>3.532</v>
      </c>
      <c r="O679" s="53" t="s">
        <v>101</v>
      </c>
      <c r="P679" s="53" t="s">
        <v>448</v>
      </c>
      <c r="Q679" s="53" t="s">
        <v>488</v>
      </c>
      <c r="R679" s="55" t="s">
        <v>454</v>
      </c>
    </row>
    <row r="680" spans="1:18" x14ac:dyDescent="0.5">
      <c r="A680" s="56" t="str">
        <f>"075147FV5"</f>
        <v>075147FV5</v>
      </c>
      <c r="B680" s="57" t="s">
        <v>496</v>
      </c>
      <c r="C680" s="57" t="s">
        <v>976</v>
      </c>
      <c r="D680" s="53" t="s">
        <v>447</v>
      </c>
      <c r="E680" s="57">
        <v>3</v>
      </c>
      <c r="F680" s="58">
        <v>47939</v>
      </c>
      <c r="G680" s="58">
        <v>46478</v>
      </c>
      <c r="H680" s="57" t="s">
        <v>641</v>
      </c>
      <c r="I680" s="57" t="s">
        <v>105</v>
      </c>
      <c r="J680" s="57" t="s">
        <v>101</v>
      </c>
      <c r="K680" s="57">
        <v>95.924000000000007</v>
      </c>
      <c r="L680" s="57" t="s">
        <v>101</v>
      </c>
      <c r="M680" s="57">
        <v>3.7509999999999999</v>
      </c>
      <c r="N680" s="57">
        <v>3.7509999999999999</v>
      </c>
      <c r="O680" s="53" t="s">
        <v>101</v>
      </c>
      <c r="P680" s="57" t="s">
        <v>448</v>
      </c>
      <c r="Q680" s="57" t="s">
        <v>527</v>
      </c>
      <c r="R680" s="59" t="s">
        <v>454</v>
      </c>
    </row>
    <row r="681" spans="1:18" x14ac:dyDescent="0.5">
      <c r="A681" s="52" t="str">
        <f>"10607UCD9"</f>
        <v>10607UCD9</v>
      </c>
      <c r="B681" s="53" t="s">
        <v>451</v>
      </c>
      <c r="C681" s="53" t="s">
        <v>977</v>
      </c>
      <c r="D681" s="53" t="s">
        <v>447</v>
      </c>
      <c r="E681" s="53">
        <v>3</v>
      </c>
      <c r="F681" s="54">
        <v>47939</v>
      </c>
      <c r="G681" s="54">
        <v>46478</v>
      </c>
      <c r="H681" s="53" t="s">
        <v>105</v>
      </c>
      <c r="I681" s="53" t="s">
        <v>628</v>
      </c>
      <c r="J681" s="53" t="s">
        <v>101</v>
      </c>
      <c r="K681" s="53">
        <v>96.212000000000003</v>
      </c>
      <c r="L681" s="53" t="s">
        <v>101</v>
      </c>
      <c r="M681" s="53">
        <v>3.6970000000000001</v>
      </c>
      <c r="N681" s="53">
        <v>3.6970000000000001</v>
      </c>
      <c r="O681" s="53" t="s">
        <v>101</v>
      </c>
      <c r="P681" s="53" t="s">
        <v>448</v>
      </c>
      <c r="Q681" s="53" t="s">
        <v>464</v>
      </c>
      <c r="R681" s="55" t="s">
        <v>630</v>
      </c>
    </row>
    <row r="682" spans="1:18" x14ac:dyDescent="0.5">
      <c r="A682" s="56" t="str">
        <f>"233087PM1"</f>
        <v>233087PM1</v>
      </c>
      <c r="B682" s="57" t="s">
        <v>496</v>
      </c>
      <c r="C682" s="57" t="s">
        <v>978</v>
      </c>
      <c r="D682" s="53" t="s">
        <v>447</v>
      </c>
      <c r="E682" s="57">
        <v>3</v>
      </c>
      <c r="F682" s="58">
        <v>47939</v>
      </c>
      <c r="G682" s="58">
        <v>46478</v>
      </c>
      <c r="H682" s="57" t="s">
        <v>624</v>
      </c>
      <c r="I682" s="57" t="s">
        <v>105</v>
      </c>
      <c r="J682" s="57" t="s">
        <v>101</v>
      </c>
      <c r="K682" s="57">
        <v>95.911000000000001</v>
      </c>
      <c r="L682" s="57" t="s">
        <v>101</v>
      </c>
      <c r="M682" s="57">
        <v>3.754</v>
      </c>
      <c r="N682" s="57">
        <v>3.754</v>
      </c>
      <c r="O682" s="53" t="s">
        <v>101</v>
      </c>
      <c r="P682" s="57" t="s">
        <v>448</v>
      </c>
      <c r="Q682" s="57" t="s">
        <v>488</v>
      </c>
      <c r="R682" s="59" t="s">
        <v>454</v>
      </c>
    </row>
    <row r="683" spans="1:18" x14ac:dyDescent="0.5">
      <c r="A683" s="52" t="str">
        <f>"41329PAU6"</f>
        <v>41329PAU6</v>
      </c>
      <c r="B683" s="53" t="s">
        <v>477</v>
      </c>
      <c r="C683" s="53" t="s">
        <v>979</v>
      </c>
      <c r="D683" s="53" t="s">
        <v>447</v>
      </c>
      <c r="E683" s="53">
        <v>2</v>
      </c>
      <c r="F683" s="54">
        <v>47939</v>
      </c>
      <c r="G683" s="54">
        <v>47209</v>
      </c>
      <c r="H683" s="53" t="s">
        <v>624</v>
      </c>
      <c r="I683" s="53" t="s">
        <v>105</v>
      </c>
      <c r="J683" s="53" t="s">
        <v>101</v>
      </c>
      <c r="K683" s="53">
        <v>89.936000000000007</v>
      </c>
      <c r="L683" s="53" t="s">
        <v>101</v>
      </c>
      <c r="M683" s="53">
        <v>3.8620000000000001</v>
      </c>
      <c r="N683" s="53">
        <v>3.8620000000000001</v>
      </c>
      <c r="O683" s="53" t="s">
        <v>101</v>
      </c>
      <c r="P683" s="53" t="s">
        <v>448</v>
      </c>
      <c r="Q683" s="53" t="s">
        <v>538</v>
      </c>
      <c r="R683" s="55" t="s">
        <v>454</v>
      </c>
    </row>
    <row r="684" spans="1:18" x14ac:dyDescent="0.5">
      <c r="A684" s="56" t="str">
        <f>"45203MKT7"</f>
        <v>45203MKT7</v>
      </c>
      <c r="B684" s="57" t="s">
        <v>491</v>
      </c>
      <c r="C684" s="57" t="s">
        <v>980</v>
      </c>
      <c r="D684" s="53" t="s">
        <v>447</v>
      </c>
      <c r="E684" s="57">
        <v>3.7</v>
      </c>
      <c r="F684" s="58">
        <v>47939</v>
      </c>
      <c r="G684" s="58" t="s">
        <v>101</v>
      </c>
      <c r="H684" s="57" t="s">
        <v>104</v>
      </c>
      <c r="I684" s="57" t="s">
        <v>105</v>
      </c>
      <c r="J684" s="57" t="s">
        <v>101</v>
      </c>
      <c r="K684" s="57">
        <v>100.928</v>
      </c>
      <c r="L684" s="57" t="s">
        <v>101</v>
      </c>
      <c r="M684" s="57">
        <v>3.53</v>
      </c>
      <c r="N684" s="57">
        <v>3.53</v>
      </c>
      <c r="O684" s="53" t="s">
        <v>101</v>
      </c>
      <c r="P684" s="57" t="s">
        <v>448</v>
      </c>
      <c r="Q684" s="57" t="s">
        <v>464</v>
      </c>
      <c r="R684" s="59" t="s">
        <v>450</v>
      </c>
    </row>
    <row r="685" spans="1:18" x14ac:dyDescent="0.5">
      <c r="A685" s="52" t="str">
        <f>"489836RD0"</f>
        <v>489836RD0</v>
      </c>
      <c r="B685" s="53" t="s">
        <v>496</v>
      </c>
      <c r="C685" s="53" t="s">
        <v>981</v>
      </c>
      <c r="D685" s="53" t="s">
        <v>447</v>
      </c>
      <c r="E685" s="53">
        <v>3.5</v>
      </c>
      <c r="F685" s="54">
        <v>47939</v>
      </c>
      <c r="G685" s="54">
        <v>45748</v>
      </c>
      <c r="H685" s="53" t="s">
        <v>613</v>
      </c>
      <c r="I685" s="53" t="s">
        <v>105</v>
      </c>
      <c r="J685" s="53" t="s">
        <v>101</v>
      </c>
      <c r="K685" s="53">
        <v>99.53</v>
      </c>
      <c r="L685" s="53" t="s">
        <v>101</v>
      </c>
      <c r="M685" s="53">
        <v>3.5859999999999999</v>
      </c>
      <c r="N685" s="53">
        <v>3.5859999999999999</v>
      </c>
      <c r="O685" s="53" t="s">
        <v>101</v>
      </c>
      <c r="P685" s="53" t="s">
        <v>448</v>
      </c>
      <c r="Q685" s="53" t="s">
        <v>488</v>
      </c>
      <c r="R685" s="55" t="s">
        <v>454</v>
      </c>
    </row>
    <row r="686" spans="1:18" x14ac:dyDescent="0.5">
      <c r="A686" s="56" t="str">
        <f>"489836RY4"</f>
        <v>489836RY4</v>
      </c>
      <c r="B686" s="57" t="s">
        <v>496</v>
      </c>
      <c r="C686" s="57" t="s">
        <v>982</v>
      </c>
      <c r="D686" s="53" t="s">
        <v>447</v>
      </c>
      <c r="E686" s="57">
        <v>3</v>
      </c>
      <c r="F686" s="58">
        <v>47939</v>
      </c>
      <c r="G686" s="58">
        <v>45748</v>
      </c>
      <c r="H686" s="57" t="s">
        <v>613</v>
      </c>
      <c r="I686" s="57" t="s">
        <v>105</v>
      </c>
      <c r="J686" s="57" t="s">
        <v>101</v>
      </c>
      <c r="K686" s="57">
        <v>96.631</v>
      </c>
      <c r="L686" s="57" t="s">
        <v>101</v>
      </c>
      <c r="M686" s="57">
        <v>3.6179999999999999</v>
      </c>
      <c r="N686" s="57">
        <v>3.6179999999999999</v>
      </c>
      <c r="O686" s="53" t="s">
        <v>101</v>
      </c>
      <c r="P686" s="57" t="s">
        <v>448</v>
      </c>
      <c r="Q686" s="57" t="s">
        <v>460</v>
      </c>
      <c r="R686" s="59" t="s">
        <v>454</v>
      </c>
    </row>
    <row r="687" spans="1:18" x14ac:dyDescent="0.5">
      <c r="A687" s="52" t="str">
        <f>"627627QU9"</f>
        <v>627627QU9</v>
      </c>
      <c r="B687" s="53" t="s">
        <v>496</v>
      </c>
      <c r="C687" s="53" t="s">
        <v>983</v>
      </c>
      <c r="D687" s="53" t="s">
        <v>447</v>
      </c>
      <c r="E687" s="53">
        <v>3.25</v>
      </c>
      <c r="F687" s="54">
        <v>47939</v>
      </c>
      <c r="G687" s="54">
        <v>46113</v>
      </c>
      <c r="H687" s="53" t="s">
        <v>105</v>
      </c>
      <c r="I687" s="53" t="s">
        <v>628</v>
      </c>
      <c r="J687" s="53" t="s">
        <v>101</v>
      </c>
      <c r="K687" s="53">
        <v>98.56</v>
      </c>
      <c r="L687" s="53" t="s">
        <v>101</v>
      </c>
      <c r="M687" s="53">
        <v>3.5129999999999999</v>
      </c>
      <c r="N687" s="53">
        <v>3.5129999999999999</v>
      </c>
      <c r="O687" s="53" t="s">
        <v>101</v>
      </c>
      <c r="P687" s="53" t="s">
        <v>448</v>
      </c>
      <c r="Q687" s="53" t="s">
        <v>488</v>
      </c>
      <c r="R687" s="55" t="s">
        <v>454</v>
      </c>
    </row>
    <row r="688" spans="1:18" x14ac:dyDescent="0.5">
      <c r="A688" s="56" t="str">
        <f>"64613AER9"</f>
        <v>64613AER9</v>
      </c>
      <c r="B688" s="57" t="s">
        <v>477</v>
      </c>
      <c r="C688" s="57" t="s">
        <v>984</v>
      </c>
      <c r="D688" s="53" t="s">
        <v>447</v>
      </c>
      <c r="E688" s="57">
        <v>1.7</v>
      </c>
      <c r="F688" s="58">
        <v>47939</v>
      </c>
      <c r="G688" s="58">
        <v>47574</v>
      </c>
      <c r="H688" s="57" t="s">
        <v>613</v>
      </c>
      <c r="I688" s="57" t="s">
        <v>628</v>
      </c>
      <c r="J688" s="57" t="s">
        <v>101</v>
      </c>
      <c r="K688" s="57">
        <v>85.77</v>
      </c>
      <c r="L688" s="57" t="s">
        <v>101</v>
      </c>
      <c r="M688" s="57">
        <v>4.375</v>
      </c>
      <c r="N688" s="57">
        <v>4.375</v>
      </c>
      <c r="O688" s="53" t="s">
        <v>101</v>
      </c>
      <c r="P688" s="57" t="s">
        <v>448</v>
      </c>
      <c r="Q688" s="57" t="s">
        <v>488</v>
      </c>
      <c r="R688" s="59" t="s">
        <v>450</v>
      </c>
    </row>
    <row r="689" spans="1:18" x14ac:dyDescent="0.5">
      <c r="A689" s="52" t="str">
        <f>"64613AHY1"</f>
        <v>64613AHY1</v>
      </c>
      <c r="B689" s="53" t="s">
        <v>477</v>
      </c>
      <c r="C689" s="53" t="s">
        <v>985</v>
      </c>
      <c r="D689" s="53" t="s">
        <v>447</v>
      </c>
      <c r="E689" s="53">
        <v>3.8</v>
      </c>
      <c r="F689" s="54">
        <v>47939</v>
      </c>
      <c r="G689" s="54" t="s">
        <v>101</v>
      </c>
      <c r="H689" s="53" t="s">
        <v>613</v>
      </c>
      <c r="I689" s="53" t="s">
        <v>628</v>
      </c>
      <c r="J689" s="53" t="s">
        <v>101</v>
      </c>
      <c r="K689" s="53">
        <v>101.416</v>
      </c>
      <c r="L689" s="53" t="s">
        <v>101</v>
      </c>
      <c r="M689" s="53">
        <v>3.54</v>
      </c>
      <c r="N689" s="53">
        <v>3.54</v>
      </c>
      <c r="O689" s="53" t="s">
        <v>101</v>
      </c>
      <c r="P689" s="53" t="s">
        <v>448</v>
      </c>
      <c r="Q689" s="53" t="s">
        <v>457</v>
      </c>
      <c r="R689" s="55" t="s">
        <v>450</v>
      </c>
    </row>
    <row r="690" spans="1:18" x14ac:dyDescent="0.5">
      <c r="A690" s="56" t="str">
        <f>"671130QM7"</f>
        <v>671130QM7</v>
      </c>
      <c r="B690" s="57" t="s">
        <v>496</v>
      </c>
      <c r="C690" s="57" t="s">
        <v>986</v>
      </c>
      <c r="D690" s="53" t="s">
        <v>447</v>
      </c>
      <c r="E690" s="57">
        <v>3</v>
      </c>
      <c r="F690" s="58">
        <v>47939</v>
      </c>
      <c r="G690" s="58">
        <v>46844</v>
      </c>
      <c r="H690" s="57" t="s">
        <v>613</v>
      </c>
      <c r="I690" s="57" t="s">
        <v>105</v>
      </c>
      <c r="J690" s="57" t="s">
        <v>101</v>
      </c>
      <c r="K690" s="57">
        <v>97.016999999999996</v>
      </c>
      <c r="L690" s="57" t="s">
        <v>101</v>
      </c>
      <c r="M690" s="57">
        <v>3.5459999999999998</v>
      </c>
      <c r="N690" s="57">
        <v>3.5459999999999998</v>
      </c>
      <c r="O690" s="53" t="s">
        <v>101</v>
      </c>
      <c r="P690" s="57" t="s">
        <v>448</v>
      </c>
      <c r="Q690" s="57" t="s">
        <v>457</v>
      </c>
      <c r="R690" s="59" t="s">
        <v>454</v>
      </c>
    </row>
    <row r="691" spans="1:18" x14ac:dyDescent="0.5">
      <c r="A691" s="52" t="str">
        <f>"75686JAP6"</f>
        <v>75686JAP6</v>
      </c>
      <c r="B691" s="53" t="s">
        <v>451</v>
      </c>
      <c r="C691" s="53" t="s">
        <v>987</v>
      </c>
      <c r="D691" s="53" t="s">
        <v>447</v>
      </c>
      <c r="E691" s="53">
        <v>3.125</v>
      </c>
      <c r="F691" s="54">
        <v>47939</v>
      </c>
      <c r="G691" s="54">
        <v>46113</v>
      </c>
      <c r="H691" s="53" t="s">
        <v>105</v>
      </c>
      <c r="I691" s="53" t="s">
        <v>713</v>
      </c>
      <c r="J691" s="53" t="s">
        <v>101</v>
      </c>
      <c r="K691" s="53">
        <v>95.938000000000002</v>
      </c>
      <c r="L691" s="53" t="s">
        <v>101</v>
      </c>
      <c r="M691" s="53">
        <v>3.8769999999999998</v>
      </c>
      <c r="N691" s="53">
        <v>3.8769999999999998</v>
      </c>
      <c r="O691" s="53" t="s">
        <v>101</v>
      </c>
      <c r="P691" s="53" t="s">
        <v>448</v>
      </c>
      <c r="Q691" s="53" t="s">
        <v>485</v>
      </c>
      <c r="R691" s="55" t="s">
        <v>771</v>
      </c>
    </row>
    <row r="692" spans="1:18" x14ac:dyDescent="0.5">
      <c r="A692" s="56" t="str">
        <f>"866849H54"</f>
        <v>866849H54</v>
      </c>
      <c r="B692" s="57" t="s">
        <v>496</v>
      </c>
      <c r="C692" s="57" t="s">
        <v>988</v>
      </c>
      <c r="D692" s="53" t="s">
        <v>447</v>
      </c>
      <c r="E692" s="57">
        <v>3</v>
      </c>
      <c r="F692" s="58">
        <v>47939</v>
      </c>
      <c r="G692" s="58">
        <v>46478</v>
      </c>
      <c r="H692" s="57" t="s">
        <v>613</v>
      </c>
      <c r="I692" s="57" t="s">
        <v>105</v>
      </c>
      <c r="J692" s="57" t="s">
        <v>101</v>
      </c>
      <c r="K692" s="57">
        <v>97.216999999999999</v>
      </c>
      <c r="L692" s="57" t="s">
        <v>101</v>
      </c>
      <c r="M692" s="57">
        <v>3.5089999999999999</v>
      </c>
      <c r="N692" s="57">
        <v>3.5089999999999999</v>
      </c>
      <c r="O692" s="53" t="s">
        <v>101</v>
      </c>
      <c r="P692" s="57" t="s">
        <v>448</v>
      </c>
      <c r="Q692" s="57" t="s">
        <v>503</v>
      </c>
      <c r="R692" s="59" t="s">
        <v>454</v>
      </c>
    </row>
    <row r="693" spans="1:18" x14ac:dyDescent="0.5">
      <c r="A693" s="52" t="str">
        <f>"943186NV4"</f>
        <v>943186NV4</v>
      </c>
      <c r="B693" s="53" t="s">
        <v>496</v>
      </c>
      <c r="C693" s="53" t="s">
        <v>989</v>
      </c>
      <c r="D693" s="53" t="s">
        <v>447</v>
      </c>
      <c r="E693" s="53">
        <v>3.375</v>
      </c>
      <c r="F693" s="54">
        <v>47939</v>
      </c>
      <c r="G693" s="54">
        <v>45748</v>
      </c>
      <c r="H693" s="53" t="s">
        <v>641</v>
      </c>
      <c r="I693" s="53" t="s">
        <v>105</v>
      </c>
      <c r="J693" s="53" t="s">
        <v>101</v>
      </c>
      <c r="K693" s="53">
        <v>98.393000000000001</v>
      </c>
      <c r="L693" s="53" t="s">
        <v>101</v>
      </c>
      <c r="M693" s="53">
        <v>3.67</v>
      </c>
      <c r="N693" s="53">
        <v>3.67</v>
      </c>
      <c r="O693" s="53" t="s">
        <v>101</v>
      </c>
      <c r="P693" s="53" t="s">
        <v>448</v>
      </c>
      <c r="Q693" s="53" t="s">
        <v>503</v>
      </c>
      <c r="R693" s="55" t="s">
        <v>454</v>
      </c>
    </row>
    <row r="694" spans="1:18" x14ac:dyDescent="0.5">
      <c r="A694" s="56" t="str">
        <f>"951173SL8"</f>
        <v>951173SL8</v>
      </c>
      <c r="B694" s="57" t="s">
        <v>496</v>
      </c>
      <c r="C694" s="57" t="s">
        <v>990</v>
      </c>
      <c r="D694" s="53" t="s">
        <v>447</v>
      </c>
      <c r="E694" s="57">
        <v>2</v>
      </c>
      <c r="F694" s="58">
        <v>47939</v>
      </c>
      <c r="G694" s="58">
        <v>47209</v>
      </c>
      <c r="H694" s="57" t="s">
        <v>613</v>
      </c>
      <c r="I694" s="57" t="s">
        <v>105</v>
      </c>
      <c r="J694" s="57" t="s">
        <v>101</v>
      </c>
      <c r="K694" s="57">
        <v>87.968999999999994</v>
      </c>
      <c r="L694" s="57" t="s">
        <v>101</v>
      </c>
      <c r="M694" s="57">
        <v>4.2530000000000001</v>
      </c>
      <c r="N694" s="57">
        <v>4.2530000000000001</v>
      </c>
      <c r="O694" s="53" t="s">
        <v>101</v>
      </c>
      <c r="P694" s="57" t="s">
        <v>448</v>
      </c>
      <c r="Q694" s="57" t="s">
        <v>503</v>
      </c>
      <c r="R694" s="59" t="s">
        <v>454</v>
      </c>
    </row>
    <row r="695" spans="1:18" x14ac:dyDescent="0.5">
      <c r="A695" s="52" t="str">
        <f>"610253DP8"</f>
        <v>610253DP8</v>
      </c>
      <c r="B695" s="53" t="s">
        <v>491</v>
      </c>
      <c r="C695" s="53" t="s">
        <v>991</v>
      </c>
      <c r="D695" s="53" t="s">
        <v>447</v>
      </c>
      <c r="E695" s="53">
        <v>3.5</v>
      </c>
      <c r="F695" s="54">
        <v>47953</v>
      </c>
      <c r="G695" s="54">
        <v>46127</v>
      </c>
      <c r="H695" s="53" t="s">
        <v>624</v>
      </c>
      <c r="I695" s="53" t="s">
        <v>628</v>
      </c>
      <c r="J695" s="53" t="s">
        <v>101</v>
      </c>
      <c r="K695" s="53">
        <v>99.6</v>
      </c>
      <c r="L695" s="53" t="s">
        <v>101</v>
      </c>
      <c r="M695" s="53">
        <v>3.5720000000000001</v>
      </c>
      <c r="N695" s="53">
        <v>3.5720000000000001</v>
      </c>
      <c r="O695" s="53" t="s">
        <v>101</v>
      </c>
      <c r="P695" s="53" t="s">
        <v>448</v>
      </c>
      <c r="Q695" s="53" t="s">
        <v>479</v>
      </c>
      <c r="R695" s="55" t="s">
        <v>630</v>
      </c>
    </row>
    <row r="696" spans="1:18" x14ac:dyDescent="0.5">
      <c r="A696" s="56" t="str">
        <f>"674818CL1"</f>
        <v>674818CL1</v>
      </c>
      <c r="B696" s="57" t="s">
        <v>477</v>
      </c>
      <c r="C696" s="57" t="s">
        <v>992</v>
      </c>
      <c r="D696" s="53" t="s">
        <v>447</v>
      </c>
      <c r="E696" s="57">
        <v>2</v>
      </c>
      <c r="F696" s="58">
        <v>47953</v>
      </c>
      <c r="G696" s="58">
        <v>46858</v>
      </c>
      <c r="H696" s="57" t="s">
        <v>610</v>
      </c>
      <c r="I696" s="57" t="s">
        <v>628</v>
      </c>
      <c r="J696" s="57" t="s">
        <v>101</v>
      </c>
      <c r="K696" s="57">
        <v>89.57</v>
      </c>
      <c r="L696" s="57" t="s">
        <v>101</v>
      </c>
      <c r="M696" s="57">
        <v>3.923</v>
      </c>
      <c r="N696" s="57">
        <v>3.923</v>
      </c>
      <c r="O696" s="53" t="s">
        <v>101</v>
      </c>
      <c r="P696" s="57" t="s">
        <v>448</v>
      </c>
      <c r="Q696" s="57" t="s">
        <v>503</v>
      </c>
      <c r="R696" s="59" t="s">
        <v>630</v>
      </c>
    </row>
    <row r="697" spans="1:18" x14ac:dyDescent="0.5">
      <c r="A697" s="52" t="str">
        <f>"74443DJF9"</f>
        <v>74443DJF9</v>
      </c>
      <c r="B697" s="53" t="s">
        <v>496</v>
      </c>
      <c r="C697" s="53" t="s">
        <v>993</v>
      </c>
      <c r="D697" s="53" t="s">
        <v>447</v>
      </c>
      <c r="E697" s="53">
        <v>5</v>
      </c>
      <c r="F697" s="54">
        <v>47953</v>
      </c>
      <c r="G697" s="54" t="s">
        <v>101</v>
      </c>
      <c r="H697" s="53" t="s">
        <v>105</v>
      </c>
      <c r="I697" s="53" t="s">
        <v>611</v>
      </c>
      <c r="J697" s="53" t="s">
        <v>101</v>
      </c>
      <c r="K697" s="53">
        <v>107.69499999999999</v>
      </c>
      <c r="L697" s="53" t="s">
        <v>101</v>
      </c>
      <c r="M697" s="53">
        <v>3.5950000000000002</v>
      </c>
      <c r="N697" s="53">
        <v>3.5950000000000002</v>
      </c>
      <c r="O697" s="53" t="s">
        <v>101</v>
      </c>
      <c r="P697" s="53" t="s">
        <v>448</v>
      </c>
      <c r="Q697" s="53" t="s">
        <v>457</v>
      </c>
      <c r="R697" s="55" t="s">
        <v>506</v>
      </c>
    </row>
    <row r="698" spans="1:18" x14ac:dyDescent="0.5">
      <c r="A698" s="56" t="str">
        <f>"080689FG2"</f>
        <v>080689FG2</v>
      </c>
      <c r="B698" s="57" t="s">
        <v>496</v>
      </c>
      <c r="C698" s="57" t="s">
        <v>994</v>
      </c>
      <c r="D698" s="53" t="s">
        <v>447</v>
      </c>
      <c r="E698" s="57">
        <v>3.125</v>
      </c>
      <c r="F698" s="58">
        <v>47969</v>
      </c>
      <c r="G698" s="58">
        <v>46143</v>
      </c>
      <c r="H698" s="57" t="s">
        <v>105</v>
      </c>
      <c r="I698" s="57" t="s">
        <v>628</v>
      </c>
      <c r="J698" s="57" t="s">
        <v>101</v>
      </c>
      <c r="K698" s="57">
        <v>97.82</v>
      </c>
      <c r="L698" s="57" t="s">
        <v>101</v>
      </c>
      <c r="M698" s="57">
        <v>3.5190000000000001</v>
      </c>
      <c r="N698" s="57">
        <v>3.5190000000000001</v>
      </c>
      <c r="O698" s="53" t="s">
        <v>101</v>
      </c>
      <c r="P698" s="57" t="s">
        <v>448</v>
      </c>
      <c r="Q698" s="57" t="s">
        <v>457</v>
      </c>
      <c r="R698" s="59" t="s">
        <v>771</v>
      </c>
    </row>
    <row r="699" spans="1:18" x14ac:dyDescent="0.5">
      <c r="A699" s="52" t="str">
        <f>"108443RY0"</f>
        <v>108443RY0</v>
      </c>
      <c r="B699" s="53" t="s">
        <v>451</v>
      </c>
      <c r="C699" s="53" t="s">
        <v>995</v>
      </c>
      <c r="D699" s="53" t="s">
        <v>447</v>
      </c>
      <c r="E699" s="53">
        <v>2.75</v>
      </c>
      <c r="F699" s="54">
        <v>47969</v>
      </c>
      <c r="G699" s="54">
        <v>45733</v>
      </c>
      <c r="H699" s="53" t="s">
        <v>105</v>
      </c>
      <c r="I699" s="53" t="s">
        <v>628</v>
      </c>
      <c r="J699" s="53" t="s">
        <v>101</v>
      </c>
      <c r="K699" s="53">
        <v>93.450999999999993</v>
      </c>
      <c r="L699" s="53" t="s">
        <v>101</v>
      </c>
      <c r="M699" s="53">
        <v>3.95</v>
      </c>
      <c r="N699" s="53">
        <v>3.95</v>
      </c>
      <c r="O699" s="53" t="s">
        <v>101</v>
      </c>
      <c r="P699" s="53" t="s">
        <v>448</v>
      </c>
      <c r="Q699" s="53" t="s">
        <v>488</v>
      </c>
      <c r="R699" s="55" t="s">
        <v>771</v>
      </c>
    </row>
    <row r="700" spans="1:18" x14ac:dyDescent="0.5">
      <c r="A700" s="56" t="str">
        <f>"225903DM2"</f>
        <v>225903DM2</v>
      </c>
      <c r="B700" s="57" t="s">
        <v>491</v>
      </c>
      <c r="C700" s="57" t="s">
        <v>996</v>
      </c>
      <c r="D700" s="53" t="s">
        <v>447</v>
      </c>
      <c r="E700" s="57">
        <v>3</v>
      </c>
      <c r="F700" s="58">
        <v>47969</v>
      </c>
      <c r="G700" s="58">
        <v>46508</v>
      </c>
      <c r="H700" s="57" t="s">
        <v>105</v>
      </c>
      <c r="I700" s="57" t="s">
        <v>628</v>
      </c>
      <c r="J700" s="57" t="s">
        <v>101</v>
      </c>
      <c r="K700" s="57">
        <v>96.98</v>
      </c>
      <c r="L700" s="57" t="s">
        <v>101</v>
      </c>
      <c r="M700" s="57">
        <v>3.5459999999999998</v>
      </c>
      <c r="N700" s="57">
        <v>3.5459999999999998</v>
      </c>
      <c r="O700" s="53" t="s">
        <v>101</v>
      </c>
      <c r="P700" s="57" t="s">
        <v>448</v>
      </c>
      <c r="Q700" s="57" t="s">
        <v>479</v>
      </c>
      <c r="R700" s="59" t="s">
        <v>771</v>
      </c>
    </row>
    <row r="701" spans="1:18" x14ac:dyDescent="0.5">
      <c r="A701" s="52" t="str">
        <f>"225903DZ3"</f>
        <v>225903DZ3</v>
      </c>
      <c r="B701" s="53" t="s">
        <v>491</v>
      </c>
      <c r="C701" s="53" t="s">
        <v>997</v>
      </c>
      <c r="D701" s="53" t="s">
        <v>447</v>
      </c>
      <c r="E701" s="53">
        <v>3</v>
      </c>
      <c r="F701" s="54">
        <v>47969</v>
      </c>
      <c r="G701" s="54">
        <v>46508</v>
      </c>
      <c r="H701" s="53" t="s">
        <v>105</v>
      </c>
      <c r="I701" s="53" t="s">
        <v>628</v>
      </c>
      <c r="J701" s="53" t="s">
        <v>101</v>
      </c>
      <c r="K701" s="53">
        <v>96.638999999999996</v>
      </c>
      <c r="L701" s="53" t="s">
        <v>101</v>
      </c>
      <c r="M701" s="53">
        <v>3.609</v>
      </c>
      <c r="N701" s="53">
        <v>3.609</v>
      </c>
      <c r="O701" s="53" t="s">
        <v>101</v>
      </c>
      <c r="P701" s="53" t="s">
        <v>448</v>
      </c>
      <c r="Q701" s="53" t="s">
        <v>485</v>
      </c>
      <c r="R701" s="55" t="s">
        <v>771</v>
      </c>
    </row>
    <row r="702" spans="1:18" x14ac:dyDescent="0.5">
      <c r="A702" s="56" t="str">
        <f>"68825REV8"</f>
        <v>68825REV8</v>
      </c>
      <c r="B702" s="57" t="s">
        <v>496</v>
      </c>
      <c r="C702" s="57" t="s">
        <v>998</v>
      </c>
      <c r="D702" s="53" t="s">
        <v>447</v>
      </c>
      <c r="E702" s="57">
        <v>3.25</v>
      </c>
      <c r="F702" s="58">
        <v>47969</v>
      </c>
      <c r="G702" s="58">
        <v>45733</v>
      </c>
      <c r="H702" s="57" t="s">
        <v>641</v>
      </c>
      <c r="I702" s="57" t="s">
        <v>628</v>
      </c>
      <c r="J702" s="57" t="s">
        <v>101</v>
      </c>
      <c r="K702" s="57">
        <v>98.503</v>
      </c>
      <c r="L702" s="57" t="s">
        <v>101</v>
      </c>
      <c r="M702" s="57">
        <v>3.52</v>
      </c>
      <c r="N702" s="57">
        <v>3.52</v>
      </c>
      <c r="O702" s="53" t="s">
        <v>101</v>
      </c>
      <c r="P702" s="57" t="s">
        <v>448</v>
      </c>
      <c r="Q702" s="57" t="s">
        <v>457</v>
      </c>
      <c r="R702" s="59" t="s">
        <v>771</v>
      </c>
    </row>
    <row r="703" spans="1:18" x14ac:dyDescent="0.5">
      <c r="A703" s="52" t="str">
        <f>"68825VEA5"</f>
        <v>68825VEA5</v>
      </c>
      <c r="B703" s="53" t="s">
        <v>496</v>
      </c>
      <c r="C703" s="53" t="s">
        <v>999</v>
      </c>
      <c r="D703" s="53" t="s">
        <v>447</v>
      </c>
      <c r="E703" s="53">
        <v>3.25</v>
      </c>
      <c r="F703" s="54">
        <v>47969</v>
      </c>
      <c r="G703" s="54">
        <v>45733</v>
      </c>
      <c r="H703" s="53" t="s">
        <v>624</v>
      </c>
      <c r="I703" s="53" t="s">
        <v>105</v>
      </c>
      <c r="J703" s="53" t="s">
        <v>101</v>
      </c>
      <c r="K703" s="53">
        <v>97.453000000000003</v>
      </c>
      <c r="L703" s="53" t="s">
        <v>101</v>
      </c>
      <c r="M703" s="53">
        <v>3.7130000000000001</v>
      </c>
      <c r="N703" s="53">
        <v>3.7130000000000001</v>
      </c>
      <c r="O703" s="53" t="s">
        <v>101</v>
      </c>
      <c r="P703" s="53" t="s">
        <v>448</v>
      </c>
      <c r="Q703" s="53" t="s">
        <v>485</v>
      </c>
      <c r="R703" s="55" t="s">
        <v>504</v>
      </c>
    </row>
    <row r="704" spans="1:18" x14ac:dyDescent="0.5">
      <c r="A704" s="56" t="str">
        <f>"836753LV3"</f>
        <v>836753LV3</v>
      </c>
      <c r="B704" s="57" t="s">
        <v>499</v>
      </c>
      <c r="C704" s="57" t="s">
        <v>1000</v>
      </c>
      <c r="D704" s="53" t="s">
        <v>447</v>
      </c>
      <c r="E704" s="57">
        <v>2.75</v>
      </c>
      <c r="F704" s="58">
        <v>47969</v>
      </c>
      <c r="G704" s="58">
        <v>46143</v>
      </c>
      <c r="H704" s="57" t="s">
        <v>624</v>
      </c>
      <c r="I704" s="57" t="s">
        <v>628</v>
      </c>
      <c r="J704" s="57" t="s">
        <v>101</v>
      </c>
      <c r="K704" s="57">
        <v>94.41</v>
      </c>
      <c r="L704" s="57" t="s">
        <v>101</v>
      </c>
      <c r="M704" s="57">
        <v>3.7679999999999998</v>
      </c>
      <c r="N704" s="57">
        <v>3.7679999999999998</v>
      </c>
      <c r="O704" s="53" t="s">
        <v>101</v>
      </c>
      <c r="P704" s="57" t="s">
        <v>448</v>
      </c>
      <c r="Q704" s="57" t="s">
        <v>1001</v>
      </c>
      <c r="R704" s="59" t="s">
        <v>506</v>
      </c>
    </row>
    <row r="705" spans="1:18" x14ac:dyDescent="0.5">
      <c r="A705" s="52" t="str">
        <f>"836753MV2"</f>
        <v>836753MV2</v>
      </c>
      <c r="B705" s="53" t="s">
        <v>499</v>
      </c>
      <c r="C705" s="53" t="s">
        <v>1002</v>
      </c>
      <c r="D705" s="53" t="s">
        <v>447</v>
      </c>
      <c r="E705" s="53">
        <v>3.25</v>
      </c>
      <c r="F705" s="54">
        <v>47969</v>
      </c>
      <c r="G705" s="54">
        <v>46508</v>
      </c>
      <c r="H705" s="53" t="s">
        <v>624</v>
      </c>
      <c r="I705" s="53" t="s">
        <v>628</v>
      </c>
      <c r="J705" s="53" t="s">
        <v>101</v>
      </c>
      <c r="K705" s="53">
        <v>98.451999999999998</v>
      </c>
      <c r="L705" s="53" t="s">
        <v>101</v>
      </c>
      <c r="M705" s="53">
        <v>3.5289999999999999</v>
      </c>
      <c r="N705" s="53">
        <v>3.5289999999999999</v>
      </c>
      <c r="O705" s="53" t="s">
        <v>101</v>
      </c>
      <c r="P705" s="53" t="s">
        <v>448</v>
      </c>
      <c r="Q705" s="53" t="s">
        <v>469</v>
      </c>
      <c r="R705" s="55" t="s">
        <v>506</v>
      </c>
    </row>
    <row r="706" spans="1:18" x14ac:dyDescent="0.5">
      <c r="A706" s="56" t="str">
        <f>"943368FJ4"</f>
        <v>943368FJ4</v>
      </c>
      <c r="B706" s="57" t="s">
        <v>496</v>
      </c>
      <c r="C706" s="57" t="s">
        <v>1003</v>
      </c>
      <c r="D706" s="53" t="s">
        <v>447</v>
      </c>
      <c r="E706" s="57">
        <v>2.125</v>
      </c>
      <c r="F706" s="58">
        <v>47969</v>
      </c>
      <c r="G706" s="58">
        <v>46508</v>
      </c>
      <c r="H706" s="57" t="s">
        <v>624</v>
      </c>
      <c r="I706" s="57" t="s">
        <v>105</v>
      </c>
      <c r="J706" s="57" t="s">
        <v>101</v>
      </c>
      <c r="K706" s="57">
        <v>88.87</v>
      </c>
      <c r="L706" s="57" t="s">
        <v>101</v>
      </c>
      <c r="M706" s="57">
        <v>4.18</v>
      </c>
      <c r="N706" s="57">
        <v>4.18</v>
      </c>
      <c r="O706" s="53" t="s">
        <v>101</v>
      </c>
      <c r="P706" s="57" t="s">
        <v>448</v>
      </c>
      <c r="Q706" s="57" t="s">
        <v>790</v>
      </c>
      <c r="R706" s="59" t="s">
        <v>504</v>
      </c>
    </row>
    <row r="707" spans="1:18" x14ac:dyDescent="0.5">
      <c r="A707" s="52" t="str">
        <f>"166510BX4"</f>
        <v>166510BX4</v>
      </c>
      <c r="B707" s="53" t="s">
        <v>477</v>
      </c>
      <c r="C707" s="53" t="s">
        <v>1004</v>
      </c>
      <c r="D707" s="53" t="s">
        <v>447</v>
      </c>
      <c r="E707" s="53">
        <v>2.5</v>
      </c>
      <c r="F707" s="54">
        <v>47983</v>
      </c>
      <c r="G707" s="54">
        <v>46157</v>
      </c>
      <c r="H707" s="53" t="s">
        <v>105</v>
      </c>
      <c r="I707" s="53" t="s">
        <v>616</v>
      </c>
      <c r="J707" s="53" t="s">
        <v>101</v>
      </c>
      <c r="K707" s="53">
        <v>94.036000000000001</v>
      </c>
      <c r="L707" s="53" t="s">
        <v>101</v>
      </c>
      <c r="M707" s="53">
        <v>3.5739999999999998</v>
      </c>
      <c r="N707" s="53">
        <v>3.5739999999999998</v>
      </c>
      <c r="O707" s="53" t="s">
        <v>101</v>
      </c>
      <c r="P707" s="53" t="s">
        <v>448</v>
      </c>
      <c r="Q707" s="53" t="s">
        <v>527</v>
      </c>
      <c r="R707" s="55" t="s">
        <v>454</v>
      </c>
    </row>
    <row r="708" spans="1:18" x14ac:dyDescent="0.5">
      <c r="A708" s="56" t="str">
        <f>"04184KNJ0"</f>
        <v>04184KNJ0</v>
      </c>
      <c r="B708" s="57" t="s">
        <v>451</v>
      </c>
      <c r="C708" s="57" t="s">
        <v>1005</v>
      </c>
      <c r="D708" s="53" t="s">
        <v>447</v>
      </c>
      <c r="E708" s="57">
        <v>3.25</v>
      </c>
      <c r="F708" s="58">
        <v>48000</v>
      </c>
      <c r="G708" s="58">
        <v>45733</v>
      </c>
      <c r="H708" s="57" t="s">
        <v>540</v>
      </c>
      <c r="I708" s="57" t="s">
        <v>104</v>
      </c>
      <c r="J708" s="57" t="s">
        <v>101</v>
      </c>
      <c r="K708" s="57">
        <v>98.47</v>
      </c>
      <c r="L708" s="57" t="s">
        <v>101</v>
      </c>
      <c r="M708" s="57">
        <v>3.5230000000000001</v>
      </c>
      <c r="N708" s="57">
        <v>3.5230000000000001</v>
      </c>
      <c r="O708" s="53" t="s">
        <v>101</v>
      </c>
      <c r="P708" s="57" t="s">
        <v>448</v>
      </c>
      <c r="Q708" s="57" t="s">
        <v>488</v>
      </c>
      <c r="R708" s="59" t="s">
        <v>504</v>
      </c>
    </row>
    <row r="709" spans="1:18" x14ac:dyDescent="0.5">
      <c r="A709" s="52" t="str">
        <f>"045142CW4"</f>
        <v>045142CW4</v>
      </c>
      <c r="B709" s="53" t="s">
        <v>496</v>
      </c>
      <c r="C709" s="53" t="s">
        <v>1006</v>
      </c>
      <c r="D709" s="53" t="s">
        <v>447</v>
      </c>
      <c r="E709" s="53">
        <v>2.35</v>
      </c>
      <c r="F709" s="54">
        <v>48000</v>
      </c>
      <c r="G709" s="54">
        <v>47270</v>
      </c>
      <c r="H709" s="53" t="s">
        <v>613</v>
      </c>
      <c r="I709" s="53" t="s">
        <v>628</v>
      </c>
      <c r="J709" s="53" t="s">
        <v>101</v>
      </c>
      <c r="K709" s="53">
        <v>89.85</v>
      </c>
      <c r="L709" s="53" t="s">
        <v>101</v>
      </c>
      <c r="M709" s="53">
        <v>4.2039999999999997</v>
      </c>
      <c r="N709" s="53">
        <v>4.2039999999999997</v>
      </c>
      <c r="O709" s="53" t="s">
        <v>101</v>
      </c>
      <c r="P709" s="53" t="s">
        <v>448</v>
      </c>
      <c r="Q709" s="53" t="s">
        <v>485</v>
      </c>
      <c r="R709" s="55" t="s">
        <v>450</v>
      </c>
    </row>
    <row r="710" spans="1:18" x14ac:dyDescent="0.5">
      <c r="A710" s="56" t="str">
        <f>"048483L74"</f>
        <v>048483L74</v>
      </c>
      <c r="B710" s="57" t="s">
        <v>477</v>
      </c>
      <c r="C710" s="57" t="s">
        <v>1007</v>
      </c>
      <c r="D710" s="53" t="s">
        <v>447</v>
      </c>
      <c r="E710" s="57">
        <v>2</v>
      </c>
      <c r="F710" s="58">
        <v>48000</v>
      </c>
      <c r="G710" s="58">
        <v>46905</v>
      </c>
      <c r="H710" s="57" t="s">
        <v>613</v>
      </c>
      <c r="I710" s="57" t="s">
        <v>628</v>
      </c>
      <c r="J710" s="57" t="s">
        <v>101</v>
      </c>
      <c r="K710" s="57">
        <v>88.573999999999998</v>
      </c>
      <c r="L710" s="57" t="s">
        <v>101</v>
      </c>
      <c r="M710" s="57">
        <v>4.0789999999999997</v>
      </c>
      <c r="N710" s="57">
        <v>4.0789999999999997</v>
      </c>
      <c r="O710" s="53" t="s">
        <v>101</v>
      </c>
      <c r="P710" s="57" t="s">
        <v>448</v>
      </c>
      <c r="Q710" s="57" t="s">
        <v>1008</v>
      </c>
      <c r="R710" s="59" t="s">
        <v>454</v>
      </c>
    </row>
    <row r="711" spans="1:18" x14ac:dyDescent="0.5">
      <c r="A711" s="52" t="str">
        <f>"119133GX8"</f>
        <v>119133GX8</v>
      </c>
      <c r="B711" s="53" t="s">
        <v>477</v>
      </c>
      <c r="C711" s="53" t="s">
        <v>1009</v>
      </c>
      <c r="D711" s="53" t="s">
        <v>447</v>
      </c>
      <c r="E711" s="53">
        <v>2</v>
      </c>
      <c r="F711" s="54">
        <v>48000</v>
      </c>
      <c r="G711" s="54">
        <v>46905</v>
      </c>
      <c r="H711" s="53" t="s">
        <v>105</v>
      </c>
      <c r="I711" s="53" t="s">
        <v>628</v>
      </c>
      <c r="J711" s="53" t="s">
        <v>101</v>
      </c>
      <c r="K711" s="53">
        <v>88.597999999999999</v>
      </c>
      <c r="L711" s="53" t="s">
        <v>101</v>
      </c>
      <c r="M711" s="53">
        <v>4.0739999999999998</v>
      </c>
      <c r="N711" s="53">
        <v>4.0739999999999998</v>
      </c>
      <c r="O711" s="53" t="s">
        <v>101</v>
      </c>
      <c r="P711" s="53" t="s">
        <v>448</v>
      </c>
      <c r="Q711" s="53" t="s">
        <v>488</v>
      </c>
      <c r="R711" s="55" t="s">
        <v>630</v>
      </c>
    </row>
    <row r="712" spans="1:18" x14ac:dyDescent="0.5">
      <c r="A712" s="56" t="str">
        <f>"213309RC3"</f>
        <v>213309RC3</v>
      </c>
      <c r="B712" s="57" t="s">
        <v>491</v>
      </c>
      <c r="C712" s="57" t="s">
        <v>1010</v>
      </c>
      <c r="D712" s="53" t="s">
        <v>447</v>
      </c>
      <c r="E712" s="57">
        <v>3</v>
      </c>
      <c r="F712" s="58">
        <v>48000</v>
      </c>
      <c r="G712" s="58">
        <v>47635</v>
      </c>
      <c r="H712" s="57" t="s">
        <v>624</v>
      </c>
      <c r="I712" s="57" t="s">
        <v>105</v>
      </c>
      <c r="J712" s="57" t="s">
        <v>101</v>
      </c>
      <c r="K712" s="57">
        <v>94.971999999999994</v>
      </c>
      <c r="L712" s="57" t="s">
        <v>101</v>
      </c>
      <c r="M712" s="57">
        <v>3.9089999999999998</v>
      </c>
      <c r="N712" s="57">
        <v>3.9089999999999998</v>
      </c>
      <c r="O712" s="53" t="s">
        <v>101</v>
      </c>
      <c r="P712" s="57" t="s">
        <v>448</v>
      </c>
      <c r="Q712" s="57" t="s">
        <v>460</v>
      </c>
      <c r="R712" s="59" t="s">
        <v>482</v>
      </c>
    </row>
    <row r="713" spans="1:18" x14ac:dyDescent="0.5">
      <c r="A713" s="52" t="str">
        <f>"213309RT6"</f>
        <v>213309RT6</v>
      </c>
      <c r="B713" s="53" t="s">
        <v>491</v>
      </c>
      <c r="C713" s="53" t="s">
        <v>1010</v>
      </c>
      <c r="D713" s="53" t="s">
        <v>447</v>
      </c>
      <c r="E713" s="53">
        <v>3</v>
      </c>
      <c r="F713" s="54">
        <v>48000</v>
      </c>
      <c r="G713" s="54">
        <v>47635</v>
      </c>
      <c r="H713" s="53" t="s">
        <v>624</v>
      </c>
      <c r="I713" s="53" t="s">
        <v>105</v>
      </c>
      <c r="J713" s="53" t="s">
        <v>101</v>
      </c>
      <c r="K713" s="53">
        <v>96.125</v>
      </c>
      <c r="L713" s="53" t="s">
        <v>101</v>
      </c>
      <c r="M713" s="53">
        <v>3.6960000000000002</v>
      </c>
      <c r="N713" s="53">
        <v>3.6960000000000002</v>
      </c>
      <c r="O713" s="53" t="s">
        <v>101</v>
      </c>
      <c r="P713" s="53" t="s">
        <v>448</v>
      </c>
      <c r="Q713" s="53" t="s">
        <v>571</v>
      </c>
      <c r="R713" s="55" t="s">
        <v>454</v>
      </c>
    </row>
    <row r="714" spans="1:18" x14ac:dyDescent="0.5">
      <c r="A714" s="56" t="str">
        <f>"405815LF6"</f>
        <v>405815LF6</v>
      </c>
      <c r="B714" s="57" t="s">
        <v>499</v>
      </c>
      <c r="C714" s="57" t="s">
        <v>1011</v>
      </c>
      <c r="D714" s="53" t="s">
        <v>447</v>
      </c>
      <c r="E714" s="57">
        <v>3.375</v>
      </c>
      <c r="F714" s="58">
        <v>48000</v>
      </c>
      <c r="G714" s="58">
        <v>46174</v>
      </c>
      <c r="H714" s="57" t="s">
        <v>105</v>
      </c>
      <c r="I714" s="57" t="s">
        <v>713</v>
      </c>
      <c r="J714" s="57" t="s">
        <v>101</v>
      </c>
      <c r="K714" s="57">
        <v>97.57</v>
      </c>
      <c r="L714" s="57" t="s">
        <v>101</v>
      </c>
      <c r="M714" s="57">
        <v>3.8130000000000002</v>
      </c>
      <c r="N714" s="57">
        <v>3.8130000000000002</v>
      </c>
      <c r="O714" s="53" t="s">
        <v>101</v>
      </c>
      <c r="P714" s="57" t="s">
        <v>448</v>
      </c>
      <c r="Q714" s="57" t="s">
        <v>565</v>
      </c>
      <c r="R714" s="59" t="s">
        <v>450</v>
      </c>
    </row>
    <row r="715" spans="1:18" x14ac:dyDescent="0.5">
      <c r="A715" s="52" t="str">
        <f>"415513HA1"</f>
        <v>415513HA1</v>
      </c>
      <c r="B715" s="53" t="s">
        <v>477</v>
      </c>
      <c r="C715" s="53" t="s">
        <v>1012</v>
      </c>
      <c r="D715" s="53" t="s">
        <v>447</v>
      </c>
      <c r="E715" s="53">
        <v>3</v>
      </c>
      <c r="F715" s="54">
        <v>48000</v>
      </c>
      <c r="G715" s="54">
        <v>46539</v>
      </c>
      <c r="H715" s="53" t="s">
        <v>105</v>
      </c>
      <c r="I715" s="53" t="s">
        <v>628</v>
      </c>
      <c r="J715" s="53" t="s">
        <v>101</v>
      </c>
      <c r="K715" s="53">
        <v>97.197000000000003</v>
      </c>
      <c r="L715" s="53" t="s">
        <v>101</v>
      </c>
      <c r="M715" s="53">
        <v>3.5</v>
      </c>
      <c r="N715" s="53">
        <v>3.5</v>
      </c>
      <c r="O715" s="53" t="s">
        <v>101</v>
      </c>
      <c r="P715" s="53" t="s">
        <v>448</v>
      </c>
      <c r="Q715" s="53" t="s">
        <v>488</v>
      </c>
      <c r="R715" s="55" t="s">
        <v>454</v>
      </c>
    </row>
    <row r="716" spans="1:18" x14ac:dyDescent="0.5">
      <c r="A716" s="56" t="str">
        <f>"60242MEA7"</f>
        <v>60242MEA7</v>
      </c>
      <c r="B716" s="57" t="s">
        <v>496</v>
      </c>
      <c r="C716" s="57" t="s">
        <v>1013</v>
      </c>
      <c r="D716" s="53" t="s">
        <v>447</v>
      </c>
      <c r="E716" s="57">
        <v>3</v>
      </c>
      <c r="F716" s="58">
        <v>48000</v>
      </c>
      <c r="G716" s="58">
        <v>46174</v>
      </c>
      <c r="H716" s="57" t="s">
        <v>105</v>
      </c>
      <c r="I716" s="57" t="s">
        <v>633</v>
      </c>
      <c r="J716" s="57" t="s">
        <v>101</v>
      </c>
      <c r="K716" s="57">
        <v>94.59</v>
      </c>
      <c r="L716" s="57" t="s">
        <v>101</v>
      </c>
      <c r="M716" s="57">
        <v>3.9809999999999999</v>
      </c>
      <c r="N716" s="57">
        <v>3.9809999999999999</v>
      </c>
      <c r="O716" s="53" t="s">
        <v>101</v>
      </c>
      <c r="P716" s="57" t="s">
        <v>448</v>
      </c>
      <c r="Q716" s="57" t="s">
        <v>1014</v>
      </c>
      <c r="R716" s="59" t="s">
        <v>589</v>
      </c>
    </row>
    <row r="717" spans="1:18" x14ac:dyDescent="0.5">
      <c r="A717" s="52" t="str">
        <f>"656066QV2"</f>
        <v>656066QV2</v>
      </c>
      <c r="B717" s="53" t="s">
        <v>491</v>
      </c>
      <c r="C717" s="53" t="s">
        <v>1015</v>
      </c>
      <c r="D717" s="53" t="s">
        <v>447</v>
      </c>
      <c r="E717" s="53">
        <v>3.25</v>
      </c>
      <c r="F717" s="54">
        <v>48000</v>
      </c>
      <c r="G717" s="54">
        <v>46174</v>
      </c>
      <c r="H717" s="53" t="s">
        <v>540</v>
      </c>
      <c r="I717" s="53" t="s">
        <v>105</v>
      </c>
      <c r="J717" s="53" t="s">
        <v>101</v>
      </c>
      <c r="K717" s="53">
        <v>98.43</v>
      </c>
      <c r="L717" s="53" t="s">
        <v>101</v>
      </c>
      <c r="M717" s="53">
        <v>3.53</v>
      </c>
      <c r="N717" s="53">
        <v>3.53</v>
      </c>
      <c r="O717" s="53" t="s">
        <v>101</v>
      </c>
      <c r="P717" s="53" t="s">
        <v>448</v>
      </c>
      <c r="Q717" s="53" t="s">
        <v>488</v>
      </c>
      <c r="R717" s="55" t="s">
        <v>454</v>
      </c>
    </row>
    <row r="718" spans="1:18" x14ac:dyDescent="0.5">
      <c r="A718" s="56" t="str">
        <f>"68825WKR9"</f>
        <v>68825WKR9</v>
      </c>
      <c r="B718" s="57" t="s">
        <v>496</v>
      </c>
      <c r="C718" s="57" t="s">
        <v>1016</v>
      </c>
      <c r="D718" s="53" t="s">
        <v>447</v>
      </c>
      <c r="E718" s="57">
        <v>2</v>
      </c>
      <c r="F718" s="58">
        <v>48000</v>
      </c>
      <c r="G718" s="58">
        <v>46905</v>
      </c>
      <c r="H718" s="57" t="s">
        <v>624</v>
      </c>
      <c r="I718" s="57" t="s">
        <v>105</v>
      </c>
      <c r="J718" s="57" t="s">
        <v>101</v>
      </c>
      <c r="K718" s="57">
        <v>87.647999999999996</v>
      </c>
      <c r="L718" s="57" t="s">
        <v>101</v>
      </c>
      <c r="M718" s="57">
        <v>4.26</v>
      </c>
      <c r="N718" s="57">
        <v>4.26</v>
      </c>
      <c r="O718" s="53" t="s">
        <v>101</v>
      </c>
      <c r="P718" s="57" t="s">
        <v>448</v>
      </c>
      <c r="Q718" s="57" t="s">
        <v>457</v>
      </c>
      <c r="R718" s="59" t="s">
        <v>454</v>
      </c>
    </row>
    <row r="719" spans="1:18" x14ac:dyDescent="0.5">
      <c r="A719" s="52" t="str">
        <f>"74442CCR3"</f>
        <v>74442CCR3</v>
      </c>
      <c r="B719" s="53" t="s">
        <v>496</v>
      </c>
      <c r="C719" s="53" t="s">
        <v>1017</v>
      </c>
      <c r="D719" s="53" t="s">
        <v>447</v>
      </c>
      <c r="E719" s="53">
        <v>5</v>
      </c>
      <c r="F719" s="54">
        <v>48000</v>
      </c>
      <c r="G719" s="54">
        <v>47635</v>
      </c>
      <c r="H719" s="53" t="s">
        <v>105</v>
      </c>
      <c r="I719" s="53" t="s">
        <v>611</v>
      </c>
      <c r="J719" s="53" t="s">
        <v>101</v>
      </c>
      <c r="K719" s="53">
        <v>106.995</v>
      </c>
      <c r="L719" s="53" t="s">
        <v>101</v>
      </c>
      <c r="M719" s="53">
        <v>3.536</v>
      </c>
      <c r="N719" s="53">
        <v>3.74</v>
      </c>
      <c r="O719" s="53" t="s">
        <v>101</v>
      </c>
      <c r="P719" s="53" t="s">
        <v>448</v>
      </c>
      <c r="Q719" s="53" t="s">
        <v>453</v>
      </c>
      <c r="R719" s="55" t="s">
        <v>450</v>
      </c>
    </row>
    <row r="720" spans="1:18" x14ac:dyDescent="0.5">
      <c r="A720" s="56" t="str">
        <f>"754025HP2"</f>
        <v>754025HP2</v>
      </c>
      <c r="B720" s="57" t="s">
        <v>477</v>
      </c>
      <c r="C720" s="57" t="s">
        <v>1018</v>
      </c>
      <c r="D720" s="53" t="s">
        <v>447</v>
      </c>
      <c r="E720" s="57">
        <v>2</v>
      </c>
      <c r="F720" s="58">
        <v>48000</v>
      </c>
      <c r="G720" s="58">
        <v>46539</v>
      </c>
      <c r="H720" s="57" t="s">
        <v>105</v>
      </c>
      <c r="I720" s="57" t="s">
        <v>509</v>
      </c>
      <c r="J720" s="57" t="s">
        <v>101</v>
      </c>
      <c r="K720" s="57">
        <v>90.376000000000005</v>
      </c>
      <c r="L720" s="57" t="s">
        <v>101</v>
      </c>
      <c r="M720" s="57">
        <v>3.7309999999999999</v>
      </c>
      <c r="N720" s="57">
        <v>3.7309999999999999</v>
      </c>
      <c r="O720" s="53" t="s">
        <v>101</v>
      </c>
      <c r="P720" s="57" t="s">
        <v>448</v>
      </c>
      <c r="Q720" s="57" t="s">
        <v>485</v>
      </c>
      <c r="R720" s="59" t="s">
        <v>454</v>
      </c>
    </row>
    <row r="721" spans="1:18" x14ac:dyDescent="0.5">
      <c r="A721" s="52" t="str">
        <f>"928836NJ0"</f>
        <v>928836NJ0</v>
      </c>
      <c r="B721" s="53" t="s">
        <v>499</v>
      </c>
      <c r="C721" s="53" t="s">
        <v>1019</v>
      </c>
      <c r="D721" s="53" t="s">
        <v>447</v>
      </c>
      <c r="E721" s="53">
        <v>5</v>
      </c>
      <c r="F721" s="54">
        <v>48000</v>
      </c>
      <c r="G721" s="54" t="s">
        <v>105</v>
      </c>
      <c r="H721" s="53" t="s">
        <v>670</v>
      </c>
      <c r="I721" s="53" t="s">
        <v>633</v>
      </c>
      <c r="J721" s="53" t="s">
        <v>101</v>
      </c>
      <c r="K721" s="53">
        <v>108.181</v>
      </c>
      <c r="L721" s="53" t="s">
        <v>101</v>
      </c>
      <c r="M721" s="53">
        <v>3.536</v>
      </c>
      <c r="N721" s="53">
        <v>3.536</v>
      </c>
      <c r="O721" s="53" t="s">
        <v>101</v>
      </c>
      <c r="P721" s="53" t="s">
        <v>448</v>
      </c>
      <c r="Q721" s="53" t="s">
        <v>475</v>
      </c>
      <c r="R721" s="55" t="s">
        <v>608</v>
      </c>
    </row>
    <row r="722" spans="1:18" x14ac:dyDescent="0.5">
      <c r="A722" s="56" t="str">
        <f>"452227LZ2"</f>
        <v>452227LZ2</v>
      </c>
      <c r="B722" s="57" t="s">
        <v>491</v>
      </c>
      <c r="C722" s="57" t="s">
        <v>1020</v>
      </c>
      <c r="D722" s="53" t="s">
        <v>447</v>
      </c>
      <c r="E722" s="57">
        <v>3</v>
      </c>
      <c r="F722" s="58">
        <v>48014</v>
      </c>
      <c r="G722" s="58">
        <v>46188</v>
      </c>
      <c r="H722" s="57" t="s">
        <v>105</v>
      </c>
      <c r="I722" s="57" t="s">
        <v>611</v>
      </c>
      <c r="J722" s="57" t="s">
        <v>101</v>
      </c>
      <c r="K722" s="57">
        <v>92.59</v>
      </c>
      <c r="L722" s="57" t="s">
        <v>101</v>
      </c>
      <c r="M722" s="57">
        <v>4.3520000000000003</v>
      </c>
      <c r="N722" s="57">
        <v>4.3520000000000003</v>
      </c>
      <c r="O722" s="53" t="s">
        <v>101</v>
      </c>
      <c r="P722" s="57" t="s">
        <v>448</v>
      </c>
      <c r="Q722" s="57" t="s">
        <v>503</v>
      </c>
      <c r="R722" s="59" t="s">
        <v>589</v>
      </c>
    </row>
    <row r="723" spans="1:18" x14ac:dyDescent="0.5">
      <c r="A723" s="52" t="str">
        <f>"768466EB6"</f>
        <v>768466EB6</v>
      </c>
      <c r="B723" s="53" t="s">
        <v>477</v>
      </c>
      <c r="C723" s="53" t="s">
        <v>1021</v>
      </c>
      <c r="D723" s="53" t="s">
        <v>447</v>
      </c>
      <c r="E723" s="53">
        <v>2</v>
      </c>
      <c r="F723" s="54">
        <v>48014</v>
      </c>
      <c r="G723" s="54">
        <v>46919</v>
      </c>
      <c r="H723" s="53" t="s">
        <v>105</v>
      </c>
      <c r="I723" s="53" t="s">
        <v>628</v>
      </c>
      <c r="J723" s="53" t="s">
        <v>101</v>
      </c>
      <c r="K723" s="53">
        <v>89.058000000000007</v>
      </c>
      <c r="L723" s="53" t="s">
        <v>101</v>
      </c>
      <c r="M723" s="53">
        <v>3.9729999999999999</v>
      </c>
      <c r="N723" s="53">
        <v>3.9729999999999999</v>
      </c>
      <c r="O723" s="53" t="s">
        <v>101</v>
      </c>
      <c r="P723" s="53" t="s">
        <v>448</v>
      </c>
      <c r="Q723" s="53" t="s">
        <v>635</v>
      </c>
      <c r="R723" s="55" t="s">
        <v>454</v>
      </c>
    </row>
    <row r="724" spans="1:18" x14ac:dyDescent="0.5">
      <c r="A724" s="56" t="str">
        <f>"794101TW5"</f>
        <v>794101TW5</v>
      </c>
      <c r="B724" s="57" t="s">
        <v>477</v>
      </c>
      <c r="C724" s="57" t="s">
        <v>1022</v>
      </c>
      <c r="D724" s="53" t="s">
        <v>447</v>
      </c>
      <c r="E724" s="57">
        <v>2.25</v>
      </c>
      <c r="F724" s="58">
        <v>48014</v>
      </c>
      <c r="G724" s="58">
        <v>46188</v>
      </c>
      <c r="H724" s="57" t="s">
        <v>105</v>
      </c>
      <c r="I724" s="57" t="s">
        <v>628</v>
      </c>
      <c r="J724" s="57" t="s">
        <v>101</v>
      </c>
      <c r="K724" s="57">
        <v>90.826999999999998</v>
      </c>
      <c r="L724" s="57" t="s">
        <v>101</v>
      </c>
      <c r="M724" s="57">
        <v>3.9</v>
      </c>
      <c r="N724" s="57">
        <v>3.9</v>
      </c>
      <c r="O724" s="53" t="s">
        <v>101</v>
      </c>
      <c r="P724" s="57" t="s">
        <v>448</v>
      </c>
      <c r="Q724" s="57" t="s">
        <v>722</v>
      </c>
      <c r="R724" s="59" t="s">
        <v>630</v>
      </c>
    </row>
    <row r="725" spans="1:18" x14ac:dyDescent="0.5">
      <c r="A725" s="52" t="str">
        <f>"869265B31"</f>
        <v>869265B31</v>
      </c>
      <c r="B725" s="53" t="s">
        <v>477</v>
      </c>
      <c r="C725" s="53" t="s">
        <v>1023</v>
      </c>
      <c r="D725" s="53" t="s">
        <v>447</v>
      </c>
      <c r="E725" s="53">
        <v>2</v>
      </c>
      <c r="F725" s="54">
        <v>48014</v>
      </c>
      <c r="G725" s="54">
        <v>46919</v>
      </c>
      <c r="H725" s="53" t="s">
        <v>105</v>
      </c>
      <c r="I725" s="53" t="s">
        <v>509</v>
      </c>
      <c r="J725" s="53" t="s">
        <v>101</v>
      </c>
      <c r="K725" s="53">
        <v>88.400999999999996</v>
      </c>
      <c r="L725" s="53" t="s">
        <v>101</v>
      </c>
      <c r="M725" s="53">
        <v>4.0999999999999996</v>
      </c>
      <c r="N725" s="53">
        <v>4.0999999999999996</v>
      </c>
      <c r="O725" s="53" t="s">
        <v>101</v>
      </c>
      <c r="P725" s="53" t="s">
        <v>448</v>
      </c>
      <c r="Q725" s="53" t="s">
        <v>457</v>
      </c>
      <c r="R725" s="55" t="s">
        <v>482</v>
      </c>
    </row>
    <row r="726" spans="1:18" x14ac:dyDescent="0.5">
      <c r="A726" s="56" t="str">
        <f>"267169FY1"</f>
        <v>267169FY1</v>
      </c>
      <c r="B726" s="57" t="s">
        <v>499</v>
      </c>
      <c r="C726" s="57" t="s">
        <v>1024</v>
      </c>
      <c r="D726" s="53" t="s">
        <v>447</v>
      </c>
      <c r="E726" s="57">
        <v>3.5</v>
      </c>
      <c r="F726" s="58">
        <v>48030</v>
      </c>
      <c r="G726" s="58">
        <v>45839</v>
      </c>
      <c r="H726" s="57" t="s">
        <v>105</v>
      </c>
      <c r="I726" s="57" t="s">
        <v>658</v>
      </c>
      <c r="J726" s="57" t="s">
        <v>101</v>
      </c>
      <c r="K726" s="57">
        <v>99.15</v>
      </c>
      <c r="L726" s="57" t="s">
        <v>101</v>
      </c>
      <c r="M726" s="57">
        <v>3.65</v>
      </c>
      <c r="N726" s="57">
        <v>3.65</v>
      </c>
      <c r="O726" s="53" t="s">
        <v>101</v>
      </c>
      <c r="P726" s="57" t="s">
        <v>448</v>
      </c>
      <c r="Q726" s="57" t="s">
        <v>573</v>
      </c>
      <c r="R726" s="59" t="s">
        <v>504</v>
      </c>
    </row>
    <row r="727" spans="1:18" x14ac:dyDescent="0.5">
      <c r="A727" s="52" t="str">
        <f>"341583DL3"</f>
        <v>341583DL3</v>
      </c>
      <c r="B727" s="53" t="s">
        <v>499</v>
      </c>
      <c r="C727" s="53" t="s">
        <v>1025</v>
      </c>
      <c r="D727" s="53" t="s">
        <v>447</v>
      </c>
      <c r="E727" s="53">
        <v>3</v>
      </c>
      <c r="F727" s="54">
        <v>48030</v>
      </c>
      <c r="G727" s="54">
        <v>46569</v>
      </c>
      <c r="H727" s="53" t="s">
        <v>613</v>
      </c>
      <c r="I727" s="53" t="s">
        <v>509</v>
      </c>
      <c r="J727" s="53" t="s">
        <v>101</v>
      </c>
      <c r="K727" s="53">
        <v>96.79</v>
      </c>
      <c r="L727" s="53" t="s">
        <v>101</v>
      </c>
      <c r="M727" s="53">
        <v>3.5670000000000002</v>
      </c>
      <c r="N727" s="53">
        <v>3.5670000000000002</v>
      </c>
      <c r="O727" s="53" t="s">
        <v>101</v>
      </c>
      <c r="P727" s="53" t="s">
        <v>448</v>
      </c>
      <c r="Q727" s="53" t="s">
        <v>488</v>
      </c>
      <c r="R727" s="55" t="s">
        <v>504</v>
      </c>
    </row>
    <row r="728" spans="1:18" x14ac:dyDescent="0.5">
      <c r="A728" s="56" t="str">
        <f>"406107AQ5"</f>
        <v>406107AQ5</v>
      </c>
      <c r="B728" s="57" t="s">
        <v>499</v>
      </c>
      <c r="C728" s="57" t="s">
        <v>1026</v>
      </c>
      <c r="D728" s="53" t="s">
        <v>447</v>
      </c>
      <c r="E728" s="57">
        <v>3</v>
      </c>
      <c r="F728" s="58">
        <v>48030</v>
      </c>
      <c r="G728" s="58">
        <v>46204</v>
      </c>
      <c r="H728" s="57" t="s">
        <v>105</v>
      </c>
      <c r="I728" s="57" t="s">
        <v>628</v>
      </c>
      <c r="J728" s="57" t="s">
        <v>101</v>
      </c>
      <c r="K728" s="57">
        <v>95.781999999999996</v>
      </c>
      <c r="L728" s="57" t="s">
        <v>101</v>
      </c>
      <c r="M728" s="57">
        <v>3.75</v>
      </c>
      <c r="N728" s="57">
        <v>3.75</v>
      </c>
      <c r="O728" s="53" t="s">
        <v>101</v>
      </c>
      <c r="P728" s="57" t="s">
        <v>448</v>
      </c>
      <c r="Q728" s="57" t="s">
        <v>485</v>
      </c>
      <c r="R728" s="59" t="s">
        <v>454</v>
      </c>
    </row>
    <row r="729" spans="1:18" x14ac:dyDescent="0.5">
      <c r="A729" s="52" t="str">
        <f>"511354EE8"</f>
        <v>511354EE8</v>
      </c>
      <c r="B729" s="53" t="s">
        <v>499</v>
      </c>
      <c r="C729" s="53" t="s">
        <v>1027</v>
      </c>
      <c r="D729" s="53" t="s">
        <v>447</v>
      </c>
      <c r="E729" s="53">
        <v>3</v>
      </c>
      <c r="F729" s="54">
        <v>48030</v>
      </c>
      <c r="G729" s="54">
        <v>46569</v>
      </c>
      <c r="H729" s="53" t="s">
        <v>641</v>
      </c>
      <c r="I729" s="53" t="s">
        <v>182</v>
      </c>
      <c r="J729" s="53" t="s">
        <v>101</v>
      </c>
      <c r="K729" s="53">
        <v>95.82</v>
      </c>
      <c r="L729" s="53" t="s">
        <v>101</v>
      </c>
      <c r="M729" s="53">
        <v>3.7429999999999999</v>
      </c>
      <c r="N729" s="53">
        <v>3.7429999999999999</v>
      </c>
      <c r="O729" s="53" t="s">
        <v>101</v>
      </c>
      <c r="P729" s="53" t="s">
        <v>448</v>
      </c>
      <c r="Q729" s="53" t="s">
        <v>488</v>
      </c>
      <c r="R729" s="55" t="s">
        <v>454</v>
      </c>
    </row>
    <row r="730" spans="1:18" x14ac:dyDescent="0.5">
      <c r="A730" s="56" t="str">
        <f>"6460654R0"</f>
        <v>6460654R0</v>
      </c>
      <c r="B730" s="57" t="s">
        <v>477</v>
      </c>
      <c r="C730" s="57" t="s">
        <v>1028</v>
      </c>
      <c r="D730" s="53" t="s">
        <v>447</v>
      </c>
      <c r="E730" s="57">
        <v>3.125</v>
      </c>
      <c r="F730" s="58">
        <v>48030</v>
      </c>
      <c r="G730" s="58">
        <v>45733</v>
      </c>
      <c r="H730" s="57" t="s">
        <v>670</v>
      </c>
      <c r="I730" s="57" t="s">
        <v>105</v>
      </c>
      <c r="J730" s="57" t="s">
        <v>101</v>
      </c>
      <c r="K730" s="57">
        <v>92.84</v>
      </c>
      <c r="L730" s="57" t="s">
        <v>101</v>
      </c>
      <c r="M730" s="57">
        <v>4.4269999999999996</v>
      </c>
      <c r="N730" s="57">
        <v>4.4269999999999996</v>
      </c>
      <c r="O730" s="53" t="s">
        <v>101</v>
      </c>
      <c r="P730" s="57" t="s">
        <v>448</v>
      </c>
      <c r="Q730" s="57" t="s">
        <v>457</v>
      </c>
      <c r="R730" s="59" t="s">
        <v>450</v>
      </c>
    </row>
    <row r="731" spans="1:18" x14ac:dyDescent="0.5">
      <c r="A731" s="52" t="str">
        <f>"723203AP0"</f>
        <v>723203AP0</v>
      </c>
      <c r="B731" s="53" t="s">
        <v>499</v>
      </c>
      <c r="C731" s="53" t="s">
        <v>1029</v>
      </c>
      <c r="D731" s="53" t="s">
        <v>447</v>
      </c>
      <c r="E731" s="53">
        <v>3</v>
      </c>
      <c r="F731" s="54">
        <v>48030</v>
      </c>
      <c r="G731" s="54">
        <v>46569</v>
      </c>
      <c r="H731" s="53" t="s">
        <v>610</v>
      </c>
      <c r="I731" s="53" t="s">
        <v>105</v>
      </c>
      <c r="J731" s="53" t="s">
        <v>101</v>
      </c>
      <c r="K731" s="53">
        <v>95.180999999999997</v>
      </c>
      <c r="L731" s="53" t="s">
        <v>101</v>
      </c>
      <c r="M731" s="53">
        <v>3.86</v>
      </c>
      <c r="N731" s="53">
        <v>3.86</v>
      </c>
      <c r="O731" s="53" t="s">
        <v>101</v>
      </c>
      <c r="P731" s="53" t="s">
        <v>448</v>
      </c>
      <c r="Q731" s="53" t="s">
        <v>488</v>
      </c>
      <c r="R731" s="55" t="s">
        <v>504</v>
      </c>
    </row>
    <row r="732" spans="1:18" x14ac:dyDescent="0.5">
      <c r="A732" s="56" t="str">
        <f>"875161CD1"</f>
        <v>875161CD1</v>
      </c>
      <c r="B732" s="57" t="s">
        <v>499</v>
      </c>
      <c r="C732" s="57" t="s">
        <v>1030</v>
      </c>
      <c r="D732" s="53" t="s">
        <v>447</v>
      </c>
      <c r="E732" s="57">
        <v>3.25</v>
      </c>
      <c r="F732" s="58">
        <v>48030</v>
      </c>
      <c r="G732" s="58">
        <v>46204</v>
      </c>
      <c r="H732" s="57" t="s">
        <v>610</v>
      </c>
      <c r="I732" s="57" t="s">
        <v>611</v>
      </c>
      <c r="J732" s="57" t="s">
        <v>101</v>
      </c>
      <c r="K732" s="57">
        <v>97.65</v>
      </c>
      <c r="L732" s="57" t="s">
        <v>101</v>
      </c>
      <c r="M732" s="57">
        <v>3.6669999999999998</v>
      </c>
      <c r="N732" s="57">
        <v>3.6669999999999998</v>
      </c>
      <c r="O732" s="53" t="s">
        <v>101</v>
      </c>
      <c r="P732" s="57" t="s">
        <v>448</v>
      </c>
      <c r="Q732" s="57" t="s">
        <v>475</v>
      </c>
      <c r="R732" s="59" t="s">
        <v>506</v>
      </c>
    </row>
    <row r="733" spans="1:18" x14ac:dyDescent="0.5">
      <c r="A733" s="52" t="str">
        <f>"377784GA5"</f>
        <v>377784GA5</v>
      </c>
      <c r="B733" s="53" t="s">
        <v>477</v>
      </c>
      <c r="C733" s="53" t="s">
        <v>1031</v>
      </c>
      <c r="D733" s="53" t="s">
        <v>447</v>
      </c>
      <c r="E733" s="53">
        <v>2.375</v>
      </c>
      <c r="F733" s="54">
        <v>48044</v>
      </c>
      <c r="G733" s="54">
        <v>46218</v>
      </c>
      <c r="H733" s="53" t="s">
        <v>105</v>
      </c>
      <c r="I733" s="53" t="s">
        <v>509</v>
      </c>
      <c r="J733" s="53" t="s">
        <v>101</v>
      </c>
      <c r="K733" s="53">
        <v>91.156000000000006</v>
      </c>
      <c r="L733" s="53" t="s">
        <v>101</v>
      </c>
      <c r="M733" s="53">
        <v>3.95</v>
      </c>
      <c r="N733" s="53">
        <v>3.95</v>
      </c>
      <c r="O733" s="53" t="s">
        <v>101</v>
      </c>
      <c r="P733" s="53" t="s">
        <v>448</v>
      </c>
      <c r="Q733" s="53" t="s">
        <v>790</v>
      </c>
      <c r="R733" s="55" t="s">
        <v>454</v>
      </c>
    </row>
    <row r="734" spans="1:18" x14ac:dyDescent="0.5">
      <c r="A734" s="56" t="str">
        <f>"931388DT6"</f>
        <v>931388DT6</v>
      </c>
      <c r="B734" s="57" t="s">
        <v>477</v>
      </c>
      <c r="C734" s="57" t="s">
        <v>1032</v>
      </c>
      <c r="D734" s="53" t="s">
        <v>447</v>
      </c>
      <c r="E734" s="57">
        <v>2</v>
      </c>
      <c r="F734" s="58">
        <v>48044</v>
      </c>
      <c r="G734" s="58">
        <v>46949</v>
      </c>
      <c r="H734" s="57" t="s">
        <v>105</v>
      </c>
      <c r="I734" s="57" t="s">
        <v>628</v>
      </c>
      <c r="J734" s="57" t="s">
        <v>101</v>
      </c>
      <c r="K734" s="57">
        <v>88.234999999999999</v>
      </c>
      <c r="L734" s="57" t="s">
        <v>101</v>
      </c>
      <c r="M734" s="57">
        <v>4.1059999999999999</v>
      </c>
      <c r="N734" s="57">
        <v>4.1059999999999999</v>
      </c>
      <c r="O734" s="53" t="s">
        <v>101</v>
      </c>
      <c r="P734" s="57" t="s">
        <v>448</v>
      </c>
      <c r="Q734" s="57" t="s">
        <v>453</v>
      </c>
      <c r="R734" s="59" t="s">
        <v>454</v>
      </c>
    </row>
    <row r="735" spans="1:18" x14ac:dyDescent="0.5">
      <c r="A735" s="52" t="str">
        <f>"978879HK3"</f>
        <v>978879HK3</v>
      </c>
      <c r="B735" s="53" t="s">
        <v>477</v>
      </c>
      <c r="C735" s="53" t="s">
        <v>1033</v>
      </c>
      <c r="D735" s="53" t="s">
        <v>447</v>
      </c>
      <c r="E735" s="53">
        <v>2.75</v>
      </c>
      <c r="F735" s="54">
        <v>48044</v>
      </c>
      <c r="G735" s="54">
        <v>45733</v>
      </c>
      <c r="H735" s="53" t="s">
        <v>610</v>
      </c>
      <c r="I735" s="53" t="s">
        <v>105</v>
      </c>
      <c r="J735" s="53" t="s">
        <v>101</v>
      </c>
      <c r="K735" s="53">
        <v>94.489000000000004</v>
      </c>
      <c r="L735" s="53" t="s">
        <v>101</v>
      </c>
      <c r="M735" s="53">
        <v>3.7240000000000002</v>
      </c>
      <c r="N735" s="53">
        <v>3.7240000000000002</v>
      </c>
      <c r="O735" s="53" t="s">
        <v>101</v>
      </c>
      <c r="P735" s="53" t="s">
        <v>448</v>
      </c>
      <c r="Q735" s="53" t="s">
        <v>573</v>
      </c>
      <c r="R735" s="55" t="s">
        <v>454</v>
      </c>
    </row>
    <row r="736" spans="1:18" x14ac:dyDescent="0.5">
      <c r="A736" s="56" t="str">
        <f>"139042WD3"</f>
        <v>139042WD3</v>
      </c>
      <c r="B736" s="57" t="s">
        <v>451</v>
      </c>
      <c r="C736" s="57" t="s">
        <v>1034</v>
      </c>
      <c r="D736" s="53" t="s">
        <v>447</v>
      </c>
      <c r="E736" s="57">
        <v>3</v>
      </c>
      <c r="F736" s="58">
        <v>48061</v>
      </c>
      <c r="G736" s="58">
        <v>47696</v>
      </c>
      <c r="H736" s="57" t="s">
        <v>105</v>
      </c>
      <c r="I736" s="57" t="s">
        <v>509</v>
      </c>
      <c r="J736" s="57" t="s">
        <v>101</v>
      </c>
      <c r="K736" s="57">
        <v>96.49</v>
      </c>
      <c r="L736" s="57" t="s">
        <v>101</v>
      </c>
      <c r="M736" s="57">
        <v>3.6150000000000002</v>
      </c>
      <c r="N736" s="57">
        <v>3.6150000000000002</v>
      </c>
      <c r="O736" s="53" t="s">
        <v>101</v>
      </c>
      <c r="P736" s="57" t="s">
        <v>448</v>
      </c>
      <c r="Q736" s="57" t="s">
        <v>488</v>
      </c>
      <c r="R736" s="59" t="s">
        <v>504</v>
      </c>
    </row>
    <row r="737" spans="1:18" x14ac:dyDescent="0.5">
      <c r="A737" s="52" t="str">
        <f>"519385EF1"</f>
        <v>519385EF1</v>
      </c>
      <c r="B737" s="53" t="s">
        <v>451</v>
      </c>
      <c r="C737" s="53" t="s">
        <v>1035</v>
      </c>
      <c r="D737" s="53" t="s">
        <v>447</v>
      </c>
      <c r="E737" s="53">
        <v>3.5</v>
      </c>
      <c r="F737" s="54">
        <v>48061</v>
      </c>
      <c r="G737" s="54">
        <v>45733</v>
      </c>
      <c r="H737" s="53" t="s">
        <v>105</v>
      </c>
      <c r="I737" s="53" t="s">
        <v>616</v>
      </c>
      <c r="J737" s="53" t="s">
        <v>101</v>
      </c>
      <c r="K737" s="53">
        <v>97.959000000000003</v>
      </c>
      <c r="L737" s="53" t="s">
        <v>101</v>
      </c>
      <c r="M737" s="53">
        <v>3.86</v>
      </c>
      <c r="N737" s="53">
        <v>3.86</v>
      </c>
      <c r="O737" s="53" t="s">
        <v>101</v>
      </c>
      <c r="P737" s="53" t="s">
        <v>448</v>
      </c>
      <c r="Q737" s="53" t="s">
        <v>457</v>
      </c>
      <c r="R737" s="55" t="s">
        <v>504</v>
      </c>
    </row>
    <row r="738" spans="1:18" x14ac:dyDescent="0.5">
      <c r="A738" s="56" t="str">
        <f>"537173MB9"</f>
        <v>537173MB9</v>
      </c>
      <c r="B738" s="57" t="s">
        <v>477</v>
      </c>
      <c r="C738" s="57" t="s">
        <v>1036</v>
      </c>
      <c r="D738" s="53" t="s">
        <v>447</v>
      </c>
      <c r="E738" s="57">
        <v>2</v>
      </c>
      <c r="F738" s="58">
        <v>48061</v>
      </c>
      <c r="G738" s="58">
        <v>46966</v>
      </c>
      <c r="H738" s="57" t="s">
        <v>105</v>
      </c>
      <c r="I738" s="57" t="s">
        <v>628</v>
      </c>
      <c r="J738" s="57" t="s">
        <v>101</v>
      </c>
      <c r="K738" s="57">
        <v>87.688000000000002</v>
      </c>
      <c r="L738" s="57" t="s">
        <v>101</v>
      </c>
      <c r="M738" s="57">
        <v>4.1980000000000004</v>
      </c>
      <c r="N738" s="57">
        <v>4.1980000000000004</v>
      </c>
      <c r="O738" s="53" t="s">
        <v>101</v>
      </c>
      <c r="P738" s="57" t="s">
        <v>448</v>
      </c>
      <c r="Q738" s="57" t="s">
        <v>488</v>
      </c>
      <c r="R738" s="59" t="s">
        <v>454</v>
      </c>
    </row>
    <row r="739" spans="1:18" x14ac:dyDescent="0.5">
      <c r="A739" s="52" t="str">
        <f>"880162EZ1"</f>
        <v>880162EZ1</v>
      </c>
      <c r="B739" s="53" t="s">
        <v>451</v>
      </c>
      <c r="C739" s="53" t="s">
        <v>1037</v>
      </c>
      <c r="D739" s="53" t="s">
        <v>447</v>
      </c>
      <c r="E739" s="53">
        <v>3</v>
      </c>
      <c r="F739" s="54">
        <v>48061</v>
      </c>
      <c r="G739" s="54">
        <v>46235</v>
      </c>
      <c r="H739" s="53" t="s">
        <v>105</v>
      </c>
      <c r="I739" s="53" t="s">
        <v>628</v>
      </c>
      <c r="J739" s="53" t="s">
        <v>101</v>
      </c>
      <c r="K739" s="53">
        <v>96.141999999999996</v>
      </c>
      <c r="L739" s="53" t="s">
        <v>101</v>
      </c>
      <c r="M739" s="53">
        <v>3.677</v>
      </c>
      <c r="N739" s="53">
        <v>3.677</v>
      </c>
      <c r="O739" s="53" t="s">
        <v>101</v>
      </c>
      <c r="P739" s="53" t="s">
        <v>448</v>
      </c>
      <c r="Q739" s="53" t="s">
        <v>591</v>
      </c>
      <c r="R739" s="55" t="s">
        <v>504</v>
      </c>
    </row>
    <row r="740" spans="1:18" x14ac:dyDescent="0.5">
      <c r="A740" s="56" t="str">
        <f>"896572DE1"</f>
        <v>896572DE1</v>
      </c>
      <c r="B740" s="57" t="s">
        <v>451</v>
      </c>
      <c r="C740" s="57" t="s">
        <v>1038</v>
      </c>
      <c r="D740" s="53" t="s">
        <v>447</v>
      </c>
      <c r="E740" s="57">
        <v>3</v>
      </c>
      <c r="F740" s="58">
        <v>48061</v>
      </c>
      <c r="G740" s="58">
        <v>46966</v>
      </c>
      <c r="H740" s="57" t="s">
        <v>105</v>
      </c>
      <c r="I740" s="57" t="s">
        <v>104</v>
      </c>
      <c r="J740" s="57" t="s">
        <v>101</v>
      </c>
      <c r="K740" s="57">
        <v>97.11</v>
      </c>
      <c r="L740" s="57" t="s">
        <v>101</v>
      </c>
      <c r="M740" s="57">
        <v>3.504</v>
      </c>
      <c r="N740" s="57">
        <v>3.504</v>
      </c>
      <c r="O740" s="53" t="s">
        <v>101</v>
      </c>
      <c r="P740" s="57" t="s">
        <v>448</v>
      </c>
      <c r="Q740" s="57" t="s">
        <v>488</v>
      </c>
      <c r="R740" s="59" t="s">
        <v>504</v>
      </c>
    </row>
    <row r="741" spans="1:18" x14ac:dyDescent="0.5">
      <c r="A741" s="52" t="str">
        <f>"950664BQ4"</f>
        <v>950664BQ4</v>
      </c>
      <c r="B741" s="53" t="s">
        <v>477</v>
      </c>
      <c r="C741" s="53" t="s">
        <v>1039</v>
      </c>
      <c r="D741" s="53" t="s">
        <v>447</v>
      </c>
      <c r="E741" s="53">
        <v>2</v>
      </c>
      <c r="F741" s="54">
        <v>48061</v>
      </c>
      <c r="G741" s="54">
        <v>46966</v>
      </c>
      <c r="H741" s="53" t="s">
        <v>105</v>
      </c>
      <c r="I741" s="53" t="s">
        <v>628</v>
      </c>
      <c r="J741" s="53" t="s">
        <v>101</v>
      </c>
      <c r="K741" s="53">
        <v>88.727000000000004</v>
      </c>
      <c r="L741" s="53" t="s">
        <v>101</v>
      </c>
      <c r="M741" s="53">
        <v>3.9990000000000001</v>
      </c>
      <c r="N741" s="53">
        <v>3.9990000000000001</v>
      </c>
      <c r="O741" s="53" t="s">
        <v>101</v>
      </c>
      <c r="P741" s="53" t="s">
        <v>448</v>
      </c>
      <c r="Q741" s="53" t="s">
        <v>485</v>
      </c>
      <c r="R741" s="55" t="s">
        <v>630</v>
      </c>
    </row>
    <row r="742" spans="1:18" x14ac:dyDescent="0.5">
      <c r="A742" s="56" t="str">
        <f>"041796RP0"</f>
        <v>041796RP0</v>
      </c>
      <c r="B742" s="57" t="s">
        <v>451</v>
      </c>
      <c r="C742" s="57" t="s">
        <v>1040</v>
      </c>
      <c r="D742" s="53" t="s">
        <v>447</v>
      </c>
      <c r="E742" s="57">
        <v>3</v>
      </c>
      <c r="F742" s="58">
        <v>48075</v>
      </c>
      <c r="G742" s="58">
        <v>46614</v>
      </c>
      <c r="H742" s="57" t="s">
        <v>540</v>
      </c>
      <c r="I742" s="57" t="s">
        <v>104</v>
      </c>
      <c r="J742" s="57" t="s">
        <v>101</v>
      </c>
      <c r="K742" s="57">
        <v>96.778999999999996</v>
      </c>
      <c r="L742" s="57" t="s">
        <v>101</v>
      </c>
      <c r="M742" s="57">
        <v>3.56</v>
      </c>
      <c r="N742" s="57">
        <v>3.56</v>
      </c>
      <c r="O742" s="53" t="s">
        <v>101</v>
      </c>
      <c r="P742" s="57" t="s">
        <v>448</v>
      </c>
      <c r="Q742" s="57" t="s">
        <v>457</v>
      </c>
      <c r="R742" s="59" t="s">
        <v>454</v>
      </c>
    </row>
    <row r="743" spans="1:18" x14ac:dyDescent="0.5">
      <c r="A743" s="52" t="str">
        <f>"117566CB3"</f>
        <v>117566CB3</v>
      </c>
      <c r="B743" s="53" t="s">
        <v>451</v>
      </c>
      <c r="C743" s="53" t="s">
        <v>1041</v>
      </c>
      <c r="D743" s="53" t="s">
        <v>447</v>
      </c>
      <c r="E743" s="53">
        <v>2</v>
      </c>
      <c r="F743" s="54">
        <v>48075</v>
      </c>
      <c r="G743" s="54">
        <v>47164</v>
      </c>
      <c r="H743" s="53" t="s">
        <v>105</v>
      </c>
      <c r="I743" s="53" t="s">
        <v>509</v>
      </c>
      <c r="J743" s="53" t="s">
        <v>101</v>
      </c>
      <c r="K743" s="53">
        <v>88.052999999999997</v>
      </c>
      <c r="L743" s="53" t="s">
        <v>101</v>
      </c>
      <c r="M743" s="53">
        <v>4.1159999999999997</v>
      </c>
      <c r="N743" s="53">
        <v>4.1159999999999997</v>
      </c>
      <c r="O743" s="53" t="s">
        <v>101</v>
      </c>
      <c r="P743" s="53" t="s">
        <v>448</v>
      </c>
      <c r="Q743" s="53" t="s">
        <v>460</v>
      </c>
      <c r="R743" s="55" t="s">
        <v>504</v>
      </c>
    </row>
    <row r="744" spans="1:18" x14ac:dyDescent="0.5">
      <c r="A744" s="56" t="str">
        <f>"150429TN8"</f>
        <v>150429TN8</v>
      </c>
      <c r="B744" s="57" t="s">
        <v>451</v>
      </c>
      <c r="C744" s="57" t="s">
        <v>1042</v>
      </c>
      <c r="D744" s="53" t="s">
        <v>447</v>
      </c>
      <c r="E744" s="57">
        <v>0</v>
      </c>
      <c r="F744" s="58">
        <v>48075</v>
      </c>
      <c r="G744" s="58" t="s">
        <v>105</v>
      </c>
      <c r="H744" s="57" t="s">
        <v>685</v>
      </c>
      <c r="I744" s="57" t="s">
        <v>616</v>
      </c>
      <c r="J744" s="57" t="s">
        <v>101</v>
      </c>
      <c r="K744" s="57">
        <v>79.16</v>
      </c>
      <c r="L744" s="57" t="s">
        <v>101</v>
      </c>
      <c r="M744" s="57">
        <v>3.633</v>
      </c>
      <c r="N744" s="57">
        <v>3.633</v>
      </c>
      <c r="O744" s="53" t="s">
        <v>101</v>
      </c>
      <c r="P744" s="57" t="s">
        <v>448</v>
      </c>
      <c r="Q744" s="57" t="s">
        <v>479</v>
      </c>
      <c r="R744" s="59" t="s">
        <v>621</v>
      </c>
    </row>
    <row r="745" spans="1:18" x14ac:dyDescent="0.5">
      <c r="A745" s="52" t="str">
        <f>"17164ADR1"</f>
        <v>17164ADR1</v>
      </c>
      <c r="B745" s="53" t="s">
        <v>451</v>
      </c>
      <c r="C745" s="53" t="s">
        <v>1043</v>
      </c>
      <c r="D745" s="53" t="s">
        <v>447</v>
      </c>
      <c r="E745" s="53">
        <v>3</v>
      </c>
      <c r="F745" s="54">
        <v>48075</v>
      </c>
      <c r="G745" s="54">
        <v>46249</v>
      </c>
      <c r="H745" s="53" t="s">
        <v>105</v>
      </c>
      <c r="I745" s="53" t="s">
        <v>628</v>
      </c>
      <c r="J745" s="53" t="s">
        <v>101</v>
      </c>
      <c r="K745" s="53">
        <v>95.551000000000002</v>
      </c>
      <c r="L745" s="53" t="s">
        <v>101</v>
      </c>
      <c r="M745" s="53">
        <v>3.7789999999999999</v>
      </c>
      <c r="N745" s="53">
        <v>3.7789999999999999</v>
      </c>
      <c r="O745" s="53" t="s">
        <v>101</v>
      </c>
      <c r="P745" s="53" t="s">
        <v>448</v>
      </c>
      <c r="Q745" s="53" t="s">
        <v>453</v>
      </c>
      <c r="R745" s="55" t="s">
        <v>630</v>
      </c>
    </row>
    <row r="746" spans="1:18" x14ac:dyDescent="0.5">
      <c r="A746" s="56" t="str">
        <f>"187145ES2"</f>
        <v>187145ES2</v>
      </c>
      <c r="B746" s="57" t="s">
        <v>451</v>
      </c>
      <c r="C746" s="57" t="s">
        <v>1044</v>
      </c>
      <c r="D746" s="53" t="s">
        <v>447</v>
      </c>
      <c r="E746" s="57">
        <v>4</v>
      </c>
      <c r="F746" s="58">
        <v>48075</v>
      </c>
      <c r="G746" s="58">
        <v>46249</v>
      </c>
      <c r="H746" s="57" t="s">
        <v>105</v>
      </c>
      <c r="I746" s="57" t="s">
        <v>104</v>
      </c>
      <c r="J746" s="57" t="s">
        <v>101</v>
      </c>
      <c r="K746" s="57">
        <v>100.68</v>
      </c>
      <c r="L746" s="57" t="s">
        <v>101</v>
      </c>
      <c r="M746" s="57">
        <v>3.528</v>
      </c>
      <c r="N746" s="57">
        <v>3.88</v>
      </c>
      <c r="O746" s="53" t="s">
        <v>101</v>
      </c>
      <c r="P746" s="57" t="s">
        <v>448</v>
      </c>
      <c r="Q746" s="57" t="s">
        <v>453</v>
      </c>
      <c r="R746" s="59" t="s">
        <v>450</v>
      </c>
    </row>
    <row r="747" spans="1:18" x14ac:dyDescent="0.5">
      <c r="A747" s="52" t="str">
        <f>"340459CV6"</f>
        <v>340459CV6</v>
      </c>
      <c r="B747" s="53" t="s">
        <v>477</v>
      </c>
      <c r="C747" s="53" t="s">
        <v>1045</v>
      </c>
      <c r="D747" s="53" t="s">
        <v>447</v>
      </c>
      <c r="E747" s="53">
        <v>2.25</v>
      </c>
      <c r="F747" s="54">
        <v>48075</v>
      </c>
      <c r="G747" s="54">
        <v>46614</v>
      </c>
      <c r="H747" s="53" t="s">
        <v>613</v>
      </c>
      <c r="I747" s="53" t="s">
        <v>105</v>
      </c>
      <c r="J747" s="53" t="s">
        <v>101</v>
      </c>
      <c r="K747" s="53">
        <v>89.796000000000006</v>
      </c>
      <c r="L747" s="53" t="s">
        <v>101</v>
      </c>
      <c r="M747" s="53">
        <v>4.0529999999999999</v>
      </c>
      <c r="N747" s="53">
        <v>4.0529999999999999</v>
      </c>
      <c r="O747" s="53" t="s">
        <v>101</v>
      </c>
      <c r="P747" s="53" t="s">
        <v>691</v>
      </c>
      <c r="Q747" s="53" t="s">
        <v>479</v>
      </c>
      <c r="R747" s="55" t="s">
        <v>454</v>
      </c>
    </row>
    <row r="748" spans="1:18" x14ac:dyDescent="0.5">
      <c r="A748" s="56" t="str">
        <f>"406198CJ8"</f>
        <v>406198CJ8</v>
      </c>
      <c r="B748" s="57" t="s">
        <v>451</v>
      </c>
      <c r="C748" s="57" t="s">
        <v>1046</v>
      </c>
      <c r="D748" s="53" t="s">
        <v>447</v>
      </c>
      <c r="E748" s="57">
        <v>3.5</v>
      </c>
      <c r="F748" s="58">
        <v>48075</v>
      </c>
      <c r="G748" s="58">
        <v>45733</v>
      </c>
      <c r="H748" s="57" t="s">
        <v>105</v>
      </c>
      <c r="I748" s="57" t="s">
        <v>104</v>
      </c>
      <c r="J748" s="57" t="s">
        <v>101</v>
      </c>
      <c r="K748" s="57">
        <v>99.31</v>
      </c>
      <c r="L748" s="57" t="s">
        <v>101</v>
      </c>
      <c r="M748" s="57">
        <v>3.62</v>
      </c>
      <c r="N748" s="57">
        <v>3.62</v>
      </c>
      <c r="O748" s="53" t="s">
        <v>101</v>
      </c>
      <c r="P748" s="57" t="s">
        <v>448</v>
      </c>
      <c r="Q748" s="57" t="s">
        <v>488</v>
      </c>
      <c r="R748" s="59" t="s">
        <v>454</v>
      </c>
    </row>
    <row r="749" spans="1:18" x14ac:dyDescent="0.5">
      <c r="A749" s="52" t="str">
        <f>"521841GQ3"</f>
        <v>521841GQ3</v>
      </c>
      <c r="B749" s="53" t="s">
        <v>451</v>
      </c>
      <c r="C749" s="53" t="s">
        <v>1047</v>
      </c>
      <c r="D749" s="53" t="s">
        <v>447</v>
      </c>
      <c r="E749" s="53">
        <v>0</v>
      </c>
      <c r="F749" s="54">
        <v>48075</v>
      </c>
      <c r="G749" s="54">
        <v>45884</v>
      </c>
      <c r="H749" s="53" t="s">
        <v>105</v>
      </c>
      <c r="I749" s="53" t="s">
        <v>104</v>
      </c>
      <c r="J749" s="53" t="s">
        <v>101</v>
      </c>
      <c r="K749" s="53">
        <v>76.748000000000005</v>
      </c>
      <c r="L749" s="53" t="s">
        <v>101</v>
      </c>
      <c r="M749" s="53">
        <v>3.8530000000000002</v>
      </c>
      <c r="N749" s="53">
        <v>4.1180000000000003</v>
      </c>
      <c r="O749" s="53" t="s">
        <v>101</v>
      </c>
      <c r="P749" s="53" t="s">
        <v>448</v>
      </c>
      <c r="Q749" s="53" t="s">
        <v>722</v>
      </c>
      <c r="R749" s="55" t="s">
        <v>454</v>
      </c>
    </row>
    <row r="750" spans="1:18" x14ac:dyDescent="0.5">
      <c r="A750" s="56" t="str">
        <f>"549798UQ7"</f>
        <v>549798UQ7</v>
      </c>
      <c r="B750" s="57" t="s">
        <v>451</v>
      </c>
      <c r="C750" s="57" t="s">
        <v>1048</v>
      </c>
      <c r="D750" s="53" t="s">
        <v>447</v>
      </c>
      <c r="E750" s="57">
        <v>2.25</v>
      </c>
      <c r="F750" s="58">
        <v>48075</v>
      </c>
      <c r="G750" s="58">
        <v>45733</v>
      </c>
      <c r="H750" s="57" t="s">
        <v>613</v>
      </c>
      <c r="I750" s="57" t="s">
        <v>616</v>
      </c>
      <c r="J750" s="57" t="s">
        <v>101</v>
      </c>
      <c r="K750" s="57">
        <v>90.058999999999997</v>
      </c>
      <c r="L750" s="57" t="s">
        <v>101</v>
      </c>
      <c r="M750" s="57">
        <v>4.0039999999999996</v>
      </c>
      <c r="N750" s="57">
        <v>4.0039999999999996</v>
      </c>
      <c r="O750" s="53" t="s">
        <v>101</v>
      </c>
      <c r="P750" s="57" t="s">
        <v>448</v>
      </c>
      <c r="Q750" s="57" t="s">
        <v>485</v>
      </c>
      <c r="R750" s="59" t="s">
        <v>504</v>
      </c>
    </row>
    <row r="751" spans="1:18" x14ac:dyDescent="0.5">
      <c r="A751" s="52" t="str">
        <f>"763750HN9"</f>
        <v>763750HN9</v>
      </c>
      <c r="B751" s="53" t="s">
        <v>451</v>
      </c>
      <c r="C751" s="53" t="s">
        <v>1049</v>
      </c>
      <c r="D751" s="53" t="s">
        <v>447</v>
      </c>
      <c r="E751" s="53">
        <v>4</v>
      </c>
      <c r="F751" s="54">
        <v>48075</v>
      </c>
      <c r="G751" s="54">
        <v>45884</v>
      </c>
      <c r="H751" s="53" t="s">
        <v>105</v>
      </c>
      <c r="I751" s="53" t="s">
        <v>628</v>
      </c>
      <c r="J751" s="53" t="s">
        <v>101</v>
      </c>
      <c r="K751" s="53">
        <v>100.14</v>
      </c>
      <c r="L751" s="53" t="s">
        <v>101</v>
      </c>
      <c r="M751" s="53">
        <v>3.7090000000000001</v>
      </c>
      <c r="N751" s="53">
        <v>3.9750000000000001</v>
      </c>
      <c r="O751" s="53" t="s">
        <v>101</v>
      </c>
      <c r="P751" s="53" t="s">
        <v>448</v>
      </c>
      <c r="Q751" s="53" t="s">
        <v>503</v>
      </c>
      <c r="R751" s="55" t="s">
        <v>504</v>
      </c>
    </row>
    <row r="752" spans="1:18" x14ac:dyDescent="0.5">
      <c r="A752" s="56" t="str">
        <f>"7987645E2"</f>
        <v>7987645E2</v>
      </c>
      <c r="B752" s="57" t="s">
        <v>451</v>
      </c>
      <c r="C752" s="57" t="s">
        <v>1050</v>
      </c>
      <c r="D752" s="53" t="s">
        <v>447</v>
      </c>
      <c r="E752" s="57">
        <v>3.25</v>
      </c>
      <c r="F752" s="58">
        <v>48075</v>
      </c>
      <c r="G752" s="58">
        <v>45733</v>
      </c>
      <c r="H752" s="57" t="s">
        <v>105</v>
      </c>
      <c r="I752" s="57" t="s">
        <v>628</v>
      </c>
      <c r="J752" s="57" t="s">
        <v>101</v>
      </c>
      <c r="K752" s="57">
        <v>98.14</v>
      </c>
      <c r="L752" s="57" t="s">
        <v>101</v>
      </c>
      <c r="M752" s="57">
        <v>3.5739999999999998</v>
      </c>
      <c r="N752" s="57">
        <v>3.5739999999999998</v>
      </c>
      <c r="O752" s="53" t="s">
        <v>101</v>
      </c>
      <c r="P752" s="57" t="s">
        <v>448</v>
      </c>
      <c r="Q752" s="57" t="s">
        <v>457</v>
      </c>
      <c r="R752" s="59" t="s">
        <v>504</v>
      </c>
    </row>
    <row r="753" spans="1:18" x14ac:dyDescent="0.5">
      <c r="A753" s="52" t="str">
        <f>"798765DB6"</f>
        <v>798765DB6</v>
      </c>
      <c r="B753" s="53" t="s">
        <v>451</v>
      </c>
      <c r="C753" s="53" t="s">
        <v>1051</v>
      </c>
      <c r="D753" s="53" t="s">
        <v>447</v>
      </c>
      <c r="E753" s="53">
        <v>3</v>
      </c>
      <c r="F753" s="54">
        <v>48075</v>
      </c>
      <c r="G753" s="54">
        <v>46249</v>
      </c>
      <c r="H753" s="53" t="s">
        <v>105</v>
      </c>
      <c r="I753" s="53" t="s">
        <v>628</v>
      </c>
      <c r="J753" s="53" t="s">
        <v>101</v>
      </c>
      <c r="K753" s="53">
        <v>96.497</v>
      </c>
      <c r="L753" s="53" t="s">
        <v>101</v>
      </c>
      <c r="M753" s="53">
        <v>3.61</v>
      </c>
      <c r="N753" s="53">
        <v>3.61</v>
      </c>
      <c r="O753" s="53" t="s">
        <v>101</v>
      </c>
      <c r="P753" s="53" t="s">
        <v>448</v>
      </c>
      <c r="Q753" s="53" t="s">
        <v>457</v>
      </c>
      <c r="R753" s="55" t="s">
        <v>504</v>
      </c>
    </row>
    <row r="754" spans="1:18" x14ac:dyDescent="0.5">
      <c r="A754" s="56" t="str">
        <f>"824161NV1"</f>
        <v>824161NV1</v>
      </c>
      <c r="B754" s="57" t="s">
        <v>451</v>
      </c>
      <c r="C754" s="57" t="s">
        <v>1052</v>
      </c>
      <c r="D754" s="53" t="s">
        <v>447</v>
      </c>
      <c r="E754" s="57">
        <v>3.125</v>
      </c>
      <c r="F754" s="58">
        <v>48075</v>
      </c>
      <c r="G754" s="58">
        <v>46249</v>
      </c>
      <c r="H754" s="57" t="s">
        <v>105</v>
      </c>
      <c r="I754" s="57" t="s">
        <v>628</v>
      </c>
      <c r="J754" s="57" t="s">
        <v>101</v>
      </c>
      <c r="K754" s="57">
        <v>97.67</v>
      </c>
      <c r="L754" s="57" t="s">
        <v>101</v>
      </c>
      <c r="M754" s="57">
        <v>3.53</v>
      </c>
      <c r="N754" s="57">
        <v>3.53</v>
      </c>
      <c r="O754" s="53" t="s">
        <v>101</v>
      </c>
      <c r="P754" s="57" t="s">
        <v>448</v>
      </c>
      <c r="Q754" s="57" t="s">
        <v>488</v>
      </c>
      <c r="R754" s="59" t="s">
        <v>504</v>
      </c>
    </row>
    <row r="755" spans="1:18" x14ac:dyDescent="0.5">
      <c r="A755" s="52" t="str">
        <f>"839091QT5"</f>
        <v>839091QT5</v>
      </c>
      <c r="B755" s="53" t="s">
        <v>477</v>
      </c>
      <c r="C755" s="53" t="s">
        <v>1053</v>
      </c>
      <c r="D755" s="53" t="s">
        <v>447</v>
      </c>
      <c r="E755" s="53">
        <v>2</v>
      </c>
      <c r="F755" s="54">
        <v>48075</v>
      </c>
      <c r="G755" s="54">
        <v>46249</v>
      </c>
      <c r="H755" s="53" t="s">
        <v>610</v>
      </c>
      <c r="I755" s="53" t="s">
        <v>105</v>
      </c>
      <c r="J755" s="53" t="s">
        <v>101</v>
      </c>
      <c r="K755" s="53">
        <v>87.622</v>
      </c>
      <c r="L755" s="53" t="s">
        <v>101</v>
      </c>
      <c r="M755" s="53">
        <v>4.1980000000000004</v>
      </c>
      <c r="N755" s="53">
        <v>4.1980000000000004</v>
      </c>
      <c r="O755" s="53" t="s">
        <v>101</v>
      </c>
      <c r="P755" s="53" t="s">
        <v>448</v>
      </c>
      <c r="Q755" s="53" t="s">
        <v>1054</v>
      </c>
      <c r="R755" s="55" t="s">
        <v>454</v>
      </c>
    </row>
    <row r="756" spans="1:18" x14ac:dyDescent="0.5">
      <c r="A756" s="56" t="str">
        <f>"894435DQ6"</f>
        <v>894435DQ6</v>
      </c>
      <c r="B756" s="57" t="s">
        <v>451</v>
      </c>
      <c r="C756" s="57" t="s">
        <v>1055</v>
      </c>
      <c r="D756" s="53" t="s">
        <v>447</v>
      </c>
      <c r="E756" s="57">
        <v>3</v>
      </c>
      <c r="F756" s="58">
        <v>48075</v>
      </c>
      <c r="G756" s="58">
        <v>45733</v>
      </c>
      <c r="H756" s="57" t="s">
        <v>105</v>
      </c>
      <c r="I756" s="57" t="s">
        <v>509</v>
      </c>
      <c r="J756" s="57" t="s">
        <v>101</v>
      </c>
      <c r="K756" s="57">
        <v>95.468999999999994</v>
      </c>
      <c r="L756" s="57" t="s">
        <v>101</v>
      </c>
      <c r="M756" s="57">
        <v>3.794</v>
      </c>
      <c r="N756" s="57">
        <v>3.794</v>
      </c>
      <c r="O756" s="53" t="s">
        <v>101</v>
      </c>
      <c r="P756" s="57" t="s">
        <v>448</v>
      </c>
      <c r="Q756" s="57" t="s">
        <v>460</v>
      </c>
      <c r="R756" s="59" t="s">
        <v>454</v>
      </c>
    </row>
    <row r="757" spans="1:18" x14ac:dyDescent="0.5">
      <c r="A757" s="52" t="str">
        <f>"97712DD60"</f>
        <v>97712DD60</v>
      </c>
      <c r="B757" s="53" t="s">
        <v>496</v>
      </c>
      <c r="C757" s="53" t="s">
        <v>1056</v>
      </c>
      <c r="D757" s="53" t="s">
        <v>447</v>
      </c>
      <c r="E757" s="53">
        <v>4</v>
      </c>
      <c r="F757" s="54">
        <v>48075</v>
      </c>
      <c r="G757" s="54">
        <v>46614</v>
      </c>
      <c r="H757" s="53" t="s">
        <v>624</v>
      </c>
      <c r="I757" s="53" t="s">
        <v>628</v>
      </c>
      <c r="J757" s="53" t="s">
        <v>101</v>
      </c>
      <c r="K757" s="53">
        <v>100.938</v>
      </c>
      <c r="L757" s="53" t="s">
        <v>101</v>
      </c>
      <c r="M757" s="53">
        <v>3.6030000000000002</v>
      </c>
      <c r="N757" s="53">
        <v>3.835</v>
      </c>
      <c r="O757" s="53" t="s">
        <v>101</v>
      </c>
      <c r="P757" s="53" t="s">
        <v>448</v>
      </c>
      <c r="Q757" s="53" t="s">
        <v>464</v>
      </c>
      <c r="R757" s="55" t="s">
        <v>450</v>
      </c>
    </row>
    <row r="758" spans="1:18" x14ac:dyDescent="0.5">
      <c r="A758" s="56" t="str">
        <f>"072246AQ4"</f>
        <v>072246AQ4</v>
      </c>
      <c r="B758" s="57" t="s">
        <v>499</v>
      </c>
      <c r="C758" s="57" t="s">
        <v>1057</v>
      </c>
      <c r="D758" s="53" t="s">
        <v>447</v>
      </c>
      <c r="E758" s="57">
        <v>3.625</v>
      </c>
      <c r="F758" s="58">
        <v>48092</v>
      </c>
      <c r="G758" s="58">
        <v>45901</v>
      </c>
      <c r="H758" s="57" t="s">
        <v>610</v>
      </c>
      <c r="I758" s="57" t="s">
        <v>105</v>
      </c>
      <c r="J758" s="57" t="s">
        <v>101</v>
      </c>
      <c r="K758" s="57">
        <v>99.063000000000002</v>
      </c>
      <c r="L758" s="57" t="s">
        <v>101</v>
      </c>
      <c r="M758" s="57">
        <v>3.7879999999999998</v>
      </c>
      <c r="N758" s="57">
        <v>3.7879999999999998</v>
      </c>
      <c r="O758" s="53" t="s">
        <v>101</v>
      </c>
      <c r="P758" s="57" t="s">
        <v>448</v>
      </c>
      <c r="Q758" s="57" t="s">
        <v>485</v>
      </c>
      <c r="R758" s="59" t="s">
        <v>504</v>
      </c>
    </row>
    <row r="759" spans="1:18" x14ac:dyDescent="0.5">
      <c r="A759" s="52" t="str">
        <f>"10606PGR6"</f>
        <v>10606PGR6</v>
      </c>
      <c r="B759" s="53" t="s">
        <v>451</v>
      </c>
      <c r="C759" s="53" t="s">
        <v>1058</v>
      </c>
      <c r="D759" s="53" t="s">
        <v>447</v>
      </c>
      <c r="E759" s="53">
        <v>3</v>
      </c>
      <c r="F759" s="54">
        <v>48092</v>
      </c>
      <c r="G759" s="54">
        <v>45733</v>
      </c>
      <c r="H759" s="53" t="s">
        <v>105</v>
      </c>
      <c r="I759" s="53" t="s">
        <v>713</v>
      </c>
      <c r="J759" s="53" t="s">
        <v>101</v>
      </c>
      <c r="K759" s="53">
        <v>93.869</v>
      </c>
      <c r="L759" s="53" t="s">
        <v>101</v>
      </c>
      <c r="M759" s="53">
        <v>4.0780000000000003</v>
      </c>
      <c r="N759" s="53">
        <v>4.0780000000000003</v>
      </c>
      <c r="O759" s="53" t="s">
        <v>101</v>
      </c>
      <c r="P759" s="53" t="s">
        <v>448</v>
      </c>
      <c r="Q759" s="53" t="s">
        <v>485</v>
      </c>
      <c r="R759" s="55" t="s">
        <v>630</v>
      </c>
    </row>
    <row r="760" spans="1:18" x14ac:dyDescent="0.5">
      <c r="A760" s="56" t="str">
        <f>"107487AS9"</f>
        <v>107487AS9</v>
      </c>
      <c r="B760" s="57" t="s">
        <v>499</v>
      </c>
      <c r="C760" s="57" t="s">
        <v>1059</v>
      </c>
      <c r="D760" s="53" t="s">
        <v>447</v>
      </c>
      <c r="E760" s="57">
        <v>3.25</v>
      </c>
      <c r="F760" s="58">
        <v>48092</v>
      </c>
      <c r="G760" s="58">
        <v>45733</v>
      </c>
      <c r="H760" s="57" t="s">
        <v>105</v>
      </c>
      <c r="I760" s="57" t="s">
        <v>509</v>
      </c>
      <c r="J760" s="57" t="s">
        <v>101</v>
      </c>
      <c r="K760" s="57">
        <v>98.54</v>
      </c>
      <c r="L760" s="57" t="s">
        <v>101</v>
      </c>
      <c r="M760" s="57">
        <v>3.5019999999999998</v>
      </c>
      <c r="N760" s="57">
        <v>3.5019999999999998</v>
      </c>
      <c r="O760" s="53" t="s">
        <v>101</v>
      </c>
      <c r="P760" s="57" t="s">
        <v>448</v>
      </c>
      <c r="Q760" s="57" t="s">
        <v>488</v>
      </c>
      <c r="R760" s="59" t="s">
        <v>504</v>
      </c>
    </row>
    <row r="761" spans="1:18" x14ac:dyDescent="0.5">
      <c r="A761" s="52" t="str">
        <f>"139501PJ3"</f>
        <v>139501PJ3</v>
      </c>
      <c r="B761" s="53" t="s">
        <v>477</v>
      </c>
      <c r="C761" s="53" t="s">
        <v>1060</v>
      </c>
      <c r="D761" s="53" t="s">
        <v>447</v>
      </c>
      <c r="E761" s="53">
        <v>2.125</v>
      </c>
      <c r="F761" s="54">
        <v>48092</v>
      </c>
      <c r="G761" s="54">
        <v>45733</v>
      </c>
      <c r="H761" s="53" t="s">
        <v>540</v>
      </c>
      <c r="I761" s="53" t="s">
        <v>105</v>
      </c>
      <c r="J761" s="53" t="s">
        <v>101</v>
      </c>
      <c r="K761" s="53">
        <v>90.548000000000002</v>
      </c>
      <c r="L761" s="53" t="s">
        <v>101</v>
      </c>
      <c r="M761" s="53">
        <v>3.77</v>
      </c>
      <c r="N761" s="53">
        <v>3.77</v>
      </c>
      <c r="O761" s="53" t="s">
        <v>101</v>
      </c>
      <c r="P761" s="53" t="s">
        <v>448</v>
      </c>
      <c r="Q761" s="53" t="s">
        <v>1061</v>
      </c>
      <c r="R761" s="55" t="s">
        <v>454</v>
      </c>
    </row>
    <row r="762" spans="1:18" x14ac:dyDescent="0.5">
      <c r="A762" s="56" t="str">
        <f>"346805FP4"</f>
        <v>346805FP4</v>
      </c>
      <c r="B762" s="57" t="s">
        <v>451</v>
      </c>
      <c r="C762" s="57" t="s">
        <v>1062</v>
      </c>
      <c r="D762" s="53" t="s">
        <v>447</v>
      </c>
      <c r="E762" s="57">
        <v>3.25</v>
      </c>
      <c r="F762" s="58">
        <v>48092</v>
      </c>
      <c r="G762" s="58">
        <v>45733</v>
      </c>
      <c r="H762" s="57" t="s">
        <v>105</v>
      </c>
      <c r="I762" s="57" t="s">
        <v>628</v>
      </c>
      <c r="J762" s="57" t="s">
        <v>101</v>
      </c>
      <c r="K762" s="57">
        <v>97.691000000000003</v>
      </c>
      <c r="L762" s="57" t="s">
        <v>101</v>
      </c>
      <c r="M762" s="57">
        <v>3.65</v>
      </c>
      <c r="N762" s="57">
        <v>3.65</v>
      </c>
      <c r="O762" s="53" t="s">
        <v>101</v>
      </c>
      <c r="P762" s="57" t="s">
        <v>448</v>
      </c>
      <c r="Q762" s="57" t="s">
        <v>457</v>
      </c>
      <c r="R762" s="59" t="s">
        <v>630</v>
      </c>
    </row>
    <row r="763" spans="1:18" x14ac:dyDescent="0.5">
      <c r="A763" s="52" t="str">
        <f>"34681MQL3"</f>
        <v>34681MQL3</v>
      </c>
      <c r="B763" s="53" t="s">
        <v>451</v>
      </c>
      <c r="C763" s="53" t="s">
        <v>1063</v>
      </c>
      <c r="D763" s="53" t="s">
        <v>447</v>
      </c>
      <c r="E763" s="53">
        <v>3</v>
      </c>
      <c r="F763" s="54">
        <v>48092</v>
      </c>
      <c r="G763" s="54">
        <v>45733</v>
      </c>
      <c r="H763" s="53" t="s">
        <v>641</v>
      </c>
      <c r="I763" s="53" t="s">
        <v>628</v>
      </c>
      <c r="J763" s="53" t="s">
        <v>101</v>
      </c>
      <c r="K763" s="53">
        <v>95.406999999999996</v>
      </c>
      <c r="L763" s="53" t="s">
        <v>101</v>
      </c>
      <c r="M763" s="53">
        <v>3.8</v>
      </c>
      <c r="N763" s="53">
        <v>3.8</v>
      </c>
      <c r="O763" s="53" t="s">
        <v>101</v>
      </c>
      <c r="P763" s="53" t="s">
        <v>448</v>
      </c>
      <c r="Q763" s="53" t="s">
        <v>1064</v>
      </c>
      <c r="R763" s="55" t="s">
        <v>630</v>
      </c>
    </row>
    <row r="764" spans="1:18" x14ac:dyDescent="0.5">
      <c r="A764" s="56" t="str">
        <f>"34682JLS9"</f>
        <v>34682JLS9</v>
      </c>
      <c r="B764" s="57" t="s">
        <v>451</v>
      </c>
      <c r="C764" s="57" t="s">
        <v>1065</v>
      </c>
      <c r="D764" s="53" t="s">
        <v>447</v>
      </c>
      <c r="E764" s="57">
        <v>3.125</v>
      </c>
      <c r="F764" s="58">
        <v>48092</v>
      </c>
      <c r="G764" s="58">
        <v>45733</v>
      </c>
      <c r="H764" s="57" t="s">
        <v>610</v>
      </c>
      <c r="I764" s="57" t="s">
        <v>628</v>
      </c>
      <c r="J764" s="57" t="s">
        <v>101</v>
      </c>
      <c r="K764" s="57">
        <v>97.06</v>
      </c>
      <c r="L764" s="57" t="s">
        <v>101</v>
      </c>
      <c r="M764" s="57">
        <v>3.6339999999999999</v>
      </c>
      <c r="N764" s="57">
        <v>3.6339999999999999</v>
      </c>
      <c r="O764" s="53" t="s">
        <v>101</v>
      </c>
      <c r="P764" s="57" t="s">
        <v>448</v>
      </c>
      <c r="Q764" s="57" t="s">
        <v>457</v>
      </c>
      <c r="R764" s="59" t="s">
        <v>630</v>
      </c>
    </row>
    <row r="765" spans="1:18" x14ac:dyDescent="0.5">
      <c r="A765" s="52" t="str">
        <f>"34683LFP6"</f>
        <v>34683LFP6</v>
      </c>
      <c r="B765" s="53" t="s">
        <v>451</v>
      </c>
      <c r="C765" s="53" t="s">
        <v>1066</v>
      </c>
      <c r="D765" s="53" t="s">
        <v>447</v>
      </c>
      <c r="E765" s="53">
        <v>3.25</v>
      </c>
      <c r="F765" s="54">
        <v>48092</v>
      </c>
      <c r="G765" s="54">
        <v>45733</v>
      </c>
      <c r="H765" s="53" t="s">
        <v>610</v>
      </c>
      <c r="I765" s="53" t="s">
        <v>628</v>
      </c>
      <c r="J765" s="53" t="s">
        <v>101</v>
      </c>
      <c r="K765" s="53">
        <v>97.93</v>
      </c>
      <c r="L765" s="53" t="s">
        <v>101</v>
      </c>
      <c r="M765" s="53">
        <v>3.6080000000000001</v>
      </c>
      <c r="N765" s="53">
        <v>3.6080000000000001</v>
      </c>
      <c r="O765" s="53" t="s">
        <v>101</v>
      </c>
      <c r="P765" s="53" t="s">
        <v>448</v>
      </c>
      <c r="Q765" s="53" t="s">
        <v>503</v>
      </c>
      <c r="R765" s="55" t="s">
        <v>630</v>
      </c>
    </row>
    <row r="766" spans="1:18" x14ac:dyDescent="0.5">
      <c r="A766" s="56" t="str">
        <f>"34684PBL9"</f>
        <v>34684PBL9</v>
      </c>
      <c r="B766" s="57" t="s">
        <v>451</v>
      </c>
      <c r="C766" s="57" t="s">
        <v>1067</v>
      </c>
      <c r="D766" s="53" t="s">
        <v>447</v>
      </c>
      <c r="E766" s="57">
        <v>3</v>
      </c>
      <c r="F766" s="58">
        <v>48092</v>
      </c>
      <c r="G766" s="58">
        <v>45733</v>
      </c>
      <c r="H766" s="57" t="s">
        <v>610</v>
      </c>
      <c r="I766" s="57" t="s">
        <v>628</v>
      </c>
      <c r="J766" s="57" t="s">
        <v>101</v>
      </c>
      <c r="K766" s="57">
        <v>95.406999999999996</v>
      </c>
      <c r="L766" s="57" t="s">
        <v>101</v>
      </c>
      <c r="M766" s="57">
        <v>3.8</v>
      </c>
      <c r="N766" s="57">
        <v>3.8</v>
      </c>
      <c r="O766" s="53" t="s">
        <v>101</v>
      </c>
      <c r="P766" s="57" t="s">
        <v>448</v>
      </c>
      <c r="Q766" s="57" t="s">
        <v>764</v>
      </c>
      <c r="R766" s="59" t="s">
        <v>630</v>
      </c>
    </row>
    <row r="767" spans="1:18" x14ac:dyDescent="0.5">
      <c r="A767" s="52" t="str">
        <f>"413958QP7"</f>
        <v>413958QP7</v>
      </c>
      <c r="B767" s="53" t="s">
        <v>451</v>
      </c>
      <c r="C767" s="53" t="s">
        <v>1068</v>
      </c>
      <c r="D767" s="53" t="s">
        <v>447</v>
      </c>
      <c r="E767" s="53">
        <v>3.25</v>
      </c>
      <c r="F767" s="54">
        <v>48092</v>
      </c>
      <c r="G767" s="54">
        <v>45733</v>
      </c>
      <c r="H767" s="53" t="s">
        <v>641</v>
      </c>
      <c r="I767" s="53" t="s">
        <v>628</v>
      </c>
      <c r="J767" s="53" t="s">
        <v>101</v>
      </c>
      <c r="K767" s="53">
        <v>97.576999999999998</v>
      </c>
      <c r="L767" s="53" t="s">
        <v>101</v>
      </c>
      <c r="M767" s="53">
        <v>3.67</v>
      </c>
      <c r="N767" s="53">
        <v>3.67</v>
      </c>
      <c r="O767" s="53" t="s">
        <v>101</v>
      </c>
      <c r="P767" s="53" t="s">
        <v>448</v>
      </c>
      <c r="Q767" s="53" t="s">
        <v>479</v>
      </c>
      <c r="R767" s="55" t="s">
        <v>630</v>
      </c>
    </row>
    <row r="768" spans="1:18" x14ac:dyDescent="0.5">
      <c r="A768" s="56" t="str">
        <f>"414183FR9"</f>
        <v>414183FR9</v>
      </c>
      <c r="B768" s="57" t="s">
        <v>451</v>
      </c>
      <c r="C768" s="57" t="s">
        <v>1069</v>
      </c>
      <c r="D768" s="53" t="s">
        <v>447</v>
      </c>
      <c r="E768" s="57">
        <v>3</v>
      </c>
      <c r="F768" s="58">
        <v>48092</v>
      </c>
      <c r="G768" s="58">
        <v>45733</v>
      </c>
      <c r="H768" s="57" t="s">
        <v>641</v>
      </c>
      <c r="I768" s="57" t="s">
        <v>105</v>
      </c>
      <c r="J768" s="57" t="s">
        <v>101</v>
      </c>
      <c r="K768" s="57">
        <v>94.34</v>
      </c>
      <c r="L768" s="57" t="s">
        <v>101</v>
      </c>
      <c r="M768" s="57">
        <v>3.992</v>
      </c>
      <c r="N768" s="57">
        <v>3.992</v>
      </c>
      <c r="O768" s="53" t="s">
        <v>101</v>
      </c>
      <c r="P768" s="57" t="s">
        <v>448</v>
      </c>
      <c r="Q768" s="57" t="s">
        <v>503</v>
      </c>
      <c r="R768" s="59" t="s">
        <v>454</v>
      </c>
    </row>
    <row r="769" spans="1:18" x14ac:dyDescent="0.5">
      <c r="A769" s="52" t="str">
        <f>"41420PEV8"</f>
        <v>41420PEV8</v>
      </c>
      <c r="B769" s="53" t="s">
        <v>451</v>
      </c>
      <c r="C769" s="53" t="s">
        <v>1070</v>
      </c>
      <c r="D769" s="53" t="s">
        <v>447</v>
      </c>
      <c r="E769" s="53">
        <v>3.125</v>
      </c>
      <c r="F769" s="54">
        <v>48092</v>
      </c>
      <c r="G769" s="54">
        <v>45733</v>
      </c>
      <c r="H769" s="53" t="s">
        <v>670</v>
      </c>
      <c r="I769" s="53" t="s">
        <v>628</v>
      </c>
      <c r="J769" s="53" t="s">
        <v>101</v>
      </c>
      <c r="K769" s="53">
        <v>95.694000000000003</v>
      </c>
      <c r="L769" s="53" t="s">
        <v>101</v>
      </c>
      <c r="M769" s="53">
        <v>3.8769999999999998</v>
      </c>
      <c r="N769" s="53">
        <v>3.8769999999999998</v>
      </c>
      <c r="O769" s="53" t="s">
        <v>101</v>
      </c>
      <c r="P769" s="53" t="s">
        <v>448</v>
      </c>
      <c r="Q769" s="53" t="s">
        <v>527</v>
      </c>
      <c r="R769" s="55" t="s">
        <v>630</v>
      </c>
    </row>
    <row r="770" spans="1:18" x14ac:dyDescent="0.5">
      <c r="A770" s="56" t="str">
        <f>"41420PGN4"</f>
        <v>41420PGN4</v>
      </c>
      <c r="B770" s="57" t="s">
        <v>451</v>
      </c>
      <c r="C770" s="57" t="s">
        <v>1071</v>
      </c>
      <c r="D770" s="53" t="s">
        <v>447</v>
      </c>
      <c r="E770" s="57">
        <v>3.25</v>
      </c>
      <c r="F770" s="58">
        <v>48092</v>
      </c>
      <c r="G770" s="58">
        <v>45901</v>
      </c>
      <c r="H770" s="57" t="s">
        <v>670</v>
      </c>
      <c r="I770" s="57" t="s">
        <v>628</v>
      </c>
      <c r="J770" s="57" t="s">
        <v>101</v>
      </c>
      <c r="K770" s="57">
        <v>96.79</v>
      </c>
      <c r="L770" s="57" t="s">
        <v>101</v>
      </c>
      <c r="M770" s="57">
        <v>3.8090000000000002</v>
      </c>
      <c r="N770" s="57">
        <v>3.8090000000000002</v>
      </c>
      <c r="O770" s="53" t="s">
        <v>101</v>
      </c>
      <c r="P770" s="57" t="s">
        <v>448</v>
      </c>
      <c r="Q770" s="57" t="s">
        <v>453</v>
      </c>
      <c r="R770" s="59" t="s">
        <v>630</v>
      </c>
    </row>
    <row r="771" spans="1:18" x14ac:dyDescent="0.5">
      <c r="A771" s="52" t="str">
        <f>"41421GGK9"</f>
        <v>41421GGK9</v>
      </c>
      <c r="B771" s="53" t="s">
        <v>451</v>
      </c>
      <c r="C771" s="53" t="s">
        <v>1072</v>
      </c>
      <c r="D771" s="53" t="s">
        <v>447</v>
      </c>
      <c r="E771" s="53">
        <v>3.125</v>
      </c>
      <c r="F771" s="54">
        <v>48092</v>
      </c>
      <c r="G771" s="54">
        <v>45733</v>
      </c>
      <c r="H771" s="53" t="s">
        <v>641</v>
      </c>
      <c r="I771" s="53" t="s">
        <v>628</v>
      </c>
      <c r="J771" s="53" t="s">
        <v>101</v>
      </c>
      <c r="K771" s="53">
        <v>95.83</v>
      </c>
      <c r="L771" s="53" t="s">
        <v>101</v>
      </c>
      <c r="M771" s="53">
        <v>3.8530000000000002</v>
      </c>
      <c r="N771" s="53">
        <v>3.8530000000000002</v>
      </c>
      <c r="O771" s="53" t="s">
        <v>101</v>
      </c>
      <c r="P771" s="53" t="s">
        <v>448</v>
      </c>
      <c r="Q771" s="53" t="s">
        <v>858</v>
      </c>
      <c r="R771" s="55" t="s">
        <v>630</v>
      </c>
    </row>
    <row r="772" spans="1:18" x14ac:dyDescent="0.5">
      <c r="A772" s="56" t="str">
        <f>"414972VC0"</f>
        <v>414972VC0</v>
      </c>
      <c r="B772" s="57" t="s">
        <v>451</v>
      </c>
      <c r="C772" s="57" t="s">
        <v>1073</v>
      </c>
      <c r="D772" s="53" t="s">
        <v>447</v>
      </c>
      <c r="E772" s="57">
        <v>3</v>
      </c>
      <c r="F772" s="58">
        <v>48092</v>
      </c>
      <c r="G772" s="58">
        <v>45733</v>
      </c>
      <c r="H772" s="57" t="s">
        <v>641</v>
      </c>
      <c r="I772" s="57" t="s">
        <v>628</v>
      </c>
      <c r="J772" s="57" t="s">
        <v>101</v>
      </c>
      <c r="K772" s="57">
        <v>95.519000000000005</v>
      </c>
      <c r="L772" s="57" t="s">
        <v>101</v>
      </c>
      <c r="M772" s="57">
        <v>3.78</v>
      </c>
      <c r="N772" s="57">
        <v>3.78</v>
      </c>
      <c r="O772" s="53" t="s">
        <v>101</v>
      </c>
      <c r="P772" s="57" t="s">
        <v>448</v>
      </c>
      <c r="Q772" s="57" t="s">
        <v>479</v>
      </c>
      <c r="R772" s="59" t="s">
        <v>630</v>
      </c>
    </row>
    <row r="773" spans="1:18" x14ac:dyDescent="0.5">
      <c r="A773" s="52" t="str">
        <f>"41456PKT3"</f>
        <v>41456PKT3</v>
      </c>
      <c r="B773" s="53" t="s">
        <v>451</v>
      </c>
      <c r="C773" s="53" t="s">
        <v>1074</v>
      </c>
      <c r="D773" s="53" t="s">
        <v>447</v>
      </c>
      <c r="E773" s="53">
        <v>3</v>
      </c>
      <c r="F773" s="54">
        <v>48092</v>
      </c>
      <c r="G773" s="54">
        <v>45733</v>
      </c>
      <c r="H773" s="53" t="s">
        <v>624</v>
      </c>
      <c r="I773" s="53" t="s">
        <v>105</v>
      </c>
      <c r="J773" s="53" t="s">
        <v>101</v>
      </c>
      <c r="K773" s="53">
        <v>94.915999999999997</v>
      </c>
      <c r="L773" s="53" t="s">
        <v>101</v>
      </c>
      <c r="M773" s="53">
        <v>3.8879999999999999</v>
      </c>
      <c r="N773" s="53">
        <v>3.8879999999999999</v>
      </c>
      <c r="O773" s="53" t="s">
        <v>101</v>
      </c>
      <c r="P773" s="53" t="s">
        <v>448</v>
      </c>
      <c r="Q773" s="53" t="s">
        <v>485</v>
      </c>
      <c r="R773" s="55" t="s">
        <v>454</v>
      </c>
    </row>
    <row r="774" spans="1:18" x14ac:dyDescent="0.5">
      <c r="A774" s="56" t="str">
        <f>"44237NBB7"</f>
        <v>44237NBB7</v>
      </c>
      <c r="B774" s="57" t="s">
        <v>451</v>
      </c>
      <c r="C774" s="57" t="s">
        <v>1075</v>
      </c>
      <c r="D774" s="53" t="s">
        <v>447</v>
      </c>
      <c r="E774" s="57">
        <v>0</v>
      </c>
      <c r="F774" s="58">
        <v>48092</v>
      </c>
      <c r="G774" s="58" t="s">
        <v>105</v>
      </c>
      <c r="H774" s="57" t="s">
        <v>610</v>
      </c>
      <c r="I774" s="57" t="s">
        <v>611</v>
      </c>
      <c r="J774" s="57" t="s">
        <v>101</v>
      </c>
      <c r="K774" s="57">
        <v>77.73</v>
      </c>
      <c r="L774" s="57" t="s">
        <v>101</v>
      </c>
      <c r="M774" s="57">
        <v>3.8919999999999999</v>
      </c>
      <c r="N774" s="57">
        <v>3.8919999999999999</v>
      </c>
      <c r="O774" s="53" t="s">
        <v>101</v>
      </c>
      <c r="P774" s="57" t="s">
        <v>448</v>
      </c>
      <c r="Q774" s="57" t="s">
        <v>479</v>
      </c>
      <c r="R774" s="59" t="s">
        <v>896</v>
      </c>
    </row>
    <row r="775" spans="1:18" x14ac:dyDescent="0.5">
      <c r="A775" s="52" t="str">
        <f>"62821VGU6"</f>
        <v>62821VGU6</v>
      </c>
      <c r="B775" s="53" t="s">
        <v>451</v>
      </c>
      <c r="C775" s="53" t="s">
        <v>1076</v>
      </c>
      <c r="D775" s="53" t="s">
        <v>447</v>
      </c>
      <c r="E775" s="53">
        <v>2</v>
      </c>
      <c r="F775" s="54">
        <v>48092</v>
      </c>
      <c r="G775" s="54">
        <v>47362</v>
      </c>
      <c r="H775" s="53" t="s">
        <v>105</v>
      </c>
      <c r="I775" s="53" t="s">
        <v>509</v>
      </c>
      <c r="J775" s="53" t="s">
        <v>101</v>
      </c>
      <c r="K775" s="53">
        <v>88.02</v>
      </c>
      <c r="L775" s="53" t="s">
        <v>101</v>
      </c>
      <c r="M775" s="53">
        <v>4.109</v>
      </c>
      <c r="N775" s="53">
        <v>4.109</v>
      </c>
      <c r="O775" s="53" t="s">
        <v>101</v>
      </c>
      <c r="P775" s="53" t="s">
        <v>448</v>
      </c>
      <c r="Q775" s="53" t="s">
        <v>556</v>
      </c>
      <c r="R775" s="55" t="s">
        <v>504</v>
      </c>
    </row>
    <row r="776" spans="1:18" x14ac:dyDescent="0.5">
      <c r="A776" s="56" t="str">
        <f>"704883TH0"</f>
        <v>704883TH0</v>
      </c>
      <c r="B776" s="57" t="s">
        <v>451</v>
      </c>
      <c r="C776" s="57" t="s">
        <v>1077</v>
      </c>
      <c r="D776" s="53" t="s">
        <v>447</v>
      </c>
      <c r="E776" s="57">
        <v>3</v>
      </c>
      <c r="F776" s="58">
        <v>48092</v>
      </c>
      <c r="G776" s="58">
        <v>46631</v>
      </c>
      <c r="H776" s="57" t="s">
        <v>627</v>
      </c>
      <c r="I776" s="57" t="s">
        <v>105</v>
      </c>
      <c r="J776" s="57" t="s">
        <v>101</v>
      </c>
      <c r="K776" s="57">
        <v>94.33</v>
      </c>
      <c r="L776" s="57" t="s">
        <v>101</v>
      </c>
      <c r="M776" s="57">
        <v>3.9940000000000002</v>
      </c>
      <c r="N776" s="57">
        <v>3.9940000000000002</v>
      </c>
      <c r="O776" s="53" t="s">
        <v>101</v>
      </c>
      <c r="P776" s="57" t="s">
        <v>448</v>
      </c>
      <c r="Q776" s="57" t="s">
        <v>457</v>
      </c>
      <c r="R776" s="59" t="s">
        <v>504</v>
      </c>
    </row>
    <row r="777" spans="1:18" x14ac:dyDescent="0.5">
      <c r="A777" s="52" t="str">
        <f>"826204VB2"</f>
        <v>826204VB2</v>
      </c>
      <c r="B777" s="53" t="s">
        <v>451</v>
      </c>
      <c r="C777" s="53" t="s">
        <v>1078</v>
      </c>
      <c r="D777" s="53" t="s">
        <v>447</v>
      </c>
      <c r="E777" s="53">
        <v>3.125</v>
      </c>
      <c r="F777" s="54">
        <v>48092</v>
      </c>
      <c r="G777" s="54">
        <v>45733</v>
      </c>
      <c r="H777" s="53" t="s">
        <v>641</v>
      </c>
      <c r="I777" s="53" t="s">
        <v>105</v>
      </c>
      <c r="J777" s="53" t="s">
        <v>101</v>
      </c>
      <c r="K777" s="53">
        <v>96.28</v>
      </c>
      <c r="L777" s="53" t="s">
        <v>101</v>
      </c>
      <c r="M777" s="53">
        <v>3.7719999999999998</v>
      </c>
      <c r="N777" s="53">
        <v>3.7719999999999998</v>
      </c>
      <c r="O777" s="53" t="s">
        <v>101</v>
      </c>
      <c r="P777" s="53" t="s">
        <v>448</v>
      </c>
      <c r="Q777" s="53" t="s">
        <v>457</v>
      </c>
      <c r="R777" s="55" t="s">
        <v>454</v>
      </c>
    </row>
    <row r="778" spans="1:18" x14ac:dyDescent="0.5">
      <c r="A778" s="56" t="str">
        <f>"867342HL4"</f>
        <v>867342HL4</v>
      </c>
      <c r="B778" s="57" t="s">
        <v>451</v>
      </c>
      <c r="C778" s="57" t="s">
        <v>1079</v>
      </c>
      <c r="D778" s="53" t="s">
        <v>447</v>
      </c>
      <c r="E778" s="57">
        <v>3</v>
      </c>
      <c r="F778" s="58">
        <v>48092</v>
      </c>
      <c r="G778" s="58">
        <v>46266</v>
      </c>
      <c r="H778" s="57" t="s">
        <v>627</v>
      </c>
      <c r="I778" s="57" t="s">
        <v>628</v>
      </c>
      <c r="J778" s="57" t="s">
        <v>101</v>
      </c>
      <c r="K778" s="57">
        <v>95.39</v>
      </c>
      <c r="L778" s="57" t="s">
        <v>101</v>
      </c>
      <c r="M778" s="57">
        <v>3.8029999999999999</v>
      </c>
      <c r="N778" s="57">
        <v>3.8029999999999999</v>
      </c>
      <c r="O778" s="53" t="s">
        <v>101</v>
      </c>
      <c r="P778" s="57" t="s">
        <v>448</v>
      </c>
      <c r="Q778" s="57" t="s">
        <v>503</v>
      </c>
      <c r="R778" s="59" t="s">
        <v>680</v>
      </c>
    </row>
    <row r="779" spans="1:18" x14ac:dyDescent="0.5">
      <c r="A779" s="52" t="str">
        <f>"954685TR4"</f>
        <v>954685TR4</v>
      </c>
      <c r="B779" s="53" t="s">
        <v>477</v>
      </c>
      <c r="C779" s="53" t="s">
        <v>1080</v>
      </c>
      <c r="D779" s="53" t="s">
        <v>447</v>
      </c>
      <c r="E779" s="53">
        <v>2</v>
      </c>
      <c r="F779" s="54">
        <v>48092</v>
      </c>
      <c r="G779" s="54">
        <v>46266</v>
      </c>
      <c r="H779" s="53" t="s">
        <v>105</v>
      </c>
      <c r="I779" s="53" t="s">
        <v>628</v>
      </c>
      <c r="J779" s="53" t="s">
        <v>101</v>
      </c>
      <c r="K779" s="53">
        <v>87.2</v>
      </c>
      <c r="L779" s="53" t="s">
        <v>101</v>
      </c>
      <c r="M779" s="53">
        <v>4.2640000000000002</v>
      </c>
      <c r="N779" s="53">
        <v>4.2640000000000002</v>
      </c>
      <c r="O779" s="53" t="s">
        <v>101</v>
      </c>
      <c r="P779" s="53" t="s">
        <v>448</v>
      </c>
      <c r="Q779" s="53" t="s">
        <v>453</v>
      </c>
      <c r="R779" s="55" t="s">
        <v>630</v>
      </c>
    </row>
    <row r="780" spans="1:18" x14ac:dyDescent="0.5">
      <c r="A780" s="56" t="str">
        <f>"97989CFL3"</f>
        <v>97989CFL3</v>
      </c>
      <c r="B780" s="57" t="s">
        <v>477</v>
      </c>
      <c r="C780" s="57" t="s">
        <v>1081</v>
      </c>
      <c r="D780" s="53" t="s">
        <v>447</v>
      </c>
      <c r="E780" s="57">
        <v>2</v>
      </c>
      <c r="F780" s="58">
        <v>48092</v>
      </c>
      <c r="G780" s="58">
        <v>46997</v>
      </c>
      <c r="H780" s="57" t="s">
        <v>105</v>
      </c>
      <c r="I780" s="57" t="s">
        <v>628</v>
      </c>
      <c r="J780" s="57" t="s">
        <v>101</v>
      </c>
      <c r="K780" s="57">
        <v>87.748000000000005</v>
      </c>
      <c r="L780" s="57" t="s">
        <v>101</v>
      </c>
      <c r="M780" s="57">
        <v>4.16</v>
      </c>
      <c r="N780" s="57">
        <v>4.16</v>
      </c>
      <c r="O780" s="53" t="s">
        <v>101</v>
      </c>
      <c r="P780" s="57" t="s">
        <v>448</v>
      </c>
      <c r="Q780" s="57" t="s">
        <v>512</v>
      </c>
      <c r="R780" s="59" t="s">
        <v>454</v>
      </c>
    </row>
    <row r="781" spans="1:18" x14ac:dyDescent="0.5">
      <c r="A781" s="52" t="str">
        <f>"01071NBK6"</f>
        <v>01071NBK6</v>
      </c>
      <c r="B781" s="53" t="s">
        <v>499</v>
      </c>
      <c r="C781" s="53" t="s">
        <v>1082</v>
      </c>
      <c r="D781" s="53" t="s">
        <v>447</v>
      </c>
      <c r="E781" s="53">
        <v>3</v>
      </c>
      <c r="F781" s="54">
        <v>48122</v>
      </c>
      <c r="G781" s="54">
        <v>45931</v>
      </c>
      <c r="H781" s="53" t="s">
        <v>613</v>
      </c>
      <c r="I781" s="53" t="s">
        <v>628</v>
      </c>
      <c r="J781" s="53" t="s">
        <v>101</v>
      </c>
      <c r="K781" s="53">
        <v>96.313000000000002</v>
      </c>
      <c r="L781" s="53" t="s">
        <v>101</v>
      </c>
      <c r="M781" s="53">
        <v>3.6309999999999998</v>
      </c>
      <c r="N781" s="53">
        <v>3.6309999999999998</v>
      </c>
      <c r="O781" s="53" t="s">
        <v>101</v>
      </c>
      <c r="P781" s="53" t="s">
        <v>448</v>
      </c>
      <c r="Q781" s="53" t="s">
        <v>485</v>
      </c>
      <c r="R781" s="55" t="s">
        <v>771</v>
      </c>
    </row>
    <row r="782" spans="1:18" x14ac:dyDescent="0.5">
      <c r="A782" s="56" t="str">
        <f>"093805FY0"</f>
        <v>093805FY0</v>
      </c>
      <c r="B782" s="57" t="s">
        <v>496</v>
      </c>
      <c r="C782" s="57" t="s">
        <v>1083</v>
      </c>
      <c r="D782" s="53" t="s">
        <v>447</v>
      </c>
      <c r="E782" s="57">
        <v>3</v>
      </c>
      <c r="F782" s="58">
        <v>48122</v>
      </c>
      <c r="G782" s="58">
        <v>47027</v>
      </c>
      <c r="H782" s="57" t="s">
        <v>105</v>
      </c>
      <c r="I782" s="57" t="s">
        <v>616</v>
      </c>
      <c r="J782" s="57" t="s">
        <v>101</v>
      </c>
      <c r="K782" s="57">
        <v>95.192999999999998</v>
      </c>
      <c r="L782" s="57" t="s">
        <v>101</v>
      </c>
      <c r="M782" s="57">
        <v>3.8290000000000002</v>
      </c>
      <c r="N782" s="57">
        <v>3.8290000000000002</v>
      </c>
      <c r="O782" s="53" t="s">
        <v>101</v>
      </c>
      <c r="P782" s="57" t="s">
        <v>448</v>
      </c>
      <c r="Q782" s="57" t="s">
        <v>488</v>
      </c>
      <c r="R782" s="59" t="s">
        <v>1084</v>
      </c>
    </row>
    <row r="783" spans="1:18" x14ac:dyDescent="0.5">
      <c r="A783" s="52" t="str">
        <f>"342816J63"</f>
        <v>342816J63</v>
      </c>
      <c r="B783" s="53" t="s">
        <v>499</v>
      </c>
      <c r="C783" s="53" t="s">
        <v>1085</v>
      </c>
      <c r="D783" s="53" t="s">
        <v>447</v>
      </c>
      <c r="E783" s="53">
        <v>3</v>
      </c>
      <c r="F783" s="54">
        <v>48122</v>
      </c>
      <c r="G783" s="54">
        <v>46296</v>
      </c>
      <c r="H783" s="53" t="s">
        <v>610</v>
      </c>
      <c r="I783" s="53" t="s">
        <v>105</v>
      </c>
      <c r="J783" s="53" t="s">
        <v>101</v>
      </c>
      <c r="K783" s="53">
        <v>95.85</v>
      </c>
      <c r="L783" s="53" t="s">
        <v>101</v>
      </c>
      <c r="M783" s="53">
        <v>3.7120000000000002</v>
      </c>
      <c r="N783" s="53">
        <v>3.7120000000000002</v>
      </c>
      <c r="O783" s="53" t="s">
        <v>101</v>
      </c>
      <c r="P783" s="53" t="s">
        <v>448</v>
      </c>
      <c r="Q783" s="53" t="s">
        <v>479</v>
      </c>
      <c r="R783" s="55" t="s">
        <v>589</v>
      </c>
    </row>
    <row r="784" spans="1:18" x14ac:dyDescent="0.5">
      <c r="A784" s="56" t="str">
        <f>"414910NM7"</f>
        <v>414910NM7</v>
      </c>
      <c r="B784" s="57" t="s">
        <v>451</v>
      </c>
      <c r="C784" s="57" t="s">
        <v>1086</v>
      </c>
      <c r="D784" s="53" t="s">
        <v>447</v>
      </c>
      <c r="E784" s="57">
        <v>3</v>
      </c>
      <c r="F784" s="58">
        <v>48122</v>
      </c>
      <c r="G784" s="58">
        <v>45733</v>
      </c>
      <c r="H784" s="57" t="s">
        <v>641</v>
      </c>
      <c r="I784" s="57" t="s">
        <v>182</v>
      </c>
      <c r="J784" s="57" t="s">
        <v>101</v>
      </c>
      <c r="K784" s="57">
        <v>94.44</v>
      </c>
      <c r="L784" s="57" t="s">
        <v>101</v>
      </c>
      <c r="M784" s="57">
        <v>3.9630000000000001</v>
      </c>
      <c r="N784" s="57">
        <v>3.9630000000000001</v>
      </c>
      <c r="O784" s="53" t="s">
        <v>101</v>
      </c>
      <c r="P784" s="57" t="s">
        <v>448</v>
      </c>
      <c r="Q784" s="57" t="s">
        <v>457</v>
      </c>
      <c r="R784" s="59" t="s">
        <v>630</v>
      </c>
    </row>
    <row r="785" spans="1:18" x14ac:dyDescent="0.5">
      <c r="A785" s="52" t="str">
        <f>"45204EHR2"</f>
        <v>45204EHR2</v>
      </c>
      <c r="B785" s="53" t="s">
        <v>491</v>
      </c>
      <c r="C785" s="53" t="s">
        <v>1087</v>
      </c>
      <c r="D785" s="53" t="s">
        <v>447</v>
      </c>
      <c r="E785" s="53">
        <v>4</v>
      </c>
      <c r="F785" s="54">
        <v>48122</v>
      </c>
      <c r="G785" s="54">
        <v>46296</v>
      </c>
      <c r="H785" s="53" t="s">
        <v>641</v>
      </c>
      <c r="I785" s="53" t="s">
        <v>611</v>
      </c>
      <c r="J785" s="53" t="s">
        <v>101</v>
      </c>
      <c r="K785" s="53">
        <v>100.42</v>
      </c>
      <c r="L785" s="53" t="s">
        <v>101</v>
      </c>
      <c r="M785" s="53">
        <v>3.7280000000000002</v>
      </c>
      <c r="N785" s="53">
        <v>3.927</v>
      </c>
      <c r="O785" s="53" t="s">
        <v>101</v>
      </c>
      <c r="P785" s="53" t="s">
        <v>448</v>
      </c>
      <c r="Q785" s="53" t="s">
        <v>453</v>
      </c>
      <c r="R785" s="55" t="s">
        <v>504</v>
      </c>
    </row>
    <row r="786" spans="1:18" x14ac:dyDescent="0.5">
      <c r="A786" s="56" t="str">
        <f>"489819BH4"</f>
        <v>489819BH4</v>
      </c>
      <c r="B786" s="57" t="s">
        <v>496</v>
      </c>
      <c r="C786" s="57" t="s">
        <v>1088</v>
      </c>
      <c r="D786" s="53" t="s">
        <v>447</v>
      </c>
      <c r="E786" s="57">
        <v>2</v>
      </c>
      <c r="F786" s="58">
        <v>48122</v>
      </c>
      <c r="G786" s="58">
        <v>47757</v>
      </c>
      <c r="H786" s="57" t="s">
        <v>105</v>
      </c>
      <c r="I786" s="57" t="s">
        <v>628</v>
      </c>
      <c r="J786" s="57" t="s">
        <v>101</v>
      </c>
      <c r="K786" s="57">
        <v>86.784999999999997</v>
      </c>
      <c r="L786" s="57" t="s">
        <v>101</v>
      </c>
      <c r="M786" s="57">
        <v>4.3159999999999998</v>
      </c>
      <c r="N786" s="57">
        <v>4.3159999999999998</v>
      </c>
      <c r="O786" s="53" t="s">
        <v>101</v>
      </c>
      <c r="P786" s="57" t="s">
        <v>448</v>
      </c>
      <c r="Q786" s="57" t="s">
        <v>457</v>
      </c>
      <c r="R786" s="59" t="s">
        <v>454</v>
      </c>
    </row>
    <row r="787" spans="1:18" x14ac:dyDescent="0.5">
      <c r="A787" s="52" t="str">
        <f>"61370YJA8"</f>
        <v>61370YJA8</v>
      </c>
      <c r="B787" s="53" t="s">
        <v>451</v>
      </c>
      <c r="C787" s="53" t="s">
        <v>1089</v>
      </c>
      <c r="D787" s="53" t="s">
        <v>447</v>
      </c>
      <c r="E787" s="53">
        <v>3</v>
      </c>
      <c r="F787" s="54">
        <v>48122</v>
      </c>
      <c r="G787" s="54">
        <v>45733</v>
      </c>
      <c r="H787" s="53" t="s">
        <v>627</v>
      </c>
      <c r="I787" s="53" t="s">
        <v>628</v>
      </c>
      <c r="J787" s="53" t="s">
        <v>101</v>
      </c>
      <c r="K787" s="53">
        <v>95.266000000000005</v>
      </c>
      <c r="L787" s="53" t="s">
        <v>101</v>
      </c>
      <c r="M787" s="53">
        <v>3.8159999999999998</v>
      </c>
      <c r="N787" s="53">
        <v>3.8159999999999998</v>
      </c>
      <c r="O787" s="53" t="s">
        <v>101</v>
      </c>
      <c r="P787" s="53" t="s">
        <v>448</v>
      </c>
      <c r="Q787" s="53" t="s">
        <v>722</v>
      </c>
      <c r="R787" s="55" t="s">
        <v>630</v>
      </c>
    </row>
    <row r="788" spans="1:18" x14ac:dyDescent="0.5">
      <c r="A788" s="56" t="str">
        <f>"67823RCD4"</f>
        <v>67823RCD4</v>
      </c>
      <c r="B788" s="57" t="s">
        <v>499</v>
      </c>
      <c r="C788" s="57" t="s">
        <v>1090</v>
      </c>
      <c r="D788" s="53" t="s">
        <v>447</v>
      </c>
      <c r="E788" s="57">
        <v>2.75</v>
      </c>
      <c r="F788" s="58">
        <v>48122</v>
      </c>
      <c r="G788" s="58">
        <v>46113</v>
      </c>
      <c r="H788" s="57" t="s">
        <v>105</v>
      </c>
      <c r="I788" s="57" t="s">
        <v>628</v>
      </c>
      <c r="J788" s="57" t="s">
        <v>101</v>
      </c>
      <c r="K788" s="57">
        <v>93.423000000000002</v>
      </c>
      <c r="L788" s="57" t="s">
        <v>101</v>
      </c>
      <c r="M788" s="57">
        <v>3.8860000000000001</v>
      </c>
      <c r="N788" s="57">
        <v>3.8860000000000001</v>
      </c>
      <c r="O788" s="53" t="s">
        <v>101</v>
      </c>
      <c r="P788" s="57" t="s">
        <v>448</v>
      </c>
      <c r="Q788" s="57" t="s">
        <v>527</v>
      </c>
      <c r="R788" s="59" t="s">
        <v>504</v>
      </c>
    </row>
    <row r="789" spans="1:18" x14ac:dyDescent="0.5">
      <c r="A789" s="52" t="str">
        <f>"83786PCQ1"</f>
        <v>83786PCQ1</v>
      </c>
      <c r="B789" s="53" t="s">
        <v>499</v>
      </c>
      <c r="C789" s="53" t="s">
        <v>1091</v>
      </c>
      <c r="D789" s="53" t="s">
        <v>447</v>
      </c>
      <c r="E789" s="53">
        <v>3</v>
      </c>
      <c r="F789" s="54">
        <v>48122</v>
      </c>
      <c r="G789" s="54">
        <v>46113</v>
      </c>
      <c r="H789" s="53" t="s">
        <v>624</v>
      </c>
      <c r="I789" s="53" t="s">
        <v>628</v>
      </c>
      <c r="J789" s="53" t="s">
        <v>101</v>
      </c>
      <c r="K789" s="53">
        <v>97.03</v>
      </c>
      <c r="L789" s="53" t="s">
        <v>101</v>
      </c>
      <c r="M789" s="53">
        <v>3.5059999999999998</v>
      </c>
      <c r="N789" s="53">
        <v>3.5059999999999998</v>
      </c>
      <c r="O789" s="53" t="s">
        <v>101</v>
      </c>
      <c r="P789" s="53" t="s">
        <v>585</v>
      </c>
      <c r="Q789" s="53" t="s">
        <v>517</v>
      </c>
      <c r="R789" s="55" t="s">
        <v>450</v>
      </c>
    </row>
    <row r="790" spans="1:18" x14ac:dyDescent="0.5">
      <c r="A790" s="56" t="str">
        <f>"943080QX2"</f>
        <v>943080QX2</v>
      </c>
      <c r="B790" s="57" t="s">
        <v>496</v>
      </c>
      <c r="C790" s="57" t="s">
        <v>1092</v>
      </c>
      <c r="D790" s="53" t="s">
        <v>447</v>
      </c>
      <c r="E790" s="57">
        <v>3</v>
      </c>
      <c r="F790" s="58">
        <v>48122</v>
      </c>
      <c r="G790" s="58">
        <v>46661</v>
      </c>
      <c r="H790" s="57" t="s">
        <v>613</v>
      </c>
      <c r="I790" s="57" t="s">
        <v>105</v>
      </c>
      <c r="J790" s="57" t="s">
        <v>101</v>
      </c>
      <c r="K790" s="57">
        <v>96.884</v>
      </c>
      <c r="L790" s="57" t="s">
        <v>101</v>
      </c>
      <c r="M790" s="57">
        <v>3.532</v>
      </c>
      <c r="N790" s="57">
        <v>3.532</v>
      </c>
      <c r="O790" s="53" t="s">
        <v>101</v>
      </c>
      <c r="P790" s="57" t="s">
        <v>448</v>
      </c>
      <c r="Q790" s="57" t="s">
        <v>485</v>
      </c>
      <c r="R790" s="59" t="s">
        <v>454</v>
      </c>
    </row>
    <row r="791" spans="1:18" x14ac:dyDescent="0.5">
      <c r="A791" s="52" t="str">
        <f>"978369HB5"</f>
        <v>978369HB5</v>
      </c>
      <c r="B791" s="53" t="s">
        <v>496</v>
      </c>
      <c r="C791" s="53" t="s">
        <v>1093</v>
      </c>
      <c r="D791" s="53" t="s">
        <v>447</v>
      </c>
      <c r="E791" s="53">
        <v>3</v>
      </c>
      <c r="F791" s="54">
        <v>48122</v>
      </c>
      <c r="G791" s="54">
        <v>47392</v>
      </c>
      <c r="H791" s="53" t="s">
        <v>613</v>
      </c>
      <c r="I791" s="53" t="s">
        <v>105</v>
      </c>
      <c r="J791" s="53" t="s">
        <v>101</v>
      </c>
      <c r="K791" s="53">
        <v>96.090999999999994</v>
      </c>
      <c r="L791" s="53" t="s">
        <v>101</v>
      </c>
      <c r="M791" s="53">
        <v>3.67</v>
      </c>
      <c r="N791" s="53">
        <v>3.67</v>
      </c>
      <c r="O791" s="53" t="s">
        <v>101</v>
      </c>
      <c r="P791" s="53" t="s">
        <v>448</v>
      </c>
      <c r="Q791" s="53" t="s">
        <v>503</v>
      </c>
      <c r="R791" s="55" t="s">
        <v>482</v>
      </c>
    </row>
    <row r="792" spans="1:18" x14ac:dyDescent="0.5">
      <c r="A792" s="56" t="str">
        <f>"139537PD0"</f>
        <v>139537PD0</v>
      </c>
      <c r="B792" s="57" t="s">
        <v>477</v>
      </c>
      <c r="C792" s="57" t="s">
        <v>1094</v>
      </c>
      <c r="D792" s="53" t="s">
        <v>447</v>
      </c>
      <c r="E792" s="57">
        <v>2</v>
      </c>
      <c r="F792" s="58">
        <v>48136</v>
      </c>
      <c r="G792" s="58">
        <v>47041</v>
      </c>
      <c r="H792" s="57" t="s">
        <v>105</v>
      </c>
      <c r="I792" s="57" t="s">
        <v>628</v>
      </c>
      <c r="J792" s="57" t="s">
        <v>101</v>
      </c>
      <c r="K792" s="57">
        <v>89.858000000000004</v>
      </c>
      <c r="L792" s="57" t="s">
        <v>101</v>
      </c>
      <c r="M792" s="57">
        <v>3.734</v>
      </c>
      <c r="N792" s="57">
        <v>3.734</v>
      </c>
      <c r="O792" s="53" t="s">
        <v>101</v>
      </c>
      <c r="P792" s="57" t="s">
        <v>448</v>
      </c>
      <c r="Q792" s="57" t="s">
        <v>591</v>
      </c>
      <c r="R792" s="59" t="s">
        <v>454</v>
      </c>
    </row>
    <row r="793" spans="1:18" x14ac:dyDescent="0.5">
      <c r="A793" s="52" t="str">
        <f>"405540EX9"</f>
        <v>405540EX9</v>
      </c>
      <c r="B793" s="53" t="s">
        <v>477</v>
      </c>
      <c r="C793" s="53" t="s">
        <v>1095</v>
      </c>
      <c r="D793" s="53" t="s">
        <v>447</v>
      </c>
      <c r="E793" s="53">
        <v>2</v>
      </c>
      <c r="F793" s="54">
        <v>48136</v>
      </c>
      <c r="G793" s="54">
        <v>47041</v>
      </c>
      <c r="H793" s="53" t="s">
        <v>105</v>
      </c>
      <c r="I793" s="53" t="s">
        <v>616</v>
      </c>
      <c r="J793" s="53" t="s">
        <v>101</v>
      </c>
      <c r="K793" s="53">
        <v>87.067999999999998</v>
      </c>
      <c r="L793" s="53" t="s">
        <v>101</v>
      </c>
      <c r="M793" s="53">
        <v>4.25</v>
      </c>
      <c r="N793" s="53">
        <v>4.25</v>
      </c>
      <c r="O793" s="53" t="s">
        <v>101</v>
      </c>
      <c r="P793" s="53" t="s">
        <v>448</v>
      </c>
      <c r="Q793" s="53" t="s">
        <v>858</v>
      </c>
      <c r="R793" s="55" t="s">
        <v>454</v>
      </c>
    </row>
    <row r="794" spans="1:18" x14ac:dyDescent="0.5">
      <c r="A794" s="56" t="str">
        <f>"347694NK3"</f>
        <v>347694NK3</v>
      </c>
      <c r="B794" s="57" t="s">
        <v>477</v>
      </c>
      <c r="C794" s="57" t="s">
        <v>1096</v>
      </c>
      <c r="D794" s="53" t="s">
        <v>447</v>
      </c>
      <c r="E794" s="57">
        <v>2</v>
      </c>
      <c r="F794" s="58">
        <v>48153</v>
      </c>
      <c r="G794" s="58">
        <v>47058</v>
      </c>
      <c r="H794" s="57" t="s">
        <v>613</v>
      </c>
      <c r="I794" s="57" t="s">
        <v>105</v>
      </c>
      <c r="J794" s="57" t="s">
        <v>101</v>
      </c>
      <c r="K794" s="57">
        <v>87.765000000000001</v>
      </c>
      <c r="L794" s="57" t="s">
        <v>101</v>
      </c>
      <c r="M794" s="57">
        <v>4.1059999999999999</v>
      </c>
      <c r="N794" s="57">
        <v>4.1059999999999999</v>
      </c>
      <c r="O794" s="53" t="s">
        <v>101</v>
      </c>
      <c r="P794" s="57" t="s">
        <v>448</v>
      </c>
      <c r="Q794" s="57" t="s">
        <v>790</v>
      </c>
      <c r="R794" s="59" t="s">
        <v>454</v>
      </c>
    </row>
    <row r="795" spans="1:18" x14ac:dyDescent="0.5">
      <c r="A795" s="52" t="str">
        <f>"413072LF4"</f>
        <v>413072LF4</v>
      </c>
      <c r="B795" s="53" t="s">
        <v>451</v>
      </c>
      <c r="C795" s="53" t="s">
        <v>1097</v>
      </c>
      <c r="D795" s="53" t="s">
        <v>447</v>
      </c>
      <c r="E795" s="53">
        <v>2.5</v>
      </c>
      <c r="F795" s="54">
        <v>48153</v>
      </c>
      <c r="G795" s="54">
        <v>47058</v>
      </c>
      <c r="H795" s="53" t="s">
        <v>105</v>
      </c>
      <c r="I795" s="53" t="s">
        <v>616</v>
      </c>
      <c r="J795" s="53" t="s">
        <v>101</v>
      </c>
      <c r="K795" s="53">
        <v>90.9</v>
      </c>
      <c r="L795" s="53" t="s">
        <v>101</v>
      </c>
      <c r="M795" s="53">
        <v>4.0640000000000001</v>
      </c>
      <c r="N795" s="53">
        <v>4.0640000000000001</v>
      </c>
      <c r="O795" s="53" t="s">
        <v>101</v>
      </c>
      <c r="P795" s="53" t="s">
        <v>448</v>
      </c>
      <c r="Q795" s="53" t="s">
        <v>503</v>
      </c>
      <c r="R795" s="55" t="s">
        <v>504</v>
      </c>
    </row>
    <row r="796" spans="1:18" x14ac:dyDescent="0.5">
      <c r="A796" s="56" t="str">
        <f>"568548EN7"</f>
        <v>568548EN7</v>
      </c>
      <c r="B796" s="57" t="s">
        <v>491</v>
      </c>
      <c r="C796" s="57" t="s">
        <v>1098</v>
      </c>
      <c r="D796" s="53" t="s">
        <v>447</v>
      </c>
      <c r="E796" s="57">
        <v>3</v>
      </c>
      <c r="F796" s="58">
        <v>48153</v>
      </c>
      <c r="G796" s="58">
        <v>47423</v>
      </c>
      <c r="H796" s="57" t="s">
        <v>105</v>
      </c>
      <c r="I796" s="57" t="s">
        <v>628</v>
      </c>
      <c r="J796" s="57" t="s">
        <v>101</v>
      </c>
      <c r="K796" s="57">
        <v>96.66</v>
      </c>
      <c r="L796" s="57" t="s">
        <v>101</v>
      </c>
      <c r="M796" s="57">
        <v>3.5640000000000001</v>
      </c>
      <c r="N796" s="57">
        <v>3.5640000000000001</v>
      </c>
      <c r="O796" s="53" t="s">
        <v>101</v>
      </c>
      <c r="P796" s="57" t="s">
        <v>448</v>
      </c>
      <c r="Q796" s="57" t="s">
        <v>453</v>
      </c>
      <c r="R796" s="59" t="s">
        <v>630</v>
      </c>
    </row>
    <row r="797" spans="1:18" x14ac:dyDescent="0.5">
      <c r="A797" s="52" t="str">
        <f>"596010GZ5"</f>
        <v>596010GZ5</v>
      </c>
      <c r="B797" s="53" t="s">
        <v>477</v>
      </c>
      <c r="C797" s="53" t="s">
        <v>1099</v>
      </c>
      <c r="D797" s="53" t="s">
        <v>447</v>
      </c>
      <c r="E797" s="53">
        <v>2.5</v>
      </c>
      <c r="F797" s="54">
        <v>48153</v>
      </c>
      <c r="G797" s="54">
        <v>45733</v>
      </c>
      <c r="H797" s="53" t="s">
        <v>105</v>
      </c>
      <c r="I797" s="53" t="s">
        <v>616</v>
      </c>
      <c r="J797" s="53" t="s">
        <v>101</v>
      </c>
      <c r="K797" s="53">
        <v>93.947000000000003</v>
      </c>
      <c r="L797" s="53" t="s">
        <v>101</v>
      </c>
      <c r="M797" s="53">
        <v>3.5209999999999999</v>
      </c>
      <c r="N797" s="53">
        <v>3.5209999999999999</v>
      </c>
      <c r="O797" s="53" t="s">
        <v>101</v>
      </c>
      <c r="P797" s="53" t="s">
        <v>448</v>
      </c>
      <c r="Q797" s="53" t="s">
        <v>460</v>
      </c>
      <c r="R797" s="55" t="s">
        <v>454</v>
      </c>
    </row>
    <row r="798" spans="1:18" x14ac:dyDescent="0.5">
      <c r="A798" s="56" t="str">
        <f>"69651ABR4"</f>
        <v>69651ABR4</v>
      </c>
      <c r="B798" s="57" t="s">
        <v>499</v>
      </c>
      <c r="C798" s="57" t="s">
        <v>1100</v>
      </c>
      <c r="D798" s="53" t="s">
        <v>447</v>
      </c>
      <c r="E798" s="57">
        <v>5</v>
      </c>
      <c r="F798" s="58">
        <v>48153</v>
      </c>
      <c r="G798" s="58" t="s">
        <v>101</v>
      </c>
      <c r="H798" s="57" t="s">
        <v>105</v>
      </c>
      <c r="I798" s="57" t="s">
        <v>695</v>
      </c>
      <c r="J798" s="57" t="s">
        <v>101</v>
      </c>
      <c r="K798" s="57">
        <v>106.72499999999999</v>
      </c>
      <c r="L798" s="57" t="s">
        <v>101</v>
      </c>
      <c r="M798" s="57">
        <v>3.851</v>
      </c>
      <c r="N798" s="57">
        <v>3.851</v>
      </c>
      <c r="O798" s="53" t="s">
        <v>101</v>
      </c>
      <c r="P798" s="57" t="s">
        <v>448</v>
      </c>
      <c r="Q798" s="57" t="s">
        <v>485</v>
      </c>
      <c r="R798" s="59" t="s">
        <v>506</v>
      </c>
    </row>
    <row r="799" spans="1:18" x14ac:dyDescent="0.5">
      <c r="A799" s="52" t="str">
        <f>"702725P55"</f>
        <v>702725P55</v>
      </c>
      <c r="B799" s="53" t="s">
        <v>477</v>
      </c>
      <c r="C799" s="53" t="s">
        <v>1101</v>
      </c>
      <c r="D799" s="53" t="s">
        <v>447</v>
      </c>
      <c r="E799" s="53">
        <v>2</v>
      </c>
      <c r="F799" s="54">
        <v>48153</v>
      </c>
      <c r="G799" s="54">
        <v>47058</v>
      </c>
      <c r="H799" s="53" t="s">
        <v>540</v>
      </c>
      <c r="I799" s="53" t="s">
        <v>105</v>
      </c>
      <c r="J799" s="53" t="s">
        <v>101</v>
      </c>
      <c r="K799" s="53">
        <v>88.197000000000003</v>
      </c>
      <c r="L799" s="53" t="s">
        <v>101</v>
      </c>
      <c r="M799" s="53">
        <v>4.0259999999999998</v>
      </c>
      <c r="N799" s="53">
        <v>4.0259999999999998</v>
      </c>
      <c r="O799" s="53" t="s">
        <v>101</v>
      </c>
      <c r="P799" s="53" t="s">
        <v>448</v>
      </c>
      <c r="Q799" s="53" t="s">
        <v>464</v>
      </c>
      <c r="R799" s="55" t="s">
        <v>454</v>
      </c>
    </row>
    <row r="800" spans="1:18" x14ac:dyDescent="0.5">
      <c r="A800" s="56" t="str">
        <f>"511665KE0"</f>
        <v>511665KE0</v>
      </c>
      <c r="B800" s="57" t="s">
        <v>499</v>
      </c>
      <c r="C800" s="57" t="s">
        <v>1102</v>
      </c>
      <c r="D800" s="53" t="s">
        <v>447</v>
      </c>
      <c r="E800" s="57">
        <v>3</v>
      </c>
      <c r="F800" s="58">
        <v>48167</v>
      </c>
      <c r="G800" s="58">
        <v>46341</v>
      </c>
      <c r="H800" s="57" t="s">
        <v>610</v>
      </c>
      <c r="I800" s="57" t="s">
        <v>105</v>
      </c>
      <c r="J800" s="57" t="s">
        <v>101</v>
      </c>
      <c r="K800" s="57">
        <v>94.17</v>
      </c>
      <c r="L800" s="57" t="s">
        <v>101</v>
      </c>
      <c r="M800" s="57">
        <v>3.9940000000000002</v>
      </c>
      <c r="N800" s="57">
        <v>3.9940000000000002</v>
      </c>
      <c r="O800" s="53" t="s">
        <v>101</v>
      </c>
      <c r="P800" s="57" t="s">
        <v>448</v>
      </c>
      <c r="Q800" s="57" t="s">
        <v>538</v>
      </c>
      <c r="R800" s="59" t="s">
        <v>450</v>
      </c>
    </row>
    <row r="801" spans="1:18" x14ac:dyDescent="0.5">
      <c r="A801" s="52" t="str">
        <f>"593211FB6"</f>
        <v>593211FB6</v>
      </c>
      <c r="B801" s="53" t="s">
        <v>499</v>
      </c>
      <c r="C801" s="53" t="s">
        <v>1103</v>
      </c>
      <c r="D801" s="53" t="s">
        <v>447</v>
      </c>
      <c r="E801" s="53">
        <v>5</v>
      </c>
      <c r="F801" s="54">
        <v>48167</v>
      </c>
      <c r="G801" s="54" t="s">
        <v>101</v>
      </c>
      <c r="H801" s="53" t="s">
        <v>627</v>
      </c>
      <c r="I801" s="53" t="s">
        <v>105</v>
      </c>
      <c r="J801" s="53" t="s">
        <v>101</v>
      </c>
      <c r="K801" s="53">
        <v>107.78</v>
      </c>
      <c r="L801" s="53" t="s">
        <v>101</v>
      </c>
      <c r="M801" s="53">
        <v>3.6850000000000001</v>
      </c>
      <c r="N801" s="53">
        <v>3.6850000000000001</v>
      </c>
      <c r="O801" s="53" t="s">
        <v>101</v>
      </c>
      <c r="P801" s="53" t="s">
        <v>448</v>
      </c>
      <c r="Q801" s="53" t="s">
        <v>488</v>
      </c>
      <c r="R801" s="55" t="s">
        <v>450</v>
      </c>
    </row>
    <row r="802" spans="1:18" x14ac:dyDescent="0.5">
      <c r="A802" s="56" t="str">
        <f>"940416JM3"</f>
        <v>940416JM3</v>
      </c>
      <c r="B802" s="57" t="s">
        <v>477</v>
      </c>
      <c r="C802" s="57" t="s">
        <v>1104</v>
      </c>
      <c r="D802" s="53" t="s">
        <v>447</v>
      </c>
      <c r="E802" s="57">
        <v>2.5</v>
      </c>
      <c r="F802" s="58">
        <v>48167</v>
      </c>
      <c r="G802" s="58">
        <v>45733</v>
      </c>
      <c r="H802" s="57" t="s">
        <v>613</v>
      </c>
      <c r="I802" s="57" t="s">
        <v>105</v>
      </c>
      <c r="J802" s="57" t="s">
        <v>101</v>
      </c>
      <c r="K802" s="57">
        <v>92.561000000000007</v>
      </c>
      <c r="L802" s="57" t="s">
        <v>101</v>
      </c>
      <c r="M802" s="57">
        <v>3.7589999999999999</v>
      </c>
      <c r="N802" s="57">
        <v>3.7589999999999999</v>
      </c>
      <c r="O802" s="53" t="s">
        <v>101</v>
      </c>
      <c r="P802" s="57" t="s">
        <v>448</v>
      </c>
      <c r="Q802" s="57" t="s">
        <v>488</v>
      </c>
      <c r="R802" s="59" t="s">
        <v>454</v>
      </c>
    </row>
    <row r="803" spans="1:18" x14ac:dyDescent="0.5">
      <c r="A803" s="52" t="str">
        <f>"082426MM6"</f>
        <v>082426MM6</v>
      </c>
      <c r="B803" s="53" t="s">
        <v>491</v>
      </c>
      <c r="C803" s="53" t="s">
        <v>1105</v>
      </c>
      <c r="D803" s="53" t="s">
        <v>447</v>
      </c>
      <c r="E803" s="53">
        <v>3.5</v>
      </c>
      <c r="F803" s="54">
        <v>48183</v>
      </c>
      <c r="G803" s="54">
        <v>45733</v>
      </c>
      <c r="H803" s="53" t="s">
        <v>105</v>
      </c>
      <c r="I803" s="53" t="s">
        <v>616</v>
      </c>
      <c r="J803" s="53" t="s">
        <v>101</v>
      </c>
      <c r="K803" s="53">
        <v>97.85</v>
      </c>
      <c r="L803" s="53" t="s">
        <v>101</v>
      </c>
      <c r="M803" s="53">
        <v>3.8620000000000001</v>
      </c>
      <c r="N803" s="53">
        <v>3.8620000000000001</v>
      </c>
      <c r="O803" s="53" t="s">
        <v>101</v>
      </c>
      <c r="P803" s="53" t="s">
        <v>448</v>
      </c>
      <c r="Q803" s="53" t="s">
        <v>488</v>
      </c>
      <c r="R803" s="55" t="s">
        <v>504</v>
      </c>
    </row>
    <row r="804" spans="1:18" x14ac:dyDescent="0.5">
      <c r="A804" s="56" t="str">
        <f>"17240FWA4"</f>
        <v>17240FWA4</v>
      </c>
      <c r="B804" s="57" t="s">
        <v>451</v>
      </c>
      <c r="C804" s="57" t="s">
        <v>1106</v>
      </c>
      <c r="D804" s="53" t="s">
        <v>447</v>
      </c>
      <c r="E804" s="57">
        <v>3</v>
      </c>
      <c r="F804" s="58">
        <v>48183</v>
      </c>
      <c r="G804" s="58">
        <v>45992</v>
      </c>
      <c r="H804" s="57" t="s">
        <v>641</v>
      </c>
      <c r="I804" s="57" t="s">
        <v>628</v>
      </c>
      <c r="J804" s="57" t="s">
        <v>101</v>
      </c>
      <c r="K804" s="57">
        <v>95.08</v>
      </c>
      <c r="L804" s="57" t="s">
        <v>101</v>
      </c>
      <c r="M804" s="57">
        <v>3.83</v>
      </c>
      <c r="N804" s="57">
        <v>3.83</v>
      </c>
      <c r="O804" s="53" t="s">
        <v>101</v>
      </c>
      <c r="P804" s="57" t="s">
        <v>448</v>
      </c>
      <c r="Q804" s="57" t="s">
        <v>479</v>
      </c>
      <c r="R804" s="59" t="s">
        <v>771</v>
      </c>
    </row>
    <row r="805" spans="1:18" x14ac:dyDescent="0.5">
      <c r="A805" s="52" t="str">
        <f>"17240FWT3"</f>
        <v>17240FWT3</v>
      </c>
      <c r="B805" s="53" t="s">
        <v>451</v>
      </c>
      <c r="C805" s="53" t="s">
        <v>1107</v>
      </c>
      <c r="D805" s="53" t="s">
        <v>447</v>
      </c>
      <c r="E805" s="53">
        <v>3</v>
      </c>
      <c r="F805" s="54">
        <v>48183</v>
      </c>
      <c r="G805" s="54">
        <v>45992</v>
      </c>
      <c r="H805" s="53" t="s">
        <v>641</v>
      </c>
      <c r="I805" s="53" t="s">
        <v>628</v>
      </c>
      <c r="J805" s="53" t="s">
        <v>101</v>
      </c>
      <c r="K805" s="53">
        <v>95.25</v>
      </c>
      <c r="L805" s="53" t="s">
        <v>101</v>
      </c>
      <c r="M805" s="53">
        <v>3.8</v>
      </c>
      <c r="N805" s="53">
        <v>3.8</v>
      </c>
      <c r="O805" s="53" t="s">
        <v>101</v>
      </c>
      <c r="P805" s="53" t="s">
        <v>448</v>
      </c>
      <c r="Q805" s="53" t="s">
        <v>479</v>
      </c>
      <c r="R805" s="55" t="s">
        <v>771</v>
      </c>
    </row>
    <row r="806" spans="1:18" x14ac:dyDescent="0.5">
      <c r="A806" s="56" t="str">
        <f>"215039EU8"</f>
        <v>215039EU8</v>
      </c>
      <c r="B806" s="57" t="s">
        <v>491</v>
      </c>
      <c r="C806" s="57" t="s">
        <v>1108</v>
      </c>
      <c r="D806" s="53" t="s">
        <v>447</v>
      </c>
      <c r="E806" s="57">
        <v>3.25</v>
      </c>
      <c r="F806" s="58">
        <v>48183</v>
      </c>
      <c r="G806" s="58">
        <v>46357</v>
      </c>
      <c r="H806" s="57" t="s">
        <v>613</v>
      </c>
      <c r="I806" s="57" t="s">
        <v>105</v>
      </c>
      <c r="J806" s="57" t="s">
        <v>101</v>
      </c>
      <c r="K806" s="57">
        <v>97.846000000000004</v>
      </c>
      <c r="L806" s="57" t="s">
        <v>101</v>
      </c>
      <c r="M806" s="57">
        <v>3.61</v>
      </c>
      <c r="N806" s="57">
        <v>3.61</v>
      </c>
      <c r="O806" s="53" t="s">
        <v>101</v>
      </c>
      <c r="P806" s="57" t="s">
        <v>448</v>
      </c>
      <c r="Q806" s="57" t="s">
        <v>538</v>
      </c>
      <c r="R806" s="59" t="s">
        <v>454</v>
      </c>
    </row>
    <row r="807" spans="1:18" x14ac:dyDescent="0.5">
      <c r="A807" s="52" t="str">
        <f>"31262ACS2"</f>
        <v>31262ACS2</v>
      </c>
      <c r="B807" s="53" t="s">
        <v>491</v>
      </c>
      <c r="C807" s="53" t="s">
        <v>1109</v>
      </c>
      <c r="D807" s="53" t="s">
        <v>447</v>
      </c>
      <c r="E807" s="53">
        <v>3.5</v>
      </c>
      <c r="F807" s="54">
        <v>48183</v>
      </c>
      <c r="G807" s="54">
        <v>45733</v>
      </c>
      <c r="H807" s="53" t="s">
        <v>105</v>
      </c>
      <c r="I807" s="53" t="s">
        <v>628</v>
      </c>
      <c r="J807" s="53" t="s">
        <v>101</v>
      </c>
      <c r="K807" s="53">
        <v>98.75</v>
      </c>
      <c r="L807" s="53" t="s">
        <v>101</v>
      </c>
      <c r="M807" s="53">
        <v>3.7090000000000001</v>
      </c>
      <c r="N807" s="53">
        <v>3.7090000000000001</v>
      </c>
      <c r="O807" s="53" t="s">
        <v>101</v>
      </c>
      <c r="P807" s="53" t="s">
        <v>448</v>
      </c>
      <c r="Q807" s="53" t="s">
        <v>479</v>
      </c>
      <c r="R807" s="55" t="s">
        <v>630</v>
      </c>
    </row>
    <row r="808" spans="1:18" x14ac:dyDescent="0.5">
      <c r="A808" s="56" t="str">
        <f>"346798EC1"</f>
        <v>346798EC1</v>
      </c>
      <c r="B808" s="57" t="s">
        <v>451</v>
      </c>
      <c r="C808" s="57" t="s">
        <v>1110</v>
      </c>
      <c r="D808" s="53" t="s">
        <v>447</v>
      </c>
      <c r="E808" s="57">
        <v>2</v>
      </c>
      <c r="F808" s="58">
        <v>48183</v>
      </c>
      <c r="G808" s="58">
        <v>46357</v>
      </c>
      <c r="H808" s="57" t="s">
        <v>105</v>
      </c>
      <c r="I808" s="57" t="s">
        <v>628</v>
      </c>
      <c r="J808" s="57" t="s">
        <v>101</v>
      </c>
      <c r="K808" s="57">
        <v>85.84</v>
      </c>
      <c r="L808" s="57" t="s">
        <v>101</v>
      </c>
      <c r="M808" s="57">
        <v>4.4390000000000001</v>
      </c>
      <c r="N808" s="57">
        <v>4.4390000000000001</v>
      </c>
      <c r="O808" s="53" t="s">
        <v>101</v>
      </c>
      <c r="P808" s="57" t="s">
        <v>448</v>
      </c>
      <c r="Q808" s="57" t="s">
        <v>453</v>
      </c>
      <c r="R808" s="59" t="s">
        <v>630</v>
      </c>
    </row>
    <row r="809" spans="1:18" x14ac:dyDescent="0.5">
      <c r="A809" s="52" t="str">
        <f>"426452CA4"</f>
        <v>426452CA4</v>
      </c>
      <c r="B809" s="53" t="s">
        <v>491</v>
      </c>
      <c r="C809" s="53" t="s">
        <v>1111</v>
      </c>
      <c r="D809" s="53" t="s">
        <v>447</v>
      </c>
      <c r="E809" s="53">
        <v>3</v>
      </c>
      <c r="F809" s="54">
        <v>48183</v>
      </c>
      <c r="G809" s="54">
        <v>47453</v>
      </c>
      <c r="H809" s="53" t="s">
        <v>105</v>
      </c>
      <c r="I809" s="53" t="s">
        <v>628</v>
      </c>
      <c r="J809" s="53" t="s">
        <v>101</v>
      </c>
      <c r="K809" s="53">
        <v>95.95</v>
      </c>
      <c r="L809" s="53" t="s">
        <v>101</v>
      </c>
      <c r="M809" s="53">
        <v>3.6789999999999998</v>
      </c>
      <c r="N809" s="53">
        <v>3.6789999999999998</v>
      </c>
      <c r="O809" s="53" t="s">
        <v>101</v>
      </c>
      <c r="P809" s="53" t="s">
        <v>448</v>
      </c>
      <c r="Q809" s="53" t="s">
        <v>479</v>
      </c>
      <c r="R809" s="55" t="s">
        <v>771</v>
      </c>
    </row>
    <row r="810" spans="1:18" x14ac:dyDescent="0.5">
      <c r="A810" s="56" t="str">
        <f>"42934AAD2"</f>
        <v>42934AAD2</v>
      </c>
      <c r="B810" s="57" t="s">
        <v>451</v>
      </c>
      <c r="C810" s="57" t="s">
        <v>1112</v>
      </c>
      <c r="D810" s="53" t="s">
        <v>447</v>
      </c>
      <c r="E810" s="57">
        <v>5</v>
      </c>
      <c r="F810" s="58">
        <v>48183</v>
      </c>
      <c r="G810" s="58" t="s">
        <v>105</v>
      </c>
      <c r="H810" s="57" t="s">
        <v>677</v>
      </c>
      <c r="I810" s="57" t="s">
        <v>887</v>
      </c>
      <c r="J810" s="57" t="s">
        <v>101</v>
      </c>
      <c r="K810" s="57">
        <v>107.56</v>
      </c>
      <c r="L810" s="57" t="s">
        <v>101</v>
      </c>
      <c r="M810" s="57">
        <v>3.7280000000000002</v>
      </c>
      <c r="N810" s="57">
        <v>3.7280000000000002</v>
      </c>
      <c r="O810" s="53" t="s">
        <v>101</v>
      </c>
      <c r="P810" s="57" t="s">
        <v>448</v>
      </c>
      <c r="Q810" s="57" t="s">
        <v>479</v>
      </c>
      <c r="R810" s="59" t="s">
        <v>608</v>
      </c>
    </row>
    <row r="811" spans="1:18" x14ac:dyDescent="0.5">
      <c r="A811" s="52" t="str">
        <f>"442854LW3"</f>
        <v>442854LW3</v>
      </c>
      <c r="B811" s="53" t="s">
        <v>496</v>
      </c>
      <c r="C811" s="53" t="s">
        <v>1113</v>
      </c>
      <c r="D811" s="53" t="s">
        <v>447</v>
      </c>
      <c r="E811" s="53">
        <v>2</v>
      </c>
      <c r="F811" s="54">
        <v>48183</v>
      </c>
      <c r="G811" s="54">
        <v>46722</v>
      </c>
      <c r="H811" s="53" t="s">
        <v>105</v>
      </c>
      <c r="I811" s="53" t="s">
        <v>628</v>
      </c>
      <c r="J811" s="53" t="s">
        <v>101</v>
      </c>
      <c r="K811" s="53">
        <v>86.691000000000003</v>
      </c>
      <c r="L811" s="53" t="s">
        <v>101</v>
      </c>
      <c r="M811" s="53">
        <v>4.28</v>
      </c>
      <c r="N811" s="53">
        <v>4.28</v>
      </c>
      <c r="O811" s="53" t="s">
        <v>101</v>
      </c>
      <c r="P811" s="53" t="s">
        <v>448</v>
      </c>
      <c r="Q811" s="53" t="s">
        <v>457</v>
      </c>
      <c r="R811" s="55" t="s">
        <v>454</v>
      </c>
    </row>
    <row r="812" spans="1:18" x14ac:dyDescent="0.5">
      <c r="A812" s="56" t="str">
        <f>"508205JW2"</f>
        <v>508205JW2</v>
      </c>
      <c r="B812" s="57" t="s">
        <v>491</v>
      </c>
      <c r="C812" s="57" t="s">
        <v>1114</v>
      </c>
      <c r="D812" s="53" t="s">
        <v>447</v>
      </c>
      <c r="E812" s="57">
        <v>3</v>
      </c>
      <c r="F812" s="58">
        <v>48183</v>
      </c>
      <c r="G812" s="58">
        <v>47818</v>
      </c>
      <c r="H812" s="57" t="s">
        <v>105</v>
      </c>
      <c r="I812" s="57" t="s">
        <v>104</v>
      </c>
      <c r="J812" s="57" t="s">
        <v>101</v>
      </c>
      <c r="K812" s="57">
        <v>96.09</v>
      </c>
      <c r="L812" s="57" t="s">
        <v>101</v>
      </c>
      <c r="M812" s="57">
        <v>3.6549999999999998</v>
      </c>
      <c r="N812" s="57">
        <v>3.6549999999999998</v>
      </c>
      <c r="O812" s="53" t="s">
        <v>101</v>
      </c>
      <c r="P812" s="57" t="s">
        <v>448</v>
      </c>
      <c r="Q812" s="57" t="s">
        <v>488</v>
      </c>
      <c r="R812" s="59" t="s">
        <v>454</v>
      </c>
    </row>
    <row r="813" spans="1:18" x14ac:dyDescent="0.5">
      <c r="A813" s="52" t="str">
        <f>"523288GN2"</f>
        <v>523288GN2</v>
      </c>
      <c r="B813" s="53" t="s">
        <v>496</v>
      </c>
      <c r="C813" s="53" t="s">
        <v>1115</v>
      </c>
      <c r="D813" s="53" t="s">
        <v>447</v>
      </c>
      <c r="E813" s="53">
        <v>3</v>
      </c>
      <c r="F813" s="54">
        <v>48183</v>
      </c>
      <c r="G813" s="54">
        <v>47453</v>
      </c>
      <c r="H813" s="53" t="s">
        <v>105</v>
      </c>
      <c r="I813" s="53" t="s">
        <v>628</v>
      </c>
      <c r="J813" s="53" t="s">
        <v>101</v>
      </c>
      <c r="K813" s="53">
        <v>95.915000000000006</v>
      </c>
      <c r="L813" s="53" t="s">
        <v>101</v>
      </c>
      <c r="M813" s="53">
        <v>3.6850000000000001</v>
      </c>
      <c r="N813" s="53">
        <v>3.6850000000000001</v>
      </c>
      <c r="O813" s="53" t="s">
        <v>101</v>
      </c>
      <c r="P813" s="53" t="s">
        <v>691</v>
      </c>
      <c r="Q813" s="53" t="s">
        <v>488</v>
      </c>
      <c r="R813" s="55" t="s">
        <v>454</v>
      </c>
    </row>
    <row r="814" spans="1:18" x14ac:dyDescent="0.5">
      <c r="A814" s="56" t="str">
        <f>"714414DA4"</f>
        <v>714414DA4</v>
      </c>
      <c r="B814" s="57" t="s">
        <v>491</v>
      </c>
      <c r="C814" s="57" t="s">
        <v>1116</v>
      </c>
      <c r="D814" s="53" t="s">
        <v>447</v>
      </c>
      <c r="E814" s="57">
        <v>5</v>
      </c>
      <c r="F814" s="58">
        <v>48183</v>
      </c>
      <c r="G814" s="58" t="s">
        <v>105</v>
      </c>
      <c r="H814" s="57" t="s">
        <v>105</v>
      </c>
      <c r="I814" s="57" t="s">
        <v>628</v>
      </c>
      <c r="J814" s="57" t="s">
        <v>101</v>
      </c>
      <c r="K814" s="57">
        <v>108.702</v>
      </c>
      <c r="L814" s="57" t="s">
        <v>101</v>
      </c>
      <c r="M814" s="57">
        <v>3.5449999999999999</v>
      </c>
      <c r="N814" s="57">
        <v>3.5449999999999999</v>
      </c>
      <c r="O814" s="53" t="s">
        <v>101</v>
      </c>
      <c r="P814" s="57" t="s">
        <v>448</v>
      </c>
      <c r="Q814" s="57" t="s">
        <v>843</v>
      </c>
      <c r="R814" s="59" t="s">
        <v>621</v>
      </c>
    </row>
    <row r="815" spans="1:18" x14ac:dyDescent="0.5">
      <c r="A815" s="52" t="str">
        <f>"069340HQ3"</f>
        <v>069340HQ3</v>
      </c>
      <c r="B815" s="53" t="s">
        <v>491</v>
      </c>
      <c r="C815" s="53" t="s">
        <v>1117</v>
      </c>
      <c r="D815" s="53" t="s">
        <v>447</v>
      </c>
      <c r="E815" s="53">
        <v>3.375</v>
      </c>
      <c r="F815" s="54">
        <v>48197</v>
      </c>
      <c r="G815" s="54">
        <v>46371</v>
      </c>
      <c r="H815" s="53" t="s">
        <v>105</v>
      </c>
      <c r="I815" s="53" t="s">
        <v>628</v>
      </c>
      <c r="J815" s="53" t="s">
        <v>101</v>
      </c>
      <c r="K815" s="53">
        <v>98.6</v>
      </c>
      <c r="L815" s="53" t="s">
        <v>101</v>
      </c>
      <c r="M815" s="53">
        <v>3.6080000000000001</v>
      </c>
      <c r="N815" s="53">
        <v>3.6080000000000001</v>
      </c>
      <c r="O815" s="53" t="s">
        <v>101</v>
      </c>
      <c r="P815" s="53" t="s">
        <v>448</v>
      </c>
      <c r="Q815" s="53" t="s">
        <v>457</v>
      </c>
      <c r="R815" s="55" t="s">
        <v>454</v>
      </c>
    </row>
    <row r="816" spans="1:18" x14ac:dyDescent="0.5">
      <c r="A816" s="56" t="str">
        <f>"646136EU1"</f>
        <v>646136EU1</v>
      </c>
      <c r="B816" s="57" t="s">
        <v>477</v>
      </c>
      <c r="C816" s="57" t="s">
        <v>1118</v>
      </c>
      <c r="D816" s="53" t="s">
        <v>447</v>
      </c>
      <c r="E816" s="57">
        <v>0</v>
      </c>
      <c r="F816" s="58">
        <v>48197</v>
      </c>
      <c r="G816" s="58" t="s">
        <v>101</v>
      </c>
      <c r="H816" s="57" t="s">
        <v>610</v>
      </c>
      <c r="I816" s="57" t="s">
        <v>713</v>
      </c>
      <c r="J816" s="57" t="s">
        <v>101</v>
      </c>
      <c r="K816" s="57">
        <v>78.75</v>
      </c>
      <c r="L816" s="57" t="s">
        <v>101</v>
      </c>
      <c r="M816" s="57">
        <v>3.5310000000000001</v>
      </c>
      <c r="N816" s="57">
        <v>3.5310000000000001</v>
      </c>
      <c r="O816" s="53" t="s">
        <v>101</v>
      </c>
      <c r="P816" s="57" t="s">
        <v>448</v>
      </c>
      <c r="Q816" s="57" t="s">
        <v>1119</v>
      </c>
      <c r="R816" s="59" t="s">
        <v>820</v>
      </c>
    </row>
    <row r="817" spans="1:18" x14ac:dyDescent="0.5">
      <c r="A817" s="52" t="str">
        <f>"646136XJ5"</f>
        <v>646136XJ5</v>
      </c>
      <c r="B817" s="53" t="s">
        <v>477</v>
      </c>
      <c r="C817" s="53" t="s">
        <v>1120</v>
      </c>
      <c r="D817" s="53" t="s">
        <v>447</v>
      </c>
      <c r="E817" s="53">
        <v>0</v>
      </c>
      <c r="F817" s="54">
        <v>48197</v>
      </c>
      <c r="G817" s="54" t="s">
        <v>101</v>
      </c>
      <c r="H817" s="53" t="s">
        <v>610</v>
      </c>
      <c r="I817" s="53" t="s">
        <v>713</v>
      </c>
      <c r="J817" s="53" t="s">
        <v>101</v>
      </c>
      <c r="K817" s="53">
        <v>78.549000000000007</v>
      </c>
      <c r="L817" s="53" t="s">
        <v>101</v>
      </c>
      <c r="M817" s="53">
        <v>3.569</v>
      </c>
      <c r="N817" s="53">
        <v>3.569</v>
      </c>
      <c r="O817" s="53" t="s">
        <v>101</v>
      </c>
      <c r="P817" s="53" t="s">
        <v>448</v>
      </c>
      <c r="Q817" s="53" t="s">
        <v>517</v>
      </c>
      <c r="R817" s="55" t="s">
        <v>506</v>
      </c>
    </row>
    <row r="818" spans="1:18" x14ac:dyDescent="0.5">
      <c r="A818" s="56" t="str">
        <f>"787760MB0"</f>
        <v>787760MB0</v>
      </c>
      <c r="B818" s="57" t="s">
        <v>491</v>
      </c>
      <c r="C818" s="57" t="s">
        <v>1121</v>
      </c>
      <c r="D818" s="53" t="s">
        <v>447</v>
      </c>
      <c r="E818" s="57">
        <v>3.25</v>
      </c>
      <c r="F818" s="58">
        <v>48197</v>
      </c>
      <c r="G818" s="58">
        <v>46371</v>
      </c>
      <c r="H818" s="57" t="s">
        <v>105</v>
      </c>
      <c r="I818" s="57" t="s">
        <v>628</v>
      </c>
      <c r="J818" s="57" t="s">
        <v>101</v>
      </c>
      <c r="K818" s="57">
        <v>97.54</v>
      </c>
      <c r="L818" s="57" t="s">
        <v>101</v>
      </c>
      <c r="M818" s="57">
        <v>3.66</v>
      </c>
      <c r="N818" s="57">
        <v>3.66</v>
      </c>
      <c r="O818" s="53" t="s">
        <v>101</v>
      </c>
      <c r="P818" s="57" t="s">
        <v>448</v>
      </c>
      <c r="Q818" s="57" t="s">
        <v>488</v>
      </c>
      <c r="R818" s="59" t="s">
        <v>454</v>
      </c>
    </row>
    <row r="819" spans="1:18" x14ac:dyDescent="0.5">
      <c r="A819" s="52" t="str">
        <f>"051645B99"</f>
        <v>051645B99</v>
      </c>
      <c r="B819" s="53" t="s">
        <v>491</v>
      </c>
      <c r="C819" s="53" t="s">
        <v>1122</v>
      </c>
      <c r="D819" s="53" t="s">
        <v>447</v>
      </c>
      <c r="E819" s="53">
        <v>3.25</v>
      </c>
      <c r="F819" s="54">
        <v>48212</v>
      </c>
      <c r="G819" s="54">
        <v>45733</v>
      </c>
      <c r="H819" s="53" t="s">
        <v>105</v>
      </c>
      <c r="I819" s="53" t="s">
        <v>628</v>
      </c>
      <c r="J819" s="53" t="s">
        <v>101</v>
      </c>
      <c r="K819" s="53">
        <v>97.646000000000001</v>
      </c>
      <c r="L819" s="53" t="s">
        <v>101</v>
      </c>
      <c r="M819" s="53">
        <v>3.64</v>
      </c>
      <c r="N819" s="53">
        <v>3.64</v>
      </c>
      <c r="O819" s="53" t="s">
        <v>101</v>
      </c>
      <c r="P819" s="53" t="s">
        <v>448</v>
      </c>
      <c r="Q819" s="53" t="s">
        <v>488</v>
      </c>
      <c r="R819" s="55" t="s">
        <v>454</v>
      </c>
    </row>
    <row r="820" spans="1:18" x14ac:dyDescent="0.5">
      <c r="A820" s="56" t="str">
        <f>"051645Q36"</f>
        <v>051645Q36</v>
      </c>
      <c r="B820" s="57" t="s">
        <v>491</v>
      </c>
      <c r="C820" s="57" t="s">
        <v>1123</v>
      </c>
      <c r="D820" s="53" t="s">
        <v>447</v>
      </c>
      <c r="E820" s="57">
        <v>3</v>
      </c>
      <c r="F820" s="58">
        <v>48212</v>
      </c>
      <c r="G820" s="58">
        <v>46021</v>
      </c>
      <c r="H820" s="57" t="s">
        <v>105</v>
      </c>
      <c r="I820" s="57" t="s">
        <v>628</v>
      </c>
      <c r="J820" s="57" t="s">
        <v>101</v>
      </c>
      <c r="K820" s="57">
        <v>96.760999999999996</v>
      </c>
      <c r="L820" s="57" t="s">
        <v>101</v>
      </c>
      <c r="M820" s="57">
        <v>3.5350000000000001</v>
      </c>
      <c r="N820" s="57">
        <v>3.5350000000000001</v>
      </c>
      <c r="O820" s="53" t="s">
        <v>101</v>
      </c>
      <c r="P820" s="57" t="s">
        <v>448</v>
      </c>
      <c r="Q820" s="57" t="s">
        <v>485</v>
      </c>
      <c r="R820" s="59" t="s">
        <v>454</v>
      </c>
    </row>
    <row r="821" spans="1:18" x14ac:dyDescent="0.5">
      <c r="A821" s="52" t="str">
        <f>"051645J91"</f>
        <v>051645J91</v>
      </c>
      <c r="B821" s="53" t="s">
        <v>491</v>
      </c>
      <c r="C821" s="53" t="s">
        <v>1124</v>
      </c>
      <c r="D821" s="53" t="s">
        <v>447</v>
      </c>
      <c r="E821" s="53">
        <v>3.25</v>
      </c>
      <c r="F821" s="54">
        <v>48212</v>
      </c>
      <c r="G821" s="54">
        <v>45733</v>
      </c>
      <c r="H821" s="53" t="s">
        <v>105</v>
      </c>
      <c r="I821" s="53" t="s">
        <v>628</v>
      </c>
      <c r="J821" s="53" t="s">
        <v>101</v>
      </c>
      <c r="K821" s="53">
        <v>97.048000000000002</v>
      </c>
      <c r="L821" s="53" t="s">
        <v>101</v>
      </c>
      <c r="M821" s="53">
        <v>3.7410000000000001</v>
      </c>
      <c r="N821" s="53">
        <v>3.7410000000000001</v>
      </c>
      <c r="O821" s="53" t="s">
        <v>101</v>
      </c>
      <c r="P821" s="53" t="s">
        <v>448</v>
      </c>
      <c r="Q821" s="53" t="s">
        <v>485</v>
      </c>
      <c r="R821" s="55" t="s">
        <v>482</v>
      </c>
    </row>
    <row r="822" spans="1:18" x14ac:dyDescent="0.5">
      <c r="A822" s="56" t="str">
        <f>"978386FB1"</f>
        <v>978386FB1</v>
      </c>
      <c r="B822" s="57" t="s">
        <v>491</v>
      </c>
      <c r="C822" s="57" t="s">
        <v>1125</v>
      </c>
      <c r="D822" s="53" t="s">
        <v>447</v>
      </c>
      <c r="E822" s="57">
        <v>2.375</v>
      </c>
      <c r="F822" s="58">
        <v>48212</v>
      </c>
      <c r="G822" s="58">
        <v>47117</v>
      </c>
      <c r="H822" s="57" t="s">
        <v>105</v>
      </c>
      <c r="I822" s="57" t="s">
        <v>509</v>
      </c>
      <c r="J822" s="57" t="s">
        <v>101</v>
      </c>
      <c r="K822" s="57">
        <v>89.24</v>
      </c>
      <c r="L822" s="57" t="s">
        <v>101</v>
      </c>
      <c r="M822" s="57">
        <v>4.194</v>
      </c>
      <c r="N822" s="57">
        <v>4.194</v>
      </c>
      <c r="O822" s="53" t="s">
        <v>101</v>
      </c>
      <c r="P822" s="57" t="s">
        <v>448</v>
      </c>
      <c r="Q822" s="57" t="s">
        <v>538</v>
      </c>
      <c r="R822" s="59" t="s">
        <v>504</v>
      </c>
    </row>
    <row r="823" spans="1:18" x14ac:dyDescent="0.5">
      <c r="A823" s="52" t="str">
        <f>"167486J26"</f>
        <v>167486J26</v>
      </c>
      <c r="B823" s="53" t="s">
        <v>491</v>
      </c>
      <c r="C823" s="53" t="s">
        <v>1126</v>
      </c>
      <c r="D823" s="53" t="s">
        <v>447</v>
      </c>
      <c r="E823" s="53">
        <v>4</v>
      </c>
      <c r="F823" s="54">
        <v>48214</v>
      </c>
      <c r="G823" s="54" t="s">
        <v>105</v>
      </c>
      <c r="H823" s="53" t="s">
        <v>105</v>
      </c>
      <c r="I823" s="53" t="s">
        <v>887</v>
      </c>
      <c r="J823" s="53" t="s">
        <v>101</v>
      </c>
      <c r="K823" s="53">
        <v>99.626000000000005</v>
      </c>
      <c r="L823" s="53" t="s">
        <v>101</v>
      </c>
      <c r="M823" s="53">
        <v>4.0620000000000003</v>
      </c>
      <c r="N823" s="53">
        <v>4.0620000000000003</v>
      </c>
      <c r="O823" s="53" t="s">
        <v>101</v>
      </c>
      <c r="P823" s="53" t="s">
        <v>448</v>
      </c>
      <c r="Q823" s="53" t="s">
        <v>663</v>
      </c>
      <c r="R823" s="55" t="s">
        <v>614</v>
      </c>
    </row>
    <row r="824" spans="1:18" x14ac:dyDescent="0.5">
      <c r="A824" s="56" t="str">
        <f>"167615U43"</f>
        <v>167615U43</v>
      </c>
      <c r="B824" s="57" t="s">
        <v>491</v>
      </c>
      <c r="C824" s="57" t="s">
        <v>1127</v>
      </c>
      <c r="D824" s="53" t="s">
        <v>447</v>
      </c>
      <c r="E824" s="57">
        <v>4</v>
      </c>
      <c r="F824" s="58">
        <v>48214</v>
      </c>
      <c r="G824" s="58">
        <v>47484</v>
      </c>
      <c r="H824" s="57" t="s">
        <v>105</v>
      </c>
      <c r="I824" s="57" t="s">
        <v>616</v>
      </c>
      <c r="J824" s="57" t="s">
        <v>101</v>
      </c>
      <c r="K824" s="57">
        <v>101.273</v>
      </c>
      <c r="L824" s="57" t="s">
        <v>101</v>
      </c>
      <c r="M824" s="57">
        <v>3.7109999999999999</v>
      </c>
      <c r="N824" s="57">
        <v>3.7869999999999999</v>
      </c>
      <c r="O824" s="53" t="s">
        <v>101</v>
      </c>
      <c r="P824" s="57" t="s">
        <v>448</v>
      </c>
      <c r="Q824" s="57" t="s">
        <v>488</v>
      </c>
      <c r="R824" s="59" t="s">
        <v>454</v>
      </c>
    </row>
    <row r="825" spans="1:18" x14ac:dyDescent="0.5">
      <c r="A825" s="52" t="str">
        <f>"167615X81"</f>
        <v>167615X81</v>
      </c>
      <c r="B825" s="53" t="s">
        <v>491</v>
      </c>
      <c r="C825" s="53" t="s">
        <v>1128</v>
      </c>
      <c r="D825" s="53" t="s">
        <v>447</v>
      </c>
      <c r="E825" s="53">
        <v>4</v>
      </c>
      <c r="F825" s="54">
        <v>48214</v>
      </c>
      <c r="G825" s="54">
        <v>47484</v>
      </c>
      <c r="H825" s="53" t="s">
        <v>105</v>
      </c>
      <c r="I825" s="53" t="s">
        <v>616</v>
      </c>
      <c r="J825" s="53" t="s">
        <v>101</v>
      </c>
      <c r="K825" s="53">
        <v>101.185</v>
      </c>
      <c r="L825" s="53" t="s">
        <v>101</v>
      </c>
      <c r="M825" s="53">
        <v>3.7309999999999999</v>
      </c>
      <c r="N825" s="53">
        <v>3.802</v>
      </c>
      <c r="O825" s="53" t="s">
        <v>101</v>
      </c>
      <c r="P825" s="53" t="s">
        <v>448</v>
      </c>
      <c r="Q825" s="53" t="s">
        <v>488</v>
      </c>
      <c r="R825" s="55" t="s">
        <v>504</v>
      </c>
    </row>
    <row r="826" spans="1:18" x14ac:dyDescent="0.5">
      <c r="A826" s="56" t="str">
        <f>"240685KQ9"</f>
        <v>240685KQ9</v>
      </c>
      <c r="B826" s="57" t="s">
        <v>491</v>
      </c>
      <c r="C826" s="57" t="s">
        <v>1129</v>
      </c>
      <c r="D826" s="53" t="s">
        <v>447</v>
      </c>
      <c r="E826" s="57">
        <v>4</v>
      </c>
      <c r="F826" s="58">
        <v>48214</v>
      </c>
      <c r="G826" s="58">
        <v>46753</v>
      </c>
      <c r="H826" s="57" t="s">
        <v>613</v>
      </c>
      <c r="I826" s="57" t="s">
        <v>105</v>
      </c>
      <c r="J826" s="57" t="s">
        <v>101</v>
      </c>
      <c r="K826" s="57">
        <v>101.31</v>
      </c>
      <c r="L826" s="57" t="s">
        <v>101</v>
      </c>
      <c r="M826" s="57">
        <v>3.5150000000000001</v>
      </c>
      <c r="N826" s="57">
        <v>3.7810000000000001</v>
      </c>
      <c r="O826" s="53" t="s">
        <v>101</v>
      </c>
      <c r="P826" s="57" t="s">
        <v>448</v>
      </c>
      <c r="Q826" s="57" t="s">
        <v>453</v>
      </c>
      <c r="R826" s="59" t="s">
        <v>454</v>
      </c>
    </row>
    <row r="827" spans="1:18" x14ac:dyDescent="0.5">
      <c r="A827" s="52" t="str">
        <f>"838530PG2"</f>
        <v>838530PG2</v>
      </c>
      <c r="B827" s="53" t="s">
        <v>477</v>
      </c>
      <c r="C827" s="53" t="s">
        <v>1130</v>
      </c>
      <c r="D827" s="53" t="s">
        <v>447</v>
      </c>
      <c r="E827" s="53">
        <v>3.125</v>
      </c>
      <c r="F827" s="54">
        <v>48214</v>
      </c>
      <c r="G827" s="54">
        <v>45728</v>
      </c>
      <c r="H827" s="53" t="s">
        <v>627</v>
      </c>
      <c r="I827" s="53" t="s">
        <v>887</v>
      </c>
      <c r="J827" s="53" t="s">
        <v>101</v>
      </c>
      <c r="K827" s="53">
        <v>96.08</v>
      </c>
      <c r="L827" s="53" t="s">
        <v>101</v>
      </c>
      <c r="M827" s="53">
        <v>3.778</v>
      </c>
      <c r="N827" s="53">
        <v>3.778</v>
      </c>
      <c r="O827" s="53" t="s">
        <v>101</v>
      </c>
      <c r="P827" s="53" t="s">
        <v>448</v>
      </c>
      <c r="Q827" s="53" t="s">
        <v>527</v>
      </c>
      <c r="R827" s="55" t="s">
        <v>504</v>
      </c>
    </row>
    <row r="828" spans="1:18" x14ac:dyDescent="0.5">
      <c r="A828" s="56" t="str">
        <f>"960811EZ6"</f>
        <v>960811EZ6</v>
      </c>
      <c r="B828" s="57" t="s">
        <v>491</v>
      </c>
      <c r="C828" s="57" t="s">
        <v>1131</v>
      </c>
      <c r="D828" s="53" t="s">
        <v>447</v>
      </c>
      <c r="E828" s="57">
        <v>3</v>
      </c>
      <c r="F828" s="58">
        <v>48214</v>
      </c>
      <c r="G828" s="58">
        <v>46388</v>
      </c>
      <c r="H828" s="57" t="s">
        <v>105</v>
      </c>
      <c r="I828" s="57" t="s">
        <v>509</v>
      </c>
      <c r="J828" s="57" t="s">
        <v>101</v>
      </c>
      <c r="K828" s="57">
        <v>95.88</v>
      </c>
      <c r="L828" s="57" t="s">
        <v>101</v>
      </c>
      <c r="M828" s="57">
        <v>3.6840000000000002</v>
      </c>
      <c r="N828" s="57">
        <v>3.6840000000000002</v>
      </c>
      <c r="O828" s="53" t="s">
        <v>101</v>
      </c>
      <c r="P828" s="57" t="s">
        <v>448</v>
      </c>
      <c r="Q828" s="57" t="s">
        <v>782</v>
      </c>
      <c r="R828" s="59" t="s">
        <v>504</v>
      </c>
    </row>
    <row r="829" spans="1:18" x14ac:dyDescent="0.5">
      <c r="A829" s="52" t="str">
        <f>"969037NH9"</f>
        <v>969037NH9</v>
      </c>
      <c r="B829" s="53" t="s">
        <v>491</v>
      </c>
      <c r="C829" s="53" t="s">
        <v>1132</v>
      </c>
      <c r="D829" s="53" t="s">
        <v>447</v>
      </c>
      <c r="E829" s="53">
        <v>3</v>
      </c>
      <c r="F829" s="54">
        <v>48214</v>
      </c>
      <c r="G829" s="54">
        <v>47119</v>
      </c>
      <c r="H829" s="53" t="s">
        <v>105</v>
      </c>
      <c r="I829" s="53" t="s">
        <v>628</v>
      </c>
      <c r="J829" s="53" t="s">
        <v>101</v>
      </c>
      <c r="K829" s="53">
        <v>95.346999999999994</v>
      </c>
      <c r="L829" s="53" t="s">
        <v>101</v>
      </c>
      <c r="M829" s="53">
        <v>3.7749999999999999</v>
      </c>
      <c r="N829" s="53">
        <v>3.7749999999999999</v>
      </c>
      <c r="O829" s="53" t="s">
        <v>101</v>
      </c>
      <c r="P829" s="53" t="s">
        <v>448</v>
      </c>
      <c r="Q829" s="53" t="s">
        <v>479</v>
      </c>
      <c r="R829" s="55" t="s">
        <v>454</v>
      </c>
    </row>
    <row r="830" spans="1:18" x14ac:dyDescent="0.5">
      <c r="A830" s="56" t="str">
        <f>"101637CY0"</f>
        <v>101637CY0</v>
      </c>
      <c r="B830" s="57" t="s">
        <v>477</v>
      </c>
      <c r="C830" s="57" t="s">
        <v>1133</v>
      </c>
      <c r="D830" s="53" t="s">
        <v>447</v>
      </c>
      <c r="E830" s="57">
        <v>3.25</v>
      </c>
      <c r="F830" s="58">
        <v>48228</v>
      </c>
      <c r="G830" s="58">
        <v>45733</v>
      </c>
      <c r="H830" s="57" t="s">
        <v>105</v>
      </c>
      <c r="I830" s="57" t="s">
        <v>616</v>
      </c>
      <c r="J830" s="57" t="s">
        <v>101</v>
      </c>
      <c r="K830" s="57">
        <v>98.052999999999997</v>
      </c>
      <c r="L830" s="57" t="s">
        <v>101</v>
      </c>
      <c r="M830" s="57">
        <v>3.57</v>
      </c>
      <c r="N830" s="57">
        <v>3.57</v>
      </c>
      <c r="O830" s="53" t="s">
        <v>101</v>
      </c>
      <c r="P830" s="57" t="s">
        <v>448</v>
      </c>
      <c r="Q830" s="57" t="s">
        <v>457</v>
      </c>
      <c r="R830" s="59" t="s">
        <v>454</v>
      </c>
    </row>
    <row r="831" spans="1:18" x14ac:dyDescent="0.5">
      <c r="A831" s="52" t="str">
        <f>"908726CN0"</f>
        <v>908726CN0</v>
      </c>
      <c r="B831" s="53" t="s">
        <v>477</v>
      </c>
      <c r="C831" s="53" t="s">
        <v>1134</v>
      </c>
      <c r="D831" s="53" t="s">
        <v>447</v>
      </c>
      <c r="E831" s="53">
        <v>2</v>
      </c>
      <c r="F831" s="54">
        <v>48228</v>
      </c>
      <c r="G831" s="54">
        <v>46767</v>
      </c>
      <c r="H831" s="53" t="s">
        <v>105</v>
      </c>
      <c r="I831" s="53" t="s">
        <v>628</v>
      </c>
      <c r="J831" s="53" t="s">
        <v>101</v>
      </c>
      <c r="K831" s="53">
        <v>87.102000000000004</v>
      </c>
      <c r="L831" s="53" t="s">
        <v>101</v>
      </c>
      <c r="M831" s="53">
        <v>4.1680000000000001</v>
      </c>
      <c r="N831" s="53">
        <v>4.1680000000000001</v>
      </c>
      <c r="O831" s="53" t="s">
        <v>101</v>
      </c>
      <c r="P831" s="53" t="s">
        <v>448</v>
      </c>
      <c r="Q831" s="53" t="s">
        <v>858</v>
      </c>
      <c r="R831" s="55" t="s">
        <v>454</v>
      </c>
    </row>
    <row r="832" spans="1:18" x14ac:dyDescent="0.5">
      <c r="A832" s="56" t="str">
        <f>"005824KJ5"</f>
        <v>005824KJ5</v>
      </c>
      <c r="B832" s="57" t="s">
        <v>491</v>
      </c>
      <c r="C832" s="57" t="s">
        <v>1135</v>
      </c>
      <c r="D832" s="53" t="s">
        <v>447</v>
      </c>
      <c r="E832" s="57">
        <v>3.5</v>
      </c>
      <c r="F832" s="58">
        <v>48245</v>
      </c>
      <c r="G832" s="58">
        <v>46054</v>
      </c>
      <c r="H832" s="57" t="s">
        <v>641</v>
      </c>
      <c r="I832" s="57" t="s">
        <v>628</v>
      </c>
      <c r="J832" s="57" t="s">
        <v>101</v>
      </c>
      <c r="K832" s="57">
        <v>98.91</v>
      </c>
      <c r="L832" s="57" t="s">
        <v>101</v>
      </c>
      <c r="M832" s="57">
        <v>3.6789999999999998</v>
      </c>
      <c r="N832" s="57">
        <v>3.6789999999999998</v>
      </c>
      <c r="O832" s="53" t="s">
        <v>101</v>
      </c>
      <c r="P832" s="57" t="s">
        <v>448</v>
      </c>
      <c r="Q832" s="57" t="s">
        <v>538</v>
      </c>
      <c r="R832" s="59" t="s">
        <v>630</v>
      </c>
    </row>
    <row r="833" spans="1:18" x14ac:dyDescent="0.5">
      <c r="A833" s="52" t="str">
        <f>"073186LZ9"</f>
        <v>073186LZ9</v>
      </c>
      <c r="B833" s="53" t="s">
        <v>451</v>
      </c>
      <c r="C833" s="53" t="s">
        <v>1136</v>
      </c>
      <c r="D833" s="53" t="s">
        <v>447</v>
      </c>
      <c r="E833" s="53">
        <v>3</v>
      </c>
      <c r="F833" s="54">
        <v>48245</v>
      </c>
      <c r="G833" s="54">
        <v>46054</v>
      </c>
      <c r="H833" s="53" t="s">
        <v>613</v>
      </c>
      <c r="I833" s="53" t="s">
        <v>628</v>
      </c>
      <c r="J833" s="53" t="s">
        <v>101</v>
      </c>
      <c r="K833" s="53">
        <v>95.503</v>
      </c>
      <c r="L833" s="53" t="s">
        <v>101</v>
      </c>
      <c r="M833" s="53">
        <v>3.74</v>
      </c>
      <c r="N833" s="53">
        <v>3.74</v>
      </c>
      <c r="O833" s="53" t="s">
        <v>101</v>
      </c>
      <c r="P833" s="53" t="s">
        <v>448</v>
      </c>
      <c r="Q833" s="53" t="s">
        <v>663</v>
      </c>
      <c r="R833" s="55" t="s">
        <v>504</v>
      </c>
    </row>
    <row r="834" spans="1:18" x14ac:dyDescent="0.5">
      <c r="A834" s="56" t="str">
        <f>"240361RM9"</f>
        <v>240361RM9</v>
      </c>
      <c r="B834" s="57" t="s">
        <v>491</v>
      </c>
      <c r="C834" s="57" t="s">
        <v>1137</v>
      </c>
      <c r="D834" s="53" t="s">
        <v>447</v>
      </c>
      <c r="E834" s="57">
        <v>4</v>
      </c>
      <c r="F834" s="58">
        <v>48245</v>
      </c>
      <c r="G834" s="58">
        <v>47515</v>
      </c>
      <c r="H834" s="57" t="s">
        <v>105</v>
      </c>
      <c r="I834" s="57" t="s">
        <v>628</v>
      </c>
      <c r="J834" s="57" t="s">
        <v>101</v>
      </c>
      <c r="K834" s="57">
        <v>102.11</v>
      </c>
      <c r="L834" s="57" t="s">
        <v>101</v>
      </c>
      <c r="M834" s="57">
        <v>3.532</v>
      </c>
      <c r="N834" s="57">
        <v>3.653</v>
      </c>
      <c r="O834" s="53" t="s">
        <v>101</v>
      </c>
      <c r="P834" s="57" t="s">
        <v>448</v>
      </c>
      <c r="Q834" s="57" t="s">
        <v>488</v>
      </c>
      <c r="R834" s="59" t="s">
        <v>680</v>
      </c>
    </row>
    <row r="835" spans="1:18" x14ac:dyDescent="0.5">
      <c r="A835" s="52" t="str">
        <f>"293425J88"</f>
        <v>293425J88</v>
      </c>
      <c r="B835" s="53" t="s">
        <v>451</v>
      </c>
      <c r="C835" s="53" t="s">
        <v>1138</v>
      </c>
      <c r="D835" s="53" t="s">
        <v>447</v>
      </c>
      <c r="E835" s="53">
        <v>4</v>
      </c>
      <c r="F835" s="54">
        <v>48245</v>
      </c>
      <c r="G835" s="54">
        <v>47150</v>
      </c>
      <c r="H835" s="53" t="s">
        <v>105</v>
      </c>
      <c r="I835" s="53" t="s">
        <v>616</v>
      </c>
      <c r="J835" s="53" t="s">
        <v>101</v>
      </c>
      <c r="K835" s="53">
        <v>101.718</v>
      </c>
      <c r="L835" s="53" t="s">
        <v>101</v>
      </c>
      <c r="M835" s="53">
        <v>3.53</v>
      </c>
      <c r="N835" s="53">
        <v>3.7170000000000001</v>
      </c>
      <c r="O835" s="53" t="s">
        <v>101</v>
      </c>
      <c r="P835" s="53" t="s">
        <v>448</v>
      </c>
      <c r="Q835" s="53" t="s">
        <v>488</v>
      </c>
      <c r="R835" s="55" t="s">
        <v>589</v>
      </c>
    </row>
    <row r="836" spans="1:18" x14ac:dyDescent="0.5">
      <c r="A836" s="56" t="str">
        <f>"400208ET7"</f>
        <v>400208ET7</v>
      </c>
      <c r="B836" s="57" t="s">
        <v>491</v>
      </c>
      <c r="C836" s="57" t="s">
        <v>1139</v>
      </c>
      <c r="D836" s="53" t="s">
        <v>447</v>
      </c>
      <c r="E836" s="57">
        <v>3.375</v>
      </c>
      <c r="F836" s="58">
        <v>48245</v>
      </c>
      <c r="G836" s="58">
        <v>46054</v>
      </c>
      <c r="H836" s="57" t="s">
        <v>105</v>
      </c>
      <c r="I836" s="57" t="s">
        <v>658</v>
      </c>
      <c r="J836" s="57" t="s">
        <v>101</v>
      </c>
      <c r="K836" s="57">
        <v>97.66</v>
      </c>
      <c r="L836" s="57" t="s">
        <v>101</v>
      </c>
      <c r="M836" s="57">
        <v>3.76</v>
      </c>
      <c r="N836" s="57">
        <v>3.76</v>
      </c>
      <c r="O836" s="53" t="s">
        <v>101</v>
      </c>
      <c r="P836" s="57" t="s">
        <v>448</v>
      </c>
      <c r="Q836" s="57" t="s">
        <v>453</v>
      </c>
      <c r="R836" s="59" t="s">
        <v>454</v>
      </c>
    </row>
    <row r="837" spans="1:18" x14ac:dyDescent="0.5">
      <c r="A837" s="52" t="str">
        <f>"452152H53"</f>
        <v>452152H53</v>
      </c>
      <c r="B837" s="53" t="s">
        <v>491</v>
      </c>
      <c r="C837" s="53" t="s">
        <v>1140</v>
      </c>
      <c r="D837" s="53" t="s">
        <v>447</v>
      </c>
      <c r="E837" s="53">
        <v>4</v>
      </c>
      <c r="F837" s="54">
        <v>48245</v>
      </c>
      <c r="G837" s="54">
        <v>46419</v>
      </c>
      <c r="H837" s="53" t="s">
        <v>641</v>
      </c>
      <c r="I837" s="53" t="s">
        <v>628</v>
      </c>
      <c r="J837" s="53" t="s">
        <v>101</v>
      </c>
      <c r="K837" s="53">
        <v>100.5</v>
      </c>
      <c r="L837" s="53" t="s">
        <v>101</v>
      </c>
      <c r="M837" s="53">
        <v>3.7309999999999999</v>
      </c>
      <c r="N837" s="53">
        <v>3.9169999999999998</v>
      </c>
      <c r="O837" s="53" t="s">
        <v>101</v>
      </c>
      <c r="P837" s="53" t="s">
        <v>448</v>
      </c>
      <c r="Q837" s="53" t="s">
        <v>503</v>
      </c>
      <c r="R837" s="55" t="s">
        <v>680</v>
      </c>
    </row>
    <row r="838" spans="1:18" x14ac:dyDescent="0.5">
      <c r="A838" s="56" t="str">
        <f>"512505EZ7"</f>
        <v>512505EZ7</v>
      </c>
      <c r="B838" s="57" t="s">
        <v>451</v>
      </c>
      <c r="C838" s="57" t="s">
        <v>1141</v>
      </c>
      <c r="D838" s="53" t="s">
        <v>447</v>
      </c>
      <c r="E838" s="57">
        <v>3</v>
      </c>
      <c r="F838" s="58">
        <v>48245</v>
      </c>
      <c r="G838" s="58">
        <v>46235</v>
      </c>
      <c r="H838" s="57" t="s">
        <v>540</v>
      </c>
      <c r="I838" s="57" t="s">
        <v>105</v>
      </c>
      <c r="J838" s="57" t="s">
        <v>101</v>
      </c>
      <c r="K838" s="57">
        <v>95.37</v>
      </c>
      <c r="L838" s="57" t="s">
        <v>101</v>
      </c>
      <c r="M838" s="57">
        <v>3.7629999999999999</v>
      </c>
      <c r="N838" s="57">
        <v>3.7629999999999999</v>
      </c>
      <c r="O838" s="53" t="s">
        <v>101</v>
      </c>
      <c r="P838" s="57" t="s">
        <v>448</v>
      </c>
      <c r="Q838" s="57" t="s">
        <v>488</v>
      </c>
      <c r="R838" s="59" t="s">
        <v>454</v>
      </c>
    </row>
    <row r="839" spans="1:18" x14ac:dyDescent="0.5">
      <c r="A839" s="52" t="str">
        <f>"537095VU2"</f>
        <v>537095VU2</v>
      </c>
      <c r="B839" s="53" t="s">
        <v>451</v>
      </c>
      <c r="C839" s="53" t="s">
        <v>1142</v>
      </c>
      <c r="D839" s="53" t="s">
        <v>447</v>
      </c>
      <c r="E839" s="53">
        <v>3</v>
      </c>
      <c r="F839" s="54">
        <v>48245</v>
      </c>
      <c r="G839" s="54">
        <v>46784</v>
      </c>
      <c r="H839" s="53" t="s">
        <v>105</v>
      </c>
      <c r="I839" s="53" t="s">
        <v>509</v>
      </c>
      <c r="J839" s="53" t="s">
        <v>101</v>
      </c>
      <c r="K839" s="53">
        <v>95.745999999999995</v>
      </c>
      <c r="L839" s="53" t="s">
        <v>101</v>
      </c>
      <c r="M839" s="53">
        <v>3.6989999999999998</v>
      </c>
      <c r="N839" s="53">
        <v>3.6989999999999998</v>
      </c>
      <c r="O839" s="53" t="s">
        <v>101</v>
      </c>
      <c r="P839" s="53" t="s">
        <v>448</v>
      </c>
      <c r="Q839" s="53" t="s">
        <v>527</v>
      </c>
      <c r="R839" s="55" t="s">
        <v>504</v>
      </c>
    </row>
    <row r="840" spans="1:18" x14ac:dyDescent="0.5">
      <c r="A840" s="56" t="str">
        <f>"59333MV85"</f>
        <v>59333MV85</v>
      </c>
      <c r="B840" s="57" t="s">
        <v>499</v>
      </c>
      <c r="C840" s="57" t="s">
        <v>1143</v>
      </c>
      <c r="D840" s="53" t="s">
        <v>447</v>
      </c>
      <c r="E840" s="57">
        <v>3.25</v>
      </c>
      <c r="F840" s="58">
        <v>48245</v>
      </c>
      <c r="G840" s="58">
        <v>45733</v>
      </c>
      <c r="H840" s="57" t="s">
        <v>641</v>
      </c>
      <c r="I840" s="57" t="s">
        <v>658</v>
      </c>
      <c r="J840" s="57" t="s">
        <v>101</v>
      </c>
      <c r="K840" s="57">
        <v>97.262</v>
      </c>
      <c r="L840" s="57" t="s">
        <v>101</v>
      </c>
      <c r="M840" s="57">
        <v>3.7</v>
      </c>
      <c r="N840" s="57">
        <v>3.7</v>
      </c>
      <c r="O840" s="53" t="s">
        <v>101</v>
      </c>
      <c r="P840" s="57" t="s">
        <v>448</v>
      </c>
      <c r="Q840" s="57" t="s">
        <v>573</v>
      </c>
      <c r="R840" s="59" t="s">
        <v>506</v>
      </c>
    </row>
    <row r="841" spans="1:18" x14ac:dyDescent="0.5">
      <c r="A841" s="52" t="str">
        <f>"597834K41"</f>
        <v>597834K41</v>
      </c>
      <c r="B841" s="53" t="s">
        <v>451</v>
      </c>
      <c r="C841" s="53" t="s">
        <v>1144</v>
      </c>
      <c r="D841" s="53" t="s">
        <v>447</v>
      </c>
      <c r="E841" s="53">
        <v>3</v>
      </c>
      <c r="F841" s="54">
        <v>48245</v>
      </c>
      <c r="G841" s="54">
        <v>47515</v>
      </c>
      <c r="H841" s="53" t="s">
        <v>105</v>
      </c>
      <c r="I841" s="53" t="s">
        <v>509</v>
      </c>
      <c r="J841" s="53" t="s">
        <v>101</v>
      </c>
      <c r="K841" s="53">
        <v>95.852000000000004</v>
      </c>
      <c r="L841" s="53" t="s">
        <v>101</v>
      </c>
      <c r="M841" s="53">
        <v>3.681</v>
      </c>
      <c r="N841" s="53">
        <v>3.681</v>
      </c>
      <c r="O841" s="53" t="s">
        <v>101</v>
      </c>
      <c r="P841" s="53" t="s">
        <v>448</v>
      </c>
      <c r="Q841" s="53" t="s">
        <v>503</v>
      </c>
      <c r="R841" s="55" t="s">
        <v>504</v>
      </c>
    </row>
    <row r="842" spans="1:18" x14ac:dyDescent="0.5">
      <c r="A842" s="56" t="str">
        <f>"597834M80"</f>
        <v>597834M80</v>
      </c>
      <c r="B842" s="57" t="s">
        <v>451</v>
      </c>
      <c r="C842" s="57" t="s">
        <v>1145</v>
      </c>
      <c r="D842" s="53" t="s">
        <v>447</v>
      </c>
      <c r="E842" s="57">
        <v>3</v>
      </c>
      <c r="F842" s="58">
        <v>48245</v>
      </c>
      <c r="G842" s="58">
        <v>47515</v>
      </c>
      <c r="H842" s="57" t="s">
        <v>105</v>
      </c>
      <c r="I842" s="57" t="s">
        <v>509</v>
      </c>
      <c r="J842" s="57" t="s">
        <v>101</v>
      </c>
      <c r="K842" s="57">
        <v>95.655000000000001</v>
      </c>
      <c r="L842" s="57" t="s">
        <v>101</v>
      </c>
      <c r="M842" s="57">
        <v>3.7149999999999999</v>
      </c>
      <c r="N842" s="57">
        <v>3.7149999999999999</v>
      </c>
      <c r="O842" s="53" t="s">
        <v>101</v>
      </c>
      <c r="P842" s="57" t="s">
        <v>448</v>
      </c>
      <c r="Q842" s="57" t="s">
        <v>479</v>
      </c>
      <c r="R842" s="59" t="s">
        <v>454</v>
      </c>
    </row>
    <row r="843" spans="1:18" x14ac:dyDescent="0.5">
      <c r="A843" s="52" t="str">
        <f>"717146UH5"</f>
        <v>717146UH5</v>
      </c>
      <c r="B843" s="53" t="s">
        <v>451</v>
      </c>
      <c r="C843" s="53" t="s">
        <v>1146</v>
      </c>
      <c r="D843" s="53" t="s">
        <v>447</v>
      </c>
      <c r="E843" s="53">
        <v>3.25</v>
      </c>
      <c r="F843" s="54">
        <v>48245</v>
      </c>
      <c r="G843" s="54">
        <v>45733</v>
      </c>
      <c r="H843" s="53" t="s">
        <v>104</v>
      </c>
      <c r="I843" s="53" t="s">
        <v>104</v>
      </c>
      <c r="J843" s="53" t="s">
        <v>101</v>
      </c>
      <c r="K843" s="53">
        <v>98.45</v>
      </c>
      <c r="L843" s="53" t="s">
        <v>101</v>
      </c>
      <c r="M843" s="53">
        <v>3.5030000000000001</v>
      </c>
      <c r="N843" s="53">
        <v>3.5030000000000001</v>
      </c>
      <c r="O843" s="53" t="s">
        <v>101</v>
      </c>
      <c r="P843" s="53" t="s">
        <v>448</v>
      </c>
      <c r="Q843" s="53" t="s">
        <v>453</v>
      </c>
      <c r="R843" s="55" t="s">
        <v>454</v>
      </c>
    </row>
    <row r="844" spans="1:18" x14ac:dyDescent="0.5">
      <c r="A844" s="56" t="str">
        <f>"724292WR4"</f>
        <v>724292WR4</v>
      </c>
      <c r="B844" s="57" t="s">
        <v>477</v>
      </c>
      <c r="C844" s="57" t="s">
        <v>1147</v>
      </c>
      <c r="D844" s="53" t="s">
        <v>447</v>
      </c>
      <c r="E844" s="57">
        <v>2</v>
      </c>
      <c r="F844" s="58">
        <v>48245</v>
      </c>
      <c r="G844" s="58">
        <v>46054</v>
      </c>
      <c r="H844" s="57" t="s">
        <v>105</v>
      </c>
      <c r="I844" s="57" t="s">
        <v>509</v>
      </c>
      <c r="J844" s="57" t="s">
        <v>101</v>
      </c>
      <c r="K844" s="57">
        <v>88.308000000000007</v>
      </c>
      <c r="L844" s="57" t="s">
        <v>101</v>
      </c>
      <c r="M844" s="57">
        <v>3.9390000000000001</v>
      </c>
      <c r="N844" s="57">
        <v>3.9390000000000001</v>
      </c>
      <c r="O844" s="53" t="s">
        <v>101</v>
      </c>
      <c r="P844" s="57" t="s">
        <v>448</v>
      </c>
      <c r="Q844" s="57" t="s">
        <v>571</v>
      </c>
      <c r="R844" s="59" t="s">
        <v>454</v>
      </c>
    </row>
    <row r="845" spans="1:18" x14ac:dyDescent="0.5">
      <c r="A845" s="52" t="str">
        <f>"772402JX2"</f>
        <v>772402JX2</v>
      </c>
      <c r="B845" s="53" t="s">
        <v>491</v>
      </c>
      <c r="C845" s="53" t="s">
        <v>1148</v>
      </c>
      <c r="D845" s="53" t="s">
        <v>447</v>
      </c>
      <c r="E845" s="53">
        <v>3</v>
      </c>
      <c r="F845" s="54">
        <v>48245</v>
      </c>
      <c r="G845" s="54">
        <v>47515</v>
      </c>
      <c r="H845" s="53" t="s">
        <v>641</v>
      </c>
      <c r="I845" s="53" t="s">
        <v>628</v>
      </c>
      <c r="J845" s="53" t="s">
        <v>101</v>
      </c>
      <c r="K845" s="53">
        <v>96.25</v>
      </c>
      <c r="L845" s="53" t="s">
        <v>101</v>
      </c>
      <c r="M845" s="53">
        <v>3.6150000000000002</v>
      </c>
      <c r="N845" s="53">
        <v>3.6150000000000002</v>
      </c>
      <c r="O845" s="53" t="s">
        <v>101</v>
      </c>
      <c r="P845" s="53" t="s">
        <v>448</v>
      </c>
      <c r="Q845" s="53" t="s">
        <v>503</v>
      </c>
      <c r="R845" s="55" t="s">
        <v>680</v>
      </c>
    </row>
    <row r="846" spans="1:18" x14ac:dyDescent="0.5">
      <c r="A846" s="56" t="str">
        <f>"800722FG0"</f>
        <v>800722FG0</v>
      </c>
      <c r="B846" s="57" t="s">
        <v>491</v>
      </c>
      <c r="C846" s="57" t="s">
        <v>1149</v>
      </c>
      <c r="D846" s="53" t="s">
        <v>447</v>
      </c>
      <c r="E846" s="57">
        <v>3.25</v>
      </c>
      <c r="F846" s="58">
        <v>48245</v>
      </c>
      <c r="G846" s="58">
        <v>45733</v>
      </c>
      <c r="H846" s="57" t="s">
        <v>641</v>
      </c>
      <c r="I846" s="57" t="s">
        <v>628</v>
      </c>
      <c r="J846" s="57" t="s">
        <v>101</v>
      </c>
      <c r="K846" s="57">
        <v>98.224999999999994</v>
      </c>
      <c r="L846" s="57" t="s">
        <v>101</v>
      </c>
      <c r="M846" s="57">
        <v>3.54</v>
      </c>
      <c r="N846" s="57">
        <v>3.54</v>
      </c>
      <c r="O846" s="53" t="s">
        <v>101</v>
      </c>
      <c r="P846" s="57" t="s">
        <v>448</v>
      </c>
      <c r="Q846" s="57" t="s">
        <v>457</v>
      </c>
      <c r="R846" s="59" t="s">
        <v>630</v>
      </c>
    </row>
    <row r="847" spans="1:18" x14ac:dyDescent="0.5">
      <c r="A847" s="52" t="str">
        <f>"806640ZB7"</f>
        <v>806640ZB7</v>
      </c>
      <c r="B847" s="53" t="s">
        <v>451</v>
      </c>
      <c r="C847" s="53" t="s">
        <v>1150</v>
      </c>
      <c r="D847" s="53" t="s">
        <v>447</v>
      </c>
      <c r="E847" s="53">
        <v>0</v>
      </c>
      <c r="F847" s="54">
        <v>48245</v>
      </c>
      <c r="G847" s="54">
        <v>45733</v>
      </c>
      <c r="H847" s="53" t="s">
        <v>104</v>
      </c>
      <c r="I847" s="53" t="s">
        <v>105</v>
      </c>
      <c r="J847" s="53" t="s">
        <v>101</v>
      </c>
      <c r="K847" s="53">
        <v>74.638000000000005</v>
      </c>
      <c r="L847" s="53" t="s">
        <v>101</v>
      </c>
      <c r="M847" s="53">
        <v>4.2519999999999998</v>
      </c>
      <c r="N847" s="53">
        <v>4.2519999999999998</v>
      </c>
      <c r="O847" s="53" t="s">
        <v>101</v>
      </c>
      <c r="P847" s="53" t="s">
        <v>448</v>
      </c>
      <c r="Q847" s="53" t="s">
        <v>538</v>
      </c>
      <c r="R847" s="55" t="s">
        <v>454</v>
      </c>
    </row>
    <row r="848" spans="1:18" x14ac:dyDescent="0.5">
      <c r="A848" s="56" t="str">
        <f>"929831KQ7"</f>
        <v>929831KQ7</v>
      </c>
      <c r="B848" s="57" t="s">
        <v>451</v>
      </c>
      <c r="C848" s="57" t="s">
        <v>1151</v>
      </c>
      <c r="D848" s="53" t="s">
        <v>447</v>
      </c>
      <c r="E848" s="57">
        <v>3</v>
      </c>
      <c r="F848" s="58">
        <v>48245</v>
      </c>
      <c r="G848" s="58">
        <v>45733</v>
      </c>
      <c r="H848" s="57" t="s">
        <v>540</v>
      </c>
      <c r="I848" s="57" t="s">
        <v>509</v>
      </c>
      <c r="J848" s="57" t="s">
        <v>101</v>
      </c>
      <c r="K848" s="57">
        <v>96.02</v>
      </c>
      <c r="L848" s="57" t="s">
        <v>101</v>
      </c>
      <c r="M848" s="57">
        <v>3.653</v>
      </c>
      <c r="N848" s="57">
        <v>3.653</v>
      </c>
      <c r="O848" s="53" t="s">
        <v>101</v>
      </c>
      <c r="P848" s="57" t="s">
        <v>448</v>
      </c>
      <c r="Q848" s="57" t="s">
        <v>538</v>
      </c>
      <c r="R848" s="59" t="s">
        <v>504</v>
      </c>
    </row>
    <row r="849" spans="1:18" x14ac:dyDescent="0.5">
      <c r="A849" s="52" t="str">
        <f>"014393UP5"</f>
        <v>014393UP5</v>
      </c>
      <c r="B849" s="53" t="s">
        <v>451</v>
      </c>
      <c r="C849" s="53" t="s">
        <v>1152</v>
      </c>
      <c r="D849" s="53" t="s">
        <v>447</v>
      </c>
      <c r="E849" s="53">
        <v>3</v>
      </c>
      <c r="F849" s="54">
        <v>48259</v>
      </c>
      <c r="G849" s="54">
        <v>45703</v>
      </c>
      <c r="H849" s="53" t="s">
        <v>104</v>
      </c>
      <c r="I849" s="53" t="s">
        <v>104</v>
      </c>
      <c r="J849" s="53" t="s">
        <v>101</v>
      </c>
      <c r="K849" s="53">
        <v>96.741</v>
      </c>
      <c r="L849" s="53" t="s">
        <v>101</v>
      </c>
      <c r="M849" s="53">
        <v>3.53</v>
      </c>
      <c r="N849" s="53">
        <v>3.53</v>
      </c>
      <c r="O849" s="53" t="s">
        <v>101</v>
      </c>
      <c r="P849" s="53" t="s">
        <v>448</v>
      </c>
      <c r="Q849" s="53" t="s">
        <v>503</v>
      </c>
      <c r="R849" s="55" t="s">
        <v>454</v>
      </c>
    </row>
    <row r="850" spans="1:18" x14ac:dyDescent="0.5">
      <c r="A850" s="56" t="str">
        <f>"016249QB3"</f>
        <v>016249QB3</v>
      </c>
      <c r="B850" s="57" t="s">
        <v>451</v>
      </c>
      <c r="C850" s="57" t="s">
        <v>1153</v>
      </c>
      <c r="D850" s="53" t="s">
        <v>447</v>
      </c>
      <c r="E850" s="57">
        <v>3</v>
      </c>
      <c r="F850" s="58">
        <v>48259</v>
      </c>
      <c r="G850" s="58">
        <v>46798</v>
      </c>
      <c r="H850" s="57" t="s">
        <v>104</v>
      </c>
      <c r="I850" s="57" t="s">
        <v>105</v>
      </c>
      <c r="J850" s="57" t="s">
        <v>101</v>
      </c>
      <c r="K850" s="57">
        <v>96.619</v>
      </c>
      <c r="L850" s="57" t="s">
        <v>101</v>
      </c>
      <c r="M850" s="57">
        <v>3.55</v>
      </c>
      <c r="N850" s="57">
        <v>3.55</v>
      </c>
      <c r="O850" s="53" t="s">
        <v>101</v>
      </c>
      <c r="P850" s="57" t="s">
        <v>448</v>
      </c>
      <c r="Q850" s="57" t="s">
        <v>503</v>
      </c>
      <c r="R850" s="59" t="s">
        <v>454</v>
      </c>
    </row>
    <row r="851" spans="1:18" x14ac:dyDescent="0.5">
      <c r="A851" s="52" t="str">
        <f>"034825YX1"</f>
        <v>034825YX1</v>
      </c>
      <c r="B851" s="53" t="s">
        <v>451</v>
      </c>
      <c r="C851" s="53" t="s">
        <v>1154</v>
      </c>
      <c r="D851" s="53" t="s">
        <v>447</v>
      </c>
      <c r="E851" s="53">
        <v>3</v>
      </c>
      <c r="F851" s="54">
        <v>48259</v>
      </c>
      <c r="G851" s="54">
        <v>46433</v>
      </c>
      <c r="H851" s="53" t="s">
        <v>104</v>
      </c>
      <c r="I851" s="53" t="s">
        <v>105</v>
      </c>
      <c r="J851" s="53" t="s">
        <v>101</v>
      </c>
      <c r="K851" s="53">
        <v>96.472999999999999</v>
      </c>
      <c r="L851" s="53" t="s">
        <v>101</v>
      </c>
      <c r="M851" s="53">
        <v>3.5750000000000002</v>
      </c>
      <c r="N851" s="53">
        <v>3.5750000000000002</v>
      </c>
      <c r="O851" s="53" t="s">
        <v>101</v>
      </c>
      <c r="P851" s="53" t="s">
        <v>448</v>
      </c>
      <c r="Q851" s="53" t="s">
        <v>460</v>
      </c>
      <c r="R851" s="55" t="s">
        <v>454</v>
      </c>
    </row>
    <row r="852" spans="1:18" x14ac:dyDescent="0.5">
      <c r="A852" s="56" t="str">
        <f>"194740MY9"</f>
        <v>194740MY9</v>
      </c>
      <c r="B852" s="57" t="s">
        <v>451</v>
      </c>
      <c r="C852" s="57" t="s">
        <v>1155</v>
      </c>
      <c r="D852" s="53" t="s">
        <v>447</v>
      </c>
      <c r="E852" s="57">
        <v>3</v>
      </c>
      <c r="F852" s="58">
        <v>48259</v>
      </c>
      <c r="G852" s="58">
        <v>46798</v>
      </c>
      <c r="H852" s="57" t="s">
        <v>104</v>
      </c>
      <c r="I852" s="57" t="s">
        <v>104</v>
      </c>
      <c r="J852" s="57" t="s">
        <v>101</v>
      </c>
      <c r="K852" s="57">
        <v>96.31</v>
      </c>
      <c r="L852" s="57" t="s">
        <v>101</v>
      </c>
      <c r="M852" s="57">
        <v>3.6019999999999999</v>
      </c>
      <c r="N852" s="57">
        <v>3.6019999999999999</v>
      </c>
      <c r="O852" s="53" t="s">
        <v>101</v>
      </c>
      <c r="P852" s="57" t="s">
        <v>448</v>
      </c>
      <c r="Q852" s="57" t="s">
        <v>573</v>
      </c>
      <c r="R852" s="59" t="s">
        <v>454</v>
      </c>
    </row>
    <row r="853" spans="1:18" x14ac:dyDescent="0.5">
      <c r="A853" s="52" t="str">
        <f>"194748EL9"</f>
        <v>194748EL9</v>
      </c>
      <c r="B853" s="53" t="s">
        <v>451</v>
      </c>
      <c r="C853" s="53" t="s">
        <v>1156</v>
      </c>
      <c r="D853" s="53" t="s">
        <v>447</v>
      </c>
      <c r="E853" s="53">
        <v>3.5</v>
      </c>
      <c r="F853" s="54">
        <v>48259</v>
      </c>
      <c r="G853" s="54">
        <v>45703</v>
      </c>
      <c r="H853" s="53" t="s">
        <v>641</v>
      </c>
      <c r="I853" s="53" t="s">
        <v>628</v>
      </c>
      <c r="J853" s="53" t="s">
        <v>101</v>
      </c>
      <c r="K853" s="53">
        <v>99.44</v>
      </c>
      <c r="L853" s="53" t="s">
        <v>101</v>
      </c>
      <c r="M853" s="53">
        <v>3.5910000000000002</v>
      </c>
      <c r="N853" s="53">
        <v>3.5910000000000002</v>
      </c>
      <c r="O853" s="53" t="s">
        <v>101</v>
      </c>
      <c r="P853" s="53" t="s">
        <v>448</v>
      </c>
      <c r="Q853" s="53" t="s">
        <v>503</v>
      </c>
      <c r="R853" s="55" t="s">
        <v>630</v>
      </c>
    </row>
    <row r="854" spans="1:18" x14ac:dyDescent="0.5">
      <c r="A854" s="56" t="str">
        <f>"248866T96"</f>
        <v>248866T96</v>
      </c>
      <c r="B854" s="57" t="s">
        <v>451</v>
      </c>
      <c r="C854" s="57" t="s">
        <v>1157</v>
      </c>
      <c r="D854" s="53" t="s">
        <v>447</v>
      </c>
      <c r="E854" s="57">
        <v>3</v>
      </c>
      <c r="F854" s="58">
        <v>48259</v>
      </c>
      <c r="G854" s="58">
        <v>46433</v>
      </c>
      <c r="H854" s="57" t="s">
        <v>105</v>
      </c>
      <c r="I854" s="57" t="s">
        <v>509</v>
      </c>
      <c r="J854" s="57" t="s">
        <v>101</v>
      </c>
      <c r="K854" s="57">
        <v>96.673000000000002</v>
      </c>
      <c r="L854" s="57" t="s">
        <v>101</v>
      </c>
      <c r="M854" s="57">
        <v>3.5409999999999999</v>
      </c>
      <c r="N854" s="57">
        <v>3.5409999999999999</v>
      </c>
      <c r="O854" s="53" t="s">
        <v>101</v>
      </c>
      <c r="P854" s="57" t="s">
        <v>448</v>
      </c>
      <c r="Q854" s="57" t="s">
        <v>453</v>
      </c>
      <c r="R854" s="59" t="s">
        <v>589</v>
      </c>
    </row>
    <row r="855" spans="1:18" x14ac:dyDescent="0.5">
      <c r="A855" s="52" t="str">
        <f>"2488664M4"</f>
        <v>2488664M4</v>
      </c>
      <c r="B855" s="53" t="s">
        <v>451</v>
      </c>
      <c r="C855" s="53" t="s">
        <v>1158</v>
      </c>
      <c r="D855" s="53" t="s">
        <v>447</v>
      </c>
      <c r="E855" s="53">
        <v>3</v>
      </c>
      <c r="F855" s="54">
        <v>48259</v>
      </c>
      <c r="G855" s="54">
        <v>46798</v>
      </c>
      <c r="H855" s="53" t="s">
        <v>105</v>
      </c>
      <c r="I855" s="53" t="s">
        <v>509</v>
      </c>
      <c r="J855" s="53" t="s">
        <v>101</v>
      </c>
      <c r="K855" s="53">
        <v>96.54</v>
      </c>
      <c r="L855" s="53" t="s">
        <v>101</v>
      </c>
      <c r="M855" s="53">
        <v>3.5630000000000002</v>
      </c>
      <c r="N855" s="53">
        <v>3.5630000000000002</v>
      </c>
      <c r="O855" s="53" t="s">
        <v>101</v>
      </c>
      <c r="P855" s="53" t="s">
        <v>448</v>
      </c>
      <c r="Q855" s="53" t="s">
        <v>503</v>
      </c>
      <c r="R855" s="55" t="s">
        <v>504</v>
      </c>
    </row>
    <row r="856" spans="1:18" x14ac:dyDescent="0.5">
      <c r="A856" s="56" t="str">
        <f>"265435CZ8"</f>
        <v>265435CZ8</v>
      </c>
      <c r="B856" s="57" t="s">
        <v>477</v>
      </c>
      <c r="C856" s="57" t="s">
        <v>1159</v>
      </c>
      <c r="D856" s="53" t="s">
        <v>447</v>
      </c>
      <c r="E856" s="57">
        <v>2</v>
      </c>
      <c r="F856" s="58">
        <v>48259</v>
      </c>
      <c r="G856" s="58">
        <v>46433</v>
      </c>
      <c r="H856" s="57" t="s">
        <v>105</v>
      </c>
      <c r="I856" s="57" t="s">
        <v>628</v>
      </c>
      <c r="J856" s="57" t="s">
        <v>101</v>
      </c>
      <c r="K856" s="57">
        <v>85.962000000000003</v>
      </c>
      <c r="L856" s="57" t="s">
        <v>101</v>
      </c>
      <c r="M856" s="57">
        <v>4.3499999999999996</v>
      </c>
      <c r="N856" s="57">
        <v>4.3499999999999996</v>
      </c>
      <c r="O856" s="53" t="s">
        <v>101</v>
      </c>
      <c r="P856" s="57" t="s">
        <v>448</v>
      </c>
      <c r="Q856" s="57" t="s">
        <v>503</v>
      </c>
      <c r="R856" s="59" t="s">
        <v>630</v>
      </c>
    </row>
    <row r="857" spans="1:18" x14ac:dyDescent="0.5">
      <c r="A857" s="52" t="str">
        <f>"279245JB1"</f>
        <v>279245JB1</v>
      </c>
      <c r="B857" s="53" t="s">
        <v>451</v>
      </c>
      <c r="C857" s="53" t="s">
        <v>1160</v>
      </c>
      <c r="D857" s="53" t="s">
        <v>447</v>
      </c>
      <c r="E857" s="53">
        <v>3</v>
      </c>
      <c r="F857" s="54">
        <v>48259</v>
      </c>
      <c r="G857" s="54">
        <v>46433</v>
      </c>
      <c r="H857" s="53" t="s">
        <v>105</v>
      </c>
      <c r="I857" s="53" t="s">
        <v>616</v>
      </c>
      <c r="J857" s="53" t="s">
        <v>101</v>
      </c>
      <c r="K857" s="53">
        <v>95.484999999999999</v>
      </c>
      <c r="L857" s="53" t="s">
        <v>101</v>
      </c>
      <c r="M857" s="53">
        <v>3.74</v>
      </c>
      <c r="N857" s="53">
        <v>3.74</v>
      </c>
      <c r="O857" s="53" t="s">
        <v>101</v>
      </c>
      <c r="P857" s="53" t="s">
        <v>448</v>
      </c>
      <c r="Q857" s="53" t="s">
        <v>453</v>
      </c>
      <c r="R857" s="55" t="s">
        <v>454</v>
      </c>
    </row>
    <row r="858" spans="1:18" x14ac:dyDescent="0.5">
      <c r="A858" s="56" t="str">
        <f>"279299KX8"</f>
        <v>279299KX8</v>
      </c>
      <c r="B858" s="57" t="s">
        <v>451</v>
      </c>
      <c r="C858" s="57" t="s">
        <v>1161</v>
      </c>
      <c r="D858" s="53" t="s">
        <v>447</v>
      </c>
      <c r="E858" s="57">
        <v>3.125</v>
      </c>
      <c r="F858" s="58">
        <v>48259</v>
      </c>
      <c r="G858" s="58">
        <v>45733</v>
      </c>
      <c r="H858" s="57" t="s">
        <v>105</v>
      </c>
      <c r="I858" s="57" t="s">
        <v>104</v>
      </c>
      <c r="J858" s="57" t="s">
        <v>101</v>
      </c>
      <c r="K858" s="57">
        <v>97.07</v>
      </c>
      <c r="L858" s="57" t="s">
        <v>101</v>
      </c>
      <c r="M858" s="57">
        <v>3.6030000000000002</v>
      </c>
      <c r="N858" s="57">
        <v>3.6030000000000002</v>
      </c>
      <c r="O858" s="53" t="s">
        <v>101</v>
      </c>
      <c r="P858" s="57" t="s">
        <v>448</v>
      </c>
      <c r="Q858" s="57" t="s">
        <v>488</v>
      </c>
      <c r="R858" s="59" t="s">
        <v>454</v>
      </c>
    </row>
    <row r="859" spans="1:18" x14ac:dyDescent="0.5">
      <c r="A859" s="52" t="str">
        <f>"34944RDQ8"</f>
        <v>34944RDQ8</v>
      </c>
      <c r="B859" s="53" t="s">
        <v>451</v>
      </c>
      <c r="C859" s="53" t="s">
        <v>1162</v>
      </c>
      <c r="D859" s="53" t="s">
        <v>447</v>
      </c>
      <c r="E859" s="53">
        <v>3</v>
      </c>
      <c r="F859" s="54">
        <v>48259</v>
      </c>
      <c r="G859" s="54">
        <v>46068</v>
      </c>
      <c r="H859" s="53" t="s">
        <v>105</v>
      </c>
      <c r="I859" s="53" t="s">
        <v>509</v>
      </c>
      <c r="J859" s="53" t="s">
        <v>101</v>
      </c>
      <c r="K859" s="53">
        <v>95.86</v>
      </c>
      <c r="L859" s="53" t="s">
        <v>101</v>
      </c>
      <c r="M859" s="53">
        <v>3.677</v>
      </c>
      <c r="N859" s="53">
        <v>3.677</v>
      </c>
      <c r="O859" s="53" t="s">
        <v>101</v>
      </c>
      <c r="P859" s="53" t="s">
        <v>448</v>
      </c>
      <c r="Q859" s="53" t="s">
        <v>556</v>
      </c>
      <c r="R859" s="55" t="s">
        <v>504</v>
      </c>
    </row>
    <row r="860" spans="1:18" x14ac:dyDescent="0.5">
      <c r="A860" s="56" t="str">
        <f>"34944REE4"</f>
        <v>34944REE4</v>
      </c>
      <c r="B860" s="57" t="s">
        <v>451</v>
      </c>
      <c r="C860" s="57" t="s">
        <v>1163</v>
      </c>
      <c r="D860" s="53" t="s">
        <v>447</v>
      </c>
      <c r="E860" s="57">
        <v>3</v>
      </c>
      <c r="F860" s="58">
        <v>48259</v>
      </c>
      <c r="G860" s="58">
        <v>46798</v>
      </c>
      <c r="H860" s="57" t="s">
        <v>105</v>
      </c>
      <c r="I860" s="57" t="s">
        <v>509</v>
      </c>
      <c r="J860" s="57" t="s">
        <v>101</v>
      </c>
      <c r="K860" s="57">
        <v>96.539000000000001</v>
      </c>
      <c r="L860" s="57" t="s">
        <v>101</v>
      </c>
      <c r="M860" s="57">
        <v>3.5640000000000001</v>
      </c>
      <c r="N860" s="57">
        <v>3.5640000000000001</v>
      </c>
      <c r="O860" s="53" t="s">
        <v>101</v>
      </c>
      <c r="P860" s="57" t="s">
        <v>448</v>
      </c>
      <c r="Q860" s="57" t="s">
        <v>485</v>
      </c>
      <c r="R860" s="59" t="s">
        <v>504</v>
      </c>
    </row>
    <row r="861" spans="1:18" x14ac:dyDescent="0.5">
      <c r="A861" s="52" t="str">
        <f>"349515H66"</f>
        <v>349515H66</v>
      </c>
      <c r="B861" s="53" t="s">
        <v>451</v>
      </c>
      <c r="C861" s="53" t="s">
        <v>1164</v>
      </c>
      <c r="D861" s="53" t="s">
        <v>447</v>
      </c>
      <c r="E861" s="53">
        <v>2</v>
      </c>
      <c r="F861" s="54">
        <v>48259</v>
      </c>
      <c r="G861" s="54">
        <v>47164</v>
      </c>
      <c r="H861" s="53" t="s">
        <v>540</v>
      </c>
      <c r="I861" s="53" t="s">
        <v>509</v>
      </c>
      <c r="J861" s="53" t="s">
        <v>101</v>
      </c>
      <c r="K861" s="53">
        <v>86.69</v>
      </c>
      <c r="L861" s="53" t="s">
        <v>101</v>
      </c>
      <c r="M861" s="53">
        <v>4.218</v>
      </c>
      <c r="N861" s="53">
        <v>4.218</v>
      </c>
      <c r="O861" s="53" t="s">
        <v>101</v>
      </c>
      <c r="P861" s="53" t="s">
        <v>448</v>
      </c>
      <c r="Q861" s="53" t="s">
        <v>457</v>
      </c>
      <c r="R861" s="55" t="s">
        <v>504</v>
      </c>
    </row>
    <row r="862" spans="1:18" x14ac:dyDescent="0.5">
      <c r="A862" s="56" t="str">
        <f>"358781CG5"</f>
        <v>358781CG5</v>
      </c>
      <c r="B862" s="57" t="s">
        <v>451</v>
      </c>
      <c r="C862" s="57" t="s">
        <v>1165</v>
      </c>
      <c r="D862" s="53" t="s">
        <v>447</v>
      </c>
      <c r="E862" s="57">
        <v>3</v>
      </c>
      <c r="F862" s="58">
        <v>48259</v>
      </c>
      <c r="G862" s="58">
        <v>46068</v>
      </c>
      <c r="H862" s="57" t="s">
        <v>104</v>
      </c>
      <c r="I862" s="57" t="s">
        <v>628</v>
      </c>
      <c r="J862" s="57" t="s">
        <v>101</v>
      </c>
      <c r="K862" s="57">
        <v>96.418999999999997</v>
      </c>
      <c r="L862" s="57" t="s">
        <v>101</v>
      </c>
      <c r="M862" s="57">
        <v>3.5840000000000001</v>
      </c>
      <c r="N862" s="57">
        <v>3.5840000000000001</v>
      </c>
      <c r="O862" s="53" t="s">
        <v>101</v>
      </c>
      <c r="P862" s="57" t="s">
        <v>448</v>
      </c>
      <c r="Q862" s="57" t="s">
        <v>469</v>
      </c>
      <c r="R862" s="59" t="s">
        <v>504</v>
      </c>
    </row>
    <row r="863" spans="1:18" x14ac:dyDescent="0.5">
      <c r="A863" s="52" t="str">
        <f>"378749DE2"</f>
        <v>378749DE2</v>
      </c>
      <c r="B863" s="53" t="s">
        <v>451</v>
      </c>
      <c r="C863" s="53" t="s">
        <v>1166</v>
      </c>
      <c r="D863" s="53" t="s">
        <v>447</v>
      </c>
      <c r="E863" s="53">
        <v>3</v>
      </c>
      <c r="F863" s="54">
        <v>48259</v>
      </c>
      <c r="G863" s="54">
        <v>46068</v>
      </c>
      <c r="H863" s="53" t="s">
        <v>105</v>
      </c>
      <c r="I863" s="53" t="s">
        <v>616</v>
      </c>
      <c r="J863" s="53" t="s">
        <v>101</v>
      </c>
      <c r="K863" s="53">
        <v>95.94</v>
      </c>
      <c r="L863" s="53" t="s">
        <v>101</v>
      </c>
      <c r="M863" s="53">
        <v>3.6629999999999998</v>
      </c>
      <c r="N863" s="53">
        <v>3.6629999999999998</v>
      </c>
      <c r="O863" s="53" t="s">
        <v>101</v>
      </c>
      <c r="P863" s="53" t="s">
        <v>448</v>
      </c>
      <c r="Q863" s="53" t="s">
        <v>858</v>
      </c>
      <c r="R863" s="55" t="s">
        <v>454</v>
      </c>
    </row>
    <row r="864" spans="1:18" x14ac:dyDescent="0.5">
      <c r="A864" s="56" t="str">
        <f>"380334KY7"</f>
        <v>380334KY7</v>
      </c>
      <c r="B864" s="57" t="s">
        <v>451</v>
      </c>
      <c r="C864" s="57" t="s">
        <v>1167</v>
      </c>
      <c r="D864" s="53" t="s">
        <v>447</v>
      </c>
      <c r="E864" s="57">
        <v>3</v>
      </c>
      <c r="F864" s="58">
        <v>48259</v>
      </c>
      <c r="G864" s="58">
        <v>47894</v>
      </c>
      <c r="H864" s="57" t="s">
        <v>104</v>
      </c>
      <c r="I864" s="57" t="s">
        <v>105</v>
      </c>
      <c r="J864" s="57" t="s">
        <v>101</v>
      </c>
      <c r="K864" s="57">
        <v>96.86</v>
      </c>
      <c r="L864" s="57" t="s">
        <v>101</v>
      </c>
      <c r="M864" s="57">
        <v>3.51</v>
      </c>
      <c r="N864" s="57">
        <v>3.51</v>
      </c>
      <c r="O864" s="53" t="s">
        <v>101</v>
      </c>
      <c r="P864" s="57" t="s">
        <v>448</v>
      </c>
      <c r="Q864" s="57" t="s">
        <v>488</v>
      </c>
      <c r="R864" s="59" t="s">
        <v>454</v>
      </c>
    </row>
    <row r="865" spans="1:18" x14ac:dyDescent="0.5">
      <c r="A865" s="52" t="str">
        <f>"3966942C4"</f>
        <v>3966942C4</v>
      </c>
      <c r="B865" s="53" t="s">
        <v>451</v>
      </c>
      <c r="C865" s="53" t="s">
        <v>1168</v>
      </c>
      <c r="D865" s="53" t="s">
        <v>447</v>
      </c>
      <c r="E865" s="53">
        <v>3</v>
      </c>
      <c r="F865" s="54">
        <v>48259</v>
      </c>
      <c r="G865" s="54">
        <v>47529</v>
      </c>
      <c r="H865" s="53" t="s">
        <v>105</v>
      </c>
      <c r="I865" s="53" t="s">
        <v>628</v>
      </c>
      <c r="J865" s="53" t="s">
        <v>101</v>
      </c>
      <c r="K865" s="53">
        <v>96.838999999999999</v>
      </c>
      <c r="L865" s="53" t="s">
        <v>101</v>
      </c>
      <c r="M865" s="53">
        <v>3.5139999999999998</v>
      </c>
      <c r="N865" s="53">
        <v>3.5139999999999998</v>
      </c>
      <c r="O865" s="53" t="s">
        <v>101</v>
      </c>
      <c r="P865" s="53" t="s">
        <v>448</v>
      </c>
      <c r="Q865" s="53" t="s">
        <v>591</v>
      </c>
      <c r="R865" s="55" t="s">
        <v>820</v>
      </c>
    </row>
    <row r="866" spans="1:18" x14ac:dyDescent="0.5">
      <c r="A866" s="56" t="str">
        <f>"45204EFD5"</f>
        <v>45204EFD5</v>
      </c>
      <c r="B866" s="57" t="s">
        <v>491</v>
      </c>
      <c r="C866" s="57" t="s">
        <v>1169</v>
      </c>
      <c r="D866" s="53" t="s">
        <v>447</v>
      </c>
      <c r="E866" s="57">
        <v>3.625</v>
      </c>
      <c r="F866" s="58">
        <v>48259</v>
      </c>
      <c r="G866" s="58">
        <v>46433</v>
      </c>
      <c r="H866" s="57" t="s">
        <v>613</v>
      </c>
      <c r="I866" s="57" t="s">
        <v>628</v>
      </c>
      <c r="J866" s="57" t="s">
        <v>101</v>
      </c>
      <c r="K866" s="57">
        <v>99.65</v>
      </c>
      <c r="L866" s="57" t="s">
        <v>101</v>
      </c>
      <c r="M866" s="57">
        <v>3.6819999999999999</v>
      </c>
      <c r="N866" s="57">
        <v>3.6819999999999999</v>
      </c>
      <c r="O866" s="53" t="s">
        <v>101</v>
      </c>
      <c r="P866" s="57" t="s">
        <v>448</v>
      </c>
      <c r="Q866" s="57" t="s">
        <v>517</v>
      </c>
      <c r="R866" s="59" t="s">
        <v>450</v>
      </c>
    </row>
    <row r="867" spans="1:18" x14ac:dyDescent="0.5">
      <c r="A867" s="52" t="str">
        <f>"463813F59"</f>
        <v>463813F59</v>
      </c>
      <c r="B867" s="53" t="s">
        <v>451</v>
      </c>
      <c r="C867" s="53" t="s">
        <v>1170</v>
      </c>
      <c r="D867" s="53" t="s">
        <v>447</v>
      </c>
      <c r="E867" s="53">
        <v>3</v>
      </c>
      <c r="F867" s="54">
        <v>48259</v>
      </c>
      <c r="G867" s="54">
        <v>46249</v>
      </c>
      <c r="H867" s="53" t="s">
        <v>105</v>
      </c>
      <c r="I867" s="53" t="s">
        <v>104</v>
      </c>
      <c r="J867" s="53" t="s">
        <v>101</v>
      </c>
      <c r="K867" s="53">
        <v>96.197000000000003</v>
      </c>
      <c r="L867" s="53" t="s">
        <v>101</v>
      </c>
      <c r="M867" s="53">
        <v>3.621</v>
      </c>
      <c r="N867" s="53">
        <v>3.621</v>
      </c>
      <c r="O867" s="53" t="s">
        <v>101</v>
      </c>
      <c r="P867" s="53" t="s">
        <v>448</v>
      </c>
      <c r="Q867" s="53" t="s">
        <v>527</v>
      </c>
      <c r="R867" s="55" t="s">
        <v>454</v>
      </c>
    </row>
    <row r="868" spans="1:18" x14ac:dyDescent="0.5">
      <c r="A868" s="56" t="str">
        <f>"5217688B0"</f>
        <v>5217688B0</v>
      </c>
      <c r="B868" s="57" t="s">
        <v>451</v>
      </c>
      <c r="C868" s="57" t="s">
        <v>1171</v>
      </c>
      <c r="D868" s="53" t="s">
        <v>447</v>
      </c>
      <c r="E868" s="57">
        <v>2.625</v>
      </c>
      <c r="F868" s="58">
        <v>48259</v>
      </c>
      <c r="G868" s="58">
        <v>46068</v>
      </c>
      <c r="H868" s="57" t="s">
        <v>540</v>
      </c>
      <c r="I868" s="57" t="s">
        <v>105</v>
      </c>
      <c r="J868" s="57" t="s">
        <v>101</v>
      </c>
      <c r="K868" s="57">
        <v>92.215000000000003</v>
      </c>
      <c r="L868" s="57" t="s">
        <v>101</v>
      </c>
      <c r="M868" s="57">
        <v>3.9079999999999999</v>
      </c>
      <c r="N868" s="57">
        <v>3.9079999999999999</v>
      </c>
      <c r="O868" s="53" t="s">
        <v>101</v>
      </c>
      <c r="P868" s="57" t="s">
        <v>448</v>
      </c>
      <c r="Q868" s="57" t="s">
        <v>460</v>
      </c>
      <c r="R868" s="59" t="s">
        <v>454</v>
      </c>
    </row>
    <row r="869" spans="1:18" x14ac:dyDescent="0.5">
      <c r="A869" s="52" t="str">
        <f>"549188XH8"</f>
        <v>549188XH8</v>
      </c>
      <c r="B869" s="53" t="s">
        <v>451</v>
      </c>
      <c r="C869" s="53" t="s">
        <v>1172</v>
      </c>
      <c r="D869" s="53" t="s">
        <v>447</v>
      </c>
      <c r="E869" s="53">
        <v>4</v>
      </c>
      <c r="F869" s="54">
        <v>48259</v>
      </c>
      <c r="G869" s="54">
        <v>46068</v>
      </c>
      <c r="H869" s="53" t="s">
        <v>613</v>
      </c>
      <c r="I869" s="53" t="s">
        <v>509</v>
      </c>
      <c r="J869" s="53" t="s">
        <v>101</v>
      </c>
      <c r="K869" s="53">
        <v>100.46599999999999</v>
      </c>
      <c r="L869" s="53" t="s">
        <v>101</v>
      </c>
      <c r="M869" s="53">
        <v>3.5169999999999999</v>
      </c>
      <c r="N869" s="53">
        <v>3.923</v>
      </c>
      <c r="O869" s="53" t="s">
        <v>101</v>
      </c>
      <c r="P869" s="53" t="s">
        <v>448</v>
      </c>
      <c r="Q869" s="53" t="s">
        <v>460</v>
      </c>
      <c r="R869" s="55" t="s">
        <v>504</v>
      </c>
    </row>
    <row r="870" spans="1:18" x14ac:dyDescent="0.5">
      <c r="A870" s="56" t="str">
        <f>"585483MF4"</f>
        <v>585483MF4</v>
      </c>
      <c r="B870" s="57" t="s">
        <v>451</v>
      </c>
      <c r="C870" s="57" t="s">
        <v>1173</v>
      </c>
      <c r="D870" s="53" t="s">
        <v>447</v>
      </c>
      <c r="E870" s="57">
        <v>3.125</v>
      </c>
      <c r="F870" s="58">
        <v>48259</v>
      </c>
      <c r="G870" s="58">
        <v>45733</v>
      </c>
      <c r="H870" s="57" t="s">
        <v>613</v>
      </c>
      <c r="I870" s="57" t="s">
        <v>628</v>
      </c>
      <c r="J870" s="57" t="s">
        <v>101</v>
      </c>
      <c r="K870" s="57">
        <v>96.784999999999997</v>
      </c>
      <c r="L870" s="57" t="s">
        <v>101</v>
      </c>
      <c r="M870" s="57">
        <v>3.65</v>
      </c>
      <c r="N870" s="57">
        <v>3.65</v>
      </c>
      <c r="O870" s="53" t="s">
        <v>101</v>
      </c>
      <c r="P870" s="57" t="s">
        <v>448</v>
      </c>
      <c r="Q870" s="57" t="s">
        <v>790</v>
      </c>
      <c r="R870" s="59" t="s">
        <v>630</v>
      </c>
    </row>
    <row r="871" spans="1:18" x14ac:dyDescent="0.5">
      <c r="A871" s="52" t="str">
        <f>"587839N56"</f>
        <v>587839N56</v>
      </c>
      <c r="B871" s="53" t="s">
        <v>477</v>
      </c>
      <c r="C871" s="53" t="s">
        <v>1174</v>
      </c>
      <c r="D871" s="53" t="s">
        <v>447</v>
      </c>
      <c r="E871" s="53">
        <v>2</v>
      </c>
      <c r="F871" s="54">
        <v>48259</v>
      </c>
      <c r="G871" s="54">
        <v>47164</v>
      </c>
      <c r="H871" s="53" t="s">
        <v>105</v>
      </c>
      <c r="I871" s="53" t="s">
        <v>628</v>
      </c>
      <c r="J871" s="53" t="s">
        <v>101</v>
      </c>
      <c r="K871" s="53">
        <v>86.182000000000002</v>
      </c>
      <c r="L871" s="53" t="s">
        <v>101</v>
      </c>
      <c r="M871" s="53">
        <v>4.3099999999999996</v>
      </c>
      <c r="N871" s="53">
        <v>4.3099999999999996</v>
      </c>
      <c r="O871" s="53" t="s">
        <v>101</v>
      </c>
      <c r="P871" s="53" t="s">
        <v>448</v>
      </c>
      <c r="Q871" s="53" t="s">
        <v>457</v>
      </c>
      <c r="R871" s="55" t="s">
        <v>454</v>
      </c>
    </row>
    <row r="872" spans="1:18" x14ac:dyDescent="0.5">
      <c r="A872" s="56" t="str">
        <f>"702317BC1"</f>
        <v>702317BC1</v>
      </c>
      <c r="B872" s="57" t="s">
        <v>451</v>
      </c>
      <c r="C872" s="57" t="s">
        <v>1175</v>
      </c>
      <c r="D872" s="53" t="s">
        <v>447</v>
      </c>
      <c r="E872" s="57">
        <v>3</v>
      </c>
      <c r="F872" s="58">
        <v>48259</v>
      </c>
      <c r="G872" s="58">
        <v>46433</v>
      </c>
      <c r="H872" s="57" t="s">
        <v>105</v>
      </c>
      <c r="I872" s="57" t="s">
        <v>628</v>
      </c>
      <c r="J872" s="57" t="s">
        <v>101</v>
      </c>
      <c r="K872" s="57">
        <v>95.49</v>
      </c>
      <c r="L872" s="57" t="s">
        <v>101</v>
      </c>
      <c r="M872" s="57">
        <v>3.7389999999999999</v>
      </c>
      <c r="N872" s="57">
        <v>3.7389999999999999</v>
      </c>
      <c r="O872" s="53" t="s">
        <v>101</v>
      </c>
      <c r="P872" s="57" t="s">
        <v>448</v>
      </c>
      <c r="Q872" s="57" t="s">
        <v>488</v>
      </c>
      <c r="R872" s="59" t="s">
        <v>589</v>
      </c>
    </row>
    <row r="873" spans="1:18" x14ac:dyDescent="0.5">
      <c r="A873" s="52" t="str">
        <f>"73474MPA7"</f>
        <v>73474MPA7</v>
      </c>
      <c r="B873" s="53" t="s">
        <v>451</v>
      </c>
      <c r="C873" s="53" t="s">
        <v>1176</v>
      </c>
      <c r="D873" s="53" t="s">
        <v>447</v>
      </c>
      <c r="E873" s="53">
        <v>3</v>
      </c>
      <c r="F873" s="54">
        <v>48259</v>
      </c>
      <c r="G873" s="54">
        <v>45703</v>
      </c>
      <c r="H873" s="53" t="s">
        <v>104</v>
      </c>
      <c r="I873" s="53" t="s">
        <v>105</v>
      </c>
      <c r="J873" s="53" t="s">
        <v>101</v>
      </c>
      <c r="K873" s="53">
        <v>96.38</v>
      </c>
      <c r="L873" s="53" t="s">
        <v>101</v>
      </c>
      <c r="M873" s="53">
        <v>3.59</v>
      </c>
      <c r="N873" s="53">
        <v>3.59</v>
      </c>
      <c r="O873" s="53" t="s">
        <v>101</v>
      </c>
      <c r="P873" s="53" t="s">
        <v>448</v>
      </c>
      <c r="Q873" s="53" t="s">
        <v>503</v>
      </c>
      <c r="R873" s="55" t="s">
        <v>454</v>
      </c>
    </row>
    <row r="874" spans="1:18" x14ac:dyDescent="0.5">
      <c r="A874" s="56" t="str">
        <f>"73474MPR0"</f>
        <v>73474MPR0</v>
      </c>
      <c r="B874" s="57" t="s">
        <v>451</v>
      </c>
      <c r="C874" s="57" t="s">
        <v>1177</v>
      </c>
      <c r="D874" s="53" t="s">
        <v>447</v>
      </c>
      <c r="E874" s="57">
        <v>3</v>
      </c>
      <c r="F874" s="58">
        <v>48259</v>
      </c>
      <c r="G874" s="58">
        <v>46068</v>
      </c>
      <c r="H874" s="57" t="s">
        <v>104</v>
      </c>
      <c r="I874" s="57" t="s">
        <v>105</v>
      </c>
      <c r="J874" s="57" t="s">
        <v>101</v>
      </c>
      <c r="K874" s="57">
        <v>95.23</v>
      </c>
      <c r="L874" s="57" t="s">
        <v>101</v>
      </c>
      <c r="M874" s="57">
        <v>3.7829999999999999</v>
      </c>
      <c r="N874" s="57">
        <v>3.7829999999999999</v>
      </c>
      <c r="O874" s="53" t="s">
        <v>101</v>
      </c>
      <c r="P874" s="57" t="s">
        <v>448</v>
      </c>
      <c r="Q874" s="57" t="s">
        <v>488</v>
      </c>
      <c r="R874" s="59" t="s">
        <v>454</v>
      </c>
    </row>
    <row r="875" spans="1:18" x14ac:dyDescent="0.5">
      <c r="A875" s="52" t="str">
        <f>"736831SH2"</f>
        <v>736831SH2</v>
      </c>
      <c r="B875" s="53" t="s">
        <v>451</v>
      </c>
      <c r="C875" s="53" t="s">
        <v>1178</v>
      </c>
      <c r="D875" s="53" t="s">
        <v>447</v>
      </c>
      <c r="E875" s="53">
        <v>3.25</v>
      </c>
      <c r="F875" s="54">
        <v>48259</v>
      </c>
      <c r="G875" s="54">
        <v>46068</v>
      </c>
      <c r="H875" s="53" t="s">
        <v>105</v>
      </c>
      <c r="I875" s="53" t="s">
        <v>628</v>
      </c>
      <c r="J875" s="53" t="s">
        <v>101</v>
      </c>
      <c r="K875" s="53">
        <v>98.4</v>
      </c>
      <c r="L875" s="53" t="s">
        <v>101</v>
      </c>
      <c r="M875" s="53">
        <v>3.51</v>
      </c>
      <c r="N875" s="53">
        <v>3.51</v>
      </c>
      <c r="O875" s="53" t="s">
        <v>101</v>
      </c>
      <c r="P875" s="53" t="s">
        <v>448</v>
      </c>
      <c r="Q875" s="53" t="s">
        <v>538</v>
      </c>
      <c r="R875" s="55" t="s">
        <v>454</v>
      </c>
    </row>
    <row r="876" spans="1:18" x14ac:dyDescent="0.5">
      <c r="A876" s="56" t="str">
        <f>"786208JP4"</f>
        <v>786208JP4</v>
      </c>
      <c r="B876" s="57" t="s">
        <v>477</v>
      </c>
      <c r="C876" s="57" t="s">
        <v>1179</v>
      </c>
      <c r="D876" s="53" t="s">
        <v>447</v>
      </c>
      <c r="E876" s="57">
        <v>2.125</v>
      </c>
      <c r="F876" s="58">
        <v>48259</v>
      </c>
      <c r="G876" s="58">
        <v>46433</v>
      </c>
      <c r="H876" s="57" t="s">
        <v>624</v>
      </c>
      <c r="I876" s="57" t="s">
        <v>105</v>
      </c>
      <c r="J876" s="57" t="s">
        <v>101</v>
      </c>
      <c r="K876" s="57">
        <v>87.262</v>
      </c>
      <c r="L876" s="57" t="s">
        <v>101</v>
      </c>
      <c r="M876" s="57">
        <v>4.25</v>
      </c>
      <c r="N876" s="57">
        <v>4.25</v>
      </c>
      <c r="O876" s="53" t="s">
        <v>101</v>
      </c>
      <c r="P876" s="57" t="s">
        <v>448</v>
      </c>
      <c r="Q876" s="57" t="s">
        <v>1180</v>
      </c>
      <c r="R876" s="59" t="s">
        <v>454</v>
      </c>
    </row>
    <row r="877" spans="1:18" x14ac:dyDescent="0.5">
      <c r="A877" s="52" t="str">
        <f>"8225165R7"</f>
        <v>8225165R7</v>
      </c>
      <c r="B877" s="53" t="s">
        <v>451</v>
      </c>
      <c r="C877" s="53" t="s">
        <v>1181</v>
      </c>
      <c r="D877" s="53" t="s">
        <v>447</v>
      </c>
      <c r="E877" s="53">
        <v>3</v>
      </c>
      <c r="F877" s="54">
        <v>48259</v>
      </c>
      <c r="G877" s="54">
        <v>46798</v>
      </c>
      <c r="H877" s="53" t="s">
        <v>104</v>
      </c>
      <c r="I877" s="53" t="s">
        <v>105</v>
      </c>
      <c r="J877" s="53" t="s">
        <v>101</v>
      </c>
      <c r="K877" s="53">
        <v>96.100999999999999</v>
      </c>
      <c r="L877" s="53" t="s">
        <v>101</v>
      </c>
      <c r="M877" s="53">
        <v>3.637</v>
      </c>
      <c r="N877" s="53">
        <v>3.637</v>
      </c>
      <c r="O877" s="53" t="s">
        <v>101</v>
      </c>
      <c r="P877" s="53" t="s">
        <v>448</v>
      </c>
      <c r="Q877" s="53" t="s">
        <v>457</v>
      </c>
      <c r="R877" s="55" t="s">
        <v>482</v>
      </c>
    </row>
    <row r="878" spans="1:18" x14ac:dyDescent="0.5">
      <c r="A878" s="56" t="str">
        <f>"850192AZ8"</f>
        <v>850192AZ8</v>
      </c>
      <c r="B878" s="57" t="s">
        <v>451</v>
      </c>
      <c r="C878" s="57" t="s">
        <v>1182</v>
      </c>
      <c r="D878" s="53" t="s">
        <v>447</v>
      </c>
      <c r="E878" s="57">
        <v>3.125</v>
      </c>
      <c r="F878" s="58">
        <v>48259</v>
      </c>
      <c r="G878" s="58">
        <v>45733</v>
      </c>
      <c r="H878" s="57" t="s">
        <v>105</v>
      </c>
      <c r="I878" s="57" t="s">
        <v>104</v>
      </c>
      <c r="J878" s="57" t="s">
        <v>101</v>
      </c>
      <c r="K878" s="57">
        <v>97.34</v>
      </c>
      <c r="L878" s="57" t="s">
        <v>101</v>
      </c>
      <c r="M878" s="57">
        <v>3.5579999999999998</v>
      </c>
      <c r="N878" s="57">
        <v>3.5579999999999998</v>
      </c>
      <c r="O878" s="53" t="s">
        <v>101</v>
      </c>
      <c r="P878" s="57" t="s">
        <v>448</v>
      </c>
      <c r="Q878" s="57" t="s">
        <v>453</v>
      </c>
      <c r="R878" s="59" t="s">
        <v>454</v>
      </c>
    </row>
    <row r="879" spans="1:18" x14ac:dyDescent="0.5">
      <c r="A879" s="52" t="str">
        <f>"8648556S5"</f>
        <v>8648556S5</v>
      </c>
      <c r="B879" s="53" t="s">
        <v>451</v>
      </c>
      <c r="C879" s="53" t="s">
        <v>1183</v>
      </c>
      <c r="D879" s="53" t="s">
        <v>447</v>
      </c>
      <c r="E879" s="53">
        <v>3</v>
      </c>
      <c r="F879" s="54">
        <v>48259</v>
      </c>
      <c r="G879" s="54">
        <v>45733</v>
      </c>
      <c r="H879" s="53" t="s">
        <v>105</v>
      </c>
      <c r="I879" s="53" t="s">
        <v>104</v>
      </c>
      <c r="J879" s="53" t="s">
        <v>101</v>
      </c>
      <c r="K879" s="53">
        <v>96.14</v>
      </c>
      <c r="L879" s="53" t="s">
        <v>101</v>
      </c>
      <c r="M879" s="53">
        <v>3.63</v>
      </c>
      <c r="N879" s="53">
        <v>3.63</v>
      </c>
      <c r="O879" s="53" t="s">
        <v>101</v>
      </c>
      <c r="P879" s="53" t="s">
        <v>448</v>
      </c>
      <c r="Q879" s="53" t="s">
        <v>488</v>
      </c>
      <c r="R879" s="55" t="s">
        <v>504</v>
      </c>
    </row>
    <row r="880" spans="1:18" x14ac:dyDescent="0.5">
      <c r="A880" s="56" t="str">
        <f>"864856BV0"</f>
        <v>864856BV0</v>
      </c>
      <c r="B880" s="57" t="s">
        <v>451</v>
      </c>
      <c r="C880" s="57" t="s">
        <v>1184</v>
      </c>
      <c r="D880" s="53" t="s">
        <v>447</v>
      </c>
      <c r="E880" s="57">
        <v>3</v>
      </c>
      <c r="F880" s="58">
        <v>48259</v>
      </c>
      <c r="G880" s="58">
        <v>45703</v>
      </c>
      <c r="H880" s="57" t="s">
        <v>105</v>
      </c>
      <c r="I880" s="57" t="s">
        <v>104</v>
      </c>
      <c r="J880" s="57" t="s">
        <v>101</v>
      </c>
      <c r="K880" s="57">
        <v>96.08</v>
      </c>
      <c r="L880" s="57" t="s">
        <v>101</v>
      </c>
      <c r="M880" s="57">
        <v>3.64</v>
      </c>
      <c r="N880" s="57">
        <v>3.64</v>
      </c>
      <c r="O880" s="53" t="s">
        <v>101</v>
      </c>
      <c r="P880" s="57" t="s">
        <v>448</v>
      </c>
      <c r="Q880" s="57" t="s">
        <v>790</v>
      </c>
      <c r="R880" s="59" t="s">
        <v>504</v>
      </c>
    </row>
    <row r="881" spans="1:18" x14ac:dyDescent="0.5">
      <c r="A881" s="52" t="str">
        <f>"881830J61"</f>
        <v>881830J61</v>
      </c>
      <c r="B881" s="53" t="s">
        <v>451</v>
      </c>
      <c r="C881" s="53" t="s">
        <v>1185</v>
      </c>
      <c r="D881" s="53" t="s">
        <v>447</v>
      </c>
      <c r="E881" s="53">
        <v>3.25</v>
      </c>
      <c r="F881" s="54">
        <v>48259</v>
      </c>
      <c r="G881" s="54">
        <v>46433</v>
      </c>
      <c r="H881" s="53" t="s">
        <v>105</v>
      </c>
      <c r="I881" s="53" t="s">
        <v>616</v>
      </c>
      <c r="J881" s="53" t="s">
        <v>101</v>
      </c>
      <c r="K881" s="53">
        <v>96.786000000000001</v>
      </c>
      <c r="L881" s="53" t="s">
        <v>101</v>
      </c>
      <c r="M881" s="53">
        <v>3.7770000000000001</v>
      </c>
      <c r="N881" s="53">
        <v>3.7770000000000001</v>
      </c>
      <c r="O881" s="53" t="s">
        <v>101</v>
      </c>
      <c r="P881" s="53" t="s">
        <v>448</v>
      </c>
      <c r="Q881" s="53" t="s">
        <v>488</v>
      </c>
      <c r="R881" s="55" t="s">
        <v>504</v>
      </c>
    </row>
    <row r="882" spans="1:18" x14ac:dyDescent="0.5">
      <c r="A882" s="56" t="str">
        <f>"954838SD1"</f>
        <v>954838SD1</v>
      </c>
      <c r="B882" s="57" t="s">
        <v>451</v>
      </c>
      <c r="C882" s="57" t="s">
        <v>1186</v>
      </c>
      <c r="D882" s="53" t="s">
        <v>447</v>
      </c>
      <c r="E882" s="57">
        <v>3</v>
      </c>
      <c r="F882" s="58">
        <v>48259</v>
      </c>
      <c r="G882" s="58">
        <v>47164</v>
      </c>
      <c r="H882" s="57" t="s">
        <v>104</v>
      </c>
      <c r="I882" s="57" t="s">
        <v>105</v>
      </c>
      <c r="J882" s="57" t="s">
        <v>101</v>
      </c>
      <c r="K882" s="57">
        <v>96.013000000000005</v>
      </c>
      <c r="L882" s="57" t="s">
        <v>101</v>
      </c>
      <c r="M882" s="57">
        <v>3.6509999999999998</v>
      </c>
      <c r="N882" s="57">
        <v>3.6509999999999998</v>
      </c>
      <c r="O882" s="53" t="s">
        <v>101</v>
      </c>
      <c r="P882" s="57" t="s">
        <v>448</v>
      </c>
      <c r="Q882" s="57" t="s">
        <v>488</v>
      </c>
      <c r="R882" s="59" t="s">
        <v>454</v>
      </c>
    </row>
    <row r="883" spans="1:18" x14ac:dyDescent="0.5">
      <c r="A883" s="52" t="str">
        <f>"9698873G1"</f>
        <v>9698873G1</v>
      </c>
      <c r="B883" s="53" t="s">
        <v>451</v>
      </c>
      <c r="C883" s="53" t="s">
        <v>1187</v>
      </c>
      <c r="D883" s="53" t="s">
        <v>447</v>
      </c>
      <c r="E883" s="53">
        <v>3</v>
      </c>
      <c r="F883" s="54">
        <v>48259</v>
      </c>
      <c r="G883" s="54">
        <v>45884</v>
      </c>
      <c r="H883" s="53" t="s">
        <v>105</v>
      </c>
      <c r="I883" s="53" t="s">
        <v>104</v>
      </c>
      <c r="J883" s="53" t="s">
        <v>101</v>
      </c>
      <c r="K883" s="53">
        <v>96.08</v>
      </c>
      <c r="L883" s="53" t="s">
        <v>101</v>
      </c>
      <c r="M883" s="53">
        <v>3.64</v>
      </c>
      <c r="N883" s="53">
        <v>3.64</v>
      </c>
      <c r="O883" s="53" t="s">
        <v>101</v>
      </c>
      <c r="P883" s="53" t="s">
        <v>448</v>
      </c>
      <c r="Q883" s="53" t="s">
        <v>782</v>
      </c>
      <c r="R883" s="55" t="s">
        <v>454</v>
      </c>
    </row>
    <row r="884" spans="1:18" x14ac:dyDescent="0.5">
      <c r="A884" s="56" t="str">
        <f>"9698875F1"</f>
        <v>9698875F1</v>
      </c>
      <c r="B884" s="57" t="s">
        <v>451</v>
      </c>
      <c r="C884" s="57" t="s">
        <v>1188</v>
      </c>
      <c r="D884" s="53" t="s">
        <v>447</v>
      </c>
      <c r="E884" s="57">
        <v>2.95</v>
      </c>
      <c r="F884" s="58">
        <v>48259</v>
      </c>
      <c r="G884" s="58">
        <v>46433</v>
      </c>
      <c r="H884" s="57" t="s">
        <v>105</v>
      </c>
      <c r="I884" s="57" t="s">
        <v>104</v>
      </c>
      <c r="J884" s="57" t="s">
        <v>101</v>
      </c>
      <c r="K884" s="57">
        <v>94.587000000000003</v>
      </c>
      <c r="L884" s="57" t="s">
        <v>101</v>
      </c>
      <c r="M884" s="57">
        <v>3.84</v>
      </c>
      <c r="N884" s="57">
        <v>3.84</v>
      </c>
      <c r="O884" s="53" t="s">
        <v>101</v>
      </c>
      <c r="P884" s="57" t="s">
        <v>448</v>
      </c>
      <c r="Q884" s="57" t="s">
        <v>488</v>
      </c>
      <c r="R884" s="59" t="s">
        <v>454</v>
      </c>
    </row>
    <row r="885" spans="1:18" x14ac:dyDescent="0.5">
      <c r="A885" s="52" t="str">
        <f>"079635EU8"</f>
        <v>079635EU8</v>
      </c>
      <c r="B885" s="53" t="s">
        <v>451</v>
      </c>
      <c r="C885" s="53" t="s">
        <v>1189</v>
      </c>
      <c r="D885" s="53" t="s">
        <v>447</v>
      </c>
      <c r="E885" s="53">
        <v>3.5</v>
      </c>
      <c r="F885" s="54">
        <v>48274</v>
      </c>
      <c r="G885" s="54">
        <v>45733</v>
      </c>
      <c r="H885" s="53" t="s">
        <v>105</v>
      </c>
      <c r="I885" s="53" t="s">
        <v>616</v>
      </c>
      <c r="J885" s="53" t="s">
        <v>101</v>
      </c>
      <c r="K885" s="53">
        <v>98.39</v>
      </c>
      <c r="L885" s="53" t="s">
        <v>101</v>
      </c>
      <c r="M885" s="53">
        <v>3.762</v>
      </c>
      <c r="N885" s="53">
        <v>3.762</v>
      </c>
      <c r="O885" s="53" t="s">
        <v>101</v>
      </c>
      <c r="P885" s="53" t="s">
        <v>448</v>
      </c>
      <c r="Q885" s="53" t="s">
        <v>457</v>
      </c>
      <c r="R885" s="55" t="s">
        <v>504</v>
      </c>
    </row>
    <row r="886" spans="1:18" x14ac:dyDescent="0.5">
      <c r="A886" s="56" t="str">
        <f>"080375ER5"</f>
        <v>080375ER5</v>
      </c>
      <c r="B886" s="57" t="s">
        <v>451</v>
      </c>
      <c r="C886" s="57" t="s">
        <v>1190</v>
      </c>
      <c r="D886" s="53" t="s">
        <v>447</v>
      </c>
      <c r="E886" s="57">
        <v>3</v>
      </c>
      <c r="F886" s="58">
        <v>48274</v>
      </c>
      <c r="G886" s="58">
        <v>45717</v>
      </c>
      <c r="H886" s="57" t="s">
        <v>627</v>
      </c>
      <c r="I886" s="57" t="s">
        <v>628</v>
      </c>
      <c r="J886" s="57" t="s">
        <v>101</v>
      </c>
      <c r="K886" s="57">
        <v>95.337999999999994</v>
      </c>
      <c r="L886" s="57" t="s">
        <v>101</v>
      </c>
      <c r="M886" s="57">
        <v>3.76</v>
      </c>
      <c r="N886" s="57">
        <v>3.76</v>
      </c>
      <c r="O886" s="53" t="s">
        <v>101</v>
      </c>
      <c r="P886" s="57" t="s">
        <v>448</v>
      </c>
      <c r="Q886" s="57" t="s">
        <v>517</v>
      </c>
      <c r="R886" s="59" t="s">
        <v>630</v>
      </c>
    </row>
    <row r="887" spans="1:18" x14ac:dyDescent="0.5">
      <c r="A887" s="52" t="str">
        <f>"108493HM2"</f>
        <v>108493HM2</v>
      </c>
      <c r="B887" s="53" t="s">
        <v>477</v>
      </c>
      <c r="C887" s="53" t="s">
        <v>1191</v>
      </c>
      <c r="D887" s="53" t="s">
        <v>447</v>
      </c>
      <c r="E887" s="53">
        <v>2</v>
      </c>
      <c r="F887" s="54">
        <v>48274</v>
      </c>
      <c r="G887" s="54">
        <v>47908</v>
      </c>
      <c r="H887" s="53" t="s">
        <v>610</v>
      </c>
      <c r="I887" s="53" t="s">
        <v>628</v>
      </c>
      <c r="J887" s="53" t="s">
        <v>101</v>
      </c>
      <c r="K887" s="53">
        <v>87.149000000000001</v>
      </c>
      <c r="L887" s="53" t="s">
        <v>101</v>
      </c>
      <c r="M887" s="53">
        <v>4.1230000000000002</v>
      </c>
      <c r="N887" s="53">
        <v>4.1230000000000002</v>
      </c>
      <c r="O887" s="53" t="s">
        <v>101</v>
      </c>
      <c r="P887" s="53" t="s">
        <v>448</v>
      </c>
      <c r="Q887" s="53" t="s">
        <v>479</v>
      </c>
      <c r="R887" s="55" t="s">
        <v>630</v>
      </c>
    </row>
    <row r="888" spans="1:18" x14ac:dyDescent="0.5">
      <c r="A888" s="56" t="str">
        <f>"256534ET1"</f>
        <v>256534ET1</v>
      </c>
      <c r="B888" s="57" t="s">
        <v>496</v>
      </c>
      <c r="C888" s="57" t="s">
        <v>1192</v>
      </c>
      <c r="D888" s="53" t="s">
        <v>447</v>
      </c>
      <c r="E888" s="57">
        <v>2</v>
      </c>
      <c r="F888" s="58">
        <v>48274</v>
      </c>
      <c r="G888" s="58">
        <v>46813</v>
      </c>
      <c r="H888" s="57" t="s">
        <v>105</v>
      </c>
      <c r="I888" s="57" t="s">
        <v>616</v>
      </c>
      <c r="J888" s="57" t="s">
        <v>101</v>
      </c>
      <c r="K888" s="57">
        <v>87.388000000000005</v>
      </c>
      <c r="L888" s="57" t="s">
        <v>101</v>
      </c>
      <c r="M888" s="57">
        <v>4.08</v>
      </c>
      <c r="N888" s="57">
        <v>4.08</v>
      </c>
      <c r="O888" s="53" t="s">
        <v>101</v>
      </c>
      <c r="P888" s="57" t="s">
        <v>448</v>
      </c>
      <c r="Q888" s="57" t="s">
        <v>1193</v>
      </c>
      <c r="R888" s="59" t="s">
        <v>454</v>
      </c>
    </row>
    <row r="889" spans="1:18" x14ac:dyDescent="0.5">
      <c r="A889" s="52" t="str">
        <f>"289425UZ1"</f>
        <v>289425UZ1</v>
      </c>
      <c r="B889" s="53" t="s">
        <v>491</v>
      </c>
      <c r="C889" s="53" t="s">
        <v>1194</v>
      </c>
      <c r="D889" s="53" t="s">
        <v>447</v>
      </c>
      <c r="E889" s="53">
        <v>3</v>
      </c>
      <c r="F889" s="54">
        <v>48274</v>
      </c>
      <c r="G889" s="54">
        <v>45717</v>
      </c>
      <c r="H889" s="53" t="s">
        <v>105</v>
      </c>
      <c r="I889" s="53" t="s">
        <v>104</v>
      </c>
      <c r="J889" s="53" t="s">
        <v>101</v>
      </c>
      <c r="K889" s="53">
        <v>96.5</v>
      </c>
      <c r="L889" s="53" t="s">
        <v>101</v>
      </c>
      <c r="M889" s="53">
        <v>3.5670000000000002</v>
      </c>
      <c r="N889" s="53">
        <v>3.5670000000000002</v>
      </c>
      <c r="O889" s="53" t="s">
        <v>101</v>
      </c>
      <c r="P889" s="53" t="s">
        <v>448</v>
      </c>
      <c r="Q889" s="53" t="s">
        <v>538</v>
      </c>
      <c r="R889" s="55" t="s">
        <v>454</v>
      </c>
    </row>
    <row r="890" spans="1:18" x14ac:dyDescent="0.5">
      <c r="A890" s="56" t="str">
        <f>"346784AL5"</f>
        <v>346784AL5</v>
      </c>
      <c r="B890" s="57" t="s">
        <v>451</v>
      </c>
      <c r="C890" s="57" t="s">
        <v>1195</v>
      </c>
      <c r="D890" s="53" t="s">
        <v>447</v>
      </c>
      <c r="E890" s="57">
        <v>3</v>
      </c>
      <c r="F890" s="58">
        <v>48274</v>
      </c>
      <c r="G890" s="58">
        <v>47908</v>
      </c>
      <c r="H890" s="57" t="s">
        <v>540</v>
      </c>
      <c r="I890" s="57" t="s">
        <v>105</v>
      </c>
      <c r="J890" s="57" t="s">
        <v>101</v>
      </c>
      <c r="K890" s="57">
        <v>95.07</v>
      </c>
      <c r="L890" s="57" t="s">
        <v>101</v>
      </c>
      <c r="M890" s="57">
        <v>3.8050000000000002</v>
      </c>
      <c r="N890" s="57">
        <v>3.8050000000000002</v>
      </c>
      <c r="O890" s="53" t="s">
        <v>101</v>
      </c>
      <c r="P890" s="57" t="s">
        <v>448</v>
      </c>
      <c r="Q890" s="57" t="s">
        <v>488</v>
      </c>
      <c r="R890" s="59" t="s">
        <v>482</v>
      </c>
    </row>
    <row r="891" spans="1:18" x14ac:dyDescent="0.5">
      <c r="A891" s="52" t="str">
        <f>"34683LPK6"</f>
        <v>34683LPK6</v>
      </c>
      <c r="B891" s="53" t="s">
        <v>451</v>
      </c>
      <c r="C891" s="53" t="s">
        <v>1196</v>
      </c>
      <c r="D891" s="53" t="s">
        <v>447</v>
      </c>
      <c r="E891" s="53">
        <v>2</v>
      </c>
      <c r="F891" s="54">
        <v>48274</v>
      </c>
      <c r="G891" s="54">
        <v>46082</v>
      </c>
      <c r="H891" s="53" t="s">
        <v>641</v>
      </c>
      <c r="I891" s="53" t="s">
        <v>628</v>
      </c>
      <c r="J891" s="53" t="s">
        <v>101</v>
      </c>
      <c r="K891" s="53">
        <v>85.611000000000004</v>
      </c>
      <c r="L891" s="53" t="s">
        <v>101</v>
      </c>
      <c r="M891" s="53">
        <v>4.4000000000000004</v>
      </c>
      <c r="N891" s="53">
        <v>4.4000000000000004</v>
      </c>
      <c r="O891" s="53" t="s">
        <v>101</v>
      </c>
      <c r="P891" s="53" t="s">
        <v>448</v>
      </c>
      <c r="Q891" s="53" t="s">
        <v>479</v>
      </c>
      <c r="R891" s="55" t="s">
        <v>630</v>
      </c>
    </row>
    <row r="892" spans="1:18" x14ac:dyDescent="0.5">
      <c r="A892" s="56" t="str">
        <f>"358568SY0"</f>
        <v>358568SY0</v>
      </c>
      <c r="B892" s="57" t="s">
        <v>451</v>
      </c>
      <c r="C892" s="57" t="s">
        <v>1197</v>
      </c>
      <c r="D892" s="53" t="s">
        <v>447</v>
      </c>
      <c r="E892" s="57">
        <v>4</v>
      </c>
      <c r="F892" s="58">
        <v>48274</v>
      </c>
      <c r="G892" s="58">
        <v>46082</v>
      </c>
      <c r="H892" s="57" t="s">
        <v>105</v>
      </c>
      <c r="I892" s="57" t="s">
        <v>509</v>
      </c>
      <c r="J892" s="57" t="s">
        <v>101</v>
      </c>
      <c r="K892" s="57">
        <v>100.47199999999999</v>
      </c>
      <c r="L892" s="57" t="s">
        <v>101</v>
      </c>
      <c r="M892" s="57">
        <v>3.5310000000000001</v>
      </c>
      <c r="N892" s="57">
        <v>3.9220000000000002</v>
      </c>
      <c r="O892" s="53" t="s">
        <v>101</v>
      </c>
      <c r="P892" s="57" t="s">
        <v>448</v>
      </c>
      <c r="Q892" s="57" t="s">
        <v>488</v>
      </c>
      <c r="R892" s="59" t="s">
        <v>454</v>
      </c>
    </row>
    <row r="893" spans="1:18" x14ac:dyDescent="0.5">
      <c r="A893" s="52" t="str">
        <f>"3796996Z9"</f>
        <v>3796996Z9</v>
      </c>
      <c r="B893" s="53" t="s">
        <v>477</v>
      </c>
      <c r="C893" s="53" t="s">
        <v>1198</v>
      </c>
      <c r="D893" s="53" t="s">
        <v>447</v>
      </c>
      <c r="E893" s="53">
        <v>2</v>
      </c>
      <c r="F893" s="54">
        <v>48274</v>
      </c>
      <c r="G893" s="54">
        <v>47178</v>
      </c>
      <c r="H893" s="53" t="s">
        <v>540</v>
      </c>
      <c r="I893" s="53" t="s">
        <v>105</v>
      </c>
      <c r="J893" s="53" t="s">
        <v>101</v>
      </c>
      <c r="K893" s="53">
        <v>86.933999999999997</v>
      </c>
      <c r="L893" s="53" t="s">
        <v>101</v>
      </c>
      <c r="M893" s="53">
        <v>4.1609999999999996</v>
      </c>
      <c r="N893" s="53">
        <v>4.1609999999999996</v>
      </c>
      <c r="O893" s="53" t="s">
        <v>101</v>
      </c>
      <c r="P893" s="53" t="s">
        <v>448</v>
      </c>
      <c r="Q893" s="53" t="s">
        <v>485</v>
      </c>
      <c r="R893" s="55" t="s">
        <v>454</v>
      </c>
    </row>
    <row r="894" spans="1:18" x14ac:dyDescent="0.5">
      <c r="A894" s="56" t="str">
        <f>"414942RS3"</f>
        <v>414942RS3</v>
      </c>
      <c r="B894" s="57" t="s">
        <v>451</v>
      </c>
      <c r="C894" s="57" t="s">
        <v>1199</v>
      </c>
      <c r="D894" s="53" t="s">
        <v>447</v>
      </c>
      <c r="E894" s="57">
        <v>3</v>
      </c>
      <c r="F894" s="58">
        <v>48274</v>
      </c>
      <c r="G894" s="58">
        <v>45717</v>
      </c>
      <c r="H894" s="57" t="s">
        <v>105</v>
      </c>
      <c r="I894" s="57" t="s">
        <v>628</v>
      </c>
      <c r="J894" s="57" t="s">
        <v>101</v>
      </c>
      <c r="K894" s="57">
        <v>93.67</v>
      </c>
      <c r="L894" s="57" t="s">
        <v>101</v>
      </c>
      <c r="M894" s="57">
        <v>4.0419999999999998</v>
      </c>
      <c r="N894" s="57">
        <v>4.0419999999999998</v>
      </c>
      <c r="O894" s="53" t="s">
        <v>101</v>
      </c>
      <c r="P894" s="57" t="s">
        <v>448</v>
      </c>
      <c r="Q894" s="57" t="s">
        <v>457</v>
      </c>
      <c r="R894" s="59" t="s">
        <v>630</v>
      </c>
    </row>
    <row r="895" spans="1:18" x14ac:dyDescent="0.5">
      <c r="A895" s="52" t="str">
        <f>"414942TJ1"</f>
        <v>414942TJ1</v>
      </c>
      <c r="B895" s="53" t="s">
        <v>451</v>
      </c>
      <c r="C895" s="53" t="s">
        <v>1200</v>
      </c>
      <c r="D895" s="53" t="s">
        <v>447</v>
      </c>
      <c r="E895" s="53">
        <v>2</v>
      </c>
      <c r="F895" s="54">
        <v>48274</v>
      </c>
      <c r="G895" s="54">
        <v>46082</v>
      </c>
      <c r="H895" s="53" t="s">
        <v>105</v>
      </c>
      <c r="I895" s="53" t="s">
        <v>628</v>
      </c>
      <c r="J895" s="53" t="s">
        <v>101</v>
      </c>
      <c r="K895" s="53">
        <v>84.85</v>
      </c>
      <c r="L895" s="53" t="s">
        <v>101</v>
      </c>
      <c r="M895" s="53">
        <v>4.5389999999999997</v>
      </c>
      <c r="N895" s="53">
        <v>4.5389999999999997</v>
      </c>
      <c r="O895" s="53" t="s">
        <v>101</v>
      </c>
      <c r="P895" s="53" t="s">
        <v>448</v>
      </c>
      <c r="Q895" s="53" t="s">
        <v>479</v>
      </c>
      <c r="R895" s="55" t="s">
        <v>630</v>
      </c>
    </row>
    <row r="896" spans="1:18" x14ac:dyDescent="0.5">
      <c r="A896" s="56" t="str">
        <f>"43102DED6"</f>
        <v>43102DED6</v>
      </c>
      <c r="B896" s="57" t="s">
        <v>499</v>
      </c>
      <c r="C896" s="57" t="s">
        <v>1201</v>
      </c>
      <c r="D896" s="53" t="s">
        <v>447</v>
      </c>
      <c r="E896" s="57">
        <v>3.625</v>
      </c>
      <c r="F896" s="58">
        <v>48274</v>
      </c>
      <c r="G896" s="58">
        <v>45717</v>
      </c>
      <c r="H896" s="57" t="s">
        <v>627</v>
      </c>
      <c r="I896" s="57" t="s">
        <v>628</v>
      </c>
      <c r="J896" s="57" t="s">
        <v>101</v>
      </c>
      <c r="K896" s="57">
        <v>98.878</v>
      </c>
      <c r="L896" s="57" t="s">
        <v>101</v>
      </c>
      <c r="M896" s="57">
        <v>3.8079999999999998</v>
      </c>
      <c r="N896" s="57">
        <v>3.8079999999999998</v>
      </c>
      <c r="O896" s="53" t="s">
        <v>101</v>
      </c>
      <c r="P896" s="57" t="s">
        <v>448</v>
      </c>
      <c r="Q896" s="57" t="s">
        <v>1202</v>
      </c>
      <c r="R896" s="59" t="s">
        <v>771</v>
      </c>
    </row>
    <row r="897" spans="1:18" x14ac:dyDescent="0.5">
      <c r="A897" s="52" t="str">
        <f>"517039MT7"</f>
        <v>517039MT7</v>
      </c>
      <c r="B897" s="53" t="s">
        <v>451</v>
      </c>
      <c r="C897" s="53" t="s">
        <v>1203</v>
      </c>
      <c r="D897" s="53" t="s">
        <v>447</v>
      </c>
      <c r="E897" s="53">
        <v>3.3</v>
      </c>
      <c r="F897" s="54">
        <v>48274</v>
      </c>
      <c r="G897" s="54">
        <v>45733</v>
      </c>
      <c r="H897" s="53" t="s">
        <v>624</v>
      </c>
      <c r="I897" s="53" t="s">
        <v>616</v>
      </c>
      <c r="J897" s="53" t="s">
        <v>101</v>
      </c>
      <c r="K897" s="53">
        <v>97.203999999999994</v>
      </c>
      <c r="L897" s="53" t="s">
        <v>101</v>
      </c>
      <c r="M897" s="53">
        <v>3.7559999999999998</v>
      </c>
      <c r="N897" s="53">
        <v>3.7559999999999998</v>
      </c>
      <c r="O897" s="53" t="s">
        <v>101</v>
      </c>
      <c r="P897" s="53" t="s">
        <v>448</v>
      </c>
      <c r="Q897" s="53" t="s">
        <v>556</v>
      </c>
      <c r="R897" s="55" t="s">
        <v>504</v>
      </c>
    </row>
    <row r="898" spans="1:18" x14ac:dyDescent="0.5">
      <c r="A898" s="56" t="str">
        <f>"579117HU9"</f>
        <v>579117HU9</v>
      </c>
      <c r="B898" s="57" t="s">
        <v>451</v>
      </c>
      <c r="C898" s="57" t="s">
        <v>1204</v>
      </c>
      <c r="D898" s="53" t="s">
        <v>447</v>
      </c>
      <c r="E898" s="57">
        <v>3.5</v>
      </c>
      <c r="F898" s="58">
        <v>48274</v>
      </c>
      <c r="G898" s="58">
        <v>46082</v>
      </c>
      <c r="H898" s="57" t="s">
        <v>105</v>
      </c>
      <c r="I898" s="57" t="s">
        <v>628</v>
      </c>
      <c r="J898" s="57" t="s">
        <v>101</v>
      </c>
      <c r="K898" s="57">
        <v>99.22</v>
      </c>
      <c r="L898" s="57" t="s">
        <v>101</v>
      </c>
      <c r="M898" s="57">
        <v>3.6259999999999999</v>
      </c>
      <c r="N898" s="57">
        <v>3.6259999999999999</v>
      </c>
      <c r="O898" s="53" t="s">
        <v>101</v>
      </c>
      <c r="P898" s="57" t="s">
        <v>448</v>
      </c>
      <c r="Q898" s="57" t="s">
        <v>453</v>
      </c>
      <c r="R898" s="59" t="s">
        <v>771</v>
      </c>
    </row>
    <row r="899" spans="1:18" x14ac:dyDescent="0.5">
      <c r="A899" s="52" t="str">
        <f>"590774W35"</f>
        <v>590774W35</v>
      </c>
      <c r="B899" s="53" t="s">
        <v>451</v>
      </c>
      <c r="C899" s="53" t="s">
        <v>1205</v>
      </c>
      <c r="D899" s="53" t="s">
        <v>447</v>
      </c>
      <c r="E899" s="53">
        <v>3.375</v>
      </c>
      <c r="F899" s="54">
        <v>48274</v>
      </c>
      <c r="G899" s="54">
        <v>45733</v>
      </c>
      <c r="H899" s="53" t="s">
        <v>105</v>
      </c>
      <c r="I899" s="53" t="s">
        <v>628</v>
      </c>
      <c r="J899" s="53" t="s">
        <v>101</v>
      </c>
      <c r="K899" s="53">
        <v>98.53</v>
      </c>
      <c r="L899" s="53" t="s">
        <v>101</v>
      </c>
      <c r="M899" s="53">
        <v>3.613</v>
      </c>
      <c r="N899" s="53">
        <v>3.613</v>
      </c>
      <c r="O899" s="53" t="s">
        <v>101</v>
      </c>
      <c r="P899" s="53" t="s">
        <v>448</v>
      </c>
      <c r="Q899" s="53" t="s">
        <v>457</v>
      </c>
      <c r="R899" s="55" t="s">
        <v>504</v>
      </c>
    </row>
    <row r="900" spans="1:18" x14ac:dyDescent="0.5">
      <c r="A900" s="56" t="str">
        <f>"64008RAK4"</f>
        <v>64008RAK4</v>
      </c>
      <c r="B900" s="57" t="s">
        <v>496</v>
      </c>
      <c r="C900" s="57" t="s">
        <v>1206</v>
      </c>
      <c r="D900" s="53" t="s">
        <v>447</v>
      </c>
      <c r="E900" s="57">
        <v>2</v>
      </c>
      <c r="F900" s="58">
        <v>48274</v>
      </c>
      <c r="G900" s="58">
        <v>46813</v>
      </c>
      <c r="H900" s="57" t="s">
        <v>105</v>
      </c>
      <c r="I900" s="57" t="s">
        <v>628</v>
      </c>
      <c r="J900" s="57" t="s">
        <v>101</v>
      </c>
      <c r="K900" s="57">
        <v>86.39</v>
      </c>
      <c r="L900" s="57" t="s">
        <v>101</v>
      </c>
      <c r="M900" s="57">
        <v>4.2590000000000003</v>
      </c>
      <c r="N900" s="57">
        <v>4.2590000000000003</v>
      </c>
      <c r="O900" s="53" t="s">
        <v>101</v>
      </c>
      <c r="P900" s="57" t="s">
        <v>448</v>
      </c>
      <c r="Q900" s="57" t="s">
        <v>457</v>
      </c>
      <c r="R900" s="59" t="s">
        <v>454</v>
      </c>
    </row>
    <row r="901" spans="1:18" x14ac:dyDescent="0.5">
      <c r="A901" s="52" t="str">
        <f>"685814ME2"</f>
        <v>685814ME2</v>
      </c>
      <c r="B901" s="53" t="s">
        <v>496</v>
      </c>
      <c r="C901" s="53" t="s">
        <v>1207</v>
      </c>
      <c r="D901" s="53" t="s">
        <v>447</v>
      </c>
      <c r="E901" s="53">
        <v>3</v>
      </c>
      <c r="F901" s="54">
        <v>48274</v>
      </c>
      <c r="G901" s="54">
        <v>45717</v>
      </c>
      <c r="H901" s="53" t="s">
        <v>613</v>
      </c>
      <c r="I901" s="53" t="s">
        <v>105</v>
      </c>
      <c r="J901" s="53" t="s">
        <v>101</v>
      </c>
      <c r="K901" s="53">
        <v>95.433000000000007</v>
      </c>
      <c r="L901" s="53" t="s">
        <v>101</v>
      </c>
      <c r="M901" s="53">
        <v>3.7440000000000002</v>
      </c>
      <c r="N901" s="53">
        <v>3.7440000000000002</v>
      </c>
      <c r="O901" s="53" t="s">
        <v>101</v>
      </c>
      <c r="P901" s="53" t="s">
        <v>448</v>
      </c>
      <c r="Q901" s="53" t="s">
        <v>485</v>
      </c>
      <c r="R901" s="55" t="s">
        <v>482</v>
      </c>
    </row>
    <row r="902" spans="1:18" x14ac:dyDescent="0.5">
      <c r="A902" s="56" t="str">
        <f>"704865FH2"</f>
        <v>704865FH2</v>
      </c>
      <c r="B902" s="57" t="s">
        <v>451</v>
      </c>
      <c r="C902" s="57" t="s">
        <v>1208</v>
      </c>
      <c r="D902" s="53" t="s">
        <v>447</v>
      </c>
      <c r="E902" s="57">
        <v>4</v>
      </c>
      <c r="F902" s="58">
        <v>48274</v>
      </c>
      <c r="G902" s="58">
        <v>46447</v>
      </c>
      <c r="H902" s="57" t="s">
        <v>610</v>
      </c>
      <c r="I902" s="57" t="s">
        <v>105</v>
      </c>
      <c r="J902" s="57" t="s">
        <v>101</v>
      </c>
      <c r="K902" s="57">
        <v>100.94</v>
      </c>
      <c r="L902" s="57" t="s">
        <v>101</v>
      </c>
      <c r="M902" s="57">
        <v>3.5169999999999999</v>
      </c>
      <c r="N902" s="57">
        <v>3.8460000000000001</v>
      </c>
      <c r="O902" s="53" t="s">
        <v>101</v>
      </c>
      <c r="P902" s="57" t="s">
        <v>448</v>
      </c>
      <c r="Q902" s="57" t="s">
        <v>479</v>
      </c>
      <c r="R902" s="59" t="s">
        <v>454</v>
      </c>
    </row>
    <row r="903" spans="1:18" x14ac:dyDescent="0.5">
      <c r="A903" s="52" t="str">
        <f>"804350HT6"</f>
        <v>804350HT6</v>
      </c>
      <c r="B903" s="53" t="s">
        <v>496</v>
      </c>
      <c r="C903" s="53" t="s">
        <v>1209</v>
      </c>
      <c r="D903" s="53" t="s">
        <v>447</v>
      </c>
      <c r="E903" s="53">
        <v>3</v>
      </c>
      <c r="F903" s="54">
        <v>48274</v>
      </c>
      <c r="G903" s="54">
        <v>46813</v>
      </c>
      <c r="H903" s="53" t="s">
        <v>105</v>
      </c>
      <c r="I903" s="53" t="s">
        <v>616</v>
      </c>
      <c r="J903" s="53" t="s">
        <v>101</v>
      </c>
      <c r="K903" s="53">
        <v>94.271000000000001</v>
      </c>
      <c r="L903" s="53" t="s">
        <v>101</v>
      </c>
      <c r="M903" s="53">
        <v>3.94</v>
      </c>
      <c r="N903" s="53">
        <v>3.94</v>
      </c>
      <c r="O903" s="53" t="s">
        <v>101</v>
      </c>
      <c r="P903" s="53" t="s">
        <v>448</v>
      </c>
      <c r="Q903" s="53" t="s">
        <v>457</v>
      </c>
      <c r="R903" s="55" t="s">
        <v>482</v>
      </c>
    </row>
    <row r="904" spans="1:18" x14ac:dyDescent="0.5">
      <c r="A904" s="56" t="str">
        <f>"866854SP8"</f>
        <v>866854SP8</v>
      </c>
      <c r="B904" s="57" t="s">
        <v>496</v>
      </c>
      <c r="C904" s="57" t="s">
        <v>1210</v>
      </c>
      <c r="D904" s="53" t="s">
        <v>447</v>
      </c>
      <c r="E904" s="57">
        <v>3</v>
      </c>
      <c r="F904" s="58">
        <v>48274</v>
      </c>
      <c r="G904" s="58">
        <v>46813</v>
      </c>
      <c r="H904" s="57" t="s">
        <v>105</v>
      </c>
      <c r="I904" s="57" t="s">
        <v>628</v>
      </c>
      <c r="J904" s="57" t="s">
        <v>101</v>
      </c>
      <c r="K904" s="57">
        <v>95.968999999999994</v>
      </c>
      <c r="L904" s="57" t="s">
        <v>101</v>
      </c>
      <c r="M904" s="57">
        <v>3.6549999999999998</v>
      </c>
      <c r="N904" s="57">
        <v>3.6549999999999998</v>
      </c>
      <c r="O904" s="53" t="s">
        <v>101</v>
      </c>
      <c r="P904" s="57" t="s">
        <v>448</v>
      </c>
      <c r="Q904" s="57" t="s">
        <v>538</v>
      </c>
      <c r="R904" s="59" t="s">
        <v>454</v>
      </c>
    </row>
    <row r="905" spans="1:18" x14ac:dyDescent="0.5">
      <c r="A905" s="52" t="str">
        <f>"888514JG2"</f>
        <v>888514JG2</v>
      </c>
      <c r="B905" s="53" t="s">
        <v>451</v>
      </c>
      <c r="C905" s="53" t="s">
        <v>1211</v>
      </c>
      <c r="D905" s="53" t="s">
        <v>447</v>
      </c>
      <c r="E905" s="53">
        <v>3</v>
      </c>
      <c r="F905" s="54">
        <v>48274</v>
      </c>
      <c r="G905" s="54">
        <v>46082</v>
      </c>
      <c r="H905" s="53" t="s">
        <v>105</v>
      </c>
      <c r="I905" s="53" t="s">
        <v>628</v>
      </c>
      <c r="J905" s="53" t="s">
        <v>101</v>
      </c>
      <c r="K905" s="53">
        <v>96.492999999999995</v>
      </c>
      <c r="L905" s="53" t="s">
        <v>101</v>
      </c>
      <c r="M905" s="53">
        <v>3.5680000000000001</v>
      </c>
      <c r="N905" s="53">
        <v>3.5680000000000001</v>
      </c>
      <c r="O905" s="53" t="s">
        <v>101</v>
      </c>
      <c r="P905" s="53" t="s">
        <v>448</v>
      </c>
      <c r="Q905" s="53" t="s">
        <v>460</v>
      </c>
      <c r="R905" s="55" t="s">
        <v>630</v>
      </c>
    </row>
    <row r="906" spans="1:18" x14ac:dyDescent="0.5">
      <c r="A906" s="56" t="str">
        <f>"976626EB3"</f>
        <v>976626EB3</v>
      </c>
      <c r="B906" s="57" t="s">
        <v>496</v>
      </c>
      <c r="C906" s="57" t="s">
        <v>1212</v>
      </c>
      <c r="D906" s="53" t="s">
        <v>447</v>
      </c>
      <c r="E906" s="57">
        <v>3</v>
      </c>
      <c r="F906" s="58">
        <v>48274</v>
      </c>
      <c r="G906" s="58">
        <v>46447</v>
      </c>
      <c r="H906" s="57" t="s">
        <v>105</v>
      </c>
      <c r="I906" s="57" t="s">
        <v>616</v>
      </c>
      <c r="J906" s="57" t="s">
        <v>101</v>
      </c>
      <c r="K906" s="57">
        <v>96.085999999999999</v>
      </c>
      <c r="L906" s="57" t="s">
        <v>101</v>
      </c>
      <c r="M906" s="57">
        <v>3.6349999999999998</v>
      </c>
      <c r="N906" s="57">
        <v>3.6349999999999998</v>
      </c>
      <c r="O906" s="53" t="s">
        <v>101</v>
      </c>
      <c r="P906" s="57" t="s">
        <v>448</v>
      </c>
      <c r="Q906" s="57" t="s">
        <v>485</v>
      </c>
      <c r="R906" s="59" t="s">
        <v>454</v>
      </c>
    </row>
    <row r="907" spans="1:18" x14ac:dyDescent="0.5">
      <c r="A907" s="52" t="str">
        <f>"97689QUK0"</f>
        <v>97689QUK0</v>
      </c>
      <c r="B907" s="53" t="s">
        <v>496</v>
      </c>
      <c r="C907" s="53" t="s">
        <v>1213</v>
      </c>
      <c r="D907" s="53" t="s">
        <v>447</v>
      </c>
      <c r="E907" s="53">
        <v>3.85</v>
      </c>
      <c r="F907" s="54">
        <v>48274</v>
      </c>
      <c r="G907" s="54" t="s">
        <v>101</v>
      </c>
      <c r="H907" s="53" t="s">
        <v>613</v>
      </c>
      <c r="I907" s="53" t="s">
        <v>509</v>
      </c>
      <c r="J907" s="53" t="s">
        <v>101</v>
      </c>
      <c r="K907" s="53">
        <v>102.05200000000001</v>
      </c>
      <c r="L907" s="53" t="s">
        <v>101</v>
      </c>
      <c r="M907" s="53">
        <v>3.5179999999999998</v>
      </c>
      <c r="N907" s="53">
        <v>3.5179999999999998</v>
      </c>
      <c r="O907" s="53" t="s">
        <v>101</v>
      </c>
      <c r="P907" s="53" t="s">
        <v>448</v>
      </c>
      <c r="Q907" s="53" t="s">
        <v>538</v>
      </c>
      <c r="R907" s="55" t="s">
        <v>450</v>
      </c>
    </row>
    <row r="908" spans="1:18" x14ac:dyDescent="0.5">
      <c r="A908" s="56" t="str">
        <f>"565335MZ6"</f>
        <v>565335MZ6</v>
      </c>
      <c r="B908" s="57" t="s">
        <v>477</v>
      </c>
      <c r="C908" s="57" t="s">
        <v>1214</v>
      </c>
      <c r="D908" s="53" t="s">
        <v>447</v>
      </c>
      <c r="E908" s="57">
        <v>3</v>
      </c>
      <c r="F908" s="58">
        <v>48288</v>
      </c>
      <c r="G908" s="58">
        <v>47192</v>
      </c>
      <c r="H908" s="57" t="s">
        <v>105</v>
      </c>
      <c r="I908" s="57" t="s">
        <v>628</v>
      </c>
      <c r="J908" s="57" t="s">
        <v>101</v>
      </c>
      <c r="K908" s="57">
        <v>96.34</v>
      </c>
      <c r="L908" s="57" t="s">
        <v>101</v>
      </c>
      <c r="M908" s="57">
        <v>3.59</v>
      </c>
      <c r="N908" s="57">
        <v>3.59</v>
      </c>
      <c r="O908" s="53" t="s">
        <v>101</v>
      </c>
      <c r="P908" s="57" t="s">
        <v>448</v>
      </c>
      <c r="Q908" s="57" t="s">
        <v>764</v>
      </c>
      <c r="R908" s="59" t="s">
        <v>630</v>
      </c>
    </row>
    <row r="909" spans="1:18" x14ac:dyDescent="0.5">
      <c r="A909" s="52" t="str">
        <f>"77029GAU3"</f>
        <v>77029GAU3</v>
      </c>
      <c r="B909" s="53" t="s">
        <v>477</v>
      </c>
      <c r="C909" s="53" t="s">
        <v>1215</v>
      </c>
      <c r="D909" s="53" t="s">
        <v>447</v>
      </c>
      <c r="E909" s="53">
        <v>3</v>
      </c>
      <c r="F909" s="54">
        <v>48288</v>
      </c>
      <c r="G909" s="54">
        <v>45733</v>
      </c>
      <c r="H909" s="53" t="s">
        <v>610</v>
      </c>
      <c r="I909" s="53" t="s">
        <v>105</v>
      </c>
      <c r="J909" s="53" t="s">
        <v>101</v>
      </c>
      <c r="K909" s="53">
        <v>94.887</v>
      </c>
      <c r="L909" s="53" t="s">
        <v>101</v>
      </c>
      <c r="M909" s="53">
        <v>3.8319999999999999</v>
      </c>
      <c r="N909" s="53">
        <v>3.8319999999999999</v>
      </c>
      <c r="O909" s="53" t="s">
        <v>101</v>
      </c>
      <c r="P909" s="53" t="s">
        <v>448</v>
      </c>
      <c r="Q909" s="53" t="s">
        <v>1216</v>
      </c>
      <c r="R909" s="55" t="s">
        <v>454</v>
      </c>
    </row>
    <row r="910" spans="1:18" x14ac:dyDescent="0.5">
      <c r="A910" s="56" t="str">
        <f>"075147FW3"</f>
        <v>075147FW3</v>
      </c>
      <c r="B910" s="57" t="s">
        <v>496</v>
      </c>
      <c r="C910" s="57" t="s">
        <v>1217</v>
      </c>
      <c r="D910" s="53" t="s">
        <v>447</v>
      </c>
      <c r="E910" s="57">
        <v>3</v>
      </c>
      <c r="F910" s="58">
        <v>48305</v>
      </c>
      <c r="G910" s="58">
        <v>46478</v>
      </c>
      <c r="H910" s="57" t="s">
        <v>641</v>
      </c>
      <c r="I910" s="57" t="s">
        <v>105</v>
      </c>
      <c r="J910" s="57" t="s">
        <v>101</v>
      </c>
      <c r="K910" s="57">
        <v>95.43</v>
      </c>
      <c r="L910" s="57" t="s">
        <v>101</v>
      </c>
      <c r="M910" s="57">
        <v>3.7370000000000001</v>
      </c>
      <c r="N910" s="57">
        <v>3.7370000000000001</v>
      </c>
      <c r="O910" s="53" t="s">
        <v>101</v>
      </c>
      <c r="P910" s="57" t="s">
        <v>448</v>
      </c>
      <c r="Q910" s="57" t="s">
        <v>488</v>
      </c>
      <c r="R910" s="59" t="s">
        <v>454</v>
      </c>
    </row>
    <row r="911" spans="1:18" x14ac:dyDescent="0.5">
      <c r="A911" s="52" t="str">
        <f>"093038DA2"</f>
        <v>093038DA2</v>
      </c>
      <c r="B911" s="53" t="s">
        <v>496</v>
      </c>
      <c r="C911" s="53" t="s">
        <v>1218</v>
      </c>
      <c r="D911" s="53" t="s">
        <v>447</v>
      </c>
      <c r="E911" s="53">
        <v>3</v>
      </c>
      <c r="F911" s="54">
        <v>48305</v>
      </c>
      <c r="G911" s="54">
        <v>46844</v>
      </c>
      <c r="H911" s="53" t="s">
        <v>105</v>
      </c>
      <c r="I911" s="53" t="s">
        <v>628</v>
      </c>
      <c r="J911" s="53" t="s">
        <v>101</v>
      </c>
      <c r="K911" s="53">
        <v>96.052000000000007</v>
      </c>
      <c r="L911" s="53" t="s">
        <v>101</v>
      </c>
      <c r="M911" s="53">
        <v>3.6339999999999999</v>
      </c>
      <c r="N911" s="53">
        <v>3.6339999999999999</v>
      </c>
      <c r="O911" s="53" t="s">
        <v>101</v>
      </c>
      <c r="P911" s="53" t="s">
        <v>448</v>
      </c>
      <c r="Q911" s="53" t="s">
        <v>503</v>
      </c>
      <c r="R911" s="55" t="s">
        <v>630</v>
      </c>
    </row>
    <row r="912" spans="1:18" x14ac:dyDescent="0.5">
      <c r="A912" s="56" t="str">
        <f>"121493KG4"</f>
        <v>121493KG4</v>
      </c>
      <c r="B912" s="57" t="s">
        <v>496</v>
      </c>
      <c r="C912" s="57" t="s">
        <v>1219</v>
      </c>
      <c r="D912" s="53" t="s">
        <v>447</v>
      </c>
      <c r="E912" s="57">
        <v>3.25</v>
      </c>
      <c r="F912" s="58">
        <v>48305</v>
      </c>
      <c r="G912" s="58">
        <v>46478</v>
      </c>
      <c r="H912" s="57" t="s">
        <v>105</v>
      </c>
      <c r="I912" s="57" t="s">
        <v>628</v>
      </c>
      <c r="J912" s="57" t="s">
        <v>101</v>
      </c>
      <c r="K912" s="57">
        <v>97.891000000000005</v>
      </c>
      <c r="L912" s="57" t="s">
        <v>101</v>
      </c>
      <c r="M912" s="57">
        <v>3.5880000000000001</v>
      </c>
      <c r="N912" s="57">
        <v>3.5880000000000001</v>
      </c>
      <c r="O912" s="53" t="s">
        <v>101</v>
      </c>
      <c r="P912" s="57" t="s">
        <v>448</v>
      </c>
      <c r="Q912" s="57" t="s">
        <v>457</v>
      </c>
      <c r="R912" s="59" t="s">
        <v>630</v>
      </c>
    </row>
    <row r="913" spans="1:18" x14ac:dyDescent="0.5">
      <c r="A913" s="52" t="str">
        <f>"233087PN9"</f>
        <v>233087PN9</v>
      </c>
      <c r="B913" s="53" t="s">
        <v>496</v>
      </c>
      <c r="C913" s="53" t="s">
        <v>1220</v>
      </c>
      <c r="D913" s="53" t="s">
        <v>447</v>
      </c>
      <c r="E913" s="53">
        <v>3</v>
      </c>
      <c r="F913" s="54">
        <v>48305</v>
      </c>
      <c r="G913" s="54">
        <v>46478</v>
      </c>
      <c r="H913" s="53" t="s">
        <v>624</v>
      </c>
      <c r="I913" s="53" t="s">
        <v>105</v>
      </c>
      <c r="J913" s="53" t="s">
        <v>101</v>
      </c>
      <c r="K913" s="53">
        <v>94.896000000000001</v>
      </c>
      <c r="L913" s="53" t="s">
        <v>101</v>
      </c>
      <c r="M913" s="53">
        <v>3.8250000000000002</v>
      </c>
      <c r="N913" s="53">
        <v>3.8250000000000002</v>
      </c>
      <c r="O913" s="53" t="s">
        <v>101</v>
      </c>
      <c r="P913" s="53" t="s">
        <v>448</v>
      </c>
      <c r="Q913" s="53" t="s">
        <v>464</v>
      </c>
      <c r="R913" s="55" t="s">
        <v>482</v>
      </c>
    </row>
    <row r="914" spans="1:18" x14ac:dyDescent="0.5">
      <c r="A914" s="56" t="str">
        <f>"266423EC2"</f>
        <v>266423EC2</v>
      </c>
      <c r="B914" s="57" t="s">
        <v>496</v>
      </c>
      <c r="C914" s="57" t="s">
        <v>1221</v>
      </c>
      <c r="D914" s="53" t="s">
        <v>447</v>
      </c>
      <c r="E914" s="57">
        <v>3.25</v>
      </c>
      <c r="F914" s="58">
        <v>48305</v>
      </c>
      <c r="G914" s="58">
        <v>45748</v>
      </c>
      <c r="H914" s="57" t="s">
        <v>105</v>
      </c>
      <c r="I914" s="57" t="s">
        <v>658</v>
      </c>
      <c r="J914" s="57" t="s">
        <v>101</v>
      </c>
      <c r="K914" s="57">
        <v>95.97</v>
      </c>
      <c r="L914" s="57" t="s">
        <v>101</v>
      </c>
      <c r="M914" s="57">
        <v>3.903</v>
      </c>
      <c r="N914" s="57">
        <v>3.903</v>
      </c>
      <c r="O914" s="53" t="s">
        <v>101</v>
      </c>
      <c r="P914" s="57" t="s">
        <v>448</v>
      </c>
      <c r="Q914" s="57" t="s">
        <v>457</v>
      </c>
      <c r="R914" s="59" t="s">
        <v>454</v>
      </c>
    </row>
    <row r="915" spans="1:18" x14ac:dyDescent="0.5">
      <c r="A915" s="52" t="str">
        <f>"278444GK4"</f>
        <v>278444GK4</v>
      </c>
      <c r="B915" s="53" t="s">
        <v>496</v>
      </c>
      <c r="C915" s="53" t="s">
        <v>1222</v>
      </c>
      <c r="D915" s="53" t="s">
        <v>447</v>
      </c>
      <c r="E915" s="53">
        <v>3.125</v>
      </c>
      <c r="F915" s="54">
        <v>48305</v>
      </c>
      <c r="G915" s="54">
        <v>46113</v>
      </c>
      <c r="H915" s="53" t="s">
        <v>613</v>
      </c>
      <c r="I915" s="53" t="s">
        <v>105</v>
      </c>
      <c r="J915" s="53" t="s">
        <v>101</v>
      </c>
      <c r="K915" s="53">
        <v>96.853999999999999</v>
      </c>
      <c r="L915" s="53" t="s">
        <v>101</v>
      </c>
      <c r="M915" s="53">
        <v>3.63</v>
      </c>
      <c r="N915" s="53">
        <v>3.63</v>
      </c>
      <c r="O915" s="53" t="s">
        <v>101</v>
      </c>
      <c r="P915" s="53" t="s">
        <v>448</v>
      </c>
      <c r="Q915" s="53" t="s">
        <v>488</v>
      </c>
      <c r="R915" s="55" t="s">
        <v>454</v>
      </c>
    </row>
    <row r="916" spans="1:18" x14ac:dyDescent="0.5">
      <c r="A916" s="56" t="str">
        <f>"344496KH6"</f>
        <v>344496KH6</v>
      </c>
      <c r="B916" s="57" t="s">
        <v>496</v>
      </c>
      <c r="C916" s="57" t="s">
        <v>1223</v>
      </c>
      <c r="D916" s="53" t="s">
        <v>447</v>
      </c>
      <c r="E916" s="57">
        <v>3</v>
      </c>
      <c r="F916" s="58">
        <v>48305</v>
      </c>
      <c r="G916" s="58">
        <v>46478</v>
      </c>
      <c r="H916" s="57" t="s">
        <v>624</v>
      </c>
      <c r="I916" s="57" t="s">
        <v>105</v>
      </c>
      <c r="J916" s="57" t="s">
        <v>101</v>
      </c>
      <c r="K916" s="57">
        <v>96.266999999999996</v>
      </c>
      <c r="L916" s="57" t="s">
        <v>101</v>
      </c>
      <c r="M916" s="57">
        <v>3.5990000000000002</v>
      </c>
      <c r="N916" s="57">
        <v>3.5990000000000002</v>
      </c>
      <c r="O916" s="53" t="s">
        <v>101</v>
      </c>
      <c r="P916" s="57" t="s">
        <v>448</v>
      </c>
      <c r="Q916" s="57" t="s">
        <v>790</v>
      </c>
      <c r="R916" s="59" t="s">
        <v>454</v>
      </c>
    </row>
    <row r="917" spans="1:18" x14ac:dyDescent="0.5">
      <c r="A917" s="52" t="str">
        <f>"346806SB9"</f>
        <v>346806SB9</v>
      </c>
      <c r="B917" s="53" t="s">
        <v>451</v>
      </c>
      <c r="C917" s="53" t="s">
        <v>1224</v>
      </c>
      <c r="D917" s="53" t="s">
        <v>447</v>
      </c>
      <c r="E917" s="53">
        <v>3</v>
      </c>
      <c r="F917" s="54">
        <v>48305</v>
      </c>
      <c r="G917" s="54">
        <v>47209</v>
      </c>
      <c r="H917" s="53" t="s">
        <v>105</v>
      </c>
      <c r="I917" s="53" t="s">
        <v>628</v>
      </c>
      <c r="J917" s="53" t="s">
        <v>101</v>
      </c>
      <c r="K917" s="53">
        <v>94.488</v>
      </c>
      <c r="L917" s="53" t="s">
        <v>101</v>
      </c>
      <c r="M917" s="53">
        <v>3.8940000000000001</v>
      </c>
      <c r="N917" s="53">
        <v>3.8940000000000001</v>
      </c>
      <c r="O917" s="53" t="s">
        <v>101</v>
      </c>
      <c r="P917" s="53" t="s">
        <v>448</v>
      </c>
      <c r="Q917" s="53" t="s">
        <v>460</v>
      </c>
      <c r="R917" s="55" t="s">
        <v>680</v>
      </c>
    </row>
    <row r="918" spans="1:18" x14ac:dyDescent="0.5">
      <c r="A918" s="56" t="str">
        <f>"346806SU7"</f>
        <v>346806SU7</v>
      </c>
      <c r="B918" s="57" t="s">
        <v>451</v>
      </c>
      <c r="C918" s="57" t="s">
        <v>1225</v>
      </c>
      <c r="D918" s="53" t="s">
        <v>447</v>
      </c>
      <c r="E918" s="57">
        <v>3</v>
      </c>
      <c r="F918" s="58">
        <v>48305</v>
      </c>
      <c r="G918" s="58">
        <v>47209</v>
      </c>
      <c r="H918" s="57" t="s">
        <v>105</v>
      </c>
      <c r="I918" s="57" t="s">
        <v>628</v>
      </c>
      <c r="J918" s="57" t="s">
        <v>101</v>
      </c>
      <c r="K918" s="57">
        <v>93.763999999999996</v>
      </c>
      <c r="L918" s="57" t="s">
        <v>101</v>
      </c>
      <c r="M918" s="57">
        <v>4.0149999999999997</v>
      </c>
      <c r="N918" s="57">
        <v>4.0149999999999997</v>
      </c>
      <c r="O918" s="53" t="s">
        <v>101</v>
      </c>
      <c r="P918" s="57" t="s">
        <v>448</v>
      </c>
      <c r="Q918" s="57" t="s">
        <v>457</v>
      </c>
      <c r="R918" s="59" t="s">
        <v>630</v>
      </c>
    </row>
    <row r="919" spans="1:18" x14ac:dyDescent="0.5">
      <c r="A919" s="52" t="str">
        <f>"34681NGF5"</f>
        <v>34681NGF5</v>
      </c>
      <c r="B919" s="53" t="s">
        <v>451</v>
      </c>
      <c r="C919" s="53" t="s">
        <v>1226</v>
      </c>
      <c r="D919" s="53" t="s">
        <v>447</v>
      </c>
      <c r="E919" s="53">
        <v>3</v>
      </c>
      <c r="F919" s="54">
        <v>48305</v>
      </c>
      <c r="G919" s="54">
        <v>45733</v>
      </c>
      <c r="H919" s="53" t="s">
        <v>627</v>
      </c>
      <c r="I919" s="53" t="s">
        <v>628</v>
      </c>
      <c r="J919" s="53" t="s">
        <v>101</v>
      </c>
      <c r="K919" s="53">
        <v>93.853999999999999</v>
      </c>
      <c r="L919" s="53" t="s">
        <v>101</v>
      </c>
      <c r="M919" s="53">
        <v>4</v>
      </c>
      <c r="N919" s="53">
        <v>4</v>
      </c>
      <c r="O919" s="53" t="s">
        <v>101</v>
      </c>
      <c r="P919" s="53" t="s">
        <v>448</v>
      </c>
      <c r="Q919" s="53" t="s">
        <v>1227</v>
      </c>
      <c r="R919" s="55" t="s">
        <v>630</v>
      </c>
    </row>
    <row r="920" spans="1:18" x14ac:dyDescent="0.5">
      <c r="A920" s="56" t="str">
        <f>"3926413C8"</f>
        <v>3926413C8</v>
      </c>
      <c r="B920" s="57" t="s">
        <v>496</v>
      </c>
      <c r="C920" s="57" t="s">
        <v>1228</v>
      </c>
      <c r="D920" s="53" t="s">
        <v>447</v>
      </c>
      <c r="E920" s="57">
        <v>3.125</v>
      </c>
      <c r="F920" s="58">
        <v>48305</v>
      </c>
      <c r="G920" s="58">
        <v>46113</v>
      </c>
      <c r="H920" s="57" t="s">
        <v>624</v>
      </c>
      <c r="I920" s="57" t="s">
        <v>105</v>
      </c>
      <c r="J920" s="57" t="s">
        <v>101</v>
      </c>
      <c r="K920" s="57">
        <v>96.95</v>
      </c>
      <c r="L920" s="57" t="s">
        <v>101</v>
      </c>
      <c r="M920" s="57">
        <v>3.6139999999999999</v>
      </c>
      <c r="N920" s="57">
        <v>3.6139999999999999</v>
      </c>
      <c r="O920" s="53" t="s">
        <v>101</v>
      </c>
      <c r="P920" s="57" t="s">
        <v>448</v>
      </c>
      <c r="Q920" s="57" t="s">
        <v>488</v>
      </c>
      <c r="R920" s="59" t="s">
        <v>454</v>
      </c>
    </row>
    <row r="921" spans="1:18" x14ac:dyDescent="0.5">
      <c r="A921" s="52" t="str">
        <f>"41454TKS9"</f>
        <v>41454TKS9</v>
      </c>
      <c r="B921" s="53" t="s">
        <v>451</v>
      </c>
      <c r="C921" s="53" t="s">
        <v>1229</v>
      </c>
      <c r="D921" s="53" t="s">
        <v>447</v>
      </c>
      <c r="E921" s="53">
        <v>3.125</v>
      </c>
      <c r="F921" s="54">
        <v>48305</v>
      </c>
      <c r="G921" s="54">
        <v>46844</v>
      </c>
      <c r="H921" s="53" t="s">
        <v>105</v>
      </c>
      <c r="I921" s="53" t="s">
        <v>628</v>
      </c>
      <c r="J921" s="53" t="s">
        <v>101</v>
      </c>
      <c r="K921" s="53">
        <v>97.159000000000006</v>
      </c>
      <c r="L921" s="53" t="s">
        <v>101</v>
      </c>
      <c r="M921" s="53">
        <v>3.58</v>
      </c>
      <c r="N921" s="53">
        <v>3.58</v>
      </c>
      <c r="O921" s="53" t="s">
        <v>101</v>
      </c>
      <c r="P921" s="53" t="s">
        <v>448</v>
      </c>
      <c r="Q921" s="53" t="s">
        <v>479</v>
      </c>
      <c r="R921" s="55" t="s">
        <v>630</v>
      </c>
    </row>
    <row r="922" spans="1:18" x14ac:dyDescent="0.5">
      <c r="A922" s="56" t="str">
        <f>"489836RZ1"</f>
        <v>489836RZ1</v>
      </c>
      <c r="B922" s="57" t="s">
        <v>496</v>
      </c>
      <c r="C922" s="57" t="s">
        <v>1230</v>
      </c>
      <c r="D922" s="53" t="s">
        <v>447</v>
      </c>
      <c r="E922" s="57">
        <v>3</v>
      </c>
      <c r="F922" s="58">
        <v>48305</v>
      </c>
      <c r="G922" s="58">
        <v>45748</v>
      </c>
      <c r="H922" s="57" t="s">
        <v>613</v>
      </c>
      <c r="I922" s="57" t="s">
        <v>105</v>
      </c>
      <c r="J922" s="57" t="s">
        <v>101</v>
      </c>
      <c r="K922" s="57">
        <v>95.036000000000001</v>
      </c>
      <c r="L922" s="57" t="s">
        <v>101</v>
      </c>
      <c r="M922" s="57">
        <v>3.802</v>
      </c>
      <c r="N922" s="57">
        <v>3.802</v>
      </c>
      <c r="O922" s="53" t="s">
        <v>101</v>
      </c>
      <c r="P922" s="57" t="s">
        <v>448</v>
      </c>
      <c r="Q922" s="57" t="s">
        <v>527</v>
      </c>
      <c r="R922" s="59" t="s">
        <v>454</v>
      </c>
    </row>
    <row r="923" spans="1:18" x14ac:dyDescent="0.5">
      <c r="A923" s="52" t="str">
        <f>"489836SW7"</f>
        <v>489836SW7</v>
      </c>
      <c r="B923" s="53" t="s">
        <v>496</v>
      </c>
      <c r="C923" s="53" t="s">
        <v>1231</v>
      </c>
      <c r="D923" s="53" t="s">
        <v>447</v>
      </c>
      <c r="E923" s="53">
        <v>3</v>
      </c>
      <c r="F923" s="54">
        <v>48305</v>
      </c>
      <c r="G923" s="54">
        <v>46113</v>
      </c>
      <c r="H923" s="53" t="s">
        <v>613</v>
      </c>
      <c r="I923" s="53" t="s">
        <v>105</v>
      </c>
      <c r="J923" s="53" t="s">
        <v>101</v>
      </c>
      <c r="K923" s="53">
        <v>95.155000000000001</v>
      </c>
      <c r="L923" s="53" t="s">
        <v>101</v>
      </c>
      <c r="M923" s="53">
        <v>3.782</v>
      </c>
      <c r="N923" s="53">
        <v>3.782</v>
      </c>
      <c r="O923" s="53" t="s">
        <v>101</v>
      </c>
      <c r="P923" s="53" t="s">
        <v>585</v>
      </c>
      <c r="Q923" s="53" t="s">
        <v>485</v>
      </c>
      <c r="R923" s="55" t="s">
        <v>454</v>
      </c>
    </row>
    <row r="924" spans="1:18" x14ac:dyDescent="0.5">
      <c r="A924" s="56" t="str">
        <f>"59333NG64"</f>
        <v>59333NG64</v>
      </c>
      <c r="B924" s="57" t="s">
        <v>499</v>
      </c>
      <c r="C924" s="57" t="s">
        <v>1232</v>
      </c>
      <c r="D924" s="53" t="s">
        <v>447</v>
      </c>
      <c r="E924" s="57">
        <v>3</v>
      </c>
      <c r="F924" s="58">
        <v>48305</v>
      </c>
      <c r="G924" s="58">
        <v>46478</v>
      </c>
      <c r="H924" s="57" t="s">
        <v>613</v>
      </c>
      <c r="I924" s="57" t="s">
        <v>628</v>
      </c>
      <c r="J924" s="57" t="s">
        <v>101</v>
      </c>
      <c r="K924" s="57">
        <v>94.8</v>
      </c>
      <c r="L924" s="57" t="s">
        <v>101</v>
      </c>
      <c r="M924" s="57">
        <v>3.8410000000000002</v>
      </c>
      <c r="N924" s="57">
        <v>3.8410000000000002</v>
      </c>
      <c r="O924" s="53" t="s">
        <v>101</v>
      </c>
      <c r="P924" s="57" t="s">
        <v>448</v>
      </c>
      <c r="Q924" s="57" t="s">
        <v>488</v>
      </c>
      <c r="R924" s="59" t="s">
        <v>504</v>
      </c>
    </row>
    <row r="925" spans="1:18" x14ac:dyDescent="0.5">
      <c r="A925" s="52" t="str">
        <f>"647497GK6"</f>
        <v>647497GK6</v>
      </c>
      <c r="B925" s="53" t="s">
        <v>477</v>
      </c>
      <c r="C925" s="53" t="s">
        <v>1233</v>
      </c>
      <c r="D925" s="53" t="s">
        <v>447</v>
      </c>
      <c r="E925" s="53">
        <v>2</v>
      </c>
      <c r="F925" s="54">
        <v>48305</v>
      </c>
      <c r="G925" s="54">
        <v>46844</v>
      </c>
      <c r="H925" s="53" t="s">
        <v>613</v>
      </c>
      <c r="I925" s="53" t="s">
        <v>105</v>
      </c>
      <c r="J925" s="53" t="s">
        <v>101</v>
      </c>
      <c r="K925" s="53">
        <v>86.554000000000002</v>
      </c>
      <c r="L925" s="53" t="s">
        <v>101</v>
      </c>
      <c r="M925" s="53">
        <v>4.2050000000000001</v>
      </c>
      <c r="N925" s="53">
        <v>4.2050000000000001</v>
      </c>
      <c r="O925" s="53" t="s">
        <v>101</v>
      </c>
      <c r="P925" s="53" t="s">
        <v>448</v>
      </c>
      <c r="Q925" s="53" t="s">
        <v>457</v>
      </c>
      <c r="R925" s="55" t="s">
        <v>454</v>
      </c>
    </row>
    <row r="926" spans="1:18" x14ac:dyDescent="0.5">
      <c r="A926" s="56" t="str">
        <f>"671130SA1"</f>
        <v>671130SA1</v>
      </c>
      <c r="B926" s="57" t="s">
        <v>496</v>
      </c>
      <c r="C926" s="57" t="s">
        <v>1234</v>
      </c>
      <c r="D926" s="53" t="s">
        <v>447</v>
      </c>
      <c r="E926" s="57">
        <v>3.25</v>
      </c>
      <c r="F926" s="58">
        <v>48305</v>
      </c>
      <c r="G926" s="58">
        <v>45748</v>
      </c>
      <c r="H926" s="57" t="s">
        <v>613</v>
      </c>
      <c r="I926" s="57" t="s">
        <v>628</v>
      </c>
      <c r="J926" s="57" t="s">
        <v>101</v>
      </c>
      <c r="K926" s="57">
        <v>97.593000000000004</v>
      </c>
      <c r="L926" s="57" t="s">
        <v>101</v>
      </c>
      <c r="M926" s="57">
        <v>3.6360000000000001</v>
      </c>
      <c r="N926" s="57">
        <v>3.6360000000000001</v>
      </c>
      <c r="O926" s="53" t="s">
        <v>101</v>
      </c>
      <c r="P926" s="57" t="s">
        <v>448</v>
      </c>
      <c r="Q926" s="57" t="s">
        <v>460</v>
      </c>
      <c r="R926" s="59" t="s">
        <v>454</v>
      </c>
    </row>
    <row r="927" spans="1:18" x14ac:dyDescent="0.5">
      <c r="A927" s="52" t="str">
        <f>"74443DHR5"</f>
        <v>74443DHR5</v>
      </c>
      <c r="B927" s="53" t="s">
        <v>496</v>
      </c>
      <c r="C927" s="53" t="s">
        <v>1235</v>
      </c>
      <c r="D927" s="53" t="s">
        <v>447</v>
      </c>
      <c r="E927" s="53">
        <v>5</v>
      </c>
      <c r="F927" s="54">
        <v>48305</v>
      </c>
      <c r="G927" s="54" t="s">
        <v>101</v>
      </c>
      <c r="H927" s="53" t="s">
        <v>105</v>
      </c>
      <c r="I927" s="53" t="s">
        <v>887</v>
      </c>
      <c r="J927" s="53" t="s">
        <v>101</v>
      </c>
      <c r="K927" s="53">
        <v>107.732</v>
      </c>
      <c r="L927" s="53" t="s">
        <v>101</v>
      </c>
      <c r="M927" s="53">
        <v>3.7519999999999998</v>
      </c>
      <c r="N927" s="53">
        <v>3.7519999999999998</v>
      </c>
      <c r="O927" s="53" t="s">
        <v>101</v>
      </c>
      <c r="P927" s="53" t="s">
        <v>448</v>
      </c>
      <c r="Q927" s="53" t="s">
        <v>1236</v>
      </c>
      <c r="R927" s="55" t="s">
        <v>450</v>
      </c>
    </row>
    <row r="928" spans="1:18" x14ac:dyDescent="0.5">
      <c r="A928" s="56" t="str">
        <f>"75686JAQ4"</f>
        <v>75686JAQ4</v>
      </c>
      <c r="B928" s="57" t="s">
        <v>451</v>
      </c>
      <c r="C928" s="57" t="s">
        <v>1237</v>
      </c>
      <c r="D928" s="53" t="s">
        <v>447</v>
      </c>
      <c r="E928" s="57">
        <v>3.25</v>
      </c>
      <c r="F928" s="58">
        <v>48305</v>
      </c>
      <c r="G928" s="58">
        <v>46113</v>
      </c>
      <c r="H928" s="57" t="s">
        <v>105</v>
      </c>
      <c r="I928" s="57" t="s">
        <v>713</v>
      </c>
      <c r="J928" s="57" t="s">
        <v>101</v>
      </c>
      <c r="K928" s="57">
        <v>97.584000000000003</v>
      </c>
      <c r="L928" s="57" t="s">
        <v>101</v>
      </c>
      <c r="M928" s="57">
        <v>3.6379999999999999</v>
      </c>
      <c r="N928" s="57">
        <v>3.6379999999999999</v>
      </c>
      <c r="O928" s="53" t="s">
        <v>101</v>
      </c>
      <c r="P928" s="57" t="s">
        <v>448</v>
      </c>
      <c r="Q928" s="57" t="s">
        <v>460</v>
      </c>
      <c r="R928" s="59" t="s">
        <v>771</v>
      </c>
    </row>
    <row r="929" spans="1:18" x14ac:dyDescent="0.5">
      <c r="A929" s="52" t="str">
        <f>"804328JY9"</f>
        <v>804328JY9</v>
      </c>
      <c r="B929" s="53" t="s">
        <v>496</v>
      </c>
      <c r="C929" s="53" t="s">
        <v>1238</v>
      </c>
      <c r="D929" s="53" t="s">
        <v>447</v>
      </c>
      <c r="E929" s="53">
        <v>3</v>
      </c>
      <c r="F929" s="54">
        <v>48305</v>
      </c>
      <c r="G929" s="54">
        <v>47939</v>
      </c>
      <c r="H929" s="53" t="s">
        <v>540</v>
      </c>
      <c r="I929" s="53" t="s">
        <v>105</v>
      </c>
      <c r="J929" s="53" t="s">
        <v>101</v>
      </c>
      <c r="K929" s="53">
        <v>96.061999999999998</v>
      </c>
      <c r="L929" s="53" t="s">
        <v>101</v>
      </c>
      <c r="M929" s="53">
        <v>3.6320000000000001</v>
      </c>
      <c r="N929" s="53">
        <v>3.6320000000000001</v>
      </c>
      <c r="O929" s="53" t="s">
        <v>101</v>
      </c>
      <c r="P929" s="53" t="s">
        <v>448</v>
      </c>
      <c r="Q929" s="53" t="s">
        <v>527</v>
      </c>
      <c r="R929" s="55" t="s">
        <v>454</v>
      </c>
    </row>
    <row r="930" spans="1:18" x14ac:dyDescent="0.5">
      <c r="A930" s="56" t="str">
        <f>"835143FX1"</f>
        <v>835143FX1</v>
      </c>
      <c r="B930" s="57" t="s">
        <v>496</v>
      </c>
      <c r="C930" s="57" t="s">
        <v>1239</v>
      </c>
      <c r="D930" s="53" t="s">
        <v>447</v>
      </c>
      <c r="E930" s="57">
        <v>3</v>
      </c>
      <c r="F930" s="58">
        <v>48305</v>
      </c>
      <c r="G930" s="58">
        <v>46844</v>
      </c>
      <c r="H930" s="57" t="s">
        <v>105</v>
      </c>
      <c r="I930" s="57" t="s">
        <v>616</v>
      </c>
      <c r="J930" s="57" t="s">
        <v>101</v>
      </c>
      <c r="K930" s="57">
        <v>95.582999999999998</v>
      </c>
      <c r="L930" s="57" t="s">
        <v>101</v>
      </c>
      <c r="M930" s="57">
        <v>3.7109999999999999</v>
      </c>
      <c r="N930" s="57">
        <v>3.7109999999999999</v>
      </c>
      <c r="O930" s="53" t="s">
        <v>101</v>
      </c>
      <c r="P930" s="57" t="s">
        <v>448</v>
      </c>
      <c r="Q930" s="57" t="s">
        <v>503</v>
      </c>
      <c r="R930" s="59" t="s">
        <v>454</v>
      </c>
    </row>
    <row r="931" spans="1:18" x14ac:dyDescent="0.5">
      <c r="A931" s="52" t="str">
        <f>"788634BR3"</f>
        <v>788634BR3</v>
      </c>
      <c r="B931" s="53" t="s">
        <v>491</v>
      </c>
      <c r="C931" s="53" t="s">
        <v>1240</v>
      </c>
      <c r="D931" s="53" t="s">
        <v>447</v>
      </c>
      <c r="E931" s="53">
        <v>3.25</v>
      </c>
      <c r="F931" s="54">
        <v>48305</v>
      </c>
      <c r="G931" s="54">
        <v>46113</v>
      </c>
      <c r="H931" s="53" t="s">
        <v>105</v>
      </c>
      <c r="I931" s="53" t="s">
        <v>628</v>
      </c>
      <c r="J931" s="53" t="s">
        <v>101</v>
      </c>
      <c r="K931" s="53">
        <v>98.085999999999999</v>
      </c>
      <c r="L931" s="53" t="s">
        <v>101</v>
      </c>
      <c r="M931" s="53">
        <v>3.556</v>
      </c>
      <c r="N931" s="53">
        <v>3.556</v>
      </c>
      <c r="O931" s="53" t="s">
        <v>101</v>
      </c>
      <c r="P931" s="53" t="s">
        <v>448</v>
      </c>
      <c r="Q931" s="53" t="s">
        <v>485</v>
      </c>
      <c r="R931" s="55" t="s">
        <v>680</v>
      </c>
    </row>
    <row r="932" spans="1:18" x14ac:dyDescent="0.5">
      <c r="A932" s="56" t="str">
        <f>"868424JJ2"</f>
        <v>868424JJ2</v>
      </c>
      <c r="B932" s="57" t="s">
        <v>496</v>
      </c>
      <c r="C932" s="57" t="s">
        <v>1241</v>
      </c>
      <c r="D932" s="53" t="s">
        <v>447</v>
      </c>
      <c r="E932" s="57">
        <v>2.375</v>
      </c>
      <c r="F932" s="58">
        <v>48305</v>
      </c>
      <c r="G932" s="58">
        <v>45748</v>
      </c>
      <c r="H932" s="57" t="s">
        <v>105</v>
      </c>
      <c r="I932" s="57" t="s">
        <v>616</v>
      </c>
      <c r="J932" s="57" t="s">
        <v>101</v>
      </c>
      <c r="K932" s="57">
        <v>89.435000000000002</v>
      </c>
      <c r="L932" s="57" t="s">
        <v>101</v>
      </c>
      <c r="M932" s="57">
        <v>4.101</v>
      </c>
      <c r="N932" s="57">
        <v>4.101</v>
      </c>
      <c r="O932" s="53" t="s">
        <v>101</v>
      </c>
      <c r="P932" s="57" t="s">
        <v>448</v>
      </c>
      <c r="Q932" s="57" t="s">
        <v>527</v>
      </c>
      <c r="R932" s="59" t="s">
        <v>454</v>
      </c>
    </row>
    <row r="933" spans="1:18" x14ac:dyDescent="0.5">
      <c r="A933" s="52" t="str">
        <f>"914353X69"</f>
        <v>914353X69</v>
      </c>
      <c r="B933" s="53" t="s">
        <v>491</v>
      </c>
      <c r="C933" s="53" t="s">
        <v>1242</v>
      </c>
      <c r="D933" s="53" t="s">
        <v>447</v>
      </c>
      <c r="E933" s="53">
        <v>3.625</v>
      </c>
      <c r="F933" s="54">
        <v>48305</v>
      </c>
      <c r="G933" s="54">
        <v>45748</v>
      </c>
      <c r="H933" s="53" t="s">
        <v>613</v>
      </c>
      <c r="I933" s="53" t="s">
        <v>628</v>
      </c>
      <c r="J933" s="53" t="s">
        <v>101</v>
      </c>
      <c r="K933" s="53">
        <v>99.221999999999994</v>
      </c>
      <c r="L933" s="53" t="s">
        <v>101</v>
      </c>
      <c r="M933" s="53">
        <v>3.75</v>
      </c>
      <c r="N933" s="53">
        <v>3.75</v>
      </c>
      <c r="O933" s="53" t="s">
        <v>101</v>
      </c>
      <c r="P933" s="53" t="s">
        <v>448</v>
      </c>
      <c r="Q933" s="53" t="s">
        <v>488</v>
      </c>
      <c r="R933" s="55" t="s">
        <v>771</v>
      </c>
    </row>
    <row r="934" spans="1:18" x14ac:dyDescent="0.5">
      <c r="A934" s="56" t="str">
        <f>"925095RX1"</f>
        <v>925095RX1</v>
      </c>
      <c r="B934" s="57" t="s">
        <v>496</v>
      </c>
      <c r="C934" s="57" t="s">
        <v>1243</v>
      </c>
      <c r="D934" s="53" t="s">
        <v>447</v>
      </c>
      <c r="E934" s="57">
        <v>3</v>
      </c>
      <c r="F934" s="58">
        <v>48305</v>
      </c>
      <c r="G934" s="58">
        <v>46113</v>
      </c>
      <c r="H934" s="57" t="s">
        <v>624</v>
      </c>
      <c r="I934" s="57" t="s">
        <v>105</v>
      </c>
      <c r="J934" s="57" t="s">
        <v>101</v>
      </c>
      <c r="K934" s="57">
        <v>96.531999999999996</v>
      </c>
      <c r="L934" s="57" t="s">
        <v>101</v>
      </c>
      <c r="M934" s="57">
        <v>3.5550000000000002</v>
      </c>
      <c r="N934" s="57">
        <v>3.5550000000000002</v>
      </c>
      <c r="O934" s="53" t="s">
        <v>101</v>
      </c>
      <c r="P934" s="57" t="s">
        <v>448</v>
      </c>
      <c r="Q934" s="57" t="s">
        <v>556</v>
      </c>
      <c r="R934" s="59" t="s">
        <v>482</v>
      </c>
    </row>
    <row r="935" spans="1:18" x14ac:dyDescent="0.5">
      <c r="A935" s="52" t="str">
        <f>"952433HJ2"</f>
        <v>952433HJ2</v>
      </c>
      <c r="B935" s="53" t="s">
        <v>496</v>
      </c>
      <c r="C935" s="53" t="s">
        <v>1244</v>
      </c>
      <c r="D935" s="53" t="s">
        <v>447</v>
      </c>
      <c r="E935" s="53">
        <v>2</v>
      </c>
      <c r="F935" s="54">
        <v>48305</v>
      </c>
      <c r="G935" s="54">
        <v>47574</v>
      </c>
      <c r="H935" s="53" t="s">
        <v>105</v>
      </c>
      <c r="I935" s="53" t="s">
        <v>616</v>
      </c>
      <c r="J935" s="53" t="s">
        <v>101</v>
      </c>
      <c r="K935" s="53">
        <v>87.884</v>
      </c>
      <c r="L935" s="53" t="s">
        <v>101</v>
      </c>
      <c r="M935" s="53">
        <v>3.97</v>
      </c>
      <c r="N935" s="53">
        <v>3.97</v>
      </c>
      <c r="O935" s="53" t="s">
        <v>101</v>
      </c>
      <c r="P935" s="53" t="s">
        <v>448</v>
      </c>
      <c r="Q935" s="53" t="s">
        <v>1245</v>
      </c>
      <c r="R935" s="55" t="s">
        <v>454</v>
      </c>
    </row>
    <row r="936" spans="1:18" x14ac:dyDescent="0.5">
      <c r="A936" s="56" t="str">
        <f>"108443QY1"</f>
        <v>108443QY1</v>
      </c>
      <c r="B936" s="57" t="s">
        <v>451</v>
      </c>
      <c r="C936" s="57" t="s">
        <v>1246</v>
      </c>
      <c r="D936" s="53" t="s">
        <v>447</v>
      </c>
      <c r="E936" s="57">
        <v>3.125</v>
      </c>
      <c r="F936" s="58">
        <v>48335</v>
      </c>
      <c r="G936" s="58">
        <v>45748</v>
      </c>
      <c r="H936" s="57" t="s">
        <v>105</v>
      </c>
      <c r="I936" s="57" t="s">
        <v>628</v>
      </c>
      <c r="J936" s="57" t="s">
        <v>101</v>
      </c>
      <c r="K936" s="57">
        <v>95.57</v>
      </c>
      <c r="L936" s="57" t="s">
        <v>101</v>
      </c>
      <c r="M936" s="57">
        <v>3.8340000000000001</v>
      </c>
      <c r="N936" s="57">
        <v>3.8340000000000001</v>
      </c>
      <c r="O936" s="53" t="s">
        <v>101</v>
      </c>
      <c r="P936" s="57" t="s">
        <v>448</v>
      </c>
      <c r="Q936" s="57" t="s">
        <v>488</v>
      </c>
      <c r="R936" s="59" t="s">
        <v>771</v>
      </c>
    </row>
    <row r="937" spans="1:18" x14ac:dyDescent="0.5">
      <c r="A937" s="52" t="str">
        <f>"225903CX9"</f>
        <v>225903CX9</v>
      </c>
      <c r="B937" s="53" t="s">
        <v>491</v>
      </c>
      <c r="C937" s="53" t="s">
        <v>1247</v>
      </c>
      <c r="D937" s="53" t="s">
        <v>447</v>
      </c>
      <c r="E937" s="53">
        <v>3</v>
      </c>
      <c r="F937" s="54">
        <v>48335</v>
      </c>
      <c r="G937" s="54">
        <v>46508</v>
      </c>
      <c r="H937" s="53" t="s">
        <v>105</v>
      </c>
      <c r="I937" s="53" t="s">
        <v>628</v>
      </c>
      <c r="J937" s="53" t="s">
        <v>101</v>
      </c>
      <c r="K937" s="53">
        <v>94.78</v>
      </c>
      <c r="L937" s="53" t="s">
        <v>101</v>
      </c>
      <c r="M937" s="53">
        <v>3.8359999999999999</v>
      </c>
      <c r="N937" s="53">
        <v>3.8359999999999999</v>
      </c>
      <c r="O937" s="53" t="s">
        <v>101</v>
      </c>
      <c r="P937" s="53" t="s">
        <v>448</v>
      </c>
      <c r="Q937" s="53" t="s">
        <v>457</v>
      </c>
      <c r="R937" s="55" t="s">
        <v>504</v>
      </c>
    </row>
    <row r="938" spans="1:18" x14ac:dyDescent="0.5">
      <c r="A938" s="56" t="str">
        <f>"292507GQ7"</f>
        <v>292507GQ7</v>
      </c>
      <c r="B938" s="57" t="s">
        <v>451</v>
      </c>
      <c r="C938" s="57" t="s">
        <v>1248</v>
      </c>
      <c r="D938" s="53" t="s">
        <v>447</v>
      </c>
      <c r="E938" s="57">
        <v>2.5</v>
      </c>
      <c r="F938" s="58">
        <v>48335</v>
      </c>
      <c r="G938" s="58">
        <v>45733</v>
      </c>
      <c r="H938" s="57" t="s">
        <v>670</v>
      </c>
      <c r="I938" s="57" t="s">
        <v>182</v>
      </c>
      <c r="J938" s="57" t="s">
        <v>101</v>
      </c>
      <c r="K938" s="57">
        <v>86.963999999999999</v>
      </c>
      <c r="L938" s="57" t="s">
        <v>101</v>
      </c>
      <c r="M938" s="57">
        <v>4.6500000000000004</v>
      </c>
      <c r="N938" s="57">
        <v>4.6500000000000004</v>
      </c>
      <c r="O938" s="53" t="s">
        <v>101</v>
      </c>
      <c r="P938" s="57" t="s">
        <v>448</v>
      </c>
      <c r="Q938" s="57" t="s">
        <v>457</v>
      </c>
      <c r="R938" s="59" t="s">
        <v>630</v>
      </c>
    </row>
    <row r="939" spans="1:18" x14ac:dyDescent="0.5">
      <c r="A939" s="52" t="str">
        <f>"41420TKU5"</f>
        <v>41420TKU5</v>
      </c>
      <c r="B939" s="53" t="s">
        <v>451</v>
      </c>
      <c r="C939" s="53" t="s">
        <v>1249</v>
      </c>
      <c r="D939" s="53" t="s">
        <v>447</v>
      </c>
      <c r="E939" s="53">
        <v>3.125</v>
      </c>
      <c r="F939" s="54">
        <v>48335</v>
      </c>
      <c r="G939" s="54">
        <v>45778</v>
      </c>
      <c r="H939" s="53" t="s">
        <v>627</v>
      </c>
      <c r="I939" s="53" t="s">
        <v>628</v>
      </c>
      <c r="J939" s="53" t="s">
        <v>101</v>
      </c>
      <c r="K939" s="53">
        <v>95.472999999999999</v>
      </c>
      <c r="L939" s="53" t="s">
        <v>101</v>
      </c>
      <c r="M939" s="53">
        <v>3.85</v>
      </c>
      <c r="N939" s="53">
        <v>3.85</v>
      </c>
      <c r="O939" s="53" t="s">
        <v>101</v>
      </c>
      <c r="P939" s="53" t="s">
        <v>448</v>
      </c>
      <c r="Q939" s="53" t="s">
        <v>1250</v>
      </c>
      <c r="R939" s="55" t="s">
        <v>630</v>
      </c>
    </row>
    <row r="940" spans="1:18" x14ac:dyDescent="0.5">
      <c r="A940" s="56" t="str">
        <f>"667488PN4"</f>
        <v>667488PN4</v>
      </c>
      <c r="B940" s="57" t="s">
        <v>451</v>
      </c>
      <c r="C940" s="57" t="s">
        <v>1251</v>
      </c>
      <c r="D940" s="53" t="s">
        <v>447</v>
      </c>
      <c r="E940" s="57">
        <v>3.125</v>
      </c>
      <c r="F940" s="58">
        <v>48335</v>
      </c>
      <c r="G940" s="58">
        <v>45733</v>
      </c>
      <c r="H940" s="57" t="s">
        <v>641</v>
      </c>
      <c r="I940" s="57" t="s">
        <v>628</v>
      </c>
      <c r="J940" s="57" t="s">
        <v>101</v>
      </c>
      <c r="K940" s="57">
        <v>96.12</v>
      </c>
      <c r="L940" s="57" t="s">
        <v>101</v>
      </c>
      <c r="M940" s="57">
        <v>3.7440000000000002</v>
      </c>
      <c r="N940" s="57">
        <v>3.7440000000000002</v>
      </c>
      <c r="O940" s="53" t="s">
        <v>101</v>
      </c>
      <c r="P940" s="57" t="s">
        <v>448</v>
      </c>
      <c r="Q940" s="57" t="s">
        <v>538</v>
      </c>
      <c r="R940" s="59" t="s">
        <v>630</v>
      </c>
    </row>
    <row r="941" spans="1:18" x14ac:dyDescent="0.5">
      <c r="A941" s="52" t="str">
        <f>"68825RFR6"</f>
        <v>68825RFR6</v>
      </c>
      <c r="B941" s="53" t="s">
        <v>496</v>
      </c>
      <c r="C941" s="53" t="s">
        <v>1252</v>
      </c>
      <c r="D941" s="53" t="s">
        <v>447</v>
      </c>
      <c r="E941" s="53">
        <v>2.625</v>
      </c>
      <c r="F941" s="54">
        <v>48335</v>
      </c>
      <c r="G941" s="54">
        <v>45733</v>
      </c>
      <c r="H941" s="53" t="s">
        <v>641</v>
      </c>
      <c r="I941" s="53" t="s">
        <v>628</v>
      </c>
      <c r="J941" s="53" t="s">
        <v>101</v>
      </c>
      <c r="K941" s="53">
        <v>91.034999999999997</v>
      </c>
      <c r="L941" s="53" t="s">
        <v>101</v>
      </c>
      <c r="M941" s="53">
        <v>4.0730000000000004</v>
      </c>
      <c r="N941" s="53">
        <v>4.0730000000000004</v>
      </c>
      <c r="O941" s="53" t="s">
        <v>101</v>
      </c>
      <c r="P941" s="53" t="s">
        <v>448</v>
      </c>
      <c r="Q941" s="53" t="s">
        <v>485</v>
      </c>
      <c r="R941" s="55" t="s">
        <v>771</v>
      </c>
    </row>
    <row r="942" spans="1:18" x14ac:dyDescent="0.5">
      <c r="A942" s="56" t="str">
        <f>"699585GT6"</f>
        <v>699585GT6</v>
      </c>
      <c r="B942" s="57" t="s">
        <v>491</v>
      </c>
      <c r="C942" s="57" t="s">
        <v>1253</v>
      </c>
      <c r="D942" s="53" t="s">
        <v>447</v>
      </c>
      <c r="E942" s="57">
        <v>3.25</v>
      </c>
      <c r="F942" s="58">
        <v>48335</v>
      </c>
      <c r="G942" s="58">
        <v>46143</v>
      </c>
      <c r="H942" s="57" t="s">
        <v>105</v>
      </c>
      <c r="I942" s="57" t="s">
        <v>628</v>
      </c>
      <c r="J942" s="57" t="s">
        <v>101</v>
      </c>
      <c r="K942" s="57">
        <v>98.290999999999997</v>
      </c>
      <c r="L942" s="57" t="s">
        <v>101</v>
      </c>
      <c r="M942" s="57">
        <v>3.52</v>
      </c>
      <c r="N942" s="57">
        <v>3.52</v>
      </c>
      <c r="O942" s="53" t="s">
        <v>101</v>
      </c>
      <c r="P942" s="57" t="s">
        <v>448</v>
      </c>
      <c r="Q942" s="57" t="s">
        <v>858</v>
      </c>
      <c r="R942" s="59" t="s">
        <v>771</v>
      </c>
    </row>
    <row r="943" spans="1:18" x14ac:dyDescent="0.5">
      <c r="A943" s="52" t="str">
        <f>"771231EG8"</f>
        <v>771231EG8</v>
      </c>
      <c r="B943" s="53" t="s">
        <v>491</v>
      </c>
      <c r="C943" s="53" t="s">
        <v>1254</v>
      </c>
      <c r="D943" s="53" t="s">
        <v>447</v>
      </c>
      <c r="E943" s="53">
        <v>3</v>
      </c>
      <c r="F943" s="54">
        <v>48335</v>
      </c>
      <c r="G943" s="54">
        <v>47239</v>
      </c>
      <c r="H943" s="53" t="s">
        <v>105</v>
      </c>
      <c r="I943" s="53" t="s">
        <v>628</v>
      </c>
      <c r="J943" s="53" t="s">
        <v>101</v>
      </c>
      <c r="K943" s="53">
        <v>95.51</v>
      </c>
      <c r="L943" s="53" t="s">
        <v>101</v>
      </c>
      <c r="M943" s="53">
        <v>3.7160000000000002</v>
      </c>
      <c r="N943" s="53">
        <v>3.7160000000000002</v>
      </c>
      <c r="O943" s="53" t="s">
        <v>101</v>
      </c>
      <c r="P943" s="53" t="s">
        <v>448</v>
      </c>
      <c r="Q943" s="53" t="s">
        <v>453</v>
      </c>
      <c r="R943" s="55" t="s">
        <v>771</v>
      </c>
    </row>
    <row r="944" spans="1:18" x14ac:dyDescent="0.5">
      <c r="A944" s="56" t="str">
        <f>"836753JZ7"</f>
        <v>836753JZ7</v>
      </c>
      <c r="B944" s="57" t="s">
        <v>499</v>
      </c>
      <c r="C944" s="57" t="s">
        <v>1255</v>
      </c>
      <c r="D944" s="53" t="s">
        <v>447</v>
      </c>
      <c r="E944" s="57">
        <v>3.25</v>
      </c>
      <c r="F944" s="58">
        <v>48335</v>
      </c>
      <c r="G944" s="58">
        <v>45778</v>
      </c>
      <c r="H944" s="57" t="s">
        <v>624</v>
      </c>
      <c r="I944" s="57" t="s">
        <v>628</v>
      </c>
      <c r="J944" s="57" t="s">
        <v>101</v>
      </c>
      <c r="K944" s="57">
        <v>97.37</v>
      </c>
      <c r="L944" s="57" t="s">
        <v>101</v>
      </c>
      <c r="M944" s="57">
        <v>3.6680000000000001</v>
      </c>
      <c r="N944" s="57">
        <v>3.6680000000000001</v>
      </c>
      <c r="O944" s="53" t="s">
        <v>101</v>
      </c>
      <c r="P944" s="57" t="s">
        <v>448</v>
      </c>
      <c r="Q944" s="57" t="s">
        <v>790</v>
      </c>
      <c r="R944" s="59" t="s">
        <v>450</v>
      </c>
    </row>
    <row r="945" spans="1:18" x14ac:dyDescent="0.5">
      <c r="A945" s="52" t="str">
        <f>"88213ALB9"</f>
        <v>88213ALB9</v>
      </c>
      <c r="B945" s="53" t="s">
        <v>451</v>
      </c>
      <c r="C945" s="53" t="s">
        <v>1256</v>
      </c>
      <c r="D945" s="53" t="s">
        <v>447</v>
      </c>
      <c r="E945" s="53">
        <v>3</v>
      </c>
      <c r="F945" s="54">
        <v>48349</v>
      </c>
      <c r="G945" s="54">
        <v>45733</v>
      </c>
      <c r="H945" s="53" t="s">
        <v>104</v>
      </c>
      <c r="I945" s="53" t="s">
        <v>104</v>
      </c>
      <c r="J945" s="53" t="s">
        <v>101</v>
      </c>
      <c r="K945" s="53">
        <v>96.45</v>
      </c>
      <c r="L945" s="53" t="s">
        <v>101</v>
      </c>
      <c r="M945" s="53">
        <v>3.56</v>
      </c>
      <c r="N945" s="53">
        <v>3.56</v>
      </c>
      <c r="O945" s="53" t="s">
        <v>101</v>
      </c>
      <c r="P945" s="53" t="s">
        <v>448</v>
      </c>
      <c r="Q945" s="53" t="s">
        <v>503</v>
      </c>
      <c r="R945" s="55" t="s">
        <v>504</v>
      </c>
    </row>
    <row r="946" spans="1:18" x14ac:dyDescent="0.5">
      <c r="A946" s="56" t="str">
        <f>"041838CE1"</f>
        <v>041838CE1</v>
      </c>
      <c r="B946" s="57" t="s">
        <v>451</v>
      </c>
      <c r="C946" s="57" t="s">
        <v>1257</v>
      </c>
      <c r="D946" s="53" t="s">
        <v>447</v>
      </c>
      <c r="E946" s="57">
        <v>3</v>
      </c>
      <c r="F946" s="58">
        <v>48366</v>
      </c>
      <c r="G946" s="58">
        <v>46174</v>
      </c>
      <c r="H946" s="57" t="s">
        <v>540</v>
      </c>
      <c r="I946" s="57" t="s">
        <v>104</v>
      </c>
      <c r="J946" s="57" t="s">
        <v>101</v>
      </c>
      <c r="K946" s="57">
        <v>96.497</v>
      </c>
      <c r="L946" s="57" t="s">
        <v>101</v>
      </c>
      <c r="M946" s="57">
        <v>3.5489999999999999</v>
      </c>
      <c r="N946" s="57">
        <v>3.5489999999999999</v>
      </c>
      <c r="O946" s="53" t="s">
        <v>101</v>
      </c>
      <c r="P946" s="57" t="s">
        <v>448</v>
      </c>
      <c r="Q946" s="57" t="s">
        <v>556</v>
      </c>
      <c r="R946" s="59" t="s">
        <v>504</v>
      </c>
    </row>
    <row r="947" spans="1:18" x14ac:dyDescent="0.5">
      <c r="A947" s="52" t="str">
        <f>"045142CY0"</f>
        <v>045142CY0</v>
      </c>
      <c r="B947" s="53" t="s">
        <v>496</v>
      </c>
      <c r="C947" s="53" t="s">
        <v>1258</v>
      </c>
      <c r="D947" s="53" t="s">
        <v>447</v>
      </c>
      <c r="E947" s="53">
        <v>2.4500000000000002</v>
      </c>
      <c r="F947" s="54">
        <v>48366</v>
      </c>
      <c r="G947" s="54">
        <v>47270</v>
      </c>
      <c r="H947" s="53" t="s">
        <v>613</v>
      </c>
      <c r="I947" s="53" t="s">
        <v>628</v>
      </c>
      <c r="J947" s="53" t="s">
        <v>101</v>
      </c>
      <c r="K947" s="53">
        <v>89.131</v>
      </c>
      <c r="L947" s="53" t="s">
        <v>101</v>
      </c>
      <c r="M947" s="53">
        <v>4.1959999999999997</v>
      </c>
      <c r="N947" s="53">
        <v>4.1959999999999997</v>
      </c>
      <c r="O947" s="53" t="s">
        <v>101</v>
      </c>
      <c r="P947" s="53" t="s">
        <v>448</v>
      </c>
      <c r="Q947" s="53" t="s">
        <v>485</v>
      </c>
      <c r="R947" s="55" t="s">
        <v>450</v>
      </c>
    </row>
    <row r="948" spans="1:18" x14ac:dyDescent="0.5">
      <c r="A948" s="56" t="str">
        <f>"048483L82"</f>
        <v>048483L82</v>
      </c>
      <c r="B948" s="57" t="s">
        <v>477</v>
      </c>
      <c r="C948" s="57" t="s">
        <v>1259</v>
      </c>
      <c r="D948" s="53" t="s">
        <v>447</v>
      </c>
      <c r="E948" s="57">
        <v>2</v>
      </c>
      <c r="F948" s="58">
        <v>48366</v>
      </c>
      <c r="G948" s="58">
        <v>46905</v>
      </c>
      <c r="H948" s="57" t="s">
        <v>613</v>
      </c>
      <c r="I948" s="57" t="s">
        <v>628</v>
      </c>
      <c r="J948" s="57" t="s">
        <v>101</v>
      </c>
      <c r="K948" s="57">
        <v>86.531000000000006</v>
      </c>
      <c r="L948" s="57" t="s">
        <v>101</v>
      </c>
      <c r="M948" s="57">
        <v>4.1619999999999999</v>
      </c>
      <c r="N948" s="57">
        <v>4.1619999999999999</v>
      </c>
      <c r="O948" s="53" t="s">
        <v>101</v>
      </c>
      <c r="P948" s="57" t="s">
        <v>448</v>
      </c>
      <c r="Q948" s="57" t="s">
        <v>457</v>
      </c>
      <c r="R948" s="59" t="s">
        <v>454</v>
      </c>
    </row>
    <row r="949" spans="1:18" x14ac:dyDescent="0.5">
      <c r="A949" s="52" t="str">
        <f>"213309RD1"</f>
        <v>213309RD1</v>
      </c>
      <c r="B949" s="53" t="s">
        <v>491</v>
      </c>
      <c r="C949" s="53" t="s">
        <v>1260</v>
      </c>
      <c r="D949" s="53" t="s">
        <v>447</v>
      </c>
      <c r="E949" s="53">
        <v>3</v>
      </c>
      <c r="F949" s="54">
        <v>48366</v>
      </c>
      <c r="G949" s="54">
        <v>47635</v>
      </c>
      <c r="H949" s="53" t="s">
        <v>624</v>
      </c>
      <c r="I949" s="53" t="s">
        <v>105</v>
      </c>
      <c r="J949" s="53" t="s">
        <v>101</v>
      </c>
      <c r="K949" s="53">
        <v>95.804000000000002</v>
      </c>
      <c r="L949" s="53" t="s">
        <v>101</v>
      </c>
      <c r="M949" s="53">
        <v>3.661</v>
      </c>
      <c r="N949" s="53">
        <v>3.661</v>
      </c>
      <c r="O949" s="53" t="s">
        <v>101</v>
      </c>
      <c r="P949" s="53" t="s">
        <v>448</v>
      </c>
      <c r="Q949" s="53" t="s">
        <v>538</v>
      </c>
      <c r="R949" s="55" t="s">
        <v>454</v>
      </c>
    </row>
    <row r="950" spans="1:18" x14ac:dyDescent="0.5">
      <c r="A950" s="56" t="str">
        <f>"247307HJ3"</f>
        <v>247307HJ3</v>
      </c>
      <c r="B950" s="57" t="s">
        <v>499</v>
      </c>
      <c r="C950" s="57" t="s">
        <v>1261</v>
      </c>
      <c r="D950" s="53" t="s">
        <v>447</v>
      </c>
      <c r="E950" s="57">
        <v>3.25</v>
      </c>
      <c r="F950" s="58">
        <v>48366</v>
      </c>
      <c r="G950" s="58">
        <v>45809</v>
      </c>
      <c r="H950" s="57" t="s">
        <v>613</v>
      </c>
      <c r="I950" s="57" t="s">
        <v>616</v>
      </c>
      <c r="J950" s="57" t="s">
        <v>101</v>
      </c>
      <c r="K950" s="57">
        <v>97.77</v>
      </c>
      <c r="L950" s="57" t="s">
        <v>101</v>
      </c>
      <c r="M950" s="57">
        <v>3.6</v>
      </c>
      <c r="N950" s="57">
        <v>3.6</v>
      </c>
      <c r="O950" s="53" t="s">
        <v>101</v>
      </c>
      <c r="P950" s="57" t="s">
        <v>448</v>
      </c>
      <c r="Q950" s="57" t="s">
        <v>485</v>
      </c>
      <c r="R950" s="59" t="s">
        <v>589</v>
      </c>
    </row>
    <row r="951" spans="1:18" x14ac:dyDescent="0.5">
      <c r="A951" s="52" t="str">
        <f>"64577HSZ5"</f>
        <v>64577HSZ5</v>
      </c>
      <c r="B951" s="53" t="s">
        <v>477</v>
      </c>
      <c r="C951" s="53" t="s">
        <v>1262</v>
      </c>
      <c r="D951" s="53" t="s">
        <v>447</v>
      </c>
      <c r="E951" s="53">
        <v>3</v>
      </c>
      <c r="F951" s="54">
        <v>48366</v>
      </c>
      <c r="G951" s="54">
        <v>46722</v>
      </c>
      <c r="H951" s="53" t="s">
        <v>105</v>
      </c>
      <c r="I951" s="53" t="s">
        <v>658</v>
      </c>
      <c r="J951" s="53" t="s">
        <v>101</v>
      </c>
      <c r="K951" s="53">
        <v>96.129000000000005</v>
      </c>
      <c r="L951" s="53" t="s">
        <v>101</v>
      </c>
      <c r="M951" s="53">
        <v>3.6080000000000001</v>
      </c>
      <c r="N951" s="53">
        <v>3.6080000000000001</v>
      </c>
      <c r="O951" s="53" t="s">
        <v>101</v>
      </c>
      <c r="P951" s="53" t="s">
        <v>448</v>
      </c>
      <c r="Q951" s="53" t="s">
        <v>479</v>
      </c>
      <c r="R951" s="55" t="s">
        <v>506</v>
      </c>
    </row>
    <row r="952" spans="1:18" x14ac:dyDescent="0.5">
      <c r="A952" s="56" t="str">
        <f>"888808HH8"</f>
        <v>888808HH8</v>
      </c>
      <c r="B952" s="57" t="s">
        <v>477</v>
      </c>
      <c r="C952" s="57" t="s">
        <v>1263</v>
      </c>
      <c r="D952" s="53" t="s">
        <v>447</v>
      </c>
      <c r="E952" s="57">
        <v>5</v>
      </c>
      <c r="F952" s="58">
        <v>48366</v>
      </c>
      <c r="G952" s="58">
        <v>46905</v>
      </c>
      <c r="H952" s="57" t="s">
        <v>105</v>
      </c>
      <c r="I952" s="57" t="s">
        <v>611</v>
      </c>
      <c r="J952" s="57" t="s">
        <v>101</v>
      </c>
      <c r="K952" s="57">
        <v>103.91</v>
      </c>
      <c r="L952" s="57" t="s">
        <v>101</v>
      </c>
      <c r="M952" s="57">
        <v>3.7229999999999999</v>
      </c>
      <c r="N952" s="57">
        <v>4.367</v>
      </c>
      <c r="O952" s="53" t="s">
        <v>101</v>
      </c>
      <c r="P952" s="57" t="s">
        <v>448</v>
      </c>
      <c r="Q952" s="57" t="s">
        <v>573</v>
      </c>
      <c r="R952" s="59" t="s">
        <v>450</v>
      </c>
    </row>
    <row r="953" spans="1:18" x14ac:dyDescent="0.5">
      <c r="A953" s="52" t="str">
        <f>"452227MA6"</f>
        <v>452227MA6</v>
      </c>
      <c r="B953" s="53" t="s">
        <v>491</v>
      </c>
      <c r="C953" s="53" t="s">
        <v>1264</v>
      </c>
      <c r="D953" s="53" t="s">
        <v>447</v>
      </c>
      <c r="E953" s="53">
        <v>3</v>
      </c>
      <c r="F953" s="54">
        <v>48380</v>
      </c>
      <c r="G953" s="54">
        <v>46188</v>
      </c>
      <c r="H953" s="53" t="s">
        <v>105</v>
      </c>
      <c r="I953" s="53" t="s">
        <v>611</v>
      </c>
      <c r="J953" s="53" t="s">
        <v>101</v>
      </c>
      <c r="K953" s="53">
        <v>91.816999999999993</v>
      </c>
      <c r="L953" s="53" t="s">
        <v>101</v>
      </c>
      <c r="M953" s="53">
        <v>4.3140000000000001</v>
      </c>
      <c r="N953" s="53">
        <v>4.3140000000000001</v>
      </c>
      <c r="O953" s="53" t="s">
        <v>101</v>
      </c>
      <c r="P953" s="53" t="s">
        <v>448</v>
      </c>
      <c r="Q953" s="53" t="s">
        <v>464</v>
      </c>
      <c r="R953" s="55" t="s">
        <v>504</v>
      </c>
    </row>
    <row r="954" spans="1:18" x14ac:dyDescent="0.5">
      <c r="A954" s="56" t="str">
        <f>"452227ME8"</f>
        <v>452227ME8</v>
      </c>
      <c r="B954" s="57" t="s">
        <v>491</v>
      </c>
      <c r="C954" s="57" t="s">
        <v>1264</v>
      </c>
      <c r="D954" s="53" t="s">
        <v>447</v>
      </c>
      <c r="E954" s="57">
        <v>3</v>
      </c>
      <c r="F954" s="58">
        <v>48380</v>
      </c>
      <c r="G954" s="58">
        <v>46188</v>
      </c>
      <c r="H954" s="57" t="s">
        <v>105</v>
      </c>
      <c r="I954" s="57" t="s">
        <v>628</v>
      </c>
      <c r="J954" s="57" t="s">
        <v>101</v>
      </c>
      <c r="K954" s="57">
        <v>93.34</v>
      </c>
      <c r="L954" s="57" t="s">
        <v>101</v>
      </c>
      <c r="M954" s="57">
        <v>4.0599999999999996</v>
      </c>
      <c r="N954" s="57">
        <v>4.0599999999999996</v>
      </c>
      <c r="O954" s="53" t="s">
        <v>101</v>
      </c>
      <c r="P954" s="57" t="s">
        <v>448</v>
      </c>
      <c r="Q954" s="57" t="s">
        <v>1265</v>
      </c>
      <c r="R954" s="59" t="s">
        <v>771</v>
      </c>
    </row>
    <row r="955" spans="1:18" x14ac:dyDescent="0.5">
      <c r="A955" s="52" t="str">
        <f>"452227RS2"</f>
        <v>452227RS2</v>
      </c>
      <c r="B955" s="53" t="s">
        <v>491</v>
      </c>
      <c r="C955" s="53" t="s">
        <v>1266</v>
      </c>
      <c r="D955" s="53" t="s">
        <v>447</v>
      </c>
      <c r="E955" s="53">
        <v>3</v>
      </c>
      <c r="F955" s="54">
        <v>48380</v>
      </c>
      <c r="G955" s="54">
        <v>48014</v>
      </c>
      <c r="H955" s="53" t="s">
        <v>105</v>
      </c>
      <c r="I955" s="53" t="s">
        <v>611</v>
      </c>
      <c r="J955" s="53" t="s">
        <v>101</v>
      </c>
      <c r="K955" s="53">
        <v>92.593000000000004</v>
      </c>
      <c r="L955" s="53" t="s">
        <v>101</v>
      </c>
      <c r="M955" s="53">
        <v>4.1840000000000002</v>
      </c>
      <c r="N955" s="53">
        <v>4.1840000000000002</v>
      </c>
      <c r="O955" s="53" t="s">
        <v>101</v>
      </c>
      <c r="P955" s="53" t="s">
        <v>448</v>
      </c>
      <c r="Q955" s="53" t="s">
        <v>457</v>
      </c>
      <c r="R955" s="55" t="s">
        <v>504</v>
      </c>
    </row>
    <row r="956" spans="1:18" x14ac:dyDescent="0.5">
      <c r="A956" s="56" t="str">
        <f>"452227TU5"</f>
        <v>452227TU5</v>
      </c>
      <c r="B956" s="57" t="s">
        <v>491</v>
      </c>
      <c r="C956" s="57" t="s">
        <v>1266</v>
      </c>
      <c r="D956" s="53" t="s">
        <v>447</v>
      </c>
      <c r="E956" s="57">
        <v>3</v>
      </c>
      <c r="F956" s="58">
        <v>48380</v>
      </c>
      <c r="G956" s="58">
        <v>48014</v>
      </c>
      <c r="H956" s="57" t="s">
        <v>105</v>
      </c>
      <c r="I956" s="57" t="s">
        <v>628</v>
      </c>
      <c r="J956" s="57" t="s">
        <v>101</v>
      </c>
      <c r="K956" s="57">
        <v>93.885999999999996</v>
      </c>
      <c r="L956" s="57" t="s">
        <v>101</v>
      </c>
      <c r="M956" s="57">
        <v>3.97</v>
      </c>
      <c r="N956" s="57">
        <v>3.97</v>
      </c>
      <c r="O956" s="53" t="s">
        <v>101</v>
      </c>
      <c r="P956" s="57" t="s">
        <v>448</v>
      </c>
      <c r="Q956" s="57" t="s">
        <v>591</v>
      </c>
      <c r="R956" s="59" t="s">
        <v>1267</v>
      </c>
    </row>
    <row r="957" spans="1:18" x14ac:dyDescent="0.5">
      <c r="A957" s="52" t="str">
        <f>"606020W35"</f>
        <v>606020W35</v>
      </c>
      <c r="B957" s="53" t="s">
        <v>451</v>
      </c>
      <c r="C957" s="53" t="s">
        <v>1268</v>
      </c>
      <c r="D957" s="53" t="s">
        <v>447</v>
      </c>
      <c r="E957" s="53">
        <v>3</v>
      </c>
      <c r="F957" s="54">
        <v>48380</v>
      </c>
      <c r="G957" s="54">
        <v>45823</v>
      </c>
      <c r="H957" s="53" t="s">
        <v>540</v>
      </c>
      <c r="I957" s="53" t="s">
        <v>105</v>
      </c>
      <c r="J957" s="53" t="s">
        <v>101</v>
      </c>
      <c r="K957" s="53">
        <v>95.13</v>
      </c>
      <c r="L957" s="53" t="s">
        <v>101</v>
      </c>
      <c r="M957" s="53">
        <v>3.766</v>
      </c>
      <c r="N957" s="53">
        <v>3.766</v>
      </c>
      <c r="O957" s="53" t="s">
        <v>101</v>
      </c>
      <c r="P957" s="53" t="s">
        <v>448</v>
      </c>
      <c r="Q957" s="53" t="s">
        <v>503</v>
      </c>
      <c r="R957" s="55" t="s">
        <v>504</v>
      </c>
    </row>
    <row r="958" spans="1:18" x14ac:dyDescent="0.5">
      <c r="A958" s="56" t="str">
        <f>"66702RMA7"</f>
        <v>66702RMA7</v>
      </c>
      <c r="B958" s="57" t="s">
        <v>451</v>
      </c>
      <c r="C958" s="57" t="s">
        <v>1269</v>
      </c>
      <c r="D958" s="53" t="s">
        <v>447</v>
      </c>
      <c r="E958" s="57">
        <v>3</v>
      </c>
      <c r="F958" s="58">
        <v>48380</v>
      </c>
      <c r="G958" s="58">
        <v>46188</v>
      </c>
      <c r="H958" s="57" t="s">
        <v>104</v>
      </c>
      <c r="I958" s="57" t="s">
        <v>105</v>
      </c>
      <c r="J958" s="57" t="s">
        <v>101</v>
      </c>
      <c r="K958" s="57">
        <v>96.539000000000001</v>
      </c>
      <c r="L958" s="57" t="s">
        <v>101</v>
      </c>
      <c r="M958" s="57">
        <v>3.54</v>
      </c>
      <c r="N958" s="57">
        <v>3.54</v>
      </c>
      <c r="O958" s="53" t="s">
        <v>101</v>
      </c>
      <c r="P958" s="57" t="s">
        <v>448</v>
      </c>
      <c r="Q958" s="57" t="s">
        <v>503</v>
      </c>
      <c r="R958" s="59" t="s">
        <v>454</v>
      </c>
    </row>
    <row r="959" spans="1:18" x14ac:dyDescent="0.5">
      <c r="A959" s="52" t="str">
        <f>"794101UN3"</f>
        <v>794101UN3</v>
      </c>
      <c r="B959" s="53" t="s">
        <v>477</v>
      </c>
      <c r="C959" s="53" t="s">
        <v>1270</v>
      </c>
      <c r="D959" s="53" t="s">
        <v>447</v>
      </c>
      <c r="E959" s="53">
        <v>2</v>
      </c>
      <c r="F959" s="54">
        <v>48380</v>
      </c>
      <c r="G959" s="54">
        <v>46553</v>
      </c>
      <c r="H959" s="53" t="s">
        <v>105</v>
      </c>
      <c r="I959" s="53" t="s">
        <v>616</v>
      </c>
      <c r="J959" s="53" t="s">
        <v>101</v>
      </c>
      <c r="K959" s="53">
        <v>86.566999999999993</v>
      </c>
      <c r="L959" s="53" t="s">
        <v>101</v>
      </c>
      <c r="M959" s="53">
        <v>4.1449999999999996</v>
      </c>
      <c r="N959" s="53">
        <v>4.1449999999999996</v>
      </c>
      <c r="O959" s="53" t="s">
        <v>101</v>
      </c>
      <c r="P959" s="53" t="s">
        <v>448</v>
      </c>
      <c r="Q959" s="53" t="s">
        <v>565</v>
      </c>
      <c r="R959" s="55" t="s">
        <v>454</v>
      </c>
    </row>
    <row r="960" spans="1:18" x14ac:dyDescent="0.5">
      <c r="A960" s="56" t="str">
        <f>"153476AS5"</f>
        <v>153476AS5</v>
      </c>
      <c r="B960" s="57" t="s">
        <v>499</v>
      </c>
      <c r="C960" s="57" t="s">
        <v>1271</v>
      </c>
      <c r="D960" s="53" t="s">
        <v>447</v>
      </c>
      <c r="E960" s="57">
        <v>3</v>
      </c>
      <c r="F960" s="58">
        <v>48396</v>
      </c>
      <c r="G960" s="58">
        <v>46204</v>
      </c>
      <c r="H960" s="57" t="s">
        <v>641</v>
      </c>
      <c r="I960" s="57" t="s">
        <v>616</v>
      </c>
      <c r="J960" s="57" t="s">
        <v>101</v>
      </c>
      <c r="K960" s="57">
        <v>95.23</v>
      </c>
      <c r="L960" s="57" t="s">
        <v>101</v>
      </c>
      <c r="M960" s="57">
        <v>3.746</v>
      </c>
      <c r="N960" s="57">
        <v>3.746</v>
      </c>
      <c r="O960" s="53" t="s">
        <v>101</v>
      </c>
      <c r="P960" s="57" t="s">
        <v>448</v>
      </c>
      <c r="Q960" s="57" t="s">
        <v>460</v>
      </c>
      <c r="R960" s="59" t="s">
        <v>504</v>
      </c>
    </row>
    <row r="961" spans="1:18" x14ac:dyDescent="0.5">
      <c r="A961" s="52" t="str">
        <f>"34160WYM0"</f>
        <v>34160WYM0</v>
      </c>
      <c r="B961" s="53" t="s">
        <v>499</v>
      </c>
      <c r="C961" s="53" t="s">
        <v>1272</v>
      </c>
      <c r="D961" s="53" t="s">
        <v>447</v>
      </c>
      <c r="E961" s="53">
        <v>3.375</v>
      </c>
      <c r="F961" s="54">
        <v>48396</v>
      </c>
      <c r="G961" s="54">
        <v>45839</v>
      </c>
      <c r="H961" s="53" t="s">
        <v>613</v>
      </c>
      <c r="I961" s="53" t="s">
        <v>628</v>
      </c>
      <c r="J961" s="53" t="s">
        <v>101</v>
      </c>
      <c r="K961" s="53">
        <v>99.12</v>
      </c>
      <c r="L961" s="53" t="s">
        <v>101</v>
      </c>
      <c r="M961" s="53">
        <v>3.5110000000000001</v>
      </c>
      <c r="N961" s="53">
        <v>3.5110000000000001</v>
      </c>
      <c r="O961" s="53" t="s">
        <v>101</v>
      </c>
      <c r="P961" s="53" t="s">
        <v>448</v>
      </c>
      <c r="Q961" s="53" t="s">
        <v>457</v>
      </c>
      <c r="R961" s="55" t="s">
        <v>504</v>
      </c>
    </row>
    <row r="962" spans="1:18" x14ac:dyDescent="0.5">
      <c r="A962" s="56" t="str">
        <f>"3431368K6"</f>
        <v>3431368K6</v>
      </c>
      <c r="B962" s="57" t="s">
        <v>499</v>
      </c>
      <c r="C962" s="57" t="s">
        <v>1273</v>
      </c>
      <c r="D962" s="53" t="s">
        <v>447</v>
      </c>
      <c r="E962" s="57">
        <v>3</v>
      </c>
      <c r="F962" s="58">
        <v>48396</v>
      </c>
      <c r="G962" s="58">
        <v>45839</v>
      </c>
      <c r="H962" s="57" t="s">
        <v>613</v>
      </c>
      <c r="I962" s="57" t="s">
        <v>105</v>
      </c>
      <c r="J962" s="57" t="s">
        <v>101</v>
      </c>
      <c r="K962" s="57">
        <v>96.143000000000001</v>
      </c>
      <c r="L962" s="57" t="s">
        <v>101</v>
      </c>
      <c r="M962" s="57">
        <v>3.6</v>
      </c>
      <c r="N962" s="57">
        <v>3.6</v>
      </c>
      <c r="O962" s="53" t="s">
        <v>101</v>
      </c>
      <c r="P962" s="57" t="s">
        <v>448</v>
      </c>
      <c r="Q962" s="57" t="s">
        <v>460</v>
      </c>
      <c r="R962" s="59" t="s">
        <v>589</v>
      </c>
    </row>
    <row r="963" spans="1:18" x14ac:dyDescent="0.5">
      <c r="A963" s="52" t="str">
        <f>"42766MEL7"</f>
        <v>42766MEL7</v>
      </c>
      <c r="B963" s="53" t="s">
        <v>499</v>
      </c>
      <c r="C963" s="53" t="s">
        <v>1274</v>
      </c>
      <c r="D963" s="53" t="s">
        <v>447</v>
      </c>
      <c r="E963" s="53">
        <v>3</v>
      </c>
      <c r="F963" s="54">
        <v>48396</v>
      </c>
      <c r="G963" s="54">
        <v>46204</v>
      </c>
      <c r="H963" s="53" t="s">
        <v>105</v>
      </c>
      <c r="I963" s="53" t="s">
        <v>628</v>
      </c>
      <c r="J963" s="53" t="s">
        <v>101</v>
      </c>
      <c r="K963" s="53">
        <v>95.88</v>
      </c>
      <c r="L963" s="53" t="s">
        <v>101</v>
      </c>
      <c r="M963" s="53">
        <v>3.6419999999999999</v>
      </c>
      <c r="N963" s="53">
        <v>3.6419999999999999</v>
      </c>
      <c r="O963" s="53" t="s">
        <v>101</v>
      </c>
      <c r="P963" s="53" t="s">
        <v>448</v>
      </c>
      <c r="Q963" s="53" t="s">
        <v>1275</v>
      </c>
      <c r="R963" s="55" t="s">
        <v>820</v>
      </c>
    </row>
    <row r="964" spans="1:18" x14ac:dyDescent="0.5">
      <c r="A964" s="56" t="str">
        <f>"44372AAL9"</f>
        <v>44372AAL9</v>
      </c>
      <c r="B964" s="57" t="s">
        <v>477</v>
      </c>
      <c r="C964" s="57" t="s">
        <v>1276</v>
      </c>
      <c r="D964" s="53" t="s">
        <v>447</v>
      </c>
      <c r="E964" s="57">
        <v>2</v>
      </c>
      <c r="F964" s="58">
        <v>48396</v>
      </c>
      <c r="G964" s="58">
        <v>47300</v>
      </c>
      <c r="H964" s="57" t="s">
        <v>105</v>
      </c>
      <c r="I964" s="57" t="s">
        <v>628</v>
      </c>
      <c r="J964" s="57" t="s">
        <v>101</v>
      </c>
      <c r="K964" s="57">
        <v>85.373000000000005</v>
      </c>
      <c r="L964" s="57" t="s">
        <v>101</v>
      </c>
      <c r="M964" s="57">
        <v>4.34</v>
      </c>
      <c r="N964" s="57">
        <v>4.34</v>
      </c>
      <c r="O964" s="53" t="s">
        <v>101</v>
      </c>
      <c r="P964" s="57" t="s">
        <v>448</v>
      </c>
      <c r="Q964" s="57" t="s">
        <v>488</v>
      </c>
      <c r="R964" s="59" t="s">
        <v>482</v>
      </c>
    </row>
    <row r="965" spans="1:18" x14ac:dyDescent="0.5">
      <c r="A965" s="52" t="str">
        <f>"593338AW6"</f>
        <v>593338AW6</v>
      </c>
      <c r="B965" s="53" t="s">
        <v>499</v>
      </c>
      <c r="C965" s="53" t="s">
        <v>1277</v>
      </c>
      <c r="D965" s="53" t="s">
        <v>447</v>
      </c>
      <c r="E965" s="53">
        <v>5</v>
      </c>
      <c r="F965" s="54">
        <v>48396</v>
      </c>
      <c r="G965" s="54">
        <v>46204</v>
      </c>
      <c r="H965" s="53" t="s">
        <v>627</v>
      </c>
      <c r="I965" s="53" t="s">
        <v>611</v>
      </c>
      <c r="J965" s="53" t="s">
        <v>101</v>
      </c>
      <c r="K965" s="53">
        <v>101.902</v>
      </c>
      <c r="L965" s="53" t="s">
        <v>101</v>
      </c>
      <c r="M965" s="53">
        <v>3.5609999999999999</v>
      </c>
      <c r="N965" s="53">
        <v>4.6909999999999998</v>
      </c>
      <c r="O965" s="53" t="s">
        <v>101</v>
      </c>
      <c r="P965" s="53" t="s">
        <v>448</v>
      </c>
      <c r="Q965" s="53" t="s">
        <v>488</v>
      </c>
      <c r="R965" s="55" t="s">
        <v>450</v>
      </c>
    </row>
    <row r="966" spans="1:18" x14ac:dyDescent="0.5">
      <c r="A966" s="56" t="str">
        <f>"642577TN0"</f>
        <v>642577TN0</v>
      </c>
      <c r="B966" s="57" t="s">
        <v>451</v>
      </c>
      <c r="C966" s="57" t="s">
        <v>1278</v>
      </c>
      <c r="D966" s="53" t="s">
        <v>447</v>
      </c>
      <c r="E966" s="57">
        <v>3</v>
      </c>
      <c r="F966" s="58">
        <v>48396</v>
      </c>
      <c r="G966" s="58">
        <v>45733</v>
      </c>
      <c r="H966" s="57" t="s">
        <v>540</v>
      </c>
      <c r="I966" s="57" t="s">
        <v>658</v>
      </c>
      <c r="J966" s="57" t="s">
        <v>101</v>
      </c>
      <c r="K966" s="57">
        <v>93.97</v>
      </c>
      <c r="L966" s="57" t="s">
        <v>101</v>
      </c>
      <c r="M966" s="57">
        <v>3.9510000000000001</v>
      </c>
      <c r="N966" s="57">
        <v>3.9510000000000001</v>
      </c>
      <c r="O966" s="53" t="s">
        <v>101</v>
      </c>
      <c r="P966" s="57" t="s">
        <v>448</v>
      </c>
      <c r="Q966" s="57" t="s">
        <v>488</v>
      </c>
      <c r="R966" s="59" t="s">
        <v>504</v>
      </c>
    </row>
    <row r="967" spans="1:18" x14ac:dyDescent="0.5">
      <c r="A967" s="52" t="str">
        <f>"645790LH7"</f>
        <v>645790LH7</v>
      </c>
      <c r="B967" s="53" t="s">
        <v>477</v>
      </c>
      <c r="C967" s="53" t="s">
        <v>1279</v>
      </c>
      <c r="D967" s="53" t="s">
        <v>447</v>
      </c>
      <c r="E967" s="53">
        <v>3.25</v>
      </c>
      <c r="F967" s="54">
        <v>48396</v>
      </c>
      <c r="G967" s="54">
        <v>46569</v>
      </c>
      <c r="H967" s="53" t="s">
        <v>610</v>
      </c>
      <c r="I967" s="53" t="s">
        <v>105</v>
      </c>
      <c r="J967" s="53" t="s">
        <v>101</v>
      </c>
      <c r="K967" s="53">
        <v>96.528000000000006</v>
      </c>
      <c r="L967" s="53" t="s">
        <v>101</v>
      </c>
      <c r="M967" s="53">
        <v>3.794</v>
      </c>
      <c r="N967" s="53">
        <v>3.794</v>
      </c>
      <c r="O967" s="53" t="s">
        <v>101</v>
      </c>
      <c r="P967" s="53" t="s">
        <v>448</v>
      </c>
      <c r="Q967" s="53" t="s">
        <v>1280</v>
      </c>
      <c r="R967" s="55" t="s">
        <v>506</v>
      </c>
    </row>
    <row r="968" spans="1:18" x14ac:dyDescent="0.5">
      <c r="A968" s="56" t="str">
        <f>"646066L32"</f>
        <v>646066L32</v>
      </c>
      <c r="B968" s="57" t="s">
        <v>477</v>
      </c>
      <c r="C968" s="57" t="s">
        <v>1281</v>
      </c>
      <c r="D968" s="53" t="s">
        <v>447</v>
      </c>
      <c r="E968" s="57">
        <v>5</v>
      </c>
      <c r="F968" s="58">
        <v>48396</v>
      </c>
      <c r="G968" s="58">
        <v>46569</v>
      </c>
      <c r="H968" s="57" t="s">
        <v>105</v>
      </c>
      <c r="I968" s="57" t="s">
        <v>633</v>
      </c>
      <c r="J968" s="57" t="s">
        <v>101</v>
      </c>
      <c r="K968" s="57">
        <v>103.23</v>
      </c>
      <c r="L968" s="57" t="s">
        <v>101</v>
      </c>
      <c r="M968" s="57">
        <v>3.5640000000000001</v>
      </c>
      <c r="N968" s="57">
        <v>4.4800000000000004</v>
      </c>
      <c r="O968" s="53" t="s">
        <v>101</v>
      </c>
      <c r="P968" s="57" t="s">
        <v>448</v>
      </c>
      <c r="Q968" s="57" t="s">
        <v>453</v>
      </c>
      <c r="R968" s="59" t="s">
        <v>450</v>
      </c>
    </row>
    <row r="969" spans="1:18" x14ac:dyDescent="0.5">
      <c r="A969" s="52" t="str">
        <f>"646066X62"</f>
        <v>646066X62</v>
      </c>
      <c r="B969" s="53" t="s">
        <v>477</v>
      </c>
      <c r="C969" s="53" t="s">
        <v>1282</v>
      </c>
      <c r="D969" s="53" t="s">
        <v>447</v>
      </c>
      <c r="E969" s="53">
        <v>3</v>
      </c>
      <c r="F969" s="54">
        <v>48396</v>
      </c>
      <c r="G969" s="54">
        <v>46569</v>
      </c>
      <c r="H969" s="53" t="s">
        <v>670</v>
      </c>
      <c r="I969" s="53" t="s">
        <v>628</v>
      </c>
      <c r="J969" s="53" t="s">
        <v>101</v>
      </c>
      <c r="K969" s="53">
        <v>95.83</v>
      </c>
      <c r="L969" s="53" t="s">
        <v>101</v>
      </c>
      <c r="M969" s="53">
        <v>3.65</v>
      </c>
      <c r="N969" s="53">
        <v>3.65</v>
      </c>
      <c r="O969" s="53" t="s">
        <v>101</v>
      </c>
      <c r="P969" s="53" t="s">
        <v>448</v>
      </c>
      <c r="Q969" s="53" t="s">
        <v>1014</v>
      </c>
      <c r="R969" s="55" t="s">
        <v>727</v>
      </c>
    </row>
    <row r="970" spans="1:18" x14ac:dyDescent="0.5">
      <c r="A970" s="56" t="str">
        <f>"7599113C2"</f>
        <v>7599113C2</v>
      </c>
      <c r="B970" s="57" t="s">
        <v>491</v>
      </c>
      <c r="C970" s="57" t="s">
        <v>1283</v>
      </c>
      <c r="D970" s="53" t="s">
        <v>447</v>
      </c>
      <c r="E970" s="57">
        <v>3</v>
      </c>
      <c r="F970" s="58">
        <v>48396</v>
      </c>
      <c r="G970" s="58">
        <v>46569</v>
      </c>
      <c r="H970" s="57" t="s">
        <v>105</v>
      </c>
      <c r="I970" s="57" t="s">
        <v>628</v>
      </c>
      <c r="J970" s="57" t="s">
        <v>101</v>
      </c>
      <c r="K970" s="57">
        <v>95.19</v>
      </c>
      <c r="L970" s="57" t="s">
        <v>101</v>
      </c>
      <c r="M970" s="57">
        <v>3.7530000000000001</v>
      </c>
      <c r="N970" s="57">
        <v>3.7530000000000001</v>
      </c>
      <c r="O970" s="53" t="s">
        <v>101</v>
      </c>
      <c r="P970" s="57" t="s">
        <v>448</v>
      </c>
      <c r="Q970" s="57" t="s">
        <v>488</v>
      </c>
      <c r="R970" s="59" t="s">
        <v>504</v>
      </c>
    </row>
    <row r="971" spans="1:18" x14ac:dyDescent="0.5">
      <c r="A971" s="52" t="str">
        <f>"90341UFE7"</f>
        <v>90341UFE7</v>
      </c>
      <c r="B971" s="53" t="s">
        <v>499</v>
      </c>
      <c r="C971" s="53" t="s">
        <v>1284</v>
      </c>
      <c r="D971" s="53" t="s">
        <v>447</v>
      </c>
      <c r="E971" s="53">
        <v>3.25</v>
      </c>
      <c r="F971" s="54">
        <v>48396</v>
      </c>
      <c r="G971" s="54">
        <v>47119</v>
      </c>
      <c r="H971" s="53" t="s">
        <v>641</v>
      </c>
      <c r="I971" s="53" t="s">
        <v>658</v>
      </c>
      <c r="J971" s="53" t="s">
        <v>101</v>
      </c>
      <c r="K971" s="53">
        <v>98.11</v>
      </c>
      <c r="L971" s="53" t="s">
        <v>101</v>
      </c>
      <c r="M971" s="53">
        <v>3.5430000000000001</v>
      </c>
      <c r="N971" s="53">
        <v>3.5430000000000001</v>
      </c>
      <c r="O971" s="53" t="s">
        <v>101</v>
      </c>
      <c r="P971" s="53" t="s">
        <v>448</v>
      </c>
      <c r="Q971" s="53" t="s">
        <v>453</v>
      </c>
      <c r="R971" s="55" t="s">
        <v>504</v>
      </c>
    </row>
    <row r="972" spans="1:18" x14ac:dyDescent="0.5">
      <c r="A972" s="56" t="str">
        <f>"2487756V5"</f>
        <v>2487756V5</v>
      </c>
      <c r="B972" s="57" t="s">
        <v>451</v>
      </c>
      <c r="C972" s="57" t="s">
        <v>1285</v>
      </c>
      <c r="D972" s="53" t="s">
        <v>447</v>
      </c>
      <c r="E972" s="57">
        <v>3</v>
      </c>
      <c r="F972" s="58">
        <v>48410</v>
      </c>
      <c r="G972" s="58">
        <v>46949</v>
      </c>
      <c r="H972" s="57" t="s">
        <v>104</v>
      </c>
      <c r="I972" s="57" t="s">
        <v>104</v>
      </c>
      <c r="J972" s="57" t="s">
        <v>101</v>
      </c>
      <c r="K972" s="57">
        <v>95.686999999999998</v>
      </c>
      <c r="L972" s="57" t="s">
        <v>101</v>
      </c>
      <c r="M972" s="57">
        <v>3.67</v>
      </c>
      <c r="N972" s="57">
        <v>3.67</v>
      </c>
      <c r="O972" s="53" t="s">
        <v>101</v>
      </c>
      <c r="P972" s="57" t="s">
        <v>448</v>
      </c>
      <c r="Q972" s="57" t="s">
        <v>453</v>
      </c>
      <c r="R972" s="59" t="s">
        <v>454</v>
      </c>
    </row>
    <row r="973" spans="1:18" x14ac:dyDescent="0.5">
      <c r="A973" s="52" t="str">
        <f>"274803DL6"</f>
        <v>274803DL6</v>
      </c>
      <c r="B973" s="53" t="s">
        <v>477</v>
      </c>
      <c r="C973" s="53" t="s">
        <v>1286</v>
      </c>
      <c r="D973" s="53" t="s">
        <v>447</v>
      </c>
      <c r="E973" s="53">
        <v>2</v>
      </c>
      <c r="F973" s="54">
        <v>48410</v>
      </c>
      <c r="G973" s="54">
        <v>46949</v>
      </c>
      <c r="H973" s="53" t="s">
        <v>105</v>
      </c>
      <c r="I973" s="53" t="s">
        <v>628</v>
      </c>
      <c r="J973" s="53" t="s">
        <v>101</v>
      </c>
      <c r="K973" s="53">
        <v>85.828000000000003</v>
      </c>
      <c r="L973" s="53" t="s">
        <v>101</v>
      </c>
      <c r="M973" s="53">
        <v>4.25</v>
      </c>
      <c r="N973" s="53">
        <v>4.25</v>
      </c>
      <c r="O973" s="53" t="s">
        <v>101</v>
      </c>
      <c r="P973" s="53" t="s">
        <v>448</v>
      </c>
      <c r="Q973" s="53" t="s">
        <v>538</v>
      </c>
      <c r="R973" s="55" t="s">
        <v>630</v>
      </c>
    </row>
    <row r="974" spans="1:18" x14ac:dyDescent="0.5">
      <c r="A974" s="56" t="str">
        <f>"45204EZU5"</f>
        <v>45204EZU5</v>
      </c>
      <c r="B974" s="57" t="s">
        <v>491</v>
      </c>
      <c r="C974" s="57" t="s">
        <v>1287</v>
      </c>
      <c r="D974" s="53" t="s">
        <v>447</v>
      </c>
      <c r="E974" s="57">
        <v>3</v>
      </c>
      <c r="F974" s="58">
        <v>48410</v>
      </c>
      <c r="G974" s="58">
        <v>46767</v>
      </c>
      <c r="H974" s="57" t="s">
        <v>613</v>
      </c>
      <c r="I974" s="57" t="s">
        <v>509</v>
      </c>
      <c r="J974" s="57" t="s">
        <v>101</v>
      </c>
      <c r="K974" s="57">
        <v>95.22</v>
      </c>
      <c r="L974" s="57" t="s">
        <v>101</v>
      </c>
      <c r="M974" s="57">
        <v>3.7450000000000001</v>
      </c>
      <c r="N974" s="57">
        <v>3.7450000000000001</v>
      </c>
      <c r="O974" s="53" t="s">
        <v>101</v>
      </c>
      <c r="P974" s="57" t="s">
        <v>448</v>
      </c>
      <c r="Q974" s="57" t="s">
        <v>655</v>
      </c>
      <c r="R974" s="59" t="s">
        <v>506</v>
      </c>
    </row>
    <row r="975" spans="1:18" x14ac:dyDescent="0.5">
      <c r="A975" s="52" t="str">
        <f>"781479ET3"</f>
        <v>781479ET3</v>
      </c>
      <c r="B975" s="53" t="s">
        <v>477</v>
      </c>
      <c r="C975" s="53" t="s">
        <v>1288</v>
      </c>
      <c r="D975" s="53" t="s">
        <v>447</v>
      </c>
      <c r="E975" s="53">
        <v>2</v>
      </c>
      <c r="F975" s="54">
        <v>48410</v>
      </c>
      <c r="G975" s="54">
        <v>47314</v>
      </c>
      <c r="H975" s="53" t="s">
        <v>540</v>
      </c>
      <c r="I975" s="53" t="s">
        <v>105</v>
      </c>
      <c r="J975" s="53" t="s">
        <v>101</v>
      </c>
      <c r="K975" s="53">
        <v>86.43</v>
      </c>
      <c r="L975" s="53" t="s">
        <v>101</v>
      </c>
      <c r="M975" s="53">
        <v>4.1459999999999999</v>
      </c>
      <c r="N975" s="53">
        <v>4.1459999999999999</v>
      </c>
      <c r="O975" s="53" t="s">
        <v>101</v>
      </c>
      <c r="P975" s="53" t="s">
        <v>448</v>
      </c>
      <c r="Q975" s="53" t="s">
        <v>453</v>
      </c>
      <c r="R975" s="55" t="s">
        <v>454</v>
      </c>
    </row>
    <row r="976" spans="1:18" x14ac:dyDescent="0.5">
      <c r="A976" s="56" t="str">
        <f>"954898GR7"</f>
        <v>954898GR7</v>
      </c>
      <c r="B976" s="57" t="s">
        <v>477</v>
      </c>
      <c r="C976" s="57" t="s">
        <v>1289</v>
      </c>
      <c r="D976" s="53" t="s">
        <v>447</v>
      </c>
      <c r="E976" s="57">
        <v>2</v>
      </c>
      <c r="F976" s="58">
        <v>48410</v>
      </c>
      <c r="G976" s="58">
        <v>46583</v>
      </c>
      <c r="H976" s="57" t="s">
        <v>105</v>
      </c>
      <c r="I976" s="57" t="s">
        <v>628</v>
      </c>
      <c r="J976" s="57" t="s">
        <v>101</v>
      </c>
      <c r="K976" s="57">
        <v>86.741</v>
      </c>
      <c r="L976" s="57" t="s">
        <v>101</v>
      </c>
      <c r="M976" s="57">
        <v>4.093</v>
      </c>
      <c r="N976" s="57">
        <v>4.093</v>
      </c>
      <c r="O976" s="53" t="s">
        <v>101</v>
      </c>
      <c r="P976" s="57" t="s">
        <v>448</v>
      </c>
      <c r="Q976" s="57" t="s">
        <v>457</v>
      </c>
      <c r="R976" s="59" t="s">
        <v>454</v>
      </c>
    </row>
    <row r="977" spans="1:18" x14ac:dyDescent="0.5">
      <c r="A977" s="52" t="str">
        <f>"052405DP9"</f>
        <v>052405DP9</v>
      </c>
      <c r="B977" s="53" t="s">
        <v>451</v>
      </c>
      <c r="C977" s="53" t="s">
        <v>1290</v>
      </c>
      <c r="D977" s="53" t="s">
        <v>447</v>
      </c>
      <c r="E977" s="53">
        <v>3</v>
      </c>
      <c r="F977" s="54">
        <v>48427</v>
      </c>
      <c r="G977" s="54">
        <v>46600</v>
      </c>
      <c r="H977" s="53" t="s">
        <v>624</v>
      </c>
      <c r="I977" s="53" t="s">
        <v>628</v>
      </c>
      <c r="J977" s="53" t="s">
        <v>101</v>
      </c>
      <c r="K977" s="53">
        <v>96.712000000000003</v>
      </c>
      <c r="L977" s="53" t="s">
        <v>101</v>
      </c>
      <c r="M977" s="53">
        <v>3.5049999999999999</v>
      </c>
      <c r="N977" s="53">
        <v>3.5049999999999999</v>
      </c>
      <c r="O977" s="53" t="s">
        <v>101</v>
      </c>
      <c r="P977" s="53" t="s">
        <v>448</v>
      </c>
      <c r="Q977" s="53" t="s">
        <v>460</v>
      </c>
      <c r="R977" s="55" t="s">
        <v>450</v>
      </c>
    </row>
    <row r="978" spans="1:18" x14ac:dyDescent="0.5">
      <c r="A978" s="56" t="str">
        <f>"117467FR6"</f>
        <v>117467FR6</v>
      </c>
      <c r="B978" s="57" t="s">
        <v>451</v>
      </c>
      <c r="C978" s="57" t="s">
        <v>1291</v>
      </c>
      <c r="D978" s="53" t="s">
        <v>447</v>
      </c>
      <c r="E978" s="57">
        <v>4</v>
      </c>
      <c r="F978" s="58">
        <v>48427</v>
      </c>
      <c r="G978" s="58">
        <v>46235</v>
      </c>
      <c r="H978" s="57" t="s">
        <v>105</v>
      </c>
      <c r="I978" s="57" t="s">
        <v>628</v>
      </c>
      <c r="J978" s="57" t="s">
        <v>101</v>
      </c>
      <c r="K978" s="57">
        <v>100.35</v>
      </c>
      <c r="L978" s="57" t="s">
        <v>101</v>
      </c>
      <c r="M978" s="57">
        <v>3.7490000000000001</v>
      </c>
      <c r="N978" s="57">
        <v>3.9449999999999998</v>
      </c>
      <c r="O978" s="53" t="s">
        <v>101</v>
      </c>
      <c r="P978" s="57" t="s">
        <v>448</v>
      </c>
      <c r="Q978" s="57" t="s">
        <v>488</v>
      </c>
      <c r="R978" s="59" t="s">
        <v>504</v>
      </c>
    </row>
    <row r="979" spans="1:18" x14ac:dyDescent="0.5">
      <c r="A979" s="52" t="str">
        <f>"139042TD7"</f>
        <v>139042TD7</v>
      </c>
      <c r="B979" s="53" t="s">
        <v>451</v>
      </c>
      <c r="C979" s="53" t="s">
        <v>1292</v>
      </c>
      <c r="D979" s="53" t="s">
        <v>447</v>
      </c>
      <c r="E979" s="53">
        <v>4</v>
      </c>
      <c r="F979" s="54">
        <v>48427</v>
      </c>
      <c r="G979" s="54">
        <v>46235</v>
      </c>
      <c r="H979" s="53" t="s">
        <v>105</v>
      </c>
      <c r="I979" s="53" t="s">
        <v>509</v>
      </c>
      <c r="J979" s="53" t="s">
        <v>101</v>
      </c>
      <c r="K979" s="53">
        <v>100.658</v>
      </c>
      <c r="L979" s="53" t="s">
        <v>101</v>
      </c>
      <c r="M979" s="53">
        <v>3.53</v>
      </c>
      <c r="N979" s="53">
        <v>3.8969999999999998</v>
      </c>
      <c r="O979" s="53" t="s">
        <v>101</v>
      </c>
      <c r="P979" s="53" t="s">
        <v>448</v>
      </c>
      <c r="Q979" s="53" t="s">
        <v>488</v>
      </c>
      <c r="R979" s="55" t="s">
        <v>504</v>
      </c>
    </row>
    <row r="980" spans="1:18" x14ac:dyDescent="0.5">
      <c r="A980" s="56" t="str">
        <f>"139042UX1"</f>
        <v>139042UX1</v>
      </c>
      <c r="B980" s="57" t="s">
        <v>451</v>
      </c>
      <c r="C980" s="57" t="s">
        <v>1293</v>
      </c>
      <c r="D980" s="53" t="s">
        <v>447</v>
      </c>
      <c r="E980" s="57">
        <v>3</v>
      </c>
      <c r="F980" s="58">
        <v>48427</v>
      </c>
      <c r="G980" s="58">
        <v>47696</v>
      </c>
      <c r="H980" s="57" t="s">
        <v>105</v>
      </c>
      <c r="I980" s="57" t="s">
        <v>658</v>
      </c>
      <c r="J980" s="57" t="s">
        <v>101</v>
      </c>
      <c r="K980" s="57">
        <v>94.852000000000004</v>
      </c>
      <c r="L980" s="57" t="s">
        <v>101</v>
      </c>
      <c r="M980" s="57">
        <v>3.7989999999999999</v>
      </c>
      <c r="N980" s="57">
        <v>3.7989999999999999</v>
      </c>
      <c r="O980" s="53" t="s">
        <v>101</v>
      </c>
      <c r="P980" s="57" t="s">
        <v>448</v>
      </c>
      <c r="Q980" s="57" t="s">
        <v>635</v>
      </c>
      <c r="R980" s="59" t="s">
        <v>504</v>
      </c>
    </row>
    <row r="981" spans="1:18" x14ac:dyDescent="0.5">
      <c r="A981" s="52" t="str">
        <f>"185072GQ2"</f>
        <v>185072GQ2</v>
      </c>
      <c r="B981" s="53" t="s">
        <v>477</v>
      </c>
      <c r="C981" s="53" t="s">
        <v>1294</v>
      </c>
      <c r="D981" s="53" t="s">
        <v>447</v>
      </c>
      <c r="E981" s="53">
        <v>3</v>
      </c>
      <c r="F981" s="54">
        <v>48427</v>
      </c>
      <c r="G981" s="54">
        <v>47331</v>
      </c>
      <c r="H981" s="53" t="s">
        <v>105</v>
      </c>
      <c r="I981" s="53" t="s">
        <v>628</v>
      </c>
      <c r="J981" s="53" t="s">
        <v>101</v>
      </c>
      <c r="K981" s="53">
        <v>96.194000000000003</v>
      </c>
      <c r="L981" s="53" t="s">
        <v>101</v>
      </c>
      <c r="M981" s="53">
        <v>3.5859999999999999</v>
      </c>
      <c r="N981" s="53">
        <v>3.5859999999999999</v>
      </c>
      <c r="O981" s="53" t="s">
        <v>101</v>
      </c>
      <c r="P981" s="53" t="s">
        <v>448</v>
      </c>
      <c r="Q981" s="53" t="s">
        <v>457</v>
      </c>
      <c r="R981" s="55" t="s">
        <v>454</v>
      </c>
    </row>
    <row r="982" spans="1:18" x14ac:dyDescent="0.5">
      <c r="A982" s="56" t="str">
        <f>"448492ZG6"</f>
        <v>448492ZG6</v>
      </c>
      <c r="B982" s="57" t="s">
        <v>451</v>
      </c>
      <c r="C982" s="57" t="s">
        <v>1295</v>
      </c>
      <c r="D982" s="53" t="s">
        <v>447</v>
      </c>
      <c r="E982" s="57">
        <v>3.25</v>
      </c>
      <c r="F982" s="58">
        <v>48427</v>
      </c>
      <c r="G982" s="58">
        <v>45733</v>
      </c>
      <c r="H982" s="57" t="s">
        <v>105</v>
      </c>
      <c r="I982" s="57" t="s">
        <v>104</v>
      </c>
      <c r="J982" s="57" t="s">
        <v>101</v>
      </c>
      <c r="K982" s="57">
        <v>98.265000000000001</v>
      </c>
      <c r="L982" s="57" t="s">
        <v>101</v>
      </c>
      <c r="M982" s="57">
        <v>3.516</v>
      </c>
      <c r="N982" s="57">
        <v>3.516</v>
      </c>
      <c r="O982" s="53" t="s">
        <v>101</v>
      </c>
      <c r="P982" s="57" t="s">
        <v>448</v>
      </c>
      <c r="Q982" s="57" t="s">
        <v>460</v>
      </c>
      <c r="R982" s="59" t="s">
        <v>454</v>
      </c>
    </row>
    <row r="983" spans="1:18" x14ac:dyDescent="0.5">
      <c r="A983" s="52" t="str">
        <f>"516825JG2"</f>
        <v>516825JG2</v>
      </c>
      <c r="B983" s="53" t="s">
        <v>451</v>
      </c>
      <c r="C983" s="53" t="s">
        <v>1296</v>
      </c>
      <c r="D983" s="53" t="s">
        <v>447</v>
      </c>
      <c r="E983" s="53">
        <v>3</v>
      </c>
      <c r="F983" s="54">
        <v>48427</v>
      </c>
      <c r="G983" s="54">
        <v>46235</v>
      </c>
      <c r="H983" s="53" t="s">
        <v>624</v>
      </c>
      <c r="I983" s="53" t="s">
        <v>628</v>
      </c>
      <c r="J983" s="53" t="s">
        <v>101</v>
      </c>
      <c r="K983" s="53">
        <v>95.912999999999997</v>
      </c>
      <c r="L983" s="53" t="s">
        <v>101</v>
      </c>
      <c r="M983" s="53">
        <v>3.6309999999999998</v>
      </c>
      <c r="N983" s="53">
        <v>3.6309999999999998</v>
      </c>
      <c r="O983" s="53" t="s">
        <v>101</v>
      </c>
      <c r="P983" s="53" t="s">
        <v>448</v>
      </c>
      <c r="Q983" s="53" t="s">
        <v>573</v>
      </c>
      <c r="R983" s="55" t="s">
        <v>454</v>
      </c>
    </row>
    <row r="984" spans="1:18" x14ac:dyDescent="0.5">
      <c r="A984" s="56" t="str">
        <f>"530421JQ0"</f>
        <v>530421JQ0</v>
      </c>
      <c r="B984" s="57" t="s">
        <v>451</v>
      </c>
      <c r="C984" s="57" t="s">
        <v>1297</v>
      </c>
      <c r="D984" s="53" t="s">
        <v>447</v>
      </c>
      <c r="E984" s="57">
        <v>3</v>
      </c>
      <c r="F984" s="58">
        <v>48427</v>
      </c>
      <c r="G984" s="58">
        <v>47331</v>
      </c>
      <c r="H984" s="57" t="s">
        <v>105</v>
      </c>
      <c r="I984" s="57" t="s">
        <v>628</v>
      </c>
      <c r="J984" s="57" t="s">
        <v>101</v>
      </c>
      <c r="K984" s="57">
        <v>95.87</v>
      </c>
      <c r="L984" s="57" t="s">
        <v>101</v>
      </c>
      <c r="M984" s="57">
        <v>3.637</v>
      </c>
      <c r="N984" s="57">
        <v>3.637</v>
      </c>
      <c r="O984" s="53" t="s">
        <v>101</v>
      </c>
      <c r="P984" s="57" t="s">
        <v>448</v>
      </c>
      <c r="Q984" s="57" t="s">
        <v>571</v>
      </c>
      <c r="R984" s="59" t="s">
        <v>589</v>
      </c>
    </row>
    <row r="985" spans="1:18" x14ac:dyDescent="0.5">
      <c r="A985" s="52" t="str">
        <f>"537207JR4"</f>
        <v>537207JR4</v>
      </c>
      <c r="B985" s="53" t="s">
        <v>477</v>
      </c>
      <c r="C985" s="53" t="s">
        <v>1298</v>
      </c>
      <c r="D985" s="53" t="s">
        <v>447</v>
      </c>
      <c r="E985" s="53">
        <v>3</v>
      </c>
      <c r="F985" s="54">
        <v>48427</v>
      </c>
      <c r="G985" s="54">
        <v>47331</v>
      </c>
      <c r="H985" s="53" t="s">
        <v>105</v>
      </c>
      <c r="I985" s="53" t="s">
        <v>628</v>
      </c>
      <c r="J985" s="53" t="s">
        <v>101</v>
      </c>
      <c r="K985" s="53">
        <v>96.447000000000003</v>
      </c>
      <c r="L985" s="53" t="s">
        <v>101</v>
      </c>
      <c r="M985" s="53">
        <v>3.5470000000000002</v>
      </c>
      <c r="N985" s="53">
        <v>3.5470000000000002</v>
      </c>
      <c r="O985" s="53" t="s">
        <v>101</v>
      </c>
      <c r="P985" s="53" t="s">
        <v>448</v>
      </c>
      <c r="Q985" s="53" t="s">
        <v>485</v>
      </c>
      <c r="R985" s="55" t="s">
        <v>454</v>
      </c>
    </row>
    <row r="986" spans="1:18" x14ac:dyDescent="0.5">
      <c r="A986" s="56" t="str">
        <f>"539753GX5"</f>
        <v>539753GX5</v>
      </c>
      <c r="B986" s="57" t="s">
        <v>451</v>
      </c>
      <c r="C986" s="57" t="s">
        <v>1299</v>
      </c>
      <c r="D986" s="53" t="s">
        <v>447</v>
      </c>
      <c r="E986" s="57">
        <v>3.25</v>
      </c>
      <c r="F986" s="58">
        <v>48427</v>
      </c>
      <c r="G986" s="58">
        <v>45733</v>
      </c>
      <c r="H986" s="57" t="s">
        <v>105</v>
      </c>
      <c r="I986" s="57" t="s">
        <v>628</v>
      </c>
      <c r="J986" s="57" t="s">
        <v>101</v>
      </c>
      <c r="K986" s="57">
        <v>97.686000000000007</v>
      </c>
      <c r="L986" s="57" t="s">
        <v>101</v>
      </c>
      <c r="M986" s="57">
        <v>3.6070000000000002</v>
      </c>
      <c r="N986" s="57">
        <v>3.6070000000000002</v>
      </c>
      <c r="O986" s="53" t="s">
        <v>101</v>
      </c>
      <c r="P986" s="57" t="s">
        <v>448</v>
      </c>
      <c r="Q986" s="57" t="s">
        <v>485</v>
      </c>
      <c r="R986" s="59" t="s">
        <v>771</v>
      </c>
    </row>
    <row r="987" spans="1:18" x14ac:dyDescent="0.5">
      <c r="A987" s="52" t="str">
        <f>"566591TT0"</f>
        <v>566591TT0</v>
      </c>
      <c r="B987" s="53" t="s">
        <v>477</v>
      </c>
      <c r="C987" s="53" t="s">
        <v>1300</v>
      </c>
      <c r="D987" s="53" t="s">
        <v>447</v>
      </c>
      <c r="E987" s="53">
        <v>2.25</v>
      </c>
      <c r="F987" s="54">
        <v>48427</v>
      </c>
      <c r="G987" s="54">
        <v>46235</v>
      </c>
      <c r="H987" s="53" t="s">
        <v>105</v>
      </c>
      <c r="I987" s="53" t="s">
        <v>509</v>
      </c>
      <c r="J987" s="53" t="s">
        <v>101</v>
      </c>
      <c r="K987" s="53">
        <v>88.078999999999994</v>
      </c>
      <c r="L987" s="53" t="s">
        <v>101</v>
      </c>
      <c r="M987" s="53">
        <v>4.1239999999999997</v>
      </c>
      <c r="N987" s="53">
        <v>4.1239999999999997</v>
      </c>
      <c r="O987" s="53" t="s">
        <v>101</v>
      </c>
      <c r="P987" s="53" t="s">
        <v>448</v>
      </c>
      <c r="Q987" s="53" t="s">
        <v>874</v>
      </c>
      <c r="R987" s="55" t="s">
        <v>454</v>
      </c>
    </row>
    <row r="988" spans="1:18" x14ac:dyDescent="0.5">
      <c r="A988" s="56" t="str">
        <f>"825230QK4"</f>
        <v>825230QK4</v>
      </c>
      <c r="B988" s="57" t="s">
        <v>496</v>
      </c>
      <c r="C988" s="57" t="s">
        <v>1301</v>
      </c>
      <c r="D988" s="53" t="s">
        <v>447</v>
      </c>
      <c r="E988" s="57">
        <v>2.5</v>
      </c>
      <c r="F988" s="58">
        <v>48427</v>
      </c>
      <c r="G988" s="58">
        <v>45870</v>
      </c>
      <c r="H988" s="57" t="s">
        <v>613</v>
      </c>
      <c r="I988" s="57" t="s">
        <v>105</v>
      </c>
      <c r="J988" s="57" t="s">
        <v>101</v>
      </c>
      <c r="K988" s="57">
        <v>89.765000000000001</v>
      </c>
      <c r="L988" s="57" t="s">
        <v>101</v>
      </c>
      <c r="M988" s="57">
        <v>4.1079999999999997</v>
      </c>
      <c r="N988" s="57">
        <v>4.1079999999999997</v>
      </c>
      <c r="O988" s="53" t="s">
        <v>101</v>
      </c>
      <c r="P988" s="57" t="s">
        <v>448</v>
      </c>
      <c r="Q988" s="57" t="s">
        <v>663</v>
      </c>
      <c r="R988" s="59" t="s">
        <v>482</v>
      </c>
    </row>
    <row r="989" spans="1:18" x14ac:dyDescent="0.5">
      <c r="A989" s="52" t="str">
        <f>"8800642N9"</f>
        <v>8800642N9</v>
      </c>
      <c r="B989" s="53" t="s">
        <v>451</v>
      </c>
      <c r="C989" s="53" t="s">
        <v>1302</v>
      </c>
      <c r="D989" s="53" t="s">
        <v>447</v>
      </c>
      <c r="E989" s="53">
        <v>3</v>
      </c>
      <c r="F989" s="54">
        <v>48427</v>
      </c>
      <c r="G989" s="54">
        <v>46419</v>
      </c>
      <c r="H989" s="53" t="s">
        <v>105</v>
      </c>
      <c r="I989" s="53" t="s">
        <v>628</v>
      </c>
      <c r="J989" s="53" t="s">
        <v>101</v>
      </c>
      <c r="K989" s="53">
        <v>95.876000000000005</v>
      </c>
      <c r="L989" s="53" t="s">
        <v>101</v>
      </c>
      <c r="M989" s="53">
        <v>3.637</v>
      </c>
      <c r="N989" s="53">
        <v>3.637</v>
      </c>
      <c r="O989" s="53" t="s">
        <v>101</v>
      </c>
      <c r="P989" s="53" t="s">
        <v>448</v>
      </c>
      <c r="Q989" s="53" t="s">
        <v>485</v>
      </c>
      <c r="R989" s="55" t="s">
        <v>504</v>
      </c>
    </row>
    <row r="990" spans="1:18" x14ac:dyDescent="0.5">
      <c r="A990" s="56" t="str">
        <f>"905734PF0"</f>
        <v>905734PF0</v>
      </c>
      <c r="B990" s="57" t="s">
        <v>477</v>
      </c>
      <c r="C990" s="57" t="s">
        <v>1303</v>
      </c>
      <c r="D990" s="53" t="s">
        <v>447</v>
      </c>
      <c r="E990" s="57">
        <v>2.25</v>
      </c>
      <c r="F990" s="58">
        <v>48427</v>
      </c>
      <c r="G990" s="58">
        <v>47696</v>
      </c>
      <c r="H990" s="57" t="s">
        <v>610</v>
      </c>
      <c r="I990" s="57" t="s">
        <v>628</v>
      </c>
      <c r="J990" s="57" t="s">
        <v>101</v>
      </c>
      <c r="K990" s="57">
        <v>90.225999999999999</v>
      </c>
      <c r="L990" s="57" t="s">
        <v>101</v>
      </c>
      <c r="M990" s="57">
        <v>3.766</v>
      </c>
      <c r="N990" s="57">
        <v>3.766</v>
      </c>
      <c r="O990" s="53" t="s">
        <v>101</v>
      </c>
      <c r="P990" s="57" t="s">
        <v>448</v>
      </c>
      <c r="Q990" s="57" t="s">
        <v>538</v>
      </c>
      <c r="R990" s="59" t="s">
        <v>680</v>
      </c>
    </row>
    <row r="991" spans="1:18" x14ac:dyDescent="0.5">
      <c r="A991" s="52" t="str">
        <f>"944080YZ7"</f>
        <v>944080YZ7</v>
      </c>
      <c r="B991" s="53" t="s">
        <v>451</v>
      </c>
      <c r="C991" s="53" t="s">
        <v>1304</v>
      </c>
      <c r="D991" s="53" t="s">
        <v>447</v>
      </c>
      <c r="E991" s="53">
        <v>4</v>
      </c>
      <c r="F991" s="54">
        <v>48427</v>
      </c>
      <c r="G991" s="54">
        <v>46235</v>
      </c>
      <c r="H991" s="53" t="s">
        <v>613</v>
      </c>
      <c r="I991" s="53" t="s">
        <v>628</v>
      </c>
      <c r="J991" s="53" t="s">
        <v>101</v>
      </c>
      <c r="K991" s="53">
        <v>100.672</v>
      </c>
      <c r="L991" s="53" t="s">
        <v>101</v>
      </c>
      <c r="M991" s="53">
        <v>3.52</v>
      </c>
      <c r="N991" s="53">
        <v>3.895</v>
      </c>
      <c r="O991" s="53" t="s">
        <v>101</v>
      </c>
      <c r="P991" s="53" t="s">
        <v>448</v>
      </c>
      <c r="Q991" s="53" t="s">
        <v>457</v>
      </c>
      <c r="R991" s="55" t="s">
        <v>454</v>
      </c>
    </row>
    <row r="992" spans="1:18" x14ac:dyDescent="0.5">
      <c r="A992" s="56" t="str">
        <f>"956882RC0"</f>
        <v>956882RC0</v>
      </c>
      <c r="B992" s="57" t="s">
        <v>477</v>
      </c>
      <c r="C992" s="57" t="s">
        <v>1305</v>
      </c>
      <c r="D992" s="53" t="s">
        <v>447</v>
      </c>
      <c r="E992" s="57">
        <v>2.25</v>
      </c>
      <c r="F992" s="58">
        <v>48427</v>
      </c>
      <c r="G992" s="58">
        <v>46235</v>
      </c>
      <c r="H992" s="57" t="s">
        <v>105</v>
      </c>
      <c r="I992" s="57" t="s">
        <v>104</v>
      </c>
      <c r="J992" s="57" t="s">
        <v>101</v>
      </c>
      <c r="K992" s="57">
        <v>89.475999999999999</v>
      </c>
      <c r="L992" s="57" t="s">
        <v>101</v>
      </c>
      <c r="M992" s="57">
        <v>3.89</v>
      </c>
      <c r="N992" s="57">
        <v>3.89</v>
      </c>
      <c r="O992" s="53" t="s">
        <v>101</v>
      </c>
      <c r="P992" s="57" t="s">
        <v>448</v>
      </c>
      <c r="Q992" s="57" t="s">
        <v>593</v>
      </c>
      <c r="R992" s="59" t="s">
        <v>482</v>
      </c>
    </row>
    <row r="993" spans="1:18" x14ac:dyDescent="0.5">
      <c r="A993" s="52" t="str">
        <f>"117566AP4"</f>
        <v>117566AP4</v>
      </c>
      <c r="B993" s="53" t="s">
        <v>451</v>
      </c>
      <c r="C993" s="53" t="s">
        <v>1306</v>
      </c>
      <c r="D993" s="53" t="s">
        <v>447</v>
      </c>
      <c r="E993" s="53">
        <v>3</v>
      </c>
      <c r="F993" s="54">
        <v>48441</v>
      </c>
      <c r="G993" s="54">
        <v>46614</v>
      </c>
      <c r="H993" s="53" t="s">
        <v>105</v>
      </c>
      <c r="I993" s="53" t="s">
        <v>509</v>
      </c>
      <c r="J993" s="53" t="s">
        <v>101</v>
      </c>
      <c r="K993" s="53">
        <v>95.289000000000001</v>
      </c>
      <c r="L993" s="53" t="s">
        <v>101</v>
      </c>
      <c r="M993" s="53">
        <v>3.726</v>
      </c>
      <c r="N993" s="53">
        <v>3.726</v>
      </c>
      <c r="O993" s="53" t="s">
        <v>101</v>
      </c>
      <c r="P993" s="53" t="s">
        <v>448</v>
      </c>
      <c r="Q993" s="53" t="s">
        <v>453</v>
      </c>
      <c r="R993" s="55" t="s">
        <v>504</v>
      </c>
    </row>
    <row r="994" spans="1:18" x14ac:dyDescent="0.5">
      <c r="A994" s="56" t="str">
        <f>"127253TT9"</f>
        <v>127253TT9</v>
      </c>
      <c r="B994" s="57" t="s">
        <v>451</v>
      </c>
      <c r="C994" s="57" t="s">
        <v>1307</v>
      </c>
      <c r="D994" s="53" t="s">
        <v>447</v>
      </c>
      <c r="E994" s="57">
        <v>3</v>
      </c>
      <c r="F994" s="58">
        <v>48441</v>
      </c>
      <c r="G994" s="58">
        <v>47710</v>
      </c>
      <c r="H994" s="57" t="s">
        <v>105</v>
      </c>
      <c r="I994" s="57" t="s">
        <v>104</v>
      </c>
      <c r="J994" s="57" t="s">
        <v>101</v>
      </c>
      <c r="K994" s="57">
        <v>95.7</v>
      </c>
      <c r="L994" s="57" t="s">
        <v>101</v>
      </c>
      <c r="M994" s="57">
        <v>3.661</v>
      </c>
      <c r="N994" s="57">
        <v>3.661</v>
      </c>
      <c r="O994" s="53" t="s">
        <v>101</v>
      </c>
      <c r="P994" s="57" t="s">
        <v>448</v>
      </c>
      <c r="Q994" s="57" t="s">
        <v>453</v>
      </c>
      <c r="R994" s="59" t="s">
        <v>482</v>
      </c>
    </row>
    <row r="995" spans="1:18" x14ac:dyDescent="0.5">
      <c r="A995" s="52" t="str">
        <f>"150429TP3"</f>
        <v>150429TP3</v>
      </c>
      <c r="B995" s="53" t="s">
        <v>451</v>
      </c>
      <c r="C995" s="53" t="s">
        <v>1308</v>
      </c>
      <c r="D995" s="53" t="s">
        <v>447</v>
      </c>
      <c r="E995" s="53">
        <v>0</v>
      </c>
      <c r="F995" s="54">
        <v>48441</v>
      </c>
      <c r="G995" s="54" t="s">
        <v>105</v>
      </c>
      <c r="H995" s="53" t="s">
        <v>685</v>
      </c>
      <c r="I995" s="53" t="s">
        <v>616</v>
      </c>
      <c r="J995" s="53" t="s">
        <v>101</v>
      </c>
      <c r="K995" s="53">
        <v>76.11</v>
      </c>
      <c r="L995" s="53" t="s">
        <v>101</v>
      </c>
      <c r="M995" s="53">
        <v>3.677</v>
      </c>
      <c r="N995" s="53">
        <v>3.677</v>
      </c>
      <c r="O995" s="53" t="s">
        <v>101</v>
      </c>
      <c r="P995" s="53" t="s">
        <v>448</v>
      </c>
      <c r="Q995" s="53" t="s">
        <v>457</v>
      </c>
      <c r="R995" s="55" t="s">
        <v>621</v>
      </c>
    </row>
    <row r="996" spans="1:18" x14ac:dyDescent="0.5">
      <c r="A996" s="56" t="str">
        <f>"170175EF6"</f>
        <v>170175EF6</v>
      </c>
      <c r="B996" s="57" t="s">
        <v>451</v>
      </c>
      <c r="C996" s="57" t="s">
        <v>1309</v>
      </c>
      <c r="D996" s="53" t="s">
        <v>447</v>
      </c>
      <c r="E996" s="57">
        <v>3</v>
      </c>
      <c r="F996" s="58">
        <v>48441</v>
      </c>
      <c r="G996" s="58">
        <v>46249</v>
      </c>
      <c r="H996" s="57" t="s">
        <v>104</v>
      </c>
      <c r="I996" s="57" t="s">
        <v>105</v>
      </c>
      <c r="J996" s="57" t="s">
        <v>101</v>
      </c>
      <c r="K996" s="57">
        <v>95.736999999999995</v>
      </c>
      <c r="L996" s="57" t="s">
        <v>101</v>
      </c>
      <c r="M996" s="57">
        <v>3.6560000000000001</v>
      </c>
      <c r="N996" s="57">
        <v>3.6560000000000001</v>
      </c>
      <c r="O996" s="53" t="s">
        <v>101</v>
      </c>
      <c r="P996" s="57" t="s">
        <v>448</v>
      </c>
      <c r="Q996" s="57" t="s">
        <v>460</v>
      </c>
      <c r="R996" s="59" t="s">
        <v>454</v>
      </c>
    </row>
    <row r="997" spans="1:18" x14ac:dyDescent="0.5">
      <c r="A997" s="52" t="str">
        <f>"187145ET0"</f>
        <v>187145ET0</v>
      </c>
      <c r="B997" s="53" t="s">
        <v>451</v>
      </c>
      <c r="C997" s="53" t="s">
        <v>1310</v>
      </c>
      <c r="D997" s="53" t="s">
        <v>447</v>
      </c>
      <c r="E997" s="53">
        <v>4</v>
      </c>
      <c r="F997" s="54">
        <v>48441</v>
      </c>
      <c r="G997" s="54">
        <v>46249</v>
      </c>
      <c r="H997" s="53" t="s">
        <v>105</v>
      </c>
      <c r="I997" s="53" t="s">
        <v>104</v>
      </c>
      <c r="J997" s="53" t="s">
        <v>101</v>
      </c>
      <c r="K997" s="53">
        <v>100.61</v>
      </c>
      <c r="L997" s="53" t="s">
        <v>101</v>
      </c>
      <c r="M997" s="53">
        <v>3.5760000000000001</v>
      </c>
      <c r="N997" s="53">
        <v>3.9049999999999998</v>
      </c>
      <c r="O997" s="53" t="s">
        <v>101</v>
      </c>
      <c r="P997" s="53" t="s">
        <v>448</v>
      </c>
      <c r="Q997" s="53" t="s">
        <v>503</v>
      </c>
      <c r="R997" s="55" t="s">
        <v>450</v>
      </c>
    </row>
    <row r="998" spans="1:18" x14ac:dyDescent="0.5">
      <c r="A998" s="56" t="str">
        <f>"271515WH7"</f>
        <v>271515WH7</v>
      </c>
      <c r="B998" s="57" t="s">
        <v>451</v>
      </c>
      <c r="C998" s="57" t="s">
        <v>1311</v>
      </c>
      <c r="D998" s="53" t="s">
        <v>447</v>
      </c>
      <c r="E998" s="57">
        <v>3</v>
      </c>
      <c r="F998" s="58">
        <v>48441</v>
      </c>
      <c r="G998" s="58">
        <v>46249</v>
      </c>
      <c r="H998" s="57" t="s">
        <v>104</v>
      </c>
      <c r="I998" s="57" t="s">
        <v>104</v>
      </c>
      <c r="J998" s="57" t="s">
        <v>101</v>
      </c>
      <c r="K998" s="57">
        <v>95.388999999999996</v>
      </c>
      <c r="L998" s="57" t="s">
        <v>101</v>
      </c>
      <c r="M998" s="57">
        <v>3.7109999999999999</v>
      </c>
      <c r="N998" s="57">
        <v>3.7109999999999999</v>
      </c>
      <c r="O998" s="53" t="s">
        <v>101</v>
      </c>
      <c r="P998" s="57" t="s">
        <v>448</v>
      </c>
      <c r="Q998" s="57" t="s">
        <v>460</v>
      </c>
      <c r="R998" s="59" t="s">
        <v>482</v>
      </c>
    </row>
    <row r="999" spans="1:18" x14ac:dyDescent="0.5">
      <c r="A999" s="52" t="str">
        <f>"283770LX1"</f>
        <v>283770LX1</v>
      </c>
      <c r="B999" s="53" t="s">
        <v>451</v>
      </c>
      <c r="C999" s="53" t="s">
        <v>1312</v>
      </c>
      <c r="D999" s="53" t="s">
        <v>447</v>
      </c>
      <c r="E999" s="53">
        <v>3</v>
      </c>
      <c r="F999" s="54">
        <v>48441</v>
      </c>
      <c r="G999" s="54">
        <v>46798</v>
      </c>
      <c r="H999" s="53" t="s">
        <v>104</v>
      </c>
      <c r="I999" s="53" t="s">
        <v>105</v>
      </c>
      <c r="J999" s="53" t="s">
        <v>101</v>
      </c>
      <c r="K999" s="53">
        <v>96.1</v>
      </c>
      <c r="L999" s="53" t="s">
        <v>101</v>
      </c>
      <c r="M999" s="53">
        <v>3.5990000000000002</v>
      </c>
      <c r="N999" s="53">
        <v>3.5990000000000002</v>
      </c>
      <c r="O999" s="53" t="s">
        <v>101</v>
      </c>
      <c r="P999" s="53" t="s">
        <v>448</v>
      </c>
      <c r="Q999" s="53" t="s">
        <v>573</v>
      </c>
      <c r="R999" s="55" t="s">
        <v>454</v>
      </c>
    </row>
    <row r="1000" spans="1:18" x14ac:dyDescent="0.5">
      <c r="A1000" s="56" t="str">
        <f>"340459CW4"</f>
        <v>340459CW4</v>
      </c>
      <c r="B1000" s="57" t="s">
        <v>477</v>
      </c>
      <c r="C1000" s="57" t="s">
        <v>1313</v>
      </c>
      <c r="D1000" s="53" t="s">
        <v>447</v>
      </c>
      <c r="E1000" s="57">
        <v>2.25</v>
      </c>
      <c r="F1000" s="58">
        <v>48441</v>
      </c>
      <c r="G1000" s="58">
        <v>46614</v>
      </c>
      <c r="H1000" s="57" t="s">
        <v>613</v>
      </c>
      <c r="I1000" s="57" t="s">
        <v>105</v>
      </c>
      <c r="J1000" s="57" t="s">
        <v>101</v>
      </c>
      <c r="K1000" s="57">
        <v>87.222999999999999</v>
      </c>
      <c r="L1000" s="57" t="s">
        <v>101</v>
      </c>
      <c r="M1000" s="57">
        <v>4.26</v>
      </c>
      <c r="N1000" s="57">
        <v>4.26</v>
      </c>
      <c r="O1000" s="53" t="s">
        <v>101</v>
      </c>
      <c r="P1000" s="57" t="s">
        <v>448</v>
      </c>
      <c r="Q1000" s="57" t="s">
        <v>453</v>
      </c>
      <c r="R1000" s="59" t="s">
        <v>454</v>
      </c>
    </row>
    <row r="1001" spans="1:18" x14ac:dyDescent="0.5">
      <c r="A1001" s="52" t="str">
        <f>"346843RK3"</f>
        <v>346843RK3</v>
      </c>
      <c r="B1001" s="53" t="s">
        <v>451</v>
      </c>
      <c r="C1001" s="53" t="s">
        <v>1314</v>
      </c>
      <c r="D1001" s="53" t="s">
        <v>447</v>
      </c>
      <c r="E1001" s="53">
        <v>3</v>
      </c>
      <c r="F1001" s="54">
        <v>48441</v>
      </c>
      <c r="G1001" s="54">
        <v>47345</v>
      </c>
      <c r="H1001" s="53" t="s">
        <v>105</v>
      </c>
      <c r="I1001" s="53" t="s">
        <v>104</v>
      </c>
      <c r="J1001" s="53" t="s">
        <v>101</v>
      </c>
      <c r="K1001" s="53">
        <v>95.22</v>
      </c>
      <c r="L1001" s="53" t="s">
        <v>101</v>
      </c>
      <c r="M1001" s="53">
        <v>3.7370000000000001</v>
      </c>
      <c r="N1001" s="53">
        <v>3.7370000000000001</v>
      </c>
      <c r="O1001" s="53" t="s">
        <v>101</v>
      </c>
      <c r="P1001" s="53" t="s">
        <v>448</v>
      </c>
      <c r="Q1001" s="53" t="s">
        <v>457</v>
      </c>
      <c r="R1001" s="55" t="s">
        <v>482</v>
      </c>
    </row>
    <row r="1002" spans="1:18" x14ac:dyDescent="0.5">
      <c r="A1002" s="56" t="str">
        <f>"35880CSZ8"</f>
        <v>35880CSZ8</v>
      </c>
      <c r="B1002" s="57" t="s">
        <v>451</v>
      </c>
      <c r="C1002" s="57" t="s">
        <v>1315</v>
      </c>
      <c r="D1002" s="53" t="s">
        <v>447</v>
      </c>
      <c r="E1002" s="57">
        <v>3</v>
      </c>
      <c r="F1002" s="58">
        <v>48441</v>
      </c>
      <c r="G1002" s="58">
        <v>46068</v>
      </c>
      <c r="H1002" s="57" t="s">
        <v>104</v>
      </c>
      <c r="I1002" s="57" t="s">
        <v>104</v>
      </c>
      <c r="J1002" s="57" t="s">
        <v>101</v>
      </c>
      <c r="K1002" s="57">
        <v>95.475999999999999</v>
      </c>
      <c r="L1002" s="57" t="s">
        <v>101</v>
      </c>
      <c r="M1002" s="57">
        <v>3.6970000000000001</v>
      </c>
      <c r="N1002" s="57">
        <v>3.6970000000000001</v>
      </c>
      <c r="O1002" s="53" t="s">
        <v>101</v>
      </c>
      <c r="P1002" s="57" t="s">
        <v>448</v>
      </c>
      <c r="Q1002" s="57" t="s">
        <v>843</v>
      </c>
      <c r="R1002" s="59" t="s">
        <v>454</v>
      </c>
    </row>
    <row r="1003" spans="1:18" x14ac:dyDescent="0.5">
      <c r="A1003" s="52" t="str">
        <f>"373029HJ9"</f>
        <v>373029HJ9</v>
      </c>
      <c r="B1003" s="53" t="s">
        <v>451</v>
      </c>
      <c r="C1003" s="53" t="s">
        <v>1316</v>
      </c>
      <c r="D1003" s="53" t="s">
        <v>447</v>
      </c>
      <c r="E1003" s="53">
        <v>3</v>
      </c>
      <c r="F1003" s="54">
        <v>48441</v>
      </c>
      <c r="G1003" s="54">
        <v>46249</v>
      </c>
      <c r="H1003" s="53" t="s">
        <v>105</v>
      </c>
      <c r="I1003" s="53" t="s">
        <v>104</v>
      </c>
      <c r="J1003" s="53" t="s">
        <v>101</v>
      </c>
      <c r="K1003" s="53">
        <v>94.57</v>
      </c>
      <c r="L1003" s="53" t="s">
        <v>101</v>
      </c>
      <c r="M1003" s="53">
        <v>3.8410000000000002</v>
      </c>
      <c r="N1003" s="53">
        <v>3.8410000000000002</v>
      </c>
      <c r="O1003" s="53" t="s">
        <v>101</v>
      </c>
      <c r="P1003" s="53" t="s">
        <v>448</v>
      </c>
      <c r="Q1003" s="53" t="s">
        <v>453</v>
      </c>
      <c r="R1003" s="55" t="s">
        <v>504</v>
      </c>
    </row>
    <row r="1004" spans="1:18" x14ac:dyDescent="0.5">
      <c r="A1004" s="56" t="str">
        <f>"373064C36"</f>
        <v>373064C36</v>
      </c>
      <c r="B1004" s="57" t="s">
        <v>451</v>
      </c>
      <c r="C1004" s="57" t="s">
        <v>1317</v>
      </c>
      <c r="D1004" s="53" t="s">
        <v>447</v>
      </c>
      <c r="E1004" s="57">
        <v>3</v>
      </c>
      <c r="F1004" s="58">
        <v>48441</v>
      </c>
      <c r="G1004" s="58">
        <v>45884</v>
      </c>
      <c r="H1004" s="57" t="s">
        <v>105</v>
      </c>
      <c r="I1004" s="57" t="s">
        <v>658</v>
      </c>
      <c r="J1004" s="57" t="s">
        <v>101</v>
      </c>
      <c r="K1004" s="57">
        <v>93.32</v>
      </c>
      <c r="L1004" s="57" t="s">
        <v>101</v>
      </c>
      <c r="M1004" s="57">
        <v>4.0419999999999998</v>
      </c>
      <c r="N1004" s="57">
        <v>4.0419999999999998</v>
      </c>
      <c r="O1004" s="53" t="s">
        <v>101</v>
      </c>
      <c r="P1004" s="57" t="s">
        <v>448</v>
      </c>
      <c r="Q1004" s="57" t="s">
        <v>517</v>
      </c>
      <c r="R1004" s="59" t="s">
        <v>504</v>
      </c>
    </row>
    <row r="1005" spans="1:18" x14ac:dyDescent="0.5">
      <c r="A1005" s="52" t="str">
        <f>"373064J88"</f>
        <v>373064J88</v>
      </c>
      <c r="B1005" s="53" t="s">
        <v>451</v>
      </c>
      <c r="C1005" s="53" t="s">
        <v>1318</v>
      </c>
      <c r="D1005" s="53" t="s">
        <v>447</v>
      </c>
      <c r="E1005" s="53">
        <v>3</v>
      </c>
      <c r="F1005" s="54">
        <v>48441</v>
      </c>
      <c r="G1005" s="54">
        <v>46249</v>
      </c>
      <c r="H1005" s="53" t="s">
        <v>105</v>
      </c>
      <c r="I1005" s="53" t="s">
        <v>658</v>
      </c>
      <c r="J1005" s="53" t="s">
        <v>101</v>
      </c>
      <c r="K1005" s="53">
        <v>94.325999999999993</v>
      </c>
      <c r="L1005" s="53" t="s">
        <v>101</v>
      </c>
      <c r="M1005" s="53">
        <v>3.88</v>
      </c>
      <c r="N1005" s="53">
        <v>3.88</v>
      </c>
      <c r="O1005" s="53" t="s">
        <v>101</v>
      </c>
      <c r="P1005" s="53" t="s">
        <v>448</v>
      </c>
      <c r="Q1005" s="53" t="s">
        <v>479</v>
      </c>
      <c r="R1005" s="55" t="s">
        <v>589</v>
      </c>
    </row>
    <row r="1006" spans="1:18" x14ac:dyDescent="0.5">
      <c r="A1006" s="56" t="str">
        <f>"373064ZY3"</f>
        <v>373064ZY3</v>
      </c>
      <c r="B1006" s="57" t="s">
        <v>451</v>
      </c>
      <c r="C1006" s="57" t="s">
        <v>1319</v>
      </c>
      <c r="D1006" s="53" t="s">
        <v>447</v>
      </c>
      <c r="E1006" s="57">
        <v>3.5</v>
      </c>
      <c r="F1006" s="58">
        <v>48441</v>
      </c>
      <c r="G1006" s="58">
        <v>45733</v>
      </c>
      <c r="H1006" s="57" t="s">
        <v>105</v>
      </c>
      <c r="I1006" s="57" t="s">
        <v>658</v>
      </c>
      <c r="J1006" s="57" t="s">
        <v>101</v>
      </c>
      <c r="K1006" s="57">
        <v>98.183000000000007</v>
      </c>
      <c r="L1006" s="57" t="s">
        <v>101</v>
      </c>
      <c r="M1006" s="57">
        <v>3.7810000000000001</v>
      </c>
      <c r="N1006" s="57">
        <v>3.7810000000000001</v>
      </c>
      <c r="O1006" s="53" t="s">
        <v>101</v>
      </c>
      <c r="P1006" s="57" t="s">
        <v>448</v>
      </c>
      <c r="Q1006" s="57" t="s">
        <v>488</v>
      </c>
      <c r="R1006" s="59" t="s">
        <v>589</v>
      </c>
    </row>
    <row r="1007" spans="1:18" x14ac:dyDescent="0.5">
      <c r="A1007" s="52" t="str">
        <f>"501552GH0"</f>
        <v>501552GH0</v>
      </c>
      <c r="B1007" s="53" t="s">
        <v>451</v>
      </c>
      <c r="C1007" s="53" t="s">
        <v>1320</v>
      </c>
      <c r="D1007" s="53" t="s">
        <v>447</v>
      </c>
      <c r="E1007" s="53">
        <v>3.25</v>
      </c>
      <c r="F1007" s="54">
        <v>48441</v>
      </c>
      <c r="G1007" s="54">
        <v>45733</v>
      </c>
      <c r="H1007" s="53" t="s">
        <v>105</v>
      </c>
      <c r="I1007" s="53" t="s">
        <v>616</v>
      </c>
      <c r="J1007" s="53" t="s">
        <v>101</v>
      </c>
      <c r="K1007" s="53">
        <v>95.92</v>
      </c>
      <c r="L1007" s="53" t="s">
        <v>101</v>
      </c>
      <c r="M1007" s="53">
        <v>3.883</v>
      </c>
      <c r="N1007" s="53">
        <v>3.883</v>
      </c>
      <c r="O1007" s="53" t="s">
        <v>101</v>
      </c>
      <c r="P1007" s="53" t="s">
        <v>448</v>
      </c>
      <c r="Q1007" s="53" t="s">
        <v>503</v>
      </c>
      <c r="R1007" s="55" t="s">
        <v>454</v>
      </c>
    </row>
    <row r="1008" spans="1:18" x14ac:dyDescent="0.5">
      <c r="A1008" s="56" t="str">
        <f>"52882PAQ1"</f>
        <v>52882PAQ1</v>
      </c>
      <c r="B1008" s="57" t="s">
        <v>451</v>
      </c>
      <c r="C1008" s="57" t="s">
        <v>1321</v>
      </c>
      <c r="D1008" s="53" t="s">
        <v>447</v>
      </c>
      <c r="E1008" s="57">
        <v>3</v>
      </c>
      <c r="F1008" s="58">
        <v>48441</v>
      </c>
      <c r="G1008" s="58">
        <v>46249</v>
      </c>
      <c r="H1008" s="57" t="s">
        <v>105</v>
      </c>
      <c r="I1008" s="57" t="s">
        <v>104</v>
      </c>
      <c r="J1008" s="57" t="s">
        <v>101</v>
      </c>
      <c r="K1008" s="57">
        <v>95.95</v>
      </c>
      <c r="L1008" s="57" t="s">
        <v>101</v>
      </c>
      <c r="M1008" s="57">
        <v>3.6219999999999999</v>
      </c>
      <c r="N1008" s="57">
        <v>3.6219999999999999</v>
      </c>
      <c r="O1008" s="53" t="s">
        <v>101</v>
      </c>
      <c r="P1008" s="57" t="s">
        <v>448</v>
      </c>
      <c r="Q1008" s="57" t="s">
        <v>488</v>
      </c>
      <c r="R1008" s="59" t="s">
        <v>454</v>
      </c>
    </row>
    <row r="1009" spans="1:18" x14ac:dyDescent="0.5">
      <c r="A1009" s="52" t="str">
        <f>"539107QB1"</f>
        <v>539107QB1</v>
      </c>
      <c r="B1009" s="53" t="s">
        <v>451</v>
      </c>
      <c r="C1009" s="53" t="s">
        <v>1322</v>
      </c>
      <c r="D1009" s="53" t="s">
        <v>447</v>
      </c>
      <c r="E1009" s="53">
        <v>3.25</v>
      </c>
      <c r="F1009" s="54">
        <v>48441</v>
      </c>
      <c r="G1009" s="54">
        <v>46614</v>
      </c>
      <c r="H1009" s="53" t="s">
        <v>105</v>
      </c>
      <c r="I1009" s="53" t="s">
        <v>104</v>
      </c>
      <c r="J1009" s="53" t="s">
        <v>101</v>
      </c>
      <c r="K1009" s="53">
        <v>98.01</v>
      </c>
      <c r="L1009" s="53" t="s">
        <v>101</v>
      </c>
      <c r="M1009" s="53">
        <v>3.5550000000000002</v>
      </c>
      <c r="N1009" s="53">
        <v>3.5550000000000002</v>
      </c>
      <c r="O1009" s="53" t="s">
        <v>101</v>
      </c>
      <c r="P1009" s="53" t="s">
        <v>448</v>
      </c>
      <c r="Q1009" s="53" t="s">
        <v>479</v>
      </c>
      <c r="R1009" s="55" t="s">
        <v>454</v>
      </c>
    </row>
    <row r="1010" spans="1:18" x14ac:dyDescent="0.5">
      <c r="A1010" s="56" t="str">
        <f>"566030WZ1"</f>
        <v>566030WZ1</v>
      </c>
      <c r="B1010" s="57" t="s">
        <v>451</v>
      </c>
      <c r="C1010" s="57" t="s">
        <v>1323</v>
      </c>
      <c r="D1010" s="53" t="s">
        <v>447</v>
      </c>
      <c r="E1010" s="57">
        <v>3</v>
      </c>
      <c r="F1010" s="58">
        <v>48441</v>
      </c>
      <c r="G1010" s="58">
        <v>47164</v>
      </c>
      <c r="H1010" s="57" t="s">
        <v>105</v>
      </c>
      <c r="I1010" s="57" t="s">
        <v>104</v>
      </c>
      <c r="J1010" s="57" t="s">
        <v>101</v>
      </c>
      <c r="K1010" s="57">
        <v>94.8</v>
      </c>
      <c r="L1010" s="57" t="s">
        <v>101</v>
      </c>
      <c r="M1010" s="57">
        <v>3.8039999999999998</v>
      </c>
      <c r="N1010" s="57">
        <v>3.8039999999999998</v>
      </c>
      <c r="O1010" s="53" t="s">
        <v>101</v>
      </c>
      <c r="P1010" s="57" t="s">
        <v>448</v>
      </c>
      <c r="Q1010" s="57" t="s">
        <v>488</v>
      </c>
      <c r="R1010" s="59" t="s">
        <v>454</v>
      </c>
    </row>
    <row r="1011" spans="1:18" x14ac:dyDescent="0.5">
      <c r="A1011" s="52" t="str">
        <f>"5816467K6"</f>
        <v>5816467K6</v>
      </c>
      <c r="B1011" s="53" t="s">
        <v>451</v>
      </c>
      <c r="C1011" s="53" t="s">
        <v>1324</v>
      </c>
      <c r="D1011" s="53" t="s">
        <v>447</v>
      </c>
      <c r="E1011" s="53">
        <v>3</v>
      </c>
      <c r="F1011" s="54">
        <v>48441</v>
      </c>
      <c r="G1011" s="54">
        <v>46249</v>
      </c>
      <c r="H1011" s="53" t="s">
        <v>104</v>
      </c>
      <c r="I1011" s="53" t="s">
        <v>104</v>
      </c>
      <c r="J1011" s="53" t="s">
        <v>101</v>
      </c>
      <c r="K1011" s="53">
        <v>94.700999999999993</v>
      </c>
      <c r="L1011" s="53" t="s">
        <v>101</v>
      </c>
      <c r="M1011" s="53">
        <v>3.82</v>
      </c>
      <c r="N1011" s="53">
        <v>3.82</v>
      </c>
      <c r="O1011" s="53" t="s">
        <v>101</v>
      </c>
      <c r="P1011" s="53" t="s">
        <v>448</v>
      </c>
      <c r="Q1011" s="53" t="s">
        <v>457</v>
      </c>
      <c r="R1011" s="55" t="s">
        <v>454</v>
      </c>
    </row>
    <row r="1012" spans="1:18" x14ac:dyDescent="0.5">
      <c r="A1012" s="56" t="str">
        <f>"611766HS8"</f>
        <v>611766HS8</v>
      </c>
      <c r="B1012" s="57" t="s">
        <v>451</v>
      </c>
      <c r="C1012" s="57" t="s">
        <v>1325</v>
      </c>
      <c r="D1012" s="53" t="s">
        <v>447</v>
      </c>
      <c r="E1012" s="57">
        <v>3</v>
      </c>
      <c r="F1012" s="58">
        <v>48441</v>
      </c>
      <c r="G1012" s="58">
        <v>46249</v>
      </c>
      <c r="H1012" s="57" t="s">
        <v>540</v>
      </c>
      <c r="I1012" s="57" t="s">
        <v>105</v>
      </c>
      <c r="J1012" s="57" t="s">
        <v>101</v>
      </c>
      <c r="K1012" s="57">
        <v>96.632000000000005</v>
      </c>
      <c r="L1012" s="57" t="s">
        <v>101</v>
      </c>
      <c r="M1012" s="57">
        <v>3.5150000000000001</v>
      </c>
      <c r="N1012" s="57">
        <v>3.5150000000000001</v>
      </c>
      <c r="O1012" s="53" t="s">
        <v>101</v>
      </c>
      <c r="P1012" s="57" t="s">
        <v>448</v>
      </c>
      <c r="Q1012" s="57" t="s">
        <v>573</v>
      </c>
      <c r="R1012" s="59" t="s">
        <v>504</v>
      </c>
    </row>
    <row r="1013" spans="1:18" x14ac:dyDescent="0.5">
      <c r="A1013" s="52" t="str">
        <f>"611766JW7"</f>
        <v>611766JW7</v>
      </c>
      <c r="B1013" s="53" t="s">
        <v>451</v>
      </c>
      <c r="C1013" s="53" t="s">
        <v>1326</v>
      </c>
      <c r="D1013" s="53" t="s">
        <v>447</v>
      </c>
      <c r="E1013" s="53">
        <v>3</v>
      </c>
      <c r="F1013" s="54">
        <v>48441</v>
      </c>
      <c r="G1013" s="54">
        <v>46980</v>
      </c>
      <c r="H1013" s="53" t="s">
        <v>540</v>
      </c>
      <c r="I1013" s="53" t="s">
        <v>105</v>
      </c>
      <c r="J1013" s="53" t="s">
        <v>101</v>
      </c>
      <c r="K1013" s="53">
        <v>96.210999999999999</v>
      </c>
      <c r="L1013" s="53" t="s">
        <v>101</v>
      </c>
      <c r="M1013" s="53">
        <v>3.581</v>
      </c>
      <c r="N1013" s="53">
        <v>3.581</v>
      </c>
      <c r="O1013" s="53" t="s">
        <v>101</v>
      </c>
      <c r="P1013" s="53" t="s">
        <v>448</v>
      </c>
      <c r="Q1013" s="53" t="s">
        <v>1327</v>
      </c>
      <c r="R1013" s="55" t="s">
        <v>504</v>
      </c>
    </row>
    <row r="1014" spans="1:18" x14ac:dyDescent="0.5">
      <c r="A1014" s="56" t="str">
        <f>"659607HH1"</f>
        <v>659607HH1</v>
      </c>
      <c r="B1014" s="57" t="s">
        <v>451</v>
      </c>
      <c r="C1014" s="57" t="s">
        <v>1328</v>
      </c>
      <c r="D1014" s="53" t="s">
        <v>447</v>
      </c>
      <c r="E1014" s="57">
        <v>2.625</v>
      </c>
      <c r="F1014" s="58">
        <v>48441</v>
      </c>
      <c r="G1014" s="58">
        <v>45733</v>
      </c>
      <c r="H1014" s="57" t="s">
        <v>641</v>
      </c>
      <c r="I1014" s="57" t="s">
        <v>628</v>
      </c>
      <c r="J1014" s="57" t="s">
        <v>101</v>
      </c>
      <c r="K1014" s="57">
        <v>89.929000000000002</v>
      </c>
      <c r="L1014" s="57" t="s">
        <v>101</v>
      </c>
      <c r="M1014" s="57">
        <v>4.2060000000000004</v>
      </c>
      <c r="N1014" s="57">
        <v>4.2060000000000004</v>
      </c>
      <c r="O1014" s="53" t="s">
        <v>101</v>
      </c>
      <c r="P1014" s="57" t="s">
        <v>448</v>
      </c>
      <c r="Q1014" s="57" t="s">
        <v>527</v>
      </c>
      <c r="R1014" s="59" t="s">
        <v>630</v>
      </c>
    </row>
    <row r="1015" spans="1:18" x14ac:dyDescent="0.5">
      <c r="A1015" s="52" t="str">
        <f>"717180NN9"</f>
        <v>717180NN9</v>
      </c>
      <c r="B1015" s="53" t="s">
        <v>451</v>
      </c>
      <c r="C1015" s="53" t="s">
        <v>1329</v>
      </c>
      <c r="D1015" s="53" t="s">
        <v>447</v>
      </c>
      <c r="E1015" s="53">
        <v>3.125</v>
      </c>
      <c r="F1015" s="54">
        <v>48441</v>
      </c>
      <c r="G1015" s="54">
        <v>46249</v>
      </c>
      <c r="H1015" s="53" t="s">
        <v>105</v>
      </c>
      <c r="I1015" s="53" t="s">
        <v>628</v>
      </c>
      <c r="J1015" s="53" t="s">
        <v>101</v>
      </c>
      <c r="K1015" s="53">
        <v>97.034000000000006</v>
      </c>
      <c r="L1015" s="53" t="s">
        <v>101</v>
      </c>
      <c r="M1015" s="53">
        <v>3.58</v>
      </c>
      <c r="N1015" s="53">
        <v>3.58</v>
      </c>
      <c r="O1015" s="53" t="s">
        <v>101</v>
      </c>
      <c r="P1015" s="53" t="s">
        <v>448</v>
      </c>
      <c r="Q1015" s="53" t="s">
        <v>556</v>
      </c>
      <c r="R1015" s="55" t="s">
        <v>771</v>
      </c>
    </row>
    <row r="1016" spans="1:18" x14ac:dyDescent="0.5">
      <c r="A1016" s="56" t="str">
        <f>"767057NY4"</f>
        <v>767057NY4</v>
      </c>
      <c r="B1016" s="57" t="s">
        <v>451</v>
      </c>
      <c r="C1016" s="57" t="s">
        <v>1330</v>
      </c>
      <c r="D1016" s="53" t="s">
        <v>447</v>
      </c>
      <c r="E1016" s="57">
        <v>3.375</v>
      </c>
      <c r="F1016" s="58">
        <v>48441</v>
      </c>
      <c r="G1016" s="58">
        <v>45733</v>
      </c>
      <c r="H1016" s="57" t="s">
        <v>105</v>
      </c>
      <c r="I1016" s="57" t="s">
        <v>628</v>
      </c>
      <c r="J1016" s="57" t="s">
        <v>101</v>
      </c>
      <c r="K1016" s="57">
        <v>98.435000000000002</v>
      </c>
      <c r="L1016" s="57" t="s">
        <v>101</v>
      </c>
      <c r="M1016" s="57">
        <v>3.6150000000000002</v>
      </c>
      <c r="N1016" s="57">
        <v>3.6150000000000002</v>
      </c>
      <c r="O1016" s="53" t="s">
        <v>101</v>
      </c>
      <c r="P1016" s="57" t="s">
        <v>448</v>
      </c>
      <c r="Q1016" s="57" t="s">
        <v>591</v>
      </c>
      <c r="R1016" s="59" t="s">
        <v>630</v>
      </c>
    </row>
    <row r="1017" spans="1:18" x14ac:dyDescent="0.5">
      <c r="A1017" s="52" t="str">
        <f>"767278HU1"</f>
        <v>767278HU1</v>
      </c>
      <c r="B1017" s="53" t="s">
        <v>451</v>
      </c>
      <c r="C1017" s="53" t="s">
        <v>1331</v>
      </c>
      <c r="D1017" s="53" t="s">
        <v>447</v>
      </c>
      <c r="E1017" s="53">
        <v>3</v>
      </c>
      <c r="F1017" s="54">
        <v>48441</v>
      </c>
      <c r="G1017" s="54">
        <v>45884</v>
      </c>
      <c r="H1017" s="53" t="s">
        <v>105</v>
      </c>
      <c r="I1017" s="53" t="s">
        <v>628</v>
      </c>
      <c r="J1017" s="53" t="s">
        <v>101</v>
      </c>
      <c r="K1017" s="53">
        <v>95.382999999999996</v>
      </c>
      <c r="L1017" s="53" t="s">
        <v>101</v>
      </c>
      <c r="M1017" s="53">
        <v>3.7120000000000002</v>
      </c>
      <c r="N1017" s="53">
        <v>3.7120000000000002</v>
      </c>
      <c r="O1017" s="53" t="s">
        <v>101</v>
      </c>
      <c r="P1017" s="53" t="s">
        <v>448</v>
      </c>
      <c r="Q1017" s="53" t="s">
        <v>527</v>
      </c>
      <c r="R1017" s="55" t="s">
        <v>630</v>
      </c>
    </row>
    <row r="1018" spans="1:18" x14ac:dyDescent="0.5">
      <c r="A1018" s="56" t="str">
        <f>"779223AK2"</f>
        <v>779223AK2</v>
      </c>
      <c r="B1018" s="57" t="s">
        <v>451</v>
      </c>
      <c r="C1018" s="57" t="s">
        <v>1332</v>
      </c>
      <c r="D1018" s="53" t="s">
        <v>447</v>
      </c>
      <c r="E1018" s="57">
        <v>3</v>
      </c>
      <c r="F1018" s="58">
        <v>48441</v>
      </c>
      <c r="G1018" s="58">
        <v>47710</v>
      </c>
      <c r="H1018" s="57" t="s">
        <v>105</v>
      </c>
      <c r="I1018" s="57" t="s">
        <v>104</v>
      </c>
      <c r="J1018" s="57" t="s">
        <v>101</v>
      </c>
      <c r="K1018" s="57">
        <v>96.131</v>
      </c>
      <c r="L1018" s="57" t="s">
        <v>101</v>
      </c>
      <c r="M1018" s="57">
        <v>3.5939999999999999</v>
      </c>
      <c r="N1018" s="57">
        <v>3.5939999999999999</v>
      </c>
      <c r="O1018" s="53" t="s">
        <v>101</v>
      </c>
      <c r="P1018" s="57" t="s">
        <v>448</v>
      </c>
      <c r="Q1018" s="57" t="s">
        <v>485</v>
      </c>
      <c r="R1018" s="59" t="s">
        <v>504</v>
      </c>
    </row>
    <row r="1019" spans="1:18" x14ac:dyDescent="0.5">
      <c r="A1019" s="52" t="str">
        <f>"780860JV5"</f>
        <v>780860JV5</v>
      </c>
      <c r="B1019" s="53" t="s">
        <v>451</v>
      </c>
      <c r="C1019" s="53" t="s">
        <v>1333</v>
      </c>
      <c r="D1019" s="53" t="s">
        <v>447</v>
      </c>
      <c r="E1019" s="53">
        <v>3.05</v>
      </c>
      <c r="F1019" s="54">
        <v>48441</v>
      </c>
      <c r="G1019" s="54">
        <v>46249</v>
      </c>
      <c r="H1019" s="53" t="s">
        <v>105</v>
      </c>
      <c r="I1019" s="53" t="s">
        <v>616</v>
      </c>
      <c r="J1019" s="53" t="s">
        <v>101</v>
      </c>
      <c r="K1019" s="53">
        <v>96.611000000000004</v>
      </c>
      <c r="L1019" s="53" t="s">
        <v>101</v>
      </c>
      <c r="M1019" s="53">
        <v>3.57</v>
      </c>
      <c r="N1019" s="53">
        <v>3.57</v>
      </c>
      <c r="O1019" s="53" t="s">
        <v>101</v>
      </c>
      <c r="P1019" s="53" t="s">
        <v>448</v>
      </c>
      <c r="Q1019" s="53" t="s">
        <v>874</v>
      </c>
      <c r="R1019" s="55" t="s">
        <v>504</v>
      </c>
    </row>
    <row r="1020" spans="1:18" x14ac:dyDescent="0.5">
      <c r="A1020" s="56" t="str">
        <f>"798765CH4"</f>
        <v>798765CH4</v>
      </c>
      <c r="B1020" s="57" t="s">
        <v>451</v>
      </c>
      <c r="C1020" s="57" t="s">
        <v>1334</v>
      </c>
      <c r="D1020" s="53" t="s">
        <v>447</v>
      </c>
      <c r="E1020" s="57">
        <v>3</v>
      </c>
      <c r="F1020" s="58">
        <v>48441</v>
      </c>
      <c r="G1020" s="58">
        <v>45884</v>
      </c>
      <c r="H1020" s="57" t="s">
        <v>105</v>
      </c>
      <c r="I1020" s="57" t="s">
        <v>628</v>
      </c>
      <c r="J1020" s="57" t="s">
        <v>101</v>
      </c>
      <c r="K1020" s="57">
        <v>94.611000000000004</v>
      </c>
      <c r="L1020" s="57" t="s">
        <v>101</v>
      </c>
      <c r="M1020" s="57">
        <v>3.8340000000000001</v>
      </c>
      <c r="N1020" s="57">
        <v>3.8340000000000001</v>
      </c>
      <c r="O1020" s="53" t="s">
        <v>101</v>
      </c>
      <c r="P1020" s="57" t="s">
        <v>448</v>
      </c>
      <c r="Q1020" s="57" t="s">
        <v>485</v>
      </c>
      <c r="R1020" s="59" t="s">
        <v>504</v>
      </c>
    </row>
    <row r="1021" spans="1:18" x14ac:dyDescent="0.5">
      <c r="A1021" s="52" t="str">
        <f>"798765KE2"</f>
        <v>798765KE2</v>
      </c>
      <c r="B1021" s="53" t="s">
        <v>451</v>
      </c>
      <c r="C1021" s="53" t="s">
        <v>1335</v>
      </c>
      <c r="D1021" s="53" t="s">
        <v>447</v>
      </c>
      <c r="E1021" s="53">
        <v>3</v>
      </c>
      <c r="F1021" s="54">
        <v>48441</v>
      </c>
      <c r="G1021" s="54">
        <v>47710</v>
      </c>
      <c r="H1021" s="53" t="s">
        <v>105</v>
      </c>
      <c r="I1021" s="53" t="s">
        <v>628</v>
      </c>
      <c r="J1021" s="53" t="s">
        <v>101</v>
      </c>
      <c r="K1021" s="53">
        <v>95.62</v>
      </c>
      <c r="L1021" s="53" t="s">
        <v>101</v>
      </c>
      <c r="M1021" s="53">
        <v>3.6739999999999999</v>
      </c>
      <c r="N1021" s="53">
        <v>3.6739999999999999</v>
      </c>
      <c r="O1021" s="53" t="s">
        <v>101</v>
      </c>
      <c r="P1021" s="53" t="s">
        <v>448</v>
      </c>
      <c r="Q1021" s="53" t="s">
        <v>475</v>
      </c>
      <c r="R1021" s="55" t="s">
        <v>504</v>
      </c>
    </row>
    <row r="1022" spans="1:18" x14ac:dyDescent="0.5">
      <c r="A1022" s="56" t="str">
        <f>"824161QZ9"</f>
        <v>824161QZ9</v>
      </c>
      <c r="B1022" s="57" t="s">
        <v>451</v>
      </c>
      <c r="C1022" s="57" t="s">
        <v>1336</v>
      </c>
      <c r="D1022" s="53" t="s">
        <v>447</v>
      </c>
      <c r="E1022" s="57">
        <v>3.125</v>
      </c>
      <c r="F1022" s="58">
        <v>48441</v>
      </c>
      <c r="G1022" s="58">
        <v>46614</v>
      </c>
      <c r="H1022" s="57" t="s">
        <v>105</v>
      </c>
      <c r="I1022" s="57" t="s">
        <v>628</v>
      </c>
      <c r="J1022" s="57" t="s">
        <v>101</v>
      </c>
      <c r="K1022" s="57">
        <v>97.486000000000004</v>
      </c>
      <c r="L1022" s="57" t="s">
        <v>101</v>
      </c>
      <c r="M1022" s="57">
        <v>3.51</v>
      </c>
      <c r="N1022" s="57">
        <v>3.51</v>
      </c>
      <c r="O1022" s="53" t="s">
        <v>101</v>
      </c>
      <c r="P1022" s="57" t="s">
        <v>448</v>
      </c>
      <c r="Q1022" s="57" t="s">
        <v>485</v>
      </c>
      <c r="R1022" s="59" t="s">
        <v>504</v>
      </c>
    </row>
    <row r="1023" spans="1:18" x14ac:dyDescent="0.5">
      <c r="A1023" s="52" t="str">
        <f>"792075PF4"</f>
        <v>792075PF4</v>
      </c>
      <c r="B1023" s="53" t="s">
        <v>499</v>
      </c>
      <c r="C1023" s="53" t="s">
        <v>1337</v>
      </c>
      <c r="D1023" s="53" t="s">
        <v>447</v>
      </c>
      <c r="E1023" s="53">
        <v>3.5</v>
      </c>
      <c r="F1023" s="54">
        <v>48441</v>
      </c>
      <c r="G1023" s="54">
        <v>46614</v>
      </c>
      <c r="H1023" s="53" t="s">
        <v>641</v>
      </c>
      <c r="I1023" s="53" t="s">
        <v>628</v>
      </c>
      <c r="J1023" s="53" t="s">
        <v>101</v>
      </c>
      <c r="K1023" s="53">
        <v>99.087999999999994</v>
      </c>
      <c r="L1023" s="53" t="s">
        <v>101</v>
      </c>
      <c r="M1023" s="53">
        <v>3.64</v>
      </c>
      <c r="N1023" s="53">
        <v>3.64</v>
      </c>
      <c r="O1023" s="53" t="s">
        <v>101</v>
      </c>
      <c r="P1023" s="53" t="s">
        <v>448</v>
      </c>
      <c r="Q1023" s="53" t="s">
        <v>485</v>
      </c>
      <c r="R1023" s="55" t="s">
        <v>771</v>
      </c>
    </row>
    <row r="1024" spans="1:18" x14ac:dyDescent="0.5">
      <c r="A1024" s="56" t="str">
        <f>"864881RH2"</f>
        <v>864881RH2</v>
      </c>
      <c r="B1024" s="57" t="s">
        <v>451</v>
      </c>
      <c r="C1024" s="57" t="s">
        <v>1338</v>
      </c>
      <c r="D1024" s="53" t="s">
        <v>447</v>
      </c>
      <c r="E1024" s="57">
        <v>3.25</v>
      </c>
      <c r="F1024" s="58">
        <v>48441</v>
      </c>
      <c r="G1024" s="58">
        <v>46249</v>
      </c>
      <c r="H1024" s="57" t="s">
        <v>105</v>
      </c>
      <c r="I1024" s="57" t="s">
        <v>628</v>
      </c>
      <c r="J1024" s="57" t="s">
        <v>101</v>
      </c>
      <c r="K1024" s="57">
        <v>97.74</v>
      </c>
      <c r="L1024" s="57" t="s">
        <v>101</v>
      </c>
      <c r="M1024" s="57">
        <v>3.597</v>
      </c>
      <c r="N1024" s="57">
        <v>3.597</v>
      </c>
      <c r="O1024" s="53" t="s">
        <v>101</v>
      </c>
      <c r="P1024" s="57" t="s">
        <v>448</v>
      </c>
      <c r="Q1024" s="57" t="s">
        <v>488</v>
      </c>
      <c r="R1024" s="59" t="s">
        <v>504</v>
      </c>
    </row>
    <row r="1025" spans="1:18" x14ac:dyDescent="0.5">
      <c r="A1025" s="52" t="str">
        <f>"956245HV9"</f>
        <v>956245HV9</v>
      </c>
      <c r="B1025" s="53" t="s">
        <v>451</v>
      </c>
      <c r="C1025" s="53" t="s">
        <v>1339</v>
      </c>
      <c r="D1025" s="53" t="s">
        <v>447</v>
      </c>
      <c r="E1025" s="53">
        <v>3</v>
      </c>
      <c r="F1025" s="54">
        <v>48441</v>
      </c>
      <c r="G1025" s="54">
        <v>47345</v>
      </c>
      <c r="H1025" s="53" t="s">
        <v>105</v>
      </c>
      <c r="I1025" s="53" t="s">
        <v>104</v>
      </c>
      <c r="J1025" s="53" t="s">
        <v>101</v>
      </c>
      <c r="K1025" s="53">
        <v>96.573999999999998</v>
      </c>
      <c r="L1025" s="53" t="s">
        <v>101</v>
      </c>
      <c r="M1025" s="53">
        <v>3.524</v>
      </c>
      <c r="N1025" s="53">
        <v>3.524</v>
      </c>
      <c r="O1025" s="53" t="s">
        <v>101</v>
      </c>
      <c r="P1025" s="53" t="s">
        <v>448</v>
      </c>
      <c r="Q1025" s="53" t="s">
        <v>475</v>
      </c>
      <c r="R1025" s="55" t="s">
        <v>454</v>
      </c>
    </row>
    <row r="1026" spans="1:18" x14ac:dyDescent="0.5">
      <c r="A1026" s="56" t="str">
        <f>"97001LGK8"</f>
        <v>97001LGK8</v>
      </c>
      <c r="B1026" s="57" t="s">
        <v>451</v>
      </c>
      <c r="C1026" s="57" t="s">
        <v>1340</v>
      </c>
      <c r="D1026" s="53" t="s">
        <v>447</v>
      </c>
      <c r="E1026" s="57">
        <v>3</v>
      </c>
      <c r="F1026" s="58">
        <v>48441</v>
      </c>
      <c r="G1026" s="58">
        <v>45733</v>
      </c>
      <c r="H1026" s="57" t="s">
        <v>670</v>
      </c>
      <c r="I1026" s="57" t="s">
        <v>628</v>
      </c>
      <c r="J1026" s="57" t="s">
        <v>101</v>
      </c>
      <c r="K1026" s="57">
        <v>95.451999999999998</v>
      </c>
      <c r="L1026" s="57" t="s">
        <v>101</v>
      </c>
      <c r="M1026" s="57">
        <v>3.7010000000000001</v>
      </c>
      <c r="N1026" s="57">
        <v>3.7010000000000001</v>
      </c>
      <c r="O1026" s="53" t="s">
        <v>101</v>
      </c>
      <c r="P1026" s="57" t="s">
        <v>448</v>
      </c>
      <c r="Q1026" s="57" t="s">
        <v>556</v>
      </c>
      <c r="R1026" s="59" t="s">
        <v>630</v>
      </c>
    </row>
    <row r="1027" spans="1:18" x14ac:dyDescent="0.5">
      <c r="A1027" s="52" t="str">
        <f>"972631KR5"</f>
        <v>972631KR5</v>
      </c>
      <c r="B1027" s="53" t="s">
        <v>451</v>
      </c>
      <c r="C1027" s="53" t="s">
        <v>1341</v>
      </c>
      <c r="D1027" s="53" t="s">
        <v>447</v>
      </c>
      <c r="E1027" s="53">
        <v>3</v>
      </c>
      <c r="F1027" s="54">
        <v>48441</v>
      </c>
      <c r="G1027" s="54">
        <v>46249</v>
      </c>
      <c r="H1027" s="53" t="s">
        <v>105</v>
      </c>
      <c r="I1027" s="53" t="s">
        <v>104</v>
      </c>
      <c r="J1027" s="53" t="s">
        <v>101</v>
      </c>
      <c r="K1027" s="53">
        <v>96.296999999999997</v>
      </c>
      <c r="L1027" s="53" t="s">
        <v>101</v>
      </c>
      <c r="M1027" s="53">
        <v>3.5680000000000001</v>
      </c>
      <c r="N1027" s="53">
        <v>3.5680000000000001</v>
      </c>
      <c r="O1027" s="53" t="s">
        <v>101</v>
      </c>
      <c r="P1027" s="53" t="s">
        <v>448</v>
      </c>
      <c r="Q1027" s="53" t="s">
        <v>1342</v>
      </c>
      <c r="R1027" s="55" t="s">
        <v>454</v>
      </c>
    </row>
    <row r="1028" spans="1:18" x14ac:dyDescent="0.5">
      <c r="A1028" s="56" t="str">
        <f>"980805SZ9"</f>
        <v>980805SZ9</v>
      </c>
      <c r="B1028" s="57" t="s">
        <v>451</v>
      </c>
      <c r="C1028" s="57" t="s">
        <v>1343</v>
      </c>
      <c r="D1028" s="53" t="s">
        <v>447</v>
      </c>
      <c r="E1028" s="57">
        <v>3</v>
      </c>
      <c r="F1028" s="58">
        <v>48441</v>
      </c>
      <c r="G1028" s="58">
        <v>47710</v>
      </c>
      <c r="H1028" s="57" t="s">
        <v>105</v>
      </c>
      <c r="I1028" s="57" t="s">
        <v>509</v>
      </c>
      <c r="J1028" s="57" t="s">
        <v>101</v>
      </c>
      <c r="K1028" s="57">
        <v>95.825999999999993</v>
      </c>
      <c r="L1028" s="57" t="s">
        <v>101</v>
      </c>
      <c r="M1028" s="57">
        <v>3.6419999999999999</v>
      </c>
      <c r="N1028" s="57">
        <v>3.6419999999999999</v>
      </c>
      <c r="O1028" s="53" t="s">
        <v>101</v>
      </c>
      <c r="P1028" s="57" t="s">
        <v>448</v>
      </c>
      <c r="Q1028" s="57" t="s">
        <v>485</v>
      </c>
      <c r="R1028" s="59" t="s">
        <v>589</v>
      </c>
    </row>
    <row r="1029" spans="1:18" x14ac:dyDescent="0.5">
      <c r="A1029" s="52" t="str">
        <f>"10606RJM0"</f>
        <v>10606RJM0</v>
      </c>
      <c r="B1029" s="53" t="s">
        <v>451</v>
      </c>
      <c r="C1029" s="53" t="s">
        <v>1344</v>
      </c>
      <c r="D1029" s="53" t="s">
        <v>447</v>
      </c>
      <c r="E1029" s="53">
        <v>3</v>
      </c>
      <c r="F1029" s="54">
        <v>48458</v>
      </c>
      <c r="G1029" s="54">
        <v>45733</v>
      </c>
      <c r="H1029" s="53" t="s">
        <v>105</v>
      </c>
      <c r="I1029" s="53" t="s">
        <v>611</v>
      </c>
      <c r="J1029" s="53" t="s">
        <v>101</v>
      </c>
      <c r="K1029" s="53">
        <v>92.929000000000002</v>
      </c>
      <c r="L1029" s="53" t="s">
        <v>101</v>
      </c>
      <c r="M1029" s="53">
        <v>4.0999999999999996</v>
      </c>
      <c r="N1029" s="53">
        <v>4.0999999999999996</v>
      </c>
      <c r="O1029" s="53" t="s">
        <v>101</v>
      </c>
      <c r="P1029" s="53" t="s">
        <v>448</v>
      </c>
      <c r="Q1029" s="53" t="s">
        <v>1345</v>
      </c>
      <c r="R1029" s="55" t="s">
        <v>630</v>
      </c>
    </row>
    <row r="1030" spans="1:18" x14ac:dyDescent="0.5">
      <c r="A1030" s="56" t="str">
        <f>"10608PAJ8"</f>
        <v>10608PAJ8</v>
      </c>
      <c r="B1030" s="57" t="s">
        <v>451</v>
      </c>
      <c r="C1030" s="57" t="s">
        <v>1346</v>
      </c>
      <c r="D1030" s="53" t="s">
        <v>447</v>
      </c>
      <c r="E1030" s="57">
        <v>5.25</v>
      </c>
      <c r="F1030" s="58">
        <v>48458</v>
      </c>
      <c r="G1030" s="58">
        <v>46997</v>
      </c>
      <c r="H1030" s="57" t="s">
        <v>105</v>
      </c>
      <c r="I1030" s="57" t="s">
        <v>628</v>
      </c>
      <c r="J1030" s="57" t="s">
        <v>101</v>
      </c>
      <c r="K1030" s="57">
        <v>105.40600000000001</v>
      </c>
      <c r="L1030" s="57" t="s">
        <v>101</v>
      </c>
      <c r="M1030" s="57">
        <v>3.6070000000000002</v>
      </c>
      <c r="N1030" s="57">
        <v>4.399</v>
      </c>
      <c r="O1030" s="53" t="s">
        <v>101</v>
      </c>
      <c r="P1030" s="57" t="s">
        <v>448</v>
      </c>
      <c r="Q1030" s="57" t="s">
        <v>479</v>
      </c>
      <c r="R1030" s="59" t="s">
        <v>630</v>
      </c>
    </row>
    <row r="1031" spans="1:18" x14ac:dyDescent="0.5">
      <c r="A1031" s="52" t="str">
        <f>"107487AT7"</f>
        <v>107487AT7</v>
      </c>
      <c r="B1031" s="53" t="s">
        <v>499</v>
      </c>
      <c r="C1031" s="53" t="s">
        <v>1347</v>
      </c>
      <c r="D1031" s="53" t="s">
        <v>447</v>
      </c>
      <c r="E1031" s="53">
        <v>3.25</v>
      </c>
      <c r="F1031" s="54">
        <v>48458</v>
      </c>
      <c r="G1031" s="54">
        <v>45733</v>
      </c>
      <c r="H1031" s="53" t="s">
        <v>105</v>
      </c>
      <c r="I1031" s="53" t="s">
        <v>509</v>
      </c>
      <c r="J1031" s="53" t="s">
        <v>101</v>
      </c>
      <c r="K1031" s="53">
        <v>98.141000000000005</v>
      </c>
      <c r="L1031" s="53" t="s">
        <v>101</v>
      </c>
      <c r="M1031" s="53">
        <v>3.5329999999999999</v>
      </c>
      <c r="N1031" s="53">
        <v>3.5329999999999999</v>
      </c>
      <c r="O1031" s="53" t="s">
        <v>101</v>
      </c>
      <c r="P1031" s="53" t="s">
        <v>448</v>
      </c>
      <c r="Q1031" s="53" t="s">
        <v>485</v>
      </c>
      <c r="R1031" s="55" t="s">
        <v>504</v>
      </c>
    </row>
    <row r="1032" spans="1:18" x14ac:dyDescent="0.5">
      <c r="A1032" s="56" t="str">
        <f>"139501PK0"</f>
        <v>139501PK0</v>
      </c>
      <c r="B1032" s="57" t="s">
        <v>477</v>
      </c>
      <c r="C1032" s="57" t="s">
        <v>1348</v>
      </c>
      <c r="D1032" s="53" t="s">
        <v>447</v>
      </c>
      <c r="E1032" s="57">
        <v>2.25</v>
      </c>
      <c r="F1032" s="58">
        <v>48458</v>
      </c>
      <c r="G1032" s="58">
        <v>45733</v>
      </c>
      <c r="H1032" s="57" t="s">
        <v>540</v>
      </c>
      <c r="I1032" s="57" t="s">
        <v>105</v>
      </c>
      <c r="J1032" s="57" t="s">
        <v>101</v>
      </c>
      <c r="K1032" s="57">
        <v>88.516000000000005</v>
      </c>
      <c r="L1032" s="57" t="s">
        <v>101</v>
      </c>
      <c r="M1032" s="57">
        <v>4.032</v>
      </c>
      <c r="N1032" s="57">
        <v>4.032</v>
      </c>
      <c r="O1032" s="53" t="s">
        <v>101</v>
      </c>
      <c r="P1032" s="57" t="s">
        <v>448</v>
      </c>
      <c r="Q1032" s="57" t="s">
        <v>1349</v>
      </c>
      <c r="R1032" s="59" t="s">
        <v>454</v>
      </c>
    </row>
    <row r="1033" spans="1:18" x14ac:dyDescent="0.5">
      <c r="A1033" s="52" t="str">
        <f>"151141UP1"</f>
        <v>151141UP1</v>
      </c>
      <c r="B1033" s="53" t="s">
        <v>451</v>
      </c>
      <c r="C1033" s="53" t="s">
        <v>1350</v>
      </c>
      <c r="D1033" s="53" t="s">
        <v>447</v>
      </c>
      <c r="E1033" s="53">
        <v>3</v>
      </c>
      <c r="F1033" s="54">
        <v>48458</v>
      </c>
      <c r="G1033" s="54">
        <v>46631</v>
      </c>
      <c r="H1033" s="53" t="s">
        <v>105</v>
      </c>
      <c r="I1033" s="53" t="s">
        <v>628</v>
      </c>
      <c r="J1033" s="53" t="s">
        <v>101</v>
      </c>
      <c r="K1033" s="53">
        <v>95.775999999999996</v>
      </c>
      <c r="L1033" s="53" t="s">
        <v>101</v>
      </c>
      <c r="M1033" s="53">
        <v>3.6459999999999999</v>
      </c>
      <c r="N1033" s="53">
        <v>3.6459999999999999</v>
      </c>
      <c r="O1033" s="53" t="s">
        <v>101</v>
      </c>
      <c r="P1033" s="53" t="s">
        <v>448</v>
      </c>
      <c r="Q1033" s="53" t="s">
        <v>460</v>
      </c>
      <c r="R1033" s="55" t="s">
        <v>504</v>
      </c>
    </row>
    <row r="1034" spans="1:18" x14ac:dyDescent="0.5">
      <c r="A1034" s="56" t="str">
        <f>"157792JN3"</f>
        <v>157792JN3</v>
      </c>
      <c r="B1034" s="57" t="s">
        <v>451</v>
      </c>
      <c r="C1034" s="57" t="s">
        <v>1351</v>
      </c>
      <c r="D1034" s="53" t="s">
        <v>447</v>
      </c>
      <c r="E1034" s="57">
        <v>3.375</v>
      </c>
      <c r="F1034" s="58">
        <v>48458</v>
      </c>
      <c r="G1034" s="58">
        <v>45733</v>
      </c>
      <c r="H1034" s="57" t="s">
        <v>610</v>
      </c>
      <c r="I1034" s="57" t="s">
        <v>105</v>
      </c>
      <c r="J1034" s="57" t="s">
        <v>101</v>
      </c>
      <c r="K1034" s="57">
        <v>96.963999999999999</v>
      </c>
      <c r="L1034" s="57" t="s">
        <v>101</v>
      </c>
      <c r="M1034" s="57">
        <v>3.843</v>
      </c>
      <c r="N1034" s="57">
        <v>3.843</v>
      </c>
      <c r="O1034" s="53" t="s">
        <v>101</v>
      </c>
      <c r="P1034" s="57" t="s">
        <v>448</v>
      </c>
      <c r="Q1034" s="57" t="s">
        <v>527</v>
      </c>
      <c r="R1034" s="59" t="s">
        <v>454</v>
      </c>
    </row>
    <row r="1035" spans="1:18" x14ac:dyDescent="0.5">
      <c r="A1035" s="52" t="str">
        <f>"157792PN6"</f>
        <v>157792PN6</v>
      </c>
      <c r="B1035" s="53" t="s">
        <v>451</v>
      </c>
      <c r="C1035" s="53" t="s">
        <v>1352</v>
      </c>
      <c r="D1035" s="53" t="s">
        <v>447</v>
      </c>
      <c r="E1035" s="53">
        <v>2</v>
      </c>
      <c r="F1035" s="54">
        <v>48458</v>
      </c>
      <c r="G1035" s="54">
        <v>46631</v>
      </c>
      <c r="H1035" s="53" t="s">
        <v>610</v>
      </c>
      <c r="I1035" s="53" t="s">
        <v>105</v>
      </c>
      <c r="J1035" s="53" t="s">
        <v>101</v>
      </c>
      <c r="K1035" s="53">
        <v>84.17</v>
      </c>
      <c r="L1035" s="53" t="s">
        <v>101</v>
      </c>
      <c r="M1035" s="53">
        <v>4.5</v>
      </c>
      <c r="N1035" s="53">
        <v>4.5</v>
      </c>
      <c r="O1035" s="53" t="s">
        <v>101</v>
      </c>
      <c r="P1035" s="53" t="s">
        <v>448</v>
      </c>
      <c r="Q1035" s="53" t="s">
        <v>554</v>
      </c>
      <c r="R1035" s="55" t="s">
        <v>454</v>
      </c>
    </row>
    <row r="1036" spans="1:18" x14ac:dyDescent="0.5">
      <c r="A1036" s="56" t="str">
        <f>"296804M46"</f>
        <v>296804M46</v>
      </c>
      <c r="B1036" s="57" t="s">
        <v>477</v>
      </c>
      <c r="C1036" s="57" t="s">
        <v>1353</v>
      </c>
      <c r="D1036" s="53" t="s">
        <v>447</v>
      </c>
      <c r="E1036" s="57">
        <v>2</v>
      </c>
      <c r="F1036" s="58">
        <v>48458</v>
      </c>
      <c r="G1036" s="58">
        <v>46631</v>
      </c>
      <c r="H1036" s="57" t="s">
        <v>540</v>
      </c>
      <c r="I1036" s="57" t="s">
        <v>105</v>
      </c>
      <c r="J1036" s="57" t="s">
        <v>101</v>
      </c>
      <c r="K1036" s="57">
        <v>85.626999999999995</v>
      </c>
      <c r="L1036" s="57" t="s">
        <v>101</v>
      </c>
      <c r="M1036" s="57">
        <v>4.2489999999999997</v>
      </c>
      <c r="N1036" s="57">
        <v>4.2489999999999997</v>
      </c>
      <c r="O1036" s="53" t="s">
        <v>101</v>
      </c>
      <c r="P1036" s="57" t="s">
        <v>448</v>
      </c>
      <c r="Q1036" s="57" t="s">
        <v>556</v>
      </c>
      <c r="R1036" s="59" t="s">
        <v>454</v>
      </c>
    </row>
    <row r="1037" spans="1:18" x14ac:dyDescent="0.5">
      <c r="A1037" s="52" t="str">
        <f>"34680CDQ9"</f>
        <v>34680CDQ9</v>
      </c>
      <c r="B1037" s="53" t="s">
        <v>451</v>
      </c>
      <c r="C1037" s="53" t="s">
        <v>1354</v>
      </c>
      <c r="D1037" s="53" t="s">
        <v>447</v>
      </c>
      <c r="E1037" s="53">
        <v>3.75</v>
      </c>
      <c r="F1037" s="54">
        <v>48458</v>
      </c>
      <c r="G1037" s="54">
        <v>45733</v>
      </c>
      <c r="H1037" s="53" t="s">
        <v>641</v>
      </c>
      <c r="I1037" s="53" t="s">
        <v>628</v>
      </c>
      <c r="J1037" s="53" t="s">
        <v>101</v>
      </c>
      <c r="K1037" s="53">
        <v>99.61</v>
      </c>
      <c r="L1037" s="53" t="s">
        <v>101</v>
      </c>
      <c r="M1037" s="53">
        <v>3.81</v>
      </c>
      <c r="N1037" s="53">
        <v>3.81</v>
      </c>
      <c r="O1037" s="53" t="s">
        <v>101</v>
      </c>
      <c r="P1037" s="53" t="s">
        <v>448</v>
      </c>
      <c r="Q1037" s="53" t="s">
        <v>457</v>
      </c>
      <c r="R1037" s="55" t="s">
        <v>630</v>
      </c>
    </row>
    <row r="1038" spans="1:18" x14ac:dyDescent="0.5">
      <c r="A1038" s="56" t="str">
        <f>"34681VSZ0"</f>
        <v>34681VSZ0</v>
      </c>
      <c r="B1038" s="57" t="s">
        <v>451</v>
      </c>
      <c r="C1038" s="57" t="s">
        <v>1355</v>
      </c>
      <c r="D1038" s="53" t="s">
        <v>447</v>
      </c>
      <c r="E1038" s="57">
        <v>1.75</v>
      </c>
      <c r="F1038" s="58">
        <v>48458</v>
      </c>
      <c r="G1038" s="58">
        <v>45901</v>
      </c>
      <c r="H1038" s="57" t="s">
        <v>641</v>
      </c>
      <c r="I1038" s="57" t="s">
        <v>628</v>
      </c>
      <c r="J1038" s="57" t="s">
        <v>101</v>
      </c>
      <c r="K1038" s="57">
        <v>82.587000000000003</v>
      </c>
      <c r="L1038" s="57" t="s">
        <v>101</v>
      </c>
      <c r="M1038" s="57">
        <v>4.5</v>
      </c>
      <c r="N1038" s="57">
        <v>4.5</v>
      </c>
      <c r="O1038" s="53" t="s">
        <v>101</v>
      </c>
      <c r="P1038" s="57" t="s">
        <v>448</v>
      </c>
      <c r="Q1038" s="57" t="s">
        <v>453</v>
      </c>
      <c r="R1038" s="59" t="s">
        <v>630</v>
      </c>
    </row>
    <row r="1039" spans="1:18" x14ac:dyDescent="0.5">
      <c r="A1039" s="52" t="str">
        <f>"34682VGY5"</f>
        <v>34682VGY5</v>
      </c>
      <c r="B1039" s="53" t="s">
        <v>451</v>
      </c>
      <c r="C1039" s="53" t="s">
        <v>1356</v>
      </c>
      <c r="D1039" s="53" t="s">
        <v>447</v>
      </c>
      <c r="E1039" s="53">
        <v>3.25</v>
      </c>
      <c r="F1039" s="54">
        <v>48458</v>
      </c>
      <c r="G1039" s="54">
        <v>45733</v>
      </c>
      <c r="H1039" s="53" t="s">
        <v>627</v>
      </c>
      <c r="I1039" s="53" t="s">
        <v>628</v>
      </c>
      <c r="J1039" s="53" t="s">
        <v>101</v>
      </c>
      <c r="K1039" s="53">
        <v>94.5</v>
      </c>
      <c r="L1039" s="53" t="s">
        <v>101</v>
      </c>
      <c r="M1039" s="53">
        <v>4.1059999999999999</v>
      </c>
      <c r="N1039" s="53">
        <v>4.1059999999999999</v>
      </c>
      <c r="O1039" s="53" t="s">
        <v>101</v>
      </c>
      <c r="P1039" s="53" t="s">
        <v>448</v>
      </c>
      <c r="Q1039" s="53" t="s">
        <v>488</v>
      </c>
      <c r="R1039" s="55" t="s">
        <v>630</v>
      </c>
    </row>
    <row r="1040" spans="1:18" x14ac:dyDescent="0.5">
      <c r="A1040" s="56" t="str">
        <f>"346820SB0"</f>
        <v>346820SB0</v>
      </c>
      <c r="B1040" s="57" t="s">
        <v>451</v>
      </c>
      <c r="C1040" s="57" t="s">
        <v>1357</v>
      </c>
      <c r="D1040" s="53" t="s">
        <v>447</v>
      </c>
      <c r="E1040" s="57">
        <v>3.125</v>
      </c>
      <c r="F1040" s="58">
        <v>48458</v>
      </c>
      <c r="G1040" s="58">
        <v>45733</v>
      </c>
      <c r="H1040" s="57" t="s">
        <v>613</v>
      </c>
      <c r="I1040" s="57" t="s">
        <v>628</v>
      </c>
      <c r="J1040" s="57" t="s">
        <v>101</v>
      </c>
      <c r="K1040" s="57">
        <v>95.42</v>
      </c>
      <c r="L1040" s="57" t="s">
        <v>101</v>
      </c>
      <c r="M1040" s="57">
        <v>3.83</v>
      </c>
      <c r="N1040" s="57">
        <v>3.83</v>
      </c>
      <c r="O1040" s="53" t="s">
        <v>101</v>
      </c>
      <c r="P1040" s="57" t="s">
        <v>448</v>
      </c>
      <c r="Q1040" s="57" t="s">
        <v>488</v>
      </c>
      <c r="R1040" s="59" t="s">
        <v>454</v>
      </c>
    </row>
    <row r="1041" spans="1:18" x14ac:dyDescent="0.5">
      <c r="A1041" s="52" t="str">
        <f>"34683LDT0"</f>
        <v>34683LDT0</v>
      </c>
      <c r="B1041" s="53" t="s">
        <v>451</v>
      </c>
      <c r="C1041" s="53" t="s">
        <v>1358</v>
      </c>
      <c r="D1041" s="53" t="s">
        <v>447</v>
      </c>
      <c r="E1041" s="53">
        <v>3.125</v>
      </c>
      <c r="F1041" s="54">
        <v>48458</v>
      </c>
      <c r="G1041" s="54">
        <v>45733</v>
      </c>
      <c r="H1041" s="53" t="s">
        <v>641</v>
      </c>
      <c r="I1041" s="53" t="s">
        <v>628</v>
      </c>
      <c r="J1041" s="53" t="s">
        <v>101</v>
      </c>
      <c r="K1041" s="53">
        <v>95.32</v>
      </c>
      <c r="L1041" s="53" t="s">
        <v>101</v>
      </c>
      <c r="M1041" s="53">
        <v>3.8460000000000001</v>
      </c>
      <c r="N1041" s="53">
        <v>3.8460000000000001</v>
      </c>
      <c r="O1041" s="53" t="s">
        <v>101</v>
      </c>
      <c r="P1041" s="53" t="s">
        <v>448</v>
      </c>
      <c r="Q1041" s="53" t="s">
        <v>1280</v>
      </c>
      <c r="R1041" s="55" t="s">
        <v>630</v>
      </c>
    </row>
    <row r="1042" spans="1:18" x14ac:dyDescent="0.5">
      <c r="A1042" s="56" t="str">
        <f>"34685LBM5"</f>
        <v>34685LBM5</v>
      </c>
      <c r="B1042" s="57" t="s">
        <v>451</v>
      </c>
      <c r="C1042" s="57" t="s">
        <v>1359</v>
      </c>
      <c r="D1042" s="53" t="s">
        <v>447</v>
      </c>
      <c r="E1042" s="57">
        <v>2</v>
      </c>
      <c r="F1042" s="58">
        <v>48458</v>
      </c>
      <c r="G1042" s="58">
        <v>45733</v>
      </c>
      <c r="H1042" s="57" t="s">
        <v>105</v>
      </c>
      <c r="I1042" s="57" t="s">
        <v>628</v>
      </c>
      <c r="J1042" s="57" t="s">
        <v>101</v>
      </c>
      <c r="K1042" s="57">
        <v>84.628</v>
      </c>
      <c r="L1042" s="57" t="s">
        <v>101</v>
      </c>
      <c r="M1042" s="57">
        <v>4.4210000000000003</v>
      </c>
      <c r="N1042" s="57">
        <v>4.4210000000000003</v>
      </c>
      <c r="O1042" s="53" t="s">
        <v>101</v>
      </c>
      <c r="P1042" s="57" t="s">
        <v>448</v>
      </c>
      <c r="Q1042" s="57" t="s">
        <v>485</v>
      </c>
      <c r="R1042" s="59" t="s">
        <v>630</v>
      </c>
    </row>
    <row r="1043" spans="1:18" x14ac:dyDescent="0.5">
      <c r="A1043" s="52" t="str">
        <f>"404540US3"</f>
        <v>404540US3</v>
      </c>
      <c r="B1043" s="53" t="s">
        <v>477</v>
      </c>
      <c r="C1043" s="53" t="s">
        <v>1360</v>
      </c>
      <c r="D1043" s="53" t="s">
        <v>447</v>
      </c>
      <c r="E1043" s="53">
        <v>2</v>
      </c>
      <c r="F1043" s="54">
        <v>48458</v>
      </c>
      <c r="G1043" s="54">
        <v>46997</v>
      </c>
      <c r="H1043" s="53" t="s">
        <v>105</v>
      </c>
      <c r="I1043" s="53" t="s">
        <v>509</v>
      </c>
      <c r="J1043" s="53" t="s">
        <v>101</v>
      </c>
      <c r="K1043" s="53">
        <v>86.534000000000006</v>
      </c>
      <c r="L1043" s="53" t="s">
        <v>101</v>
      </c>
      <c r="M1043" s="53">
        <v>4.0949999999999998</v>
      </c>
      <c r="N1043" s="53">
        <v>4.0949999999999998</v>
      </c>
      <c r="O1043" s="53" t="s">
        <v>101</v>
      </c>
      <c r="P1043" s="53" t="s">
        <v>448</v>
      </c>
      <c r="Q1043" s="53" t="s">
        <v>453</v>
      </c>
      <c r="R1043" s="55" t="s">
        <v>454</v>
      </c>
    </row>
    <row r="1044" spans="1:18" x14ac:dyDescent="0.5">
      <c r="A1044" s="56" t="str">
        <f>"413897PL7"</f>
        <v>413897PL7</v>
      </c>
      <c r="B1044" s="57" t="s">
        <v>451</v>
      </c>
      <c r="C1044" s="57" t="s">
        <v>1361</v>
      </c>
      <c r="D1044" s="53" t="s">
        <v>447</v>
      </c>
      <c r="E1044" s="57">
        <v>3</v>
      </c>
      <c r="F1044" s="58">
        <v>48458</v>
      </c>
      <c r="G1044" s="58">
        <v>46631</v>
      </c>
      <c r="H1044" s="57" t="s">
        <v>610</v>
      </c>
      <c r="I1044" s="57" t="s">
        <v>628</v>
      </c>
      <c r="J1044" s="57" t="s">
        <v>101</v>
      </c>
      <c r="K1044" s="57">
        <v>95.873000000000005</v>
      </c>
      <c r="L1044" s="57" t="s">
        <v>101</v>
      </c>
      <c r="M1044" s="57">
        <v>3.6309999999999998</v>
      </c>
      <c r="N1044" s="57">
        <v>3.6309999999999998</v>
      </c>
      <c r="O1044" s="53" t="s">
        <v>101</v>
      </c>
      <c r="P1044" s="57" t="s">
        <v>448</v>
      </c>
      <c r="Q1044" s="57" t="s">
        <v>780</v>
      </c>
      <c r="R1044" s="59" t="s">
        <v>630</v>
      </c>
    </row>
    <row r="1045" spans="1:18" x14ac:dyDescent="0.5">
      <c r="A1045" s="52" t="str">
        <f>"414199QF9"</f>
        <v>414199QF9</v>
      </c>
      <c r="B1045" s="53" t="s">
        <v>451</v>
      </c>
      <c r="C1045" s="53" t="s">
        <v>1362</v>
      </c>
      <c r="D1045" s="53" t="s">
        <v>447</v>
      </c>
      <c r="E1045" s="53">
        <v>3</v>
      </c>
      <c r="F1045" s="54">
        <v>48458</v>
      </c>
      <c r="G1045" s="54">
        <v>45901</v>
      </c>
      <c r="H1045" s="53" t="s">
        <v>641</v>
      </c>
      <c r="I1045" s="53" t="s">
        <v>628</v>
      </c>
      <c r="J1045" s="53" t="s">
        <v>101</v>
      </c>
      <c r="K1045" s="53">
        <v>94.546999999999997</v>
      </c>
      <c r="L1045" s="53" t="s">
        <v>101</v>
      </c>
      <c r="M1045" s="53">
        <v>3.84</v>
      </c>
      <c r="N1045" s="53">
        <v>3.84</v>
      </c>
      <c r="O1045" s="53" t="s">
        <v>101</v>
      </c>
      <c r="P1045" s="53" t="s">
        <v>448</v>
      </c>
      <c r="Q1045" s="53" t="s">
        <v>488</v>
      </c>
      <c r="R1045" s="55" t="s">
        <v>630</v>
      </c>
    </row>
    <row r="1046" spans="1:18" x14ac:dyDescent="0.5">
      <c r="A1046" s="56" t="str">
        <f>"41420PEW6"</f>
        <v>41420PEW6</v>
      </c>
      <c r="B1046" s="57" t="s">
        <v>451</v>
      </c>
      <c r="C1046" s="57" t="s">
        <v>1363</v>
      </c>
      <c r="D1046" s="53" t="s">
        <v>447</v>
      </c>
      <c r="E1046" s="57">
        <v>3.25</v>
      </c>
      <c r="F1046" s="58">
        <v>48458</v>
      </c>
      <c r="G1046" s="58">
        <v>45733</v>
      </c>
      <c r="H1046" s="57" t="s">
        <v>670</v>
      </c>
      <c r="I1046" s="57" t="s">
        <v>628</v>
      </c>
      <c r="J1046" s="57" t="s">
        <v>101</v>
      </c>
      <c r="K1046" s="57">
        <v>96.353999999999999</v>
      </c>
      <c r="L1046" s="57" t="s">
        <v>101</v>
      </c>
      <c r="M1046" s="57">
        <v>3.8109999999999999</v>
      </c>
      <c r="N1046" s="57">
        <v>3.8109999999999999</v>
      </c>
      <c r="O1046" s="53" t="s">
        <v>101</v>
      </c>
      <c r="P1046" s="57" t="s">
        <v>448</v>
      </c>
      <c r="Q1046" s="57" t="s">
        <v>460</v>
      </c>
      <c r="R1046" s="59" t="s">
        <v>630</v>
      </c>
    </row>
    <row r="1047" spans="1:18" x14ac:dyDescent="0.5">
      <c r="A1047" s="52" t="str">
        <f>"41420PGP9"</f>
        <v>41420PGP9</v>
      </c>
      <c r="B1047" s="53" t="s">
        <v>451</v>
      </c>
      <c r="C1047" s="53" t="s">
        <v>1364</v>
      </c>
      <c r="D1047" s="53" t="s">
        <v>447</v>
      </c>
      <c r="E1047" s="53">
        <v>3.375</v>
      </c>
      <c r="F1047" s="54">
        <v>48458</v>
      </c>
      <c r="G1047" s="54">
        <v>45901</v>
      </c>
      <c r="H1047" s="53" t="s">
        <v>670</v>
      </c>
      <c r="I1047" s="53" t="s">
        <v>628</v>
      </c>
      <c r="J1047" s="53" t="s">
        <v>101</v>
      </c>
      <c r="K1047" s="53">
        <v>97.162999999999997</v>
      </c>
      <c r="L1047" s="53" t="s">
        <v>101</v>
      </c>
      <c r="M1047" s="53">
        <v>3.8109999999999999</v>
      </c>
      <c r="N1047" s="53">
        <v>3.8109999999999999</v>
      </c>
      <c r="O1047" s="53" t="s">
        <v>101</v>
      </c>
      <c r="P1047" s="53" t="s">
        <v>448</v>
      </c>
      <c r="Q1047" s="53" t="s">
        <v>485</v>
      </c>
      <c r="R1047" s="55" t="s">
        <v>630</v>
      </c>
    </row>
    <row r="1048" spans="1:18" x14ac:dyDescent="0.5">
      <c r="A1048" s="56" t="str">
        <f>"41422GGF9"</f>
        <v>41422GGF9</v>
      </c>
      <c r="B1048" s="57" t="s">
        <v>451</v>
      </c>
      <c r="C1048" s="57" t="s">
        <v>1365</v>
      </c>
      <c r="D1048" s="53" t="s">
        <v>447</v>
      </c>
      <c r="E1048" s="57">
        <v>3</v>
      </c>
      <c r="F1048" s="58">
        <v>48458</v>
      </c>
      <c r="G1048" s="58">
        <v>45733</v>
      </c>
      <c r="H1048" s="57" t="s">
        <v>641</v>
      </c>
      <c r="I1048" s="57" t="s">
        <v>628</v>
      </c>
      <c r="J1048" s="57" t="s">
        <v>101</v>
      </c>
      <c r="K1048" s="57">
        <v>96.697999999999993</v>
      </c>
      <c r="L1048" s="57" t="s">
        <v>101</v>
      </c>
      <c r="M1048" s="57">
        <v>3.5019999999999998</v>
      </c>
      <c r="N1048" s="57">
        <v>3.5019999999999998</v>
      </c>
      <c r="O1048" s="53" t="s">
        <v>101</v>
      </c>
      <c r="P1048" s="57" t="s">
        <v>448</v>
      </c>
      <c r="Q1048" s="57" t="s">
        <v>556</v>
      </c>
      <c r="R1048" s="59" t="s">
        <v>630</v>
      </c>
    </row>
    <row r="1049" spans="1:18" x14ac:dyDescent="0.5">
      <c r="A1049" s="52" t="str">
        <f>"41423LLW4"</f>
        <v>41423LLW4</v>
      </c>
      <c r="B1049" s="53" t="s">
        <v>451</v>
      </c>
      <c r="C1049" s="53" t="s">
        <v>1366</v>
      </c>
      <c r="D1049" s="53" t="s">
        <v>447</v>
      </c>
      <c r="E1049" s="53">
        <v>4</v>
      </c>
      <c r="F1049" s="54">
        <v>48458</v>
      </c>
      <c r="G1049" s="54">
        <v>47362</v>
      </c>
      <c r="H1049" s="53" t="s">
        <v>641</v>
      </c>
      <c r="I1049" s="53" t="s">
        <v>628</v>
      </c>
      <c r="J1049" s="53" t="s">
        <v>101</v>
      </c>
      <c r="K1049" s="53">
        <v>102.002</v>
      </c>
      <c r="L1049" s="53" t="s">
        <v>101</v>
      </c>
      <c r="M1049" s="53">
        <v>3.5179999999999998</v>
      </c>
      <c r="N1049" s="53">
        <v>3.6930000000000001</v>
      </c>
      <c r="O1049" s="53" t="s">
        <v>101</v>
      </c>
      <c r="P1049" s="53" t="s">
        <v>448</v>
      </c>
      <c r="Q1049" s="53" t="s">
        <v>457</v>
      </c>
      <c r="R1049" s="55" t="s">
        <v>630</v>
      </c>
    </row>
    <row r="1050" spans="1:18" x14ac:dyDescent="0.5">
      <c r="A1050" s="56" t="str">
        <f>"41430EAJ2"</f>
        <v>41430EAJ2</v>
      </c>
      <c r="B1050" s="57" t="s">
        <v>451</v>
      </c>
      <c r="C1050" s="57" t="s">
        <v>1367</v>
      </c>
      <c r="D1050" s="53" t="s">
        <v>447</v>
      </c>
      <c r="E1050" s="57">
        <v>4.5</v>
      </c>
      <c r="F1050" s="58">
        <v>48458</v>
      </c>
      <c r="G1050" s="58">
        <v>46997</v>
      </c>
      <c r="H1050" s="57" t="s">
        <v>105</v>
      </c>
      <c r="I1050" s="57" t="s">
        <v>628</v>
      </c>
      <c r="J1050" s="57" t="s">
        <v>101</v>
      </c>
      <c r="K1050" s="57">
        <v>102.75700000000001</v>
      </c>
      <c r="L1050" s="57" t="s">
        <v>101</v>
      </c>
      <c r="M1050" s="57">
        <v>3.661</v>
      </c>
      <c r="N1050" s="57">
        <v>4.0709999999999997</v>
      </c>
      <c r="O1050" s="53" t="s">
        <v>101</v>
      </c>
      <c r="P1050" s="57" t="s">
        <v>448</v>
      </c>
      <c r="Q1050" s="57" t="s">
        <v>485</v>
      </c>
      <c r="R1050" s="59" t="s">
        <v>630</v>
      </c>
    </row>
    <row r="1051" spans="1:18" x14ac:dyDescent="0.5">
      <c r="A1051" s="52" t="str">
        <f>"41456PGP6"</f>
        <v>41456PGP6</v>
      </c>
      <c r="B1051" s="53" t="s">
        <v>451</v>
      </c>
      <c r="C1051" s="53" t="s">
        <v>1368</v>
      </c>
      <c r="D1051" s="53" t="s">
        <v>447</v>
      </c>
      <c r="E1051" s="53">
        <v>3.375</v>
      </c>
      <c r="F1051" s="54">
        <v>48458</v>
      </c>
      <c r="G1051" s="54">
        <v>45901</v>
      </c>
      <c r="H1051" s="53" t="s">
        <v>624</v>
      </c>
      <c r="I1051" s="53" t="s">
        <v>628</v>
      </c>
      <c r="J1051" s="53" t="s">
        <v>101</v>
      </c>
      <c r="K1051" s="53">
        <v>98.38</v>
      </c>
      <c r="L1051" s="53" t="s">
        <v>101</v>
      </c>
      <c r="M1051" s="53">
        <v>3.6219999999999999</v>
      </c>
      <c r="N1051" s="53">
        <v>3.6219999999999999</v>
      </c>
      <c r="O1051" s="53" t="s">
        <v>101</v>
      </c>
      <c r="P1051" s="53" t="s">
        <v>448</v>
      </c>
      <c r="Q1051" s="53" t="s">
        <v>488</v>
      </c>
      <c r="R1051" s="55" t="s">
        <v>630</v>
      </c>
    </row>
    <row r="1052" spans="1:18" x14ac:dyDescent="0.5">
      <c r="A1052" s="56" t="str">
        <f>"44237NLQ3"</f>
        <v>44237NLQ3</v>
      </c>
      <c r="B1052" s="57" t="s">
        <v>451</v>
      </c>
      <c r="C1052" s="57" t="s">
        <v>1369</v>
      </c>
      <c r="D1052" s="53" t="s">
        <v>447</v>
      </c>
      <c r="E1052" s="57">
        <v>3</v>
      </c>
      <c r="F1052" s="58">
        <v>48458</v>
      </c>
      <c r="G1052" s="58">
        <v>48092</v>
      </c>
      <c r="H1052" s="57" t="s">
        <v>610</v>
      </c>
      <c r="I1052" s="57" t="s">
        <v>611</v>
      </c>
      <c r="J1052" s="57" t="s">
        <v>101</v>
      </c>
      <c r="K1052" s="57">
        <v>93.96</v>
      </c>
      <c r="L1052" s="57" t="s">
        <v>101</v>
      </c>
      <c r="M1052" s="57">
        <v>3.9340000000000002</v>
      </c>
      <c r="N1052" s="57">
        <v>3.9340000000000002</v>
      </c>
      <c r="O1052" s="53" t="s">
        <v>101</v>
      </c>
      <c r="P1052" s="57" t="s">
        <v>448</v>
      </c>
      <c r="Q1052" s="57" t="s">
        <v>635</v>
      </c>
      <c r="R1052" s="59" t="s">
        <v>589</v>
      </c>
    </row>
    <row r="1053" spans="1:18" x14ac:dyDescent="0.5">
      <c r="A1053" s="52" t="str">
        <f>"489783AK6"</f>
        <v>489783AK6</v>
      </c>
      <c r="B1053" s="53" t="s">
        <v>496</v>
      </c>
      <c r="C1053" s="53" t="s">
        <v>1370</v>
      </c>
      <c r="D1053" s="53" t="s">
        <v>447</v>
      </c>
      <c r="E1053" s="53">
        <v>3</v>
      </c>
      <c r="F1053" s="54">
        <v>48458</v>
      </c>
      <c r="G1053" s="54">
        <v>47727</v>
      </c>
      <c r="H1053" s="53" t="s">
        <v>105</v>
      </c>
      <c r="I1053" s="53" t="s">
        <v>104</v>
      </c>
      <c r="J1053" s="53" t="s">
        <v>101</v>
      </c>
      <c r="K1053" s="53">
        <v>95.84</v>
      </c>
      <c r="L1053" s="53" t="s">
        <v>101</v>
      </c>
      <c r="M1053" s="53">
        <v>3.6360000000000001</v>
      </c>
      <c r="N1053" s="53">
        <v>3.6360000000000001</v>
      </c>
      <c r="O1053" s="53" t="s">
        <v>101</v>
      </c>
      <c r="P1053" s="53" t="s">
        <v>448</v>
      </c>
      <c r="Q1053" s="53" t="s">
        <v>503</v>
      </c>
      <c r="R1053" s="55" t="s">
        <v>482</v>
      </c>
    </row>
    <row r="1054" spans="1:18" x14ac:dyDescent="0.5">
      <c r="A1054" s="56" t="str">
        <f>"58601PAM7"</f>
        <v>58601PAM7</v>
      </c>
      <c r="B1054" s="57" t="s">
        <v>451</v>
      </c>
      <c r="C1054" s="57" t="s">
        <v>1371</v>
      </c>
      <c r="D1054" s="53" t="s">
        <v>447</v>
      </c>
      <c r="E1054" s="57">
        <v>3</v>
      </c>
      <c r="F1054" s="58">
        <v>48458</v>
      </c>
      <c r="G1054" s="58">
        <v>47727</v>
      </c>
      <c r="H1054" s="57" t="s">
        <v>105</v>
      </c>
      <c r="I1054" s="57" t="s">
        <v>628</v>
      </c>
      <c r="J1054" s="57" t="s">
        <v>101</v>
      </c>
      <c r="K1054" s="57">
        <v>96.222999999999999</v>
      </c>
      <c r="L1054" s="57" t="s">
        <v>101</v>
      </c>
      <c r="M1054" s="57">
        <v>3.5760000000000001</v>
      </c>
      <c r="N1054" s="57">
        <v>3.5760000000000001</v>
      </c>
      <c r="O1054" s="53" t="s">
        <v>101</v>
      </c>
      <c r="P1054" s="57" t="s">
        <v>448</v>
      </c>
      <c r="Q1054" s="57" t="s">
        <v>556</v>
      </c>
      <c r="R1054" s="59" t="s">
        <v>820</v>
      </c>
    </row>
    <row r="1055" spans="1:18" x14ac:dyDescent="0.5">
      <c r="A1055" s="52" t="str">
        <f>"59324PCZ0"</f>
        <v>59324PCZ0</v>
      </c>
      <c r="B1055" s="53" t="s">
        <v>499</v>
      </c>
      <c r="C1055" s="53" t="s">
        <v>1372</v>
      </c>
      <c r="D1055" s="53" t="s">
        <v>447</v>
      </c>
      <c r="E1055" s="53">
        <v>3.5</v>
      </c>
      <c r="F1055" s="54">
        <v>48458</v>
      </c>
      <c r="G1055" s="54">
        <v>45901</v>
      </c>
      <c r="H1055" s="53" t="s">
        <v>624</v>
      </c>
      <c r="I1055" s="53" t="s">
        <v>616</v>
      </c>
      <c r="J1055" s="53" t="s">
        <v>101</v>
      </c>
      <c r="K1055" s="53">
        <v>99</v>
      </c>
      <c r="L1055" s="53" t="s">
        <v>101</v>
      </c>
      <c r="M1055" s="53">
        <v>3.653</v>
      </c>
      <c r="N1055" s="53">
        <v>3.653</v>
      </c>
      <c r="O1055" s="53" t="s">
        <v>101</v>
      </c>
      <c r="P1055" s="53" t="s">
        <v>448</v>
      </c>
      <c r="Q1055" s="53" t="s">
        <v>503</v>
      </c>
      <c r="R1055" s="55" t="s">
        <v>504</v>
      </c>
    </row>
    <row r="1056" spans="1:18" x14ac:dyDescent="0.5">
      <c r="A1056" s="56" t="str">
        <f>"61371AJN1"</f>
        <v>61371AJN1</v>
      </c>
      <c r="B1056" s="57" t="s">
        <v>451</v>
      </c>
      <c r="C1056" s="57" t="s">
        <v>1373</v>
      </c>
      <c r="D1056" s="53" t="s">
        <v>447</v>
      </c>
      <c r="E1056" s="57">
        <v>3.25</v>
      </c>
      <c r="F1056" s="58">
        <v>48458</v>
      </c>
      <c r="G1056" s="58">
        <v>45733</v>
      </c>
      <c r="H1056" s="57" t="s">
        <v>610</v>
      </c>
      <c r="I1056" s="57" t="s">
        <v>628</v>
      </c>
      <c r="J1056" s="57" t="s">
        <v>101</v>
      </c>
      <c r="K1056" s="57">
        <v>96.97</v>
      </c>
      <c r="L1056" s="57" t="s">
        <v>101</v>
      </c>
      <c r="M1056" s="57">
        <v>3.7149999999999999</v>
      </c>
      <c r="N1056" s="57">
        <v>3.7149999999999999</v>
      </c>
      <c r="O1056" s="53" t="s">
        <v>101</v>
      </c>
      <c r="P1056" s="57" t="s">
        <v>448</v>
      </c>
      <c r="Q1056" s="57" t="s">
        <v>488</v>
      </c>
      <c r="R1056" s="59" t="s">
        <v>630</v>
      </c>
    </row>
    <row r="1057" spans="1:18" x14ac:dyDescent="0.5">
      <c r="A1057" s="52" t="str">
        <f>"61371APD6"</f>
        <v>61371APD6</v>
      </c>
      <c r="B1057" s="53" t="s">
        <v>451</v>
      </c>
      <c r="C1057" s="53" t="s">
        <v>1374</v>
      </c>
      <c r="D1057" s="53" t="s">
        <v>447</v>
      </c>
      <c r="E1057" s="53">
        <v>3.125</v>
      </c>
      <c r="F1057" s="54">
        <v>48458</v>
      </c>
      <c r="G1057" s="54">
        <v>45733</v>
      </c>
      <c r="H1057" s="53" t="s">
        <v>610</v>
      </c>
      <c r="I1057" s="53" t="s">
        <v>182</v>
      </c>
      <c r="J1057" s="53" t="s">
        <v>101</v>
      </c>
      <c r="K1057" s="53">
        <v>94.554000000000002</v>
      </c>
      <c r="L1057" s="53" t="s">
        <v>101</v>
      </c>
      <c r="M1057" s="53">
        <v>3.968</v>
      </c>
      <c r="N1057" s="53">
        <v>3.968</v>
      </c>
      <c r="O1057" s="53" t="s">
        <v>101</v>
      </c>
      <c r="P1057" s="53" t="s">
        <v>448</v>
      </c>
      <c r="Q1057" s="53" t="s">
        <v>460</v>
      </c>
      <c r="R1057" s="55" t="s">
        <v>630</v>
      </c>
    </row>
    <row r="1058" spans="1:18" x14ac:dyDescent="0.5">
      <c r="A1058" s="56" t="str">
        <f>"61374LAG8"</f>
        <v>61374LAG8</v>
      </c>
      <c r="B1058" s="57" t="s">
        <v>451</v>
      </c>
      <c r="C1058" s="57" t="s">
        <v>1375</v>
      </c>
      <c r="D1058" s="53" t="s">
        <v>447</v>
      </c>
      <c r="E1058" s="57">
        <v>6</v>
      </c>
      <c r="F1058" s="58">
        <v>48458</v>
      </c>
      <c r="G1058" s="58">
        <v>47727</v>
      </c>
      <c r="H1058" s="57" t="s">
        <v>105</v>
      </c>
      <c r="I1058" s="57" t="s">
        <v>628</v>
      </c>
      <c r="J1058" s="57" t="s">
        <v>101</v>
      </c>
      <c r="K1058" s="57">
        <v>112.25700000000001</v>
      </c>
      <c r="L1058" s="57" t="s">
        <v>101</v>
      </c>
      <c r="M1058" s="57">
        <v>3.5419999999999998</v>
      </c>
      <c r="N1058" s="57">
        <v>4.093</v>
      </c>
      <c r="O1058" s="53" t="s">
        <v>101</v>
      </c>
      <c r="P1058" s="57" t="s">
        <v>448</v>
      </c>
      <c r="Q1058" s="57" t="s">
        <v>475</v>
      </c>
      <c r="R1058" s="59" t="s">
        <v>1376</v>
      </c>
    </row>
    <row r="1059" spans="1:18" x14ac:dyDescent="0.5">
      <c r="A1059" s="52" t="str">
        <f>"6460663A6"</f>
        <v>6460663A6</v>
      </c>
      <c r="B1059" s="53" t="s">
        <v>477</v>
      </c>
      <c r="C1059" s="53" t="s">
        <v>1377</v>
      </c>
      <c r="D1059" s="53" t="s">
        <v>447</v>
      </c>
      <c r="E1059" s="53">
        <v>3</v>
      </c>
      <c r="F1059" s="54">
        <v>48458</v>
      </c>
      <c r="G1059" s="54">
        <v>46631</v>
      </c>
      <c r="H1059" s="53" t="s">
        <v>610</v>
      </c>
      <c r="I1059" s="53" t="s">
        <v>628</v>
      </c>
      <c r="J1059" s="53" t="s">
        <v>101</v>
      </c>
      <c r="K1059" s="53">
        <v>95.75</v>
      </c>
      <c r="L1059" s="53" t="s">
        <v>101</v>
      </c>
      <c r="M1059" s="53">
        <v>3.65</v>
      </c>
      <c r="N1059" s="53">
        <v>3.65</v>
      </c>
      <c r="O1059" s="53" t="s">
        <v>101</v>
      </c>
      <c r="P1059" s="53" t="s">
        <v>448</v>
      </c>
      <c r="Q1059" s="53" t="s">
        <v>858</v>
      </c>
      <c r="R1059" s="55" t="s">
        <v>727</v>
      </c>
    </row>
    <row r="1060" spans="1:18" x14ac:dyDescent="0.5">
      <c r="A1060" s="56" t="str">
        <f>"664376BZ2"</f>
        <v>664376BZ2</v>
      </c>
      <c r="B1060" s="57" t="s">
        <v>451</v>
      </c>
      <c r="C1060" s="57" t="s">
        <v>1378</v>
      </c>
      <c r="D1060" s="53" t="s">
        <v>447</v>
      </c>
      <c r="E1060" s="57">
        <v>3.375</v>
      </c>
      <c r="F1060" s="58">
        <v>48458</v>
      </c>
      <c r="G1060" s="58">
        <v>46631</v>
      </c>
      <c r="H1060" s="57" t="s">
        <v>105</v>
      </c>
      <c r="I1060" s="57" t="s">
        <v>628</v>
      </c>
      <c r="J1060" s="57" t="s">
        <v>101</v>
      </c>
      <c r="K1060" s="57">
        <v>97.099000000000004</v>
      </c>
      <c r="L1060" s="57" t="s">
        <v>101</v>
      </c>
      <c r="M1060" s="57">
        <v>3.8220000000000001</v>
      </c>
      <c r="N1060" s="57">
        <v>3.8220000000000001</v>
      </c>
      <c r="O1060" s="53" t="s">
        <v>101</v>
      </c>
      <c r="P1060" s="57" t="s">
        <v>448</v>
      </c>
      <c r="Q1060" s="57" t="s">
        <v>488</v>
      </c>
      <c r="R1060" s="59" t="s">
        <v>771</v>
      </c>
    </row>
    <row r="1061" spans="1:18" x14ac:dyDescent="0.5">
      <c r="A1061" s="52" t="str">
        <f>"82622PAK6"</f>
        <v>82622PAK6</v>
      </c>
      <c r="B1061" s="53" t="s">
        <v>451</v>
      </c>
      <c r="C1061" s="53" t="s">
        <v>1379</v>
      </c>
      <c r="D1061" s="53" t="s">
        <v>447</v>
      </c>
      <c r="E1061" s="53">
        <v>3</v>
      </c>
      <c r="F1061" s="54">
        <v>48458</v>
      </c>
      <c r="G1061" s="54">
        <v>46478</v>
      </c>
      <c r="H1061" s="53" t="s">
        <v>641</v>
      </c>
      <c r="I1061" s="53" t="s">
        <v>628</v>
      </c>
      <c r="J1061" s="53" t="s">
        <v>101</v>
      </c>
      <c r="K1061" s="53">
        <v>94.501999999999995</v>
      </c>
      <c r="L1061" s="53" t="s">
        <v>101</v>
      </c>
      <c r="M1061" s="53">
        <v>3.847</v>
      </c>
      <c r="N1061" s="53">
        <v>3.847</v>
      </c>
      <c r="O1061" s="53" t="s">
        <v>101</v>
      </c>
      <c r="P1061" s="53" t="s">
        <v>448</v>
      </c>
      <c r="Q1061" s="53" t="s">
        <v>457</v>
      </c>
      <c r="R1061" s="55" t="s">
        <v>630</v>
      </c>
    </row>
    <row r="1062" spans="1:18" x14ac:dyDescent="0.5">
      <c r="A1062" s="56" t="str">
        <f>"826204D30"</f>
        <v>826204D30</v>
      </c>
      <c r="B1062" s="57" t="s">
        <v>451</v>
      </c>
      <c r="C1062" s="57" t="s">
        <v>1380</v>
      </c>
      <c r="D1062" s="53" t="s">
        <v>447</v>
      </c>
      <c r="E1062" s="57">
        <v>3</v>
      </c>
      <c r="F1062" s="58">
        <v>48458</v>
      </c>
      <c r="G1062" s="58">
        <v>45901</v>
      </c>
      <c r="H1062" s="57" t="s">
        <v>641</v>
      </c>
      <c r="I1062" s="57" t="s">
        <v>628</v>
      </c>
      <c r="J1062" s="57" t="s">
        <v>101</v>
      </c>
      <c r="K1062" s="57">
        <v>93.228999999999999</v>
      </c>
      <c r="L1062" s="57" t="s">
        <v>101</v>
      </c>
      <c r="M1062" s="57">
        <v>4.0510000000000002</v>
      </c>
      <c r="N1062" s="57">
        <v>4.0510000000000002</v>
      </c>
      <c r="O1062" s="53" t="s">
        <v>101</v>
      </c>
      <c r="P1062" s="57" t="s">
        <v>448</v>
      </c>
      <c r="Q1062" s="57" t="s">
        <v>460</v>
      </c>
      <c r="R1062" s="59" t="s">
        <v>630</v>
      </c>
    </row>
    <row r="1063" spans="1:18" x14ac:dyDescent="0.5">
      <c r="A1063" s="52" t="str">
        <f>"826204ZG7"</f>
        <v>826204ZG7</v>
      </c>
      <c r="B1063" s="53" t="s">
        <v>451</v>
      </c>
      <c r="C1063" s="53" t="s">
        <v>1381</v>
      </c>
      <c r="D1063" s="53" t="s">
        <v>447</v>
      </c>
      <c r="E1063" s="53">
        <v>3</v>
      </c>
      <c r="F1063" s="54">
        <v>48458</v>
      </c>
      <c r="G1063" s="54">
        <v>45733</v>
      </c>
      <c r="H1063" s="53" t="s">
        <v>641</v>
      </c>
      <c r="I1063" s="53" t="s">
        <v>628</v>
      </c>
      <c r="J1063" s="53" t="s">
        <v>101</v>
      </c>
      <c r="K1063" s="53">
        <v>94.296000000000006</v>
      </c>
      <c r="L1063" s="53" t="s">
        <v>101</v>
      </c>
      <c r="M1063" s="53">
        <v>3.88</v>
      </c>
      <c r="N1063" s="53">
        <v>3.88</v>
      </c>
      <c r="O1063" s="53" t="s">
        <v>101</v>
      </c>
      <c r="P1063" s="53" t="s">
        <v>448</v>
      </c>
      <c r="Q1063" s="53" t="s">
        <v>538</v>
      </c>
      <c r="R1063" s="55" t="s">
        <v>630</v>
      </c>
    </row>
    <row r="1064" spans="1:18" x14ac:dyDescent="0.5">
      <c r="A1064" s="56" t="str">
        <f>"84019RKG7"</f>
        <v>84019RKG7</v>
      </c>
      <c r="B1064" s="57" t="s">
        <v>451</v>
      </c>
      <c r="C1064" s="57" t="s">
        <v>1382</v>
      </c>
      <c r="D1064" s="53" t="s">
        <v>447</v>
      </c>
      <c r="E1064" s="57">
        <v>3</v>
      </c>
      <c r="F1064" s="58">
        <v>48458</v>
      </c>
      <c r="G1064" s="58">
        <v>47362</v>
      </c>
      <c r="H1064" s="57" t="s">
        <v>105</v>
      </c>
      <c r="I1064" s="57" t="s">
        <v>628</v>
      </c>
      <c r="J1064" s="57" t="s">
        <v>101</v>
      </c>
      <c r="K1064" s="57">
        <v>95.116</v>
      </c>
      <c r="L1064" s="57" t="s">
        <v>101</v>
      </c>
      <c r="M1064" s="57">
        <v>3.75</v>
      </c>
      <c r="N1064" s="57">
        <v>3.75</v>
      </c>
      <c r="O1064" s="53" t="s">
        <v>101</v>
      </c>
      <c r="P1064" s="57" t="s">
        <v>448</v>
      </c>
      <c r="Q1064" s="57" t="s">
        <v>567</v>
      </c>
      <c r="R1064" s="59" t="s">
        <v>630</v>
      </c>
    </row>
    <row r="1065" spans="1:18" x14ac:dyDescent="0.5">
      <c r="A1065" s="52" t="str">
        <f>"882555ZQ1"</f>
        <v>882555ZQ1</v>
      </c>
      <c r="B1065" s="53" t="s">
        <v>451</v>
      </c>
      <c r="C1065" s="53" t="s">
        <v>1383</v>
      </c>
      <c r="D1065" s="53" t="s">
        <v>447</v>
      </c>
      <c r="E1065" s="53">
        <v>3</v>
      </c>
      <c r="F1065" s="54">
        <v>48458</v>
      </c>
      <c r="G1065" s="54">
        <v>46266</v>
      </c>
      <c r="H1065" s="53" t="s">
        <v>641</v>
      </c>
      <c r="I1065" s="53" t="s">
        <v>628</v>
      </c>
      <c r="J1065" s="53" t="s">
        <v>101</v>
      </c>
      <c r="K1065" s="53">
        <v>95.051000000000002</v>
      </c>
      <c r="L1065" s="53" t="s">
        <v>101</v>
      </c>
      <c r="M1065" s="53">
        <v>3.76</v>
      </c>
      <c r="N1065" s="53">
        <v>3.76</v>
      </c>
      <c r="O1065" s="53" t="s">
        <v>101</v>
      </c>
      <c r="P1065" s="53" t="s">
        <v>448</v>
      </c>
      <c r="Q1065" s="53" t="s">
        <v>1384</v>
      </c>
      <c r="R1065" s="55" t="s">
        <v>771</v>
      </c>
    </row>
    <row r="1066" spans="1:18" x14ac:dyDescent="0.5">
      <c r="A1066" s="56" t="str">
        <f>"97689QUL8"</f>
        <v>97689QUL8</v>
      </c>
      <c r="B1066" s="57" t="s">
        <v>496</v>
      </c>
      <c r="C1066" s="57" t="s">
        <v>1385</v>
      </c>
      <c r="D1066" s="53" t="s">
        <v>447</v>
      </c>
      <c r="E1066" s="57">
        <v>3.85</v>
      </c>
      <c r="F1066" s="58">
        <v>48458</v>
      </c>
      <c r="G1066" s="58" t="s">
        <v>101</v>
      </c>
      <c r="H1066" s="57" t="s">
        <v>613</v>
      </c>
      <c r="I1066" s="57" t="s">
        <v>509</v>
      </c>
      <c r="J1066" s="57" t="s">
        <v>101</v>
      </c>
      <c r="K1066" s="57">
        <v>101.006</v>
      </c>
      <c r="L1066" s="57" t="s">
        <v>101</v>
      </c>
      <c r="M1066" s="57">
        <v>3.6960000000000002</v>
      </c>
      <c r="N1066" s="57">
        <v>3.6960000000000002</v>
      </c>
      <c r="O1066" s="53" t="s">
        <v>101</v>
      </c>
      <c r="P1066" s="57" t="s">
        <v>448</v>
      </c>
      <c r="Q1066" s="57" t="s">
        <v>488</v>
      </c>
      <c r="R1066" s="59" t="s">
        <v>450</v>
      </c>
    </row>
    <row r="1067" spans="1:18" x14ac:dyDescent="0.5">
      <c r="A1067" s="52" t="str">
        <f>"512680BT5"</f>
        <v>512680BT5</v>
      </c>
      <c r="B1067" s="53" t="s">
        <v>477</v>
      </c>
      <c r="C1067" s="53" t="s">
        <v>1386</v>
      </c>
      <c r="D1067" s="53" t="s">
        <v>447</v>
      </c>
      <c r="E1067" s="53">
        <v>3</v>
      </c>
      <c r="F1067" s="54">
        <v>48472</v>
      </c>
      <c r="G1067" s="54">
        <v>45733</v>
      </c>
      <c r="H1067" s="53" t="s">
        <v>105</v>
      </c>
      <c r="I1067" s="53" t="s">
        <v>628</v>
      </c>
      <c r="J1067" s="53" t="s">
        <v>101</v>
      </c>
      <c r="K1067" s="53">
        <v>96.051000000000002</v>
      </c>
      <c r="L1067" s="53" t="s">
        <v>101</v>
      </c>
      <c r="M1067" s="53">
        <v>3.6</v>
      </c>
      <c r="N1067" s="53">
        <v>3.6</v>
      </c>
      <c r="O1067" s="53" t="s">
        <v>101</v>
      </c>
      <c r="P1067" s="53" t="s">
        <v>448</v>
      </c>
      <c r="Q1067" s="53" t="s">
        <v>453</v>
      </c>
      <c r="R1067" s="55" t="s">
        <v>630</v>
      </c>
    </row>
    <row r="1068" spans="1:18" x14ac:dyDescent="0.5">
      <c r="A1068" s="56" t="str">
        <f>"650367NF8"</f>
        <v>650367NF8</v>
      </c>
      <c r="B1068" s="57" t="s">
        <v>477</v>
      </c>
      <c r="C1068" s="57" t="s">
        <v>1387</v>
      </c>
      <c r="D1068" s="53" t="s">
        <v>447</v>
      </c>
      <c r="E1068" s="57">
        <v>3</v>
      </c>
      <c r="F1068" s="58">
        <v>48472</v>
      </c>
      <c r="G1068" s="58">
        <v>46280</v>
      </c>
      <c r="H1068" s="57" t="s">
        <v>610</v>
      </c>
      <c r="I1068" s="57" t="s">
        <v>628</v>
      </c>
      <c r="J1068" s="57" t="s">
        <v>101</v>
      </c>
      <c r="K1068" s="57">
        <v>95.878</v>
      </c>
      <c r="L1068" s="57" t="s">
        <v>101</v>
      </c>
      <c r="M1068" s="57">
        <v>3.6269999999999998</v>
      </c>
      <c r="N1068" s="57">
        <v>3.6269999999999998</v>
      </c>
      <c r="O1068" s="53" t="s">
        <v>101</v>
      </c>
      <c r="P1068" s="57" t="s">
        <v>448</v>
      </c>
      <c r="Q1068" s="57" t="s">
        <v>485</v>
      </c>
      <c r="R1068" s="59" t="s">
        <v>630</v>
      </c>
    </row>
    <row r="1069" spans="1:18" x14ac:dyDescent="0.5">
      <c r="A1069" s="52" t="str">
        <f>"674684SA4"</f>
        <v>674684SA4</v>
      </c>
      <c r="B1069" s="53" t="s">
        <v>477</v>
      </c>
      <c r="C1069" s="53" t="s">
        <v>1388</v>
      </c>
      <c r="D1069" s="53" t="s">
        <v>447</v>
      </c>
      <c r="E1069" s="53">
        <v>2.25</v>
      </c>
      <c r="F1069" s="54">
        <v>48472</v>
      </c>
      <c r="G1069" s="54">
        <v>46280</v>
      </c>
      <c r="H1069" s="53" t="s">
        <v>105</v>
      </c>
      <c r="I1069" s="53" t="s">
        <v>628</v>
      </c>
      <c r="J1069" s="53" t="s">
        <v>101</v>
      </c>
      <c r="K1069" s="53">
        <v>87.754000000000005</v>
      </c>
      <c r="L1069" s="53" t="s">
        <v>101</v>
      </c>
      <c r="M1069" s="53">
        <v>4.1500000000000004</v>
      </c>
      <c r="N1069" s="53">
        <v>4.1500000000000004</v>
      </c>
      <c r="O1069" s="53" t="s">
        <v>101</v>
      </c>
      <c r="P1069" s="53" t="s">
        <v>448</v>
      </c>
      <c r="Q1069" s="53" t="s">
        <v>663</v>
      </c>
      <c r="R1069" s="55" t="s">
        <v>454</v>
      </c>
    </row>
    <row r="1070" spans="1:18" x14ac:dyDescent="0.5">
      <c r="A1070" s="56" t="str">
        <f>"839448EM5"</f>
        <v>839448EM5</v>
      </c>
      <c r="B1070" s="57" t="s">
        <v>477</v>
      </c>
      <c r="C1070" s="57" t="s">
        <v>1389</v>
      </c>
      <c r="D1070" s="53" t="s">
        <v>447</v>
      </c>
      <c r="E1070" s="57">
        <v>3</v>
      </c>
      <c r="F1070" s="58">
        <v>48472</v>
      </c>
      <c r="G1070" s="58">
        <v>45915</v>
      </c>
      <c r="H1070" s="57" t="s">
        <v>105</v>
      </c>
      <c r="I1070" s="57" t="s">
        <v>616</v>
      </c>
      <c r="J1070" s="57" t="s">
        <v>101</v>
      </c>
      <c r="K1070" s="57">
        <v>95.248000000000005</v>
      </c>
      <c r="L1070" s="57" t="s">
        <v>101</v>
      </c>
      <c r="M1070" s="57">
        <v>3.726</v>
      </c>
      <c r="N1070" s="57">
        <v>3.726</v>
      </c>
      <c r="O1070" s="53" t="s">
        <v>101</v>
      </c>
      <c r="P1070" s="57" t="s">
        <v>448</v>
      </c>
      <c r="Q1070" s="57" t="s">
        <v>485</v>
      </c>
      <c r="R1070" s="59" t="s">
        <v>454</v>
      </c>
    </row>
    <row r="1071" spans="1:18" x14ac:dyDescent="0.5">
      <c r="A1071" s="52" t="str">
        <f>"01071NBL4"</f>
        <v>01071NBL4</v>
      </c>
      <c r="B1071" s="53" t="s">
        <v>499</v>
      </c>
      <c r="C1071" s="53" t="s">
        <v>1390</v>
      </c>
      <c r="D1071" s="53" t="s">
        <v>447</v>
      </c>
      <c r="E1071" s="53">
        <v>3</v>
      </c>
      <c r="F1071" s="54">
        <v>48488</v>
      </c>
      <c r="G1071" s="54">
        <v>45931</v>
      </c>
      <c r="H1071" s="53" t="s">
        <v>613</v>
      </c>
      <c r="I1071" s="53" t="s">
        <v>628</v>
      </c>
      <c r="J1071" s="53" t="s">
        <v>101</v>
      </c>
      <c r="K1071" s="53">
        <v>95.537000000000006</v>
      </c>
      <c r="L1071" s="53" t="s">
        <v>101</v>
      </c>
      <c r="M1071" s="53">
        <v>3.677</v>
      </c>
      <c r="N1071" s="53">
        <v>3.677</v>
      </c>
      <c r="O1071" s="53" t="s">
        <v>101</v>
      </c>
      <c r="P1071" s="53" t="s">
        <v>448</v>
      </c>
      <c r="Q1071" s="53" t="s">
        <v>1391</v>
      </c>
      <c r="R1071" s="55" t="s">
        <v>771</v>
      </c>
    </row>
    <row r="1072" spans="1:18" x14ac:dyDescent="0.5">
      <c r="A1072" s="56" t="str">
        <f>"160790BS9"</f>
        <v>160790BS9</v>
      </c>
      <c r="B1072" s="57" t="s">
        <v>499</v>
      </c>
      <c r="C1072" s="57" t="s">
        <v>1392</v>
      </c>
      <c r="D1072" s="53" t="s">
        <v>447</v>
      </c>
      <c r="E1072" s="57">
        <v>3.25</v>
      </c>
      <c r="F1072" s="58">
        <v>48488</v>
      </c>
      <c r="G1072" s="58">
        <v>45931</v>
      </c>
      <c r="H1072" s="57" t="s">
        <v>641</v>
      </c>
      <c r="I1072" s="57" t="s">
        <v>105</v>
      </c>
      <c r="J1072" s="57" t="s">
        <v>101</v>
      </c>
      <c r="K1072" s="57">
        <v>97.73</v>
      </c>
      <c r="L1072" s="57" t="s">
        <v>101</v>
      </c>
      <c r="M1072" s="57">
        <v>3.593</v>
      </c>
      <c r="N1072" s="57">
        <v>3.593</v>
      </c>
      <c r="O1072" s="53" t="s">
        <v>101</v>
      </c>
      <c r="P1072" s="57" t="s">
        <v>448</v>
      </c>
      <c r="Q1072" s="57" t="s">
        <v>453</v>
      </c>
      <c r="R1072" s="59" t="s">
        <v>504</v>
      </c>
    </row>
    <row r="1073" spans="1:18" x14ac:dyDescent="0.5">
      <c r="A1073" s="52" t="str">
        <f>"191729CE0"</f>
        <v>191729CE0</v>
      </c>
      <c r="B1073" s="53" t="s">
        <v>499</v>
      </c>
      <c r="C1073" s="53" t="s">
        <v>1393</v>
      </c>
      <c r="D1073" s="53" t="s">
        <v>447</v>
      </c>
      <c r="E1073" s="53">
        <v>4</v>
      </c>
      <c r="F1073" s="54">
        <v>48488</v>
      </c>
      <c r="G1073" s="54">
        <v>46296</v>
      </c>
      <c r="H1073" s="53" t="s">
        <v>105</v>
      </c>
      <c r="I1073" s="53" t="s">
        <v>616</v>
      </c>
      <c r="J1073" s="53" t="s">
        <v>101</v>
      </c>
      <c r="K1073" s="53">
        <v>100.661</v>
      </c>
      <c r="L1073" s="53" t="s">
        <v>101</v>
      </c>
      <c r="M1073" s="53">
        <v>3.5739999999999998</v>
      </c>
      <c r="N1073" s="53">
        <v>3.8980000000000001</v>
      </c>
      <c r="O1073" s="53" t="s">
        <v>101</v>
      </c>
      <c r="P1073" s="53" t="s">
        <v>448</v>
      </c>
      <c r="Q1073" s="53" t="s">
        <v>527</v>
      </c>
      <c r="R1073" s="55" t="s">
        <v>504</v>
      </c>
    </row>
    <row r="1074" spans="1:18" x14ac:dyDescent="0.5">
      <c r="A1074" s="56" t="str">
        <f>"34281PSD6"</f>
        <v>34281PSD6</v>
      </c>
      <c r="B1074" s="57" t="s">
        <v>499</v>
      </c>
      <c r="C1074" s="57" t="s">
        <v>1394</v>
      </c>
      <c r="D1074" s="53" t="s">
        <v>447</v>
      </c>
      <c r="E1074" s="57">
        <v>3</v>
      </c>
      <c r="F1074" s="58">
        <v>48488</v>
      </c>
      <c r="G1074" s="58">
        <v>46661</v>
      </c>
      <c r="H1074" s="57" t="s">
        <v>641</v>
      </c>
      <c r="I1074" s="57" t="s">
        <v>628</v>
      </c>
      <c r="J1074" s="57" t="s">
        <v>101</v>
      </c>
      <c r="K1074" s="57">
        <v>94.888000000000005</v>
      </c>
      <c r="L1074" s="57" t="s">
        <v>101</v>
      </c>
      <c r="M1074" s="57">
        <v>3.778</v>
      </c>
      <c r="N1074" s="57">
        <v>3.778</v>
      </c>
      <c r="O1074" s="53" t="s">
        <v>101</v>
      </c>
      <c r="P1074" s="57" t="s">
        <v>448</v>
      </c>
      <c r="Q1074" s="57" t="s">
        <v>485</v>
      </c>
      <c r="R1074" s="59" t="s">
        <v>771</v>
      </c>
    </row>
    <row r="1075" spans="1:18" x14ac:dyDescent="0.5">
      <c r="A1075" s="52" t="str">
        <f>"342816R80"</f>
        <v>342816R80</v>
      </c>
      <c r="B1075" s="53" t="s">
        <v>499</v>
      </c>
      <c r="C1075" s="53" t="s">
        <v>1395</v>
      </c>
      <c r="D1075" s="53" t="s">
        <v>447</v>
      </c>
      <c r="E1075" s="53">
        <v>3</v>
      </c>
      <c r="F1075" s="54">
        <v>48488</v>
      </c>
      <c r="G1075" s="54">
        <v>47027</v>
      </c>
      <c r="H1075" s="53" t="s">
        <v>610</v>
      </c>
      <c r="I1075" s="53" t="s">
        <v>105</v>
      </c>
      <c r="J1075" s="53" t="s">
        <v>101</v>
      </c>
      <c r="K1075" s="53">
        <v>93.957999999999998</v>
      </c>
      <c r="L1075" s="53" t="s">
        <v>101</v>
      </c>
      <c r="M1075" s="53">
        <v>3.9249999999999998</v>
      </c>
      <c r="N1075" s="53">
        <v>3.9249999999999998</v>
      </c>
      <c r="O1075" s="53" t="s">
        <v>101</v>
      </c>
      <c r="P1075" s="53" t="s">
        <v>448</v>
      </c>
      <c r="Q1075" s="53" t="s">
        <v>479</v>
      </c>
      <c r="R1075" s="55" t="s">
        <v>504</v>
      </c>
    </row>
    <row r="1076" spans="1:18" x14ac:dyDescent="0.5">
      <c r="A1076" s="56" t="str">
        <f>"346901VE8"</f>
        <v>346901VE8</v>
      </c>
      <c r="B1076" s="57" t="s">
        <v>451</v>
      </c>
      <c r="C1076" s="57" t="s">
        <v>1396</v>
      </c>
      <c r="D1076" s="53" t="s">
        <v>447</v>
      </c>
      <c r="E1076" s="57">
        <v>3.5</v>
      </c>
      <c r="F1076" s="58">
        <v>48488</v>
      </c>
      <c r="G1076" s="58">
        <v>45733</v>
      </c>
      <c r="H1076" s="57" t="s">
        <v>610</v>
      </c>
      <c r="I1076" s="57" t="s">
        <v>628</v>
      </c>
      <c r="J1076" s="57" t="s">
        <v>101</v>
      </c>
      <c r="K1076" s="57">
        <v>98.61</v>
      </c>
      <c r="L1076" s="57" t="s">
        <v>101</v>
      </c>
      <c r="M1076" s="57">
        <v>3.7109999999999999</v>
      </c>
      <c r="N1076" s="57">
        <v>3.7109999999999999</v>
      </c>
      <c r="O1076" s="53" t="s">
        <v>101</v>
      </c>
      <c r="P1076" s="57" t="s">
        <v>448</v>
      </c>
      <c r="Q1076" s="57" t="s">
        <v>488</v>
      </c>
      <c r="R1076" s="59" t="s">
        <v>630</v>
      </c>
    </row>
    <row r="1077" spans="1:18" x14ac:dyDescent="0.5">
      <c r="A1077" s="52" t="str">
        <f>"39239HTQ6"</f>
        <v>39239HTQ6</v>
      </c>
      <c r="B1077" s="53" t="s">
        <v>451</v>
      </c>
      <c r="C1077" s="53" t="s">
        <v>1397</v>
      </c>
      <c r="D1077" s="53" t="s">
        <v>447</v>
      </c>
      <c r="E1077" s="53">
        <v>3</v>
      </c>
      <c r="F1077" s="54">
        <v>48488</v>
      </c>
      <c r="G1077" s="54">
        <v>47757</v>
      </c>
      <c r="H1077" s="53" t="s">
        <v>105</v>
      </c>
      <c r="I1077" s="53" t="s">
        <v>628</v>
      </c>
      <c r="J1077" s="53" t="s">
        <v>101</v>
      </c>
      <c r="K1077" s="53">
        <v>96.13</v>
      </c>
      <c r="L1077" s="53" t="s">
        <v>101</v>
      </c>
      <c r="M1077" s="53">
        <v>3.585</v>
      </c>
      <c r="N1077" s="53">
        <v>3.585</v>
      </c>
      <c r="O1077" s="53" t="s">
        <v>101</v>
      </c>
      <c r="P1077" s="53" t="s">
        <v>448</v>
      </c>
      <c r="Q1077" s="53" t="s">
        <v>556</v>
      </c>
      <c r="R1077" s="55" t="s">
        <v>771</v>
      </c>
    </row>
    <row r="1078" spans="1:18" x14ac:dyDescent="0.5">
      <c r="A1078" s="56" t="str">
        <f>"39239HXD0"</f>
        <v>39239HXD0</v>
      </c>
      <c r="B1078" s="57" t="s">
        <v>451</v>
      </c>
      <c r="C1078" s="57" t="s">
        <v>1398</v>
      </c>
      <c r="D1078" s="53" t="s">
        <v>447</v>
      </c>
      <c r="E1078" s="57">
        <v>3</v>
      </c>
      <c r="F1078" s="58">
        <v>48488</v>
      </c>
      <c r="G1078" s="58">
        <v>47757</v>
      </c>
      <c r="H1078" s="57" t="s">
        <v>105</v>
      </c>
      <c r="I1078" s="57" t="s">
        <v>628</v>
      </c>
      <c r="J1078" s="57" t="s">
        <v>101</v>
      </c>
      <c r="K1078" s="57">
        <v>96.13</v>
      </c>
      <c r="L1078" s="57" t="s">
        <v>101</v>
      </c>
      <c r="M1078" s="57">
        <v>3.585</v>
      </c>
      <c r="N1078" s="57">
        <v>3.585</v>
      </c>
      <c r="O1078" s="53" t="s">
        <v>101</v>
      </c>
      <c r="P1078" s="57" t="s">
        <v>448</v>
      </c>
      <c r="Q1078" s="57" t="s">
        <v>460</v>
      </c>
      <c r="R1078" s="59" t="s">
        <v>771</v>
      </c>
    </row>
    <row r="1079" spans="1:18" x14ac:dyDescent="0.5">
      <c r="A1079" s="52" t="str">
        <f>"414888HK6"</f>
        <v>414888HK6</v>
      </c>
      <c r="B1079" s="53" t="s">
        <v>451</v>
      </c>
      <c r="C1079" s="53" t="s">
        <v>1399</v>
      </c>
      <c r="D1079" s="53" t="s">
        <v>447</v>
      </c>
      <c r="E1079" s="53">
        <v>3.25</v>
      </c>
      <c r="F1079" s="54">
        <v>48488</v>
      </c>
      <c r="G1079" s="54">
        <v>45733</v>
      </c>
      <c r="H1079" s="53" t="s">
        <v>105</v>
      </c>
      <c r="I1079" s="53" t="s">
        <v>628</v>
      </c>
      <c r="J1079" s="53" t="s">
        <v>101</v>
      </c>
      <c r="K1079" s="53">
        <v>96.95</v>
      </c>
      <c r="L1079" s="53" t="s">
        <v>101</v>
      </c>
      <c r="M1079" s="53">
        <v>3.7130000000000001</v>
      </c>
      <c r="N1079" s="53">
        <v>3.7130000000000001</v>
      </c>
      <c r="O1079" s="53" t="s">
        <v>101</v>
      </c>
      <c r="P1079" s="53" t="s">
        <v>448</v>
      </c>
      <c r="Q1079" s="53" t="s">
        <v>457</v>
      </c>
      <c r="R1079" s="55" t="s">
        <v>630</v>
      </c>
    </row>
    <row r="1080" spans="1:18" x14ac:dyDescent="0.5">
      <c r="A1080" s="56" t="str">
        <f>"432596DW1"</f>
        <v>432596DW1</v>
      </c>
      <c r="B1080" s="57" t="s">
        <v>491</v>
      </c>
      <c r="C1080" s="57" t="s">
        <v>1400</v>
      </c>
      <c r="D1080" s="53" t="s">
        <v>447</v>
      </c>
      <c r="E1080" s="57">
        <v>4</v>
      </c>
      <c r="F1080" s="58">
        <v>48488</v>
      </c>
      <c r="G1080" s="58">
        <v>46661</v>
      </c>
      <c r="H1080" s="57" t="s">
        <v>105</v>
      </c>
      <c r="I1080" s="57" t="s">
        <v>628</v>
      </c>
      <c r="J1080" s="57" t="s">
        <v>101</v>
      </c>
      <c r="K1080" s="57">
        <v>101.14</v>
      </c>
      <c r="L1080" s="57" t="s">
        <v>101</v>
      </c>
      <c r="M1080" s="57">
        <v>3.5390000000000001</v>
      </c>
      <c r="N1080" s="57">
        <v>3.8260000000000001</v>
      </c>
      <c r="O1080" s="53" t="s">
        <v>101</v>
      </c>
      <c r="P1080" s="57" t="s">
        <v>448</v>
      </c>
      <c r="Q1080" s="57" t="s">
        <v>485</v>
      </c>
      <c r="R1080" s="59" t="s">
        <v>771</v>
      </c>
    </row>
    <row r="1081" spans="1:18" x14ac:dyDescent="0.5">
      <c r="A1081" s="52" t="str">
        <f>"444186XF2"</f>
        <v>444186XF2</v>
      </c>
      <c r="B1081" s="53" t="s">
        <v>496</v>
      </c>
      <c r="C1081" s="53" t="s">
        <v>1401</v>
      </c>
      <c r="D1081" s="53" t="s">
        <v>447</v>
      </c>
      <c r="E1081" s="53">
        <v>3</v>
      </c>
      <c r="F1081" s="54">
        <v>48488</v>
      </c>
      <c r="G1081" s="54">
        <v>47392</v>
      </c>
      <c r="H1081" s="53" t="s">
        <v>613</v>
      </c>
      <c r="I1081" s="53" t="s">
        <v>105</v>
      </c>
      <c r="J1081" s="53" t="s">
        <v>101</v>
      </c>
      <c r="K1081" s="53">
        <v>96.03</v>
      </c>
      <c r="L1081" s="53" t="s">
        <v>101</v>
      </c>
      <c r="M1081" s="53">
        <v>3.6</v>
      </c>
      <c r="N1081" s="53">
        <v>3.6</v>
      </c>
      <c r="O1081" s="53" t="s">
        <v>101</v>
      </c>
      <c r="P1081" s="53" t="s">
        <v>448</v>
      </c>
      <c r="Q1081" s="53" t="s">
        <v>460</v>
      </c>
      <c r="R1081" s="55" t="s">
        <v>454</v>
      </c>
    </row>
    <row r="1082" spans="1:18" x14ac:dyDescent="0.5">
      <c r="A1082" s="56" t="str">
        <f>"45203MJT9"</f>
        <v>45203MJT9</v>
      </c>
      <c r="B1082" s="57" t="s">
        <v>491</v>
      </c>
      <c r="C1082" s="57" t="s">
        <v>1402</v>
      </c>
      <c r="D1082" s="53" t="s">
        <v>447</v>
      </c>
      <c r="E1082" s="57">
        <v>4.25</v>
      </c>
      <c r="F1082" s="58">
        <v>48488</v>
      </c>
      <c r="G1082" s="58">
        <v>48305</v>
      </c>
      <c r="H1082" s="57" t="s">
        <v>104</v>
      </c>
      <c r="I1082" s="57" t="s">
        <v>105</v>
      </c>
      <c r="J1082" s="57" t="s">
        <v>101</v>
      </c>
      <c r="K1082" s="57">
        <v>102.88</v>
      </c>
      <c r="L1082" s="57" t="s">
        <v>101</v>
      </c>
      <c r="M1082" s="57">
        <v>3.7839999999999998</v>
      </c>
      <c r="N1082" s="57">
        <v>3.81</v>
      </c>
      <c r="O1082" s="53" t="s">
        <v>101</v>
      </c>
      <c r="P1082" s="57" t="s">
        <v>448</v>
      </c>
      <c r="Q1082" s="57" t="s">
        <v>479</v>
      </c>
      <c r="R1082" s="59" t="s">
        <v>450</v>
      </c>
    </row>
    <row r="1083" spans="1:18" x14ac:dyDescent="0.5">
      <c r="A1083" s="52" t="str">
        <f>"4521526W6"</f>
        <v>4521526W6</v>
      </c>
      <c r="B1083" s="53" t="s">
        <v>491</v>
      </c>
      <c r="C1083" s="53" t="s">
        <v>1403</v>
      </c>
      <c r="D1083" s="53" t="s">
        <v>447</v>
      </c>
      <c r="E1083" s="53">
        <v>4</v>
      </c>
      <c r="F1083" s="54">
        <v>48488</v>
      </c>
      <c r="G1083" s="54">
        <v>47757</v>
      </c>
      <c r="H1083" s="53" t="s">
        <v>627</v>
      </c>
      <c r="I1083" s="53" t="s">
        <v>713</v>
      </c>
      <c r="J1083" s="53" t="s">
        <v>101</v>
      </c>
      <c r="K1083" s="53">
        <v>102.31</v>
      </c>
      <c r="L1083" s="53" t="s">
        <v>101</v>
      </c>
      <c r="M1083" s="53">
        <v>3.5419999999999998</v>
      </c>
      <c r="N1083" s="53">
        <v>3.649</v>
      </c>
      <c r="O1083" s="53" t="s">
        <v>101</v>
      </c>
      <c r="P1083" s="53" t="s">
        <v>448</v>
      </c>
      <c r="Q1083" s="53" t="s">
        <v>479</v>
      </c>
      <c r="R1083" s="55" t="s">
        <v>454</v>
      </c>
    </row>
    <row r="1084" spans="1:18" x14ac:dyDescent="0.5">
      <c r="A1084" s="56" t="str">
        <f>"4521522Q3"</f>
        <v>4521522Q3</v>
      </c>
      <c r="B1084" s="57" t="s">
        <v>491</v>
      </c>
      <c r="C1084" s="57" t="s">
        <v>1404</v>
      </c>
      <c r="D1084" s="53" t="s">
        <v>447</v>
      </c>
      <c r="E1084" s="57">
        <v>5</v>
      </c>
      <c r="F1084" s="58">
        <v>48488</v>
      </c>
      <c r="G1084" s="58">
        <v>47027</v>
      </c>
      <c r="H1084" s="57" t="s">
        <v>627</v>
      </c>
      <c r="I1084" s="57" t="s">
        <v>713</v>
      </c>
      <c r="J1084" s="57" t="s">
        <v>101</v>
      </c>
      <c r="K1084" s="57">
        <v>104.85</v>
      </c>
      <c r="L1084" s="57" t="s">
        <v>101</v>
      </c>
      <c r="M1084" s="57">
        <v>3.5590000000000002</v>
      </c>
      <c r="N1084" s="57">
        <v>4.2480000000000002</v>
      </c>
      <c r="O1084" s="53" t="s">
        <v>101</v>
      </c>
      <c r="P1084" s="57" t="s">
        <v>448</v>
      </c>
      <c r="Q1084" s="57" t="s">
        <v>488</v>
      </c>
      <c r="R1084" s="59" t="s">
        <v>482</v>
      </c>
    </row>
    <row r="1085" spans="1:18" x14ac:dyDescent="0.5">
      <c r="A1085" s="52" t="str">
        <f>"59333NNB5"</f>
        <v>59333NNB5</v>
      </c>
      <c r="B1085" s="53" t="s">
        <v>499</v>
      </c>
      <c r="C1085" s="53" t="s">
        <v>1405</v>
      </c>
      <c r="D1085" s="53" t="s">
        <v>447</v>
      </c>
      <c r="E1085" s="53">
        <v>0</v>
      </c>
      <c r="F1085" s="54">
        <v>48488</v>
      </c>
      <c r="G1085" s="54" t="s">
        <v>105</v>
      </c>
      <c r="H1085" s="53" t="s">
        <v>624</v>
      </c>
      <c r="I1085" s="53" t="s">
        <v>658</v>
      </c>
      <c r="J1085" s="53" t="s">
        <v>101</v>
      </c>
      <c r="K1085" s="53">
        <v>76.325000000000003</v>
      </c>
      <c r="L1085" s="53" t="s">
        <v>101</v>
      </c>
      <c r="M1085" s="53">
        <v>3.577</v>
      </c>
      <c r="N1085" s="53">
        <v>3.577</v>
      </c>
      <c r="O1085" s="53" t="s">
        <v>101</v>
      </c>
      <c r="P1085" s="53" t="s">
        <v>448</v>
      </c>
      <c r="Q1085" s="53" t="s">
        <v>527</v>
      </c>
      <c r="R1085" s="55" t="s">
        <v>608</v>
      </c>
    </row>
    <row r="1086" spans="1:18" x14ac:dyDescent="0.5">
      <c r="A1086" s="56" t="str">
        <f>"67823RCE2"</f>
        <v>67823RCE2</v>
      </c>
      <c r="B1086" s="57" t="s">
        <v>499</v>
      </c>
      <c r="C1086" s="57" t="s">
        <v>1406</v>
      </c>
      <c r="D1086" s="53" t="s">
        <v>447</v>
      </c>
      <c r="E1086" s="57">
        <v>3</v>
      </c>
      <c r="F1086" s="58">
        <v>48488</v>
      </c>
      <c r="G1086" s="58">
        <v>46113</v>
      </c>
      <c r="H1086" s="57" t="s">
        <v>105</v>
      </c>
      <c r="I1086" s="57" t="s">
        <v>628</v>
      </c>
      <c r="J1086" s="57" t="s">
        <v>101</v>
      </c>
      <c r="K1086" s="57">
        <v>95.929000000000002</v>
      </c>
      <c r="L1086" s="57" t="s">
        <v>101</v>
      </c>
      <c r="M1086" s="57">
        <v>3.6160000000000001</v>
      </c>
      <c r="N1086" s="57">
        <v>3.6160000000000001</v>
      </c>
      <c r="O1086" s="53" t="s">
        <v>101</v>
      </c>
      <c r="P1086" s="57" t="s">
        <v>448</v>
      </c>
      <c r="Q1086" s="57" t="s">
        <v>591</v>
      </c>
      <c r="R1086" s="59" t="s">
        <v>589</v>
      </c>
    </row>
    <row r="1087" spans="1:18" x14ac:dyDescent="0.5">
      <c r="A1087" s="52" t="str">
        <f>"68450LEG6"</f>
        <v>68450LEG6</v>
      </c>
      <c r="B1087" s="53" t="s">
        <v>499</v>
      </c>
      <c r="C1087" s="53" t="s">
        <v>1407</v>
      </c>
      <c r="D1087" s="53" t="s">
        <v>447</v>
      </c>
      <c r="E1087" s="53">
        <v>3</v>
      </c>
      <c r="F1087" s="54">
        <v>48488</v>
      </c>
      <c r="G1087" s="54">
        <v>46296</v>
      </c>
      <c r="H1087" s="53" t="s">
        <v>610</v>
      </c>
      <c r="I1087" s="53" t="s">
        <v>658</v>
      </c>
      <c r="J1087" s="53" t="s">
        <v>101</v>
      </c>
      <c r="K1087" s="53">
        <v>94.93</v>
      </c>
      <c r="L1087" s="53" t="s">
        <v>101</v>
      </c>
      <c r="M1087" s="53">
        <v>3.7709999999999999</v>
      </c>
      <c r="N1087" s="53">
        <v>3.7709999999999999</v>
      </c>
      <c r="O1087" s="53" t="s">
        <v>101</v>
      </c>
      <c r="P1087" s="53" t="s">
        <v>448</v>
      </c>
      <c r="Q1087" s="53" t="s">
        <v>602</v>
      </c>
      <c r="R1087" s="55" t="s">
        <v>506</v>
      </c>
    </row>
    <row r="1088" spans="1:18" x14ac:dyDescent="0.5">
      <c r="A1088" s="56" t="str">
        <f>"684554EQ7"</f>
        <v>684554EQ7</v>
      </c>
      <c r="B1088" s="57" t="s">
        <v>499</v>
      </c>
      <c r="C1088" s="57" t="s">
        <v>1408</v>
      </c>
      <c r="D1088" s="53" t="s">
        <v>447</v>
      </c>
      <c r="E1088" s="57">
        <v>3</v>
      </c>
      <c r="F1088" s="58">
        <v>48488</v>
      </c>
      <c r="G1088" s="58">
        <v>45733</v>
      </c>
      <c r="H1088" s="57" t="s">
        <v>105</v>
      </c>
      <c r="I1088" s="57" t="s">
        <v>104</v>
      </c>
      <c r="J1088" s="57" t="s">
        <v>101</v>
      </c>
      <c r="K1088" s="57">
        <v>96.094999999999999</v>
      </c>
      <c r="L1088" s="57" t="s">
        <v>101</v>
      </c>
      <c r="M1088" s="57">
        <v>3.59</v>
      </c>
      <c r="N1088" s="57">
        <v>3.59</v>
      </c>
      <c r="O1088" s="53" t="s">
        <v>101</v>
      </c>
      <c r="P1088" s="57" t="s">
        <v>448</v>
      </c>
      <c r="Q1088" s="57" t="s">
        <v>591</v>
      </c>
      <c r="R1088" s="59" t="s">
        <v>589</v>
      </c>
    </row>
    <row r="1089" spans="1:18" x14ac:dyDescent="0.5">
      <c r="A1089" s="52" t="str">
        <f>"687909FG1"</f>
        <v>687909FG1</v>
      </c>
      <c r="B1089" s="53" t="s">
        <v>499</v>
      </c>
      <c r="C1089" s="53" t="s">
        <v>1409</v>
      </c>
      <c r="D1089" s="53" t="s">
        <v>447</v>
      </c>
      <c r="E1089" s="53">
        <v>3.125</v>
      </c>
      <c r="F1089" s="54">
        <v>48488</v>
      </c>
      <c r="G1089" s="54">
        <v>45931</v>
      </c>
      <c r="H1089" s="53" t="s">
        <v>540</v>
      </c>
      <c r="I1089" s="53" t="s">
        <v>105</v>
      </c>
      <c r="J1089" s="53" t="s">
        <v>101</v>
      </c>
      <c r="K1089" s="53">
        <v>97.031000000000006</v>
      </c>
      <c r="L1089" s="53" t="s">
        <v>101</v>
      </c>
      <c r="M1089" s="53">
        <v>3.573</v>
      </c>
      <c r="N1089" s="53">
        <v>3.573</v>
      </c>
      <c r="O1089" s="53" t="s">
        <v>101</v>
      </c>
      <c r="P1089" s="53" t="s">
        <v>448</v>
      </c>
      <c r="Q1089" s="53" t="s">
        <v>460</v>
      </c>
      <c r="R1089" s="55" t="s">
        <v>589</v>
      </c>
    </row>
    <row r="1090" spans="1:18" x14ac:dyDescent="0.5">
      <c r="A1090" s="56" t="str">
        <f>"845040KR4"</f>
        <v>845040KR4</v>
      </c>
      <c r="B1090" s="57" t="s">
        <v>451</v>
      </c>
      <c r="C1090" s="57" t="s">
        <v>1410</v>
      </c>
      <c r="D1090" s="53" t="s">
        <v>447</v>
      </c>
      <c r="E1090" s="57">
        <v>3</v>
      </c>
      <c r="F1090" s="58">
        <v>48488</v>
      </c>
      <c r="G1090" s="58">
        <v>46296</v>
      </c>
      <c r="H1090" s="57" t="s">
        <v>624</v>
      </c>
      <c r="I1090" s="57" t="s">
        <v>105</v>
      </c>
      <c r="J1090" s="57" t="s">
        <v>101</v>
      </c>
      <c r="K1090" s="57">
        <v>94.114000000000004</v>
      </c>
      <c r="L1090" s="57" t="s">
        <v>101</v>
      </c>
      <c r="M1090" s="57">
        <v>3.9</v>
      </c>
      <c r="N1090" s="57">
        <v>3.9</v>
      </c>
      <c r="O1090" s="53" t="s">
        <v>101</v>
      </c>
      <c r="P1090" s="57" t="s">
        <v>448</v>
      </c>
      <c r="Q1090" s="57" t="s">
        <v>457</v>
      </c>
      <c r="R1090" s="59" t="s">
        <v>589</v>
      </c>
    </row>
    <row r="1091" spans="1:18" x14ac:dyDescent="0.5">
      <c r="A1091" s="52" t="str">
        <f>"938688WS3"</f>
        <v>938688WS3</v>
      </c>
      <c r="B1091" s="53" t="s">
        <v>451</v>
      </c>
      <c r="C1091" s="53" t="s">
        <v>1411</v>
      </c>
      <c r="D1091" s="53" t="s">
        <v>447</v>
      </c>
      <c r="E1091" s="53">
        <v>3</v>
      </c>
      <c r="F1091" s="54">
        <v>48488</v>
      </c>
      <c r="G1091" s="54">
        <v>46113</v>
      </c>
      <c r="H1091" s="53" t="s">
        <v>641</v>
      </c>
      <c r="I1091" s="53" t="s">
        <v>628</v>
      </c>
      <c r="J1091" s="53" t="s">
        <v>101</v>
      </c>
      <c r="K1091" s="53">
        <v>93.861000000000004</v>
      </c>
      <c r="L1091" s="53" t="s">
        <v>101</v>
      </c>
      <c r="M1091" s="53">
        <v>3.94</v>
      </c>
      <c r="N1091" s="53">
        <v>3.94</v>
      </c>
      <c r="O1091" s="53" t="s">
        <v>101</v>
      </c>
      <c r="P1091" s="53" t="s">
        <v>448</v>
      </c>
      <c r="Q1091" s="53" t="s">
        <v>488</v>
      </c>
      <c r="R1091" s="55" t="s">
        <v>771</v>
      </c>
    </row>
    <row r="1092" spans="1:18" x14ac:dyDescent="0.5">
      <c r="A1092" s="56" t="str">
        <f>"968852K93"</f>
        <v>968852K93</v>
      </c>
      <c r="B1092" s="57" t="s">
        <v>491</v>
      </c>
      <c r="C1092" s="57" t="s">
        <v>1412</v>
      </c>
      <c r="D1092" s="53" t="s">
        <v>447</v>
      </c>
      <c r="E1092" s="57">
        <v>4</v>
      </c>
      <c r="F1092" s="58">
        <v>48488</v>
      </c>
      <c r="G1092" s="58">
        <v>48122</v>
      </c>
      <c r="H1092" s="57" t="s">
        <v>105</v>
      </c>
      <c r="I1092" s="57" t="s">
        <v>628</v>
      </c>
      <c r="J1092" s="57" t="s">
        <v>101</v>
      </c>
      <c r="K1092" s="57">
        <v>102.79</v>
      </c>
      <c r="L1092" s="57" t="s">
        <v>101</v>
      </c>
      <c r="M1092" s="57">
        <v>3.5230000000000001</v>
      </c>
      <c r="N1092" s="57">
        <v>3.5779999999999998</v>
      </c>
      <c r="O1092" s="53" t="s">
        <v>101</v>
      </c>
      <c r="P1092" s="57" t="s">
        <v>448</v>
      </c>
      <c r="Q1092" s="57" t="s">
        <v>453</v>
      </c>
      <c r="R1092" s="59" t="s">
        <v>482</v>
      </c>
    </row>
    <row r="1093" spans="1:18" x14ac:dyDescent="0.5">
      <c r="A1093" s="52" t="str">
        <f>"975480PX6"</f>
        <v>975480PX6</v>
      </c>
      <c r="B1093" s="53" t="s">
        <v>477</v>
      </c>
      <c r="C1093" s="53" t="s">
        <v>1413</v>
      </c>
      <c r="D1093" s="53" t="s">
        <v>447</v>
      </c>
      <c r="E1093" s="53">
        <v>2.125</v>
      </c>
      <c r="F1093" s="54">
        <v>48488</v>
      </c>
      <c r="G1093" s="54">
        <v>45733</v>
      </c>
      <c r="H1093" s="53" t="s">
        <v>105</v>
      </c>
      <c r="I1093" s="53" t="s">
        <v>616</v>
      </c>
      <c r="J1093" s="53" t="s">
        <v>101</v>
      </c>
      <c r="K1093" s="53">
        <v>85.77</v>
      </c>
      <c r="L1093" s="53" t="s">
        <v>101</v>
      </c>
      <c r="M1093" s="53">
        <v>4.3380000000000001</v>
      </c>
      <c r="N1093" s="53">
        <v>4.3380000000000001</v>
      </c>
      <c r="O1093" s="53" t="s">
        <v>101</v>
      </c>
      <c r="P1093" s="53" t="s">
        <v>448</v>
      </c>
      <c r="Q1093" s="53" t="s">
        <v>488</v>
      </c>
      <c r="R1093" s="55" t="s">
        <v>454</v>
      </c>
    </row>
    <row r="1094" spans="1:18" x14ac:dyDescent="0.5">
      <c r="A1094" s="56" t="str">
        <f>"978369HC3"</f>
        <v>978369HC3</v>
      </c>
      <c r="B1094" s="57" t="s">
        <v>496</v>
      </c>
      <c r="C1094" s="57" t="s">
        <v>1414</v>
      </c>
      <c r="D1094" s="53" t="s">
        <v>447</v>
      </c>
      <c r="E1094" s="57">
        <v>3</v>
      </c>
      <c r="F1094" s="58">
        <v>48488</v>
      </c>
      <c r="G1094" s="58">
        <v>47392</v>
      </c>
      <c r="H1094" s="57" t="s">
        <v>613</v>
      </c>
      <c r="I1094" s="57" t="s">
        <v>105</v>
      </c>
      <c r="J1094" s="57" t="s">
        <v>101</v>
      </c>
      <c r="K1094" s="57">
        <v>95.57</v>
      </c>
      <c r="L1094" s="57" t="s">
        <v>101</v>
      </c>
      <c r="M1094" s="57">
        <v>3.6709999999999998</v>
      </c>
      <c r="N1094" s="57">
        <v>3.6709999999999998</v>
      </c>
      <c r="O1094" s="53" t="s">
        <v>101</v>
      </c>
      <c r="P1094" s="57" t="s">
        <v>448</v>
      </c>
      <c r="Q1094" s="57" t="s">
        <v>790</v>
      </c>
      <c r="R1094" s="59" t="s">
        <v>454</v>
      </c>
    </row>
    <row r="1095" spans="1:18" x14ac:dyDescent="0.5">
      <c r="A1095" s="52" t="str">
        <f>"420560JG0"</f>
        <v>420560JG0</v>
      </c>
      <c r="B1095" s="53" t="s">
        <v>477</v>
      </c>
      <c r="C1095" s="53" t="s">
        <v>1415</v>
      </c>
      <c r="D1095" s="53" t="s">
        <v>447</v>
      </c>
      <c r="E1095" s="53">
        <v>2.5</v>
      </c>
      <c r="F1095" s="54">
        <v>48502</v>
      </c>
      <c r="G1095" s="54">
        <v>46310</v>
      </c>
      <c r="H1095" s="53" t="s">
        <v>613</v>
      </c>
      <c r="I1095" s="53" t="s">
        <v>105</v>
      </c>
      <c r="J1095" s="53" t="s">
        <v>101</v>
      </c>
      <c r="K1095" s="53">
        <v>90.09</v>
      </c>
      <c r="L1095" s="53" t="s">
        <v>101</v>
      </c>
      <c r="M1095" s="53">
        <v>4.016</v>
      </c>
      <c r="N1095" s="53">
        <v>4.016</v>
      </c>
      <c r="O1095" s="53" t="s">
        <v>101</v>
      </c>
      <c r="P1095" s="53" t="s">
        <v>448</v>
      </c>
      <c r="Q1095" s="53" t="s">
        <v>457</v>
      </c>
      <c r="R1095" s="55" t="s">
        <v>454</v>
      </c>
    </row>
    <row r="1096" spans="1:18" x14ac:dyDescent="0.5">
      <c r="A1096" s="56" t="str">
        <f>"34073TKT3"</f>
        <v>34073TKT3</v>
      </c>
      <c r="B1096" s="57" t="s">
        <v>499</v>
      </c>
      <c r="C1096" s="57" t="s">
        <v>1416</v>
      </c>
      <c r="D1096" s="53" t="s">
        <v>447</v>
      </c>
      <c r="E1096" s="57">
        <v>5</v>
      </c>
      <c r="F1096" s="58">
        <v>48519</v>
      </c>
      <c r="G1096" s="58">
        <v>46327</v>
      </c>
      <c r="H1096" s="57" t="s">
        <v>105</v>
      </c>
      <c r="I1096" s="57" t="s">
        <v>633</v>
      </c>
      <c r="J1096" s="57" t="s">
        <v>101</v>
      </c>
      <c r="K1096" s="57">
        <v>101.51</v>
      </c>
      <c r="L1096" s="57" t="s">
        <v>101</v>
      </c>
      <c r="M1096" s="57">
        <v>4.069</v>
      </c>
      <c r="N1096" s="57">
        <v>4.7619999999999996</v>
      </c>
      <c r="O1096" s="53" t="s">
        <v>101</v>
      </c>
      <c r="P1096" s="57" t="s">
        <v>448</v>
      </c>
      <c r="Q1096" s="57" t="s">
        <v>858</v>
      </c>
      <c r="R1096" s="59" t="s">
        <v>450</v>
      </c>
    </row>
    <row r="1097" spans="1:18" x14ac:dyDescent="0.5">
      <c r="A1097" s="52" t="str">
        <f>"508570FW3"</f>
        <v>508570FW3</v>
      </c>
      <c r="B1097" s="53" t="s">
        <v>491</v>
      </c>
      <c r="C1097" s="53" t="s">
        <v>1417</v>
      </c>
      <c r="D1097" s="53" t="s">
        <v>447</v>
      </c>
      <c r="E1097" s="53">
        <v>3</v>
      </c>
      <c r="F1097" s="54">
        <v>48519</v>
      </c>
      <c r="G1097" s="54">
        <v>47423</v>
      </c>
      <c r="H1097" s="53" t="s">
        <v>105</v>
      </c>
      <c r="I1097" s="53" t="s">
        <v>628</v>
      </c>
      <c r="J1097" s="53" t="s">
        <v>101</v>
      </c>
      <c r="K1097" s="53">
        <v>96.284999999999997</v>
      </c>
      <c r="L1097" s="53" t="s">
        <v>101</v>
      </c>
      <c r="M1097" s="53">
        <v>3.5550000000000002</v>
      </c>
      <c r="N1097" s="53">
        <v>3.5550000000000002</v>
      </c>
      <c r="O1097" s="53" t="s">
        <v>101</v>
      </c>
      <c r="P1097" s="53" t="s">
        <v>448</v>
      </c>
      <c r="Q1097" s="53" t="s">
        <v>503</v>
      </c>
      <c r="R1097" s="55" t="s">
        <v>630</v>
      </c>
    </row>
    <row r="1098" spans="1:18" x14ac:dyDescent="0.5">
      <c r="A1098" s="56" t="str">
        <f>"568548EP2"</f>
        <v>568548EP2</v>
      </c>
      <c r="B1098" s="57" t="s">
        <v>491</v>
      </c>
      <c r="C1098" s="57" t="s">
        <v>1418</v>
      </c>
      <c r="D1098" s="53" t="s">
        <v>447</v>
      </c>
      <c r="E1098" s="57">
        <v>3</v>
      </c>
      <c r="F1098" s="58">
        <v>48519</v>
      </c>
      <c r="G1098" s="58">
        <v>47423</v>
      </c>
      <c r="H1098" s="57" t="s">
        <v>105</v>
      </c>
      <c r="I1098" s="57" t="s">
        <v>628</v>
      </c>
      <c r="J1098" s="57" t="s">
        <v>101</v>
      </c>
      <c r="K1098" s="57">
        <v>94.44</v>
      </c>
      <c r="L1098" s="57" t="s">
        <v>101</v>
      </c>
      <c r="M1098" s="57">
        <v>3.84</v>
      </c>
      <c r="N1098" s="57">
        <v>3.84</v>
      </c>
      <c r="O1098" s="53" t="s">
        <v>101</v>
      </c>
      <c r="P1098" s="57" t="s">
        <v>448</v>
      </c>
      <c r="Q1098" s="57" t="s">
        <v>457</v>
      </c>
      <c r="R1098" s="59" t="s">
        <v>680</v>
      </c>
    </row>
    <row r="1099" spans="1:18" x14ac:dyDescent="0.5">
      <c r="A1099" s="52" t="str">
        <f>"646108C57"</f>
        <v>646108C57</v>
      </c>
      <c r="B1099" s="53" t="s">
        <v>477</v>
      </c>
      <c r="C1099" s="53" t="s">
        <v>1419</v>
      </c>
      <c r="D1099" s="53" t="s">
        <v>447</v>
      </c>
      <c r="E1099" s="53">
        <v>2.5499999999999998</v>
      </c>
      <c r="F1099" s="54">
        <v>48519</v>
      </c>
      <c r="G1099" s="54">
        <v>47058</v>
      </c>
      <c r="H1099" s="53" t="s">
        <v>105</v>
      </c>
      <c r="I1099" s="53" t="s">
        <v>616</v>
      </c>
      <c r="J1099" s="53" t="s">
        <v>101</v>
      </c>
      <c r="K1099" s="53">
        <v>89.28</v>
      </c>
      <c r="L1099" s="53" t="s">
        <v>101</v>
      </c>
      <c r="M1099" s="53">
        <v>4.1920000000000002</v>
      </c>
      <c r="N1099" s="53">
        <v>4.1920000000000002</v>
      </c>
      <c r="O1099" s="53" t="s">
        <v>101</v>
      </c>
      <c r="P1099" s="53" t="s">
        <v>448</v>
      </c>
      <c r="Q1099" s="53" t="s">
        <v>460</v>
      </c>
      <c r="R1099" s="55" t="s">
        <v>450</v>
      </c>
    </row>
    <row r="1100" spans="1:18" x14ac:dyDescent="0.5">
      <c r="A1100" s="56" t="str">
        <f>"671579A34"</f>
        <v>671579A34</v>
      </c>
      <c r="B1100" s="57" t="s">
        <v>491</v>
      </c>
      <c r="C1100" s="57" t="s">
        <v>1420</v>
      </c>
      <c r="D1100" s="53" t="s">
        <v>447</v>
      </c>
      <c r="E1100" s="57">
        <v>3.375</v>
      </c>
      <c r="F1100" s="58">
        <v>48519</v>
      </c>
      <c r="G1100" s="58">
        <v>45733</v>
      </c>
      <c r="H1100" s="57" t="s">
        <v>624</v>
      </c>
      <c r="I1100" s="57" t="s">
        <v>628</v>
      </c>
      <c r="J1100" s="57" t="s">
        <v>101</v>
      </c>
      <c r="K1100" s="57">
        <v>98.164000000000001</v>
      </c>
      <c r="L1100" s="57" t="s">
        <v>101</v>
      </c>
      <c r="M1100" s="57">
        <v>3.65</v>
      </c>
      <c r="N1100" s="57">
        <v>3.65</v>
      </c>
      <c r="O1100" s="53" t="s">
        <v>101</v>
      </c>
      <c r="P1100" s="57" t="s">
        <v>448</v>
      </c>
      <c r="Q1100" s="57" t="s">
        <v>457</v>
      </c>
      <c r="R1100" s="59" t="s">
        <v>454</v>
      </c>
    </row>
    <row r="1101" spans="1:18" x14ac:dyDescent="0.5">
      <c r="A1101" s="52" t="str">
        <f>"671579J92"</f>
        <v>671579J92</v>
      </c>
      <c r="B1101" s="53" t="s">
        <v>491</v>
      </c>
      <c r="C1101" s="53" t="s">
        <v>1421</v>
      </c>
      <c r="D1101" s="53" t="s">
        <v>447</v>
      </c>
      <c r="E1101" s="53">
        <v>3.125</v>
      </c>
      <c r="F1101" s="54">
        <v>48519</v>
      </c>
      <c r="G1101" s="54">
        <v>45962</v>
      </c>
      <c r="H1101" s="53" t="s">
        <v>624</v>
      </c>
      <c r="I1101" s="53" t="s">
        <v>628</v>
      </c>
      <c r="J1101" s="53" t="s">
        <v>101</v>
      </c>
      <c r="K1101" s="53">
        <v>96.74</v>
      </c>
      <c r="L1101" s="53" t="s">
        <v>101</v>
      </c>
      <c r="M1101" s="53">
        <v>3.613</v>
      </c>
      <c r="N1101" s="53">
        <v>3.613</v>
      </c>
      <c r="O1101" s="53" t="s">
        <v>101</v>
      </c>
      <c r="P1101" s="53" t="s">
        <v>448</v>
      </c>
      <c r="Q1101" s="53" t="s">
        <v>457</v>
      </c>
      <c r="R1101" s="55" t="s">
        <v>454</v>
      </c>
    </row>
    <row r="1102" spans="1:18" x14ac:dyDescent="0.5">
      <c r="A1102" s="56" t="str">
        <f>"671579ZG8"</f>
        <v>671579ZG8</v>
      </c>
      <c r="B1102" s="57" t="s">
        <v>491</v>
      </c>
      <c r="C1102" s="57" t="s">
        <v>1422</v>
      </c>
      <c r="D1102" s="53" t="s">
        <v>447</v>
      </c>
      <c r="E1102" s="57">
        <v>3.375</v>
      </c>
      <c r="F1102" s="58">
        <v>48519</v>
      </c>
      <c r="G1102" s="58">
        <v>45733</v>
      </c>
      <c r="H1102" s="57" t="s">
        <v>624</v>
      </c>
      <c r="I1102" s="57" t="s">
        <v>628</v>
      </c>
      <c r="J1102" s="57" t="s">
        <v>101</v>
      </c>
      <c r="K1102" s="57">
        <v>97.59</v>
      </c>
      <c r="L1102" s="57" t="s">
        <v>101</v>
      </c>
      <c r="M1102" s="57">
        <v>3.7370000000000001</v>
      </c>
      <c r="N1102" s="57">
        <v>3.7370000000000001</v>
      </c>
      <c r="O1102" s="53" t="s">
        <v>101</v>
      </c>
      <c r="P1102" s="57" t="s">
        <v>448</v>
      </c>
      <c r="Q1102" s="57" t="s">
        <v>488</v>
      </c>
      <c r="R1102" s="59" t="s">
        <v>454</v>
      </c>
    </row>
    <row r="1103" spans="1:18" x14ac:dyDescent="0.5">
      <c r="A1103" s="52" t="str">
        <f>"702725P63"</f>
        <v>702725P63</v>
      </c>
      <c r="B1103" s="53" t="s">
        <v>477</v>
      </c>
      <c r="C1103" s="53" t="s">
        <v>1423</v>
      </c>
      <c r="D1103" s="53" t="s">
        <v>447</v>
      </c>
      <c r="E1103" s="53">
        <v>2</v>
      </c>
      <c r="F1103" s="54">
        <v>48519</v>
      </c>
      <c r="G1103" s="54">
        <v>47058</v>
      </c>
      <c r="H1103" s="53" t="s">
        <v>540</v>
      </c>
      <c r="I1103" s="53" t="s">
        <v>105</v>
      </c>
      <c r="J1103" s="53" t="s">
        <v>101</v>
      </c>
      <c r="K1103" s="53">
        <v>85.997</v>
      </c>
      <c r="L1103" s="53" t="s">
        <v>101</v>
      </c>
      <c r="M1103" s="53">
        <v>4.141</v>
      </c>
      <c r="N1103" s="53">
        <v>4.141</v>
      </c>
      <c r="O1103" s="53" t="s">
        <v>101</v>
      </c>
      <c r="P1103" s="53" t="s">
        <v>448</v>
      </c>
      <c r="Q1103" s="53" t="s">
        <v>538</v>
      </c>
      <c r="R1103" s="55" t="s">
        <v>482</v>
      </c>
    </row>
    <row r="1104" spans="1:18" x14ac:dyDescent="0.5">
      <c r="A1104" s="56" t="str">
        <f>"702725V33"</f>
        <v>702725V33</v>
      </c>
      <c r="B1104" s="57" t="s">
        <v>477</v>
      </c>
      <c r="C1104" s="57" t="s">
        <v>1424</v>
      </c>
      <c r="D1104" s="53" t="s">
        <v>447</v>
      </c>
      <c r="E1104" s="57">
        <v>2</v>
      </c>
      <c r="F1104" s="58">
        <v>48519</v>
      </c>
      <c r="G1104" s="58">
        <v>47423</v>
      </c>
      <c r="H1104" s="57" t="s">
        <v>540</v>
      </c>
      <c r="I1104" s="57" t="s">
        <v>105</v>
      </c>
      <c r="J1104" s="57" t="s">
        <v>101</v>
      </c>
      <c r="K1104" s="57">
        <v>85.194000000000003</v>
      </c>
      <c r="L1104" s="57" t="s">
        <v>101</v>
      </c>
      <c r="M1104" s="57">
        <v>4.2759999999999998</v>
      </c>
      <c r="N1104" s="57">
        <v>4.2759999999999998</v>
      </c>
      <c r="O1104" s="53" t="s">
        <v>101</v>
      </c>
      <c r="P1104" s="57" t="s">
        <v>448</v>
      </c>
      <c r="Q1104" s="57" t="s">
        <v>485</v>
      </c>
      <c r="R1104" s="59" t="s">
        <v>482</v>
      </c>
    </row>
    <row r="1105" spans="1:18" x14ac:dyDescent="0.5">
      <c r="A1105" s="52" t="str">
        <f>"76958PAR7"</f>
        <v>76958PAR7</v>
      </c>
      <c r="B1105" s="53" t="s">
        <v>499</v>
      </c>
      <c r="C1105" s="53" t="s">
        <v>1425</v>
      </c>
      <c r="D1105" s="53" t="s">
        <v>447</v>
      </c>
      <c r="E1105" s="53">
        <v>3</v>
      </c>
      <c r="F1105" s="54">
        <v>48519</v>
      </c>
      <c r="G1105" s="54">
        <v>45962</v>
      </c>
      <c r="H1105" s="53" t="s">
        <v>105</v>
      </c>
      <c r="I1105" s="53" t="s">
        <v>658</v>
      </c>
      <c r="J1105" s="53" t="s">
        <v>101</v>
      </c>
      <c r="K1105" s="53">
        <v>95.83</v>
      </c>
      <c r="L1105" s="53" t="s">
        <v>101</v>
      </c>
      <c r="M1105" s="53">
        <v>3.625</v>
      </c>
      <c r="N1105" s="53">
        <v>3.625</v>
      </c>
      <c r="O1105" s="53" t="s">
        <v>101</v>
      </c>
      <c r="P1105" s="53" t="s">
        <v>448</v>
      </c>
      <c r="Q1105" s="53" t="s">
        <v>790</v>
      </c>
      <c r="R1105" s="55" t="s">
        <v>504</v>
      </c>
    </row>
    <row r="1106" spans="1:18" x14ac:dyDescent="0.5">
      <c r="A1106" s="56" t="str">
        <f>"783294FV8"</f>
        <v>783294FV8</v>
      </c>
      <c r="B1106" s="57" t="s">
        <v>477</v>
      </c>
      <c r="C1106" s="57" t="s">
        <v>1426</v>
      </c>
      <c r="D1106" s="53" t="s">
        <v>447</v>
      </c>
      <c r="E1106" s="57">
        <v>2</v>
      </c>
      <c r="F1106" s="58">
        <v>48519</v>
      </c>
      <c r="G1106" s="58">
        <v>47788</v>
      </c>
      <c r="H1106" s="57" t="s">
        <v>105</v>
      </c>
      <c r="I1106" s="57" t="s">
        <v>509</v>
      </c>
      <c r="J1106" s="57" t="s">
        <v>101</v>
      </c>
      <c r="K1106" s="57">
        <v>85.194000000000003</v>
      </c>
      <c r="L1106" s="57" t="s">
        <v>101</v>
      </c>
      <c r="M1106" s="57">
        <v>4.2759999999999998</v>
      </c>
      <c r="N1106" s="57">
        <v>4.2759999999999998</v>
      </c>
      <c r="O1106" s="53" t="s">
        <v>101</v>
      </c>
      <c r="P1106" s="57" t="s">
        <v>448</v>
      </c>
      <c r="Q1106" s="57" t="s">
        <v>485</v>
      </c>
      <c r="R1106" s="59" t="s">
        <v>454</v>
      </c>
    </row>
    <row r="1107" spans="1:18" x14ac:dyDescent="0.5">
      <c r="A1107" s="52" t="str">
        <f>"2083993G8"</f>
        <v>2083993G8</v>
      </c>
      <c r="B1107" s="53" t="s">
        <v>451</v>
      </c>
      <c r="C1107" s="53" t="s">
        <v>1427</v>
      </c>
      <c r="D1107" s="53" t="s">
        <v>447</v>
      </c>
      <c r="E1107" s="53">
        <v>3</v>
      </c>
      <c r="F1107" s="54">
        <v>48533</v>
      </c>
      <c r="G1107" s="54">
        <v>47802</v>
      </c>
      <c r="H1107" s="53" t="s">
        <v>540</v>
      </c>
      <c r="I1107" s="53" t="s">
        <v>509</v>
      </c>
      <c r="J1107" s="53" t="s">
        <v>101</v>
      </c>
      <c r="K1107" s="53">
        <v>94.152000000000001</v>
      </c>
      <c r="L1107" s="53" t="s">
        <v>101</v>
      </c>
      <c r="M1107" s="53">
        <v>3.8809999999999998</v>
      </c>
      <c r="N1107" s="53">
        <v>3.8809999999999998</v>
      </c>
      <c r="O1107" s="53" t="s">
        <v>101</v>
      </c>
      <c r="P1107" s="53" t="s">
        <v>448</v>
      </c>
      <c r="Q1107" s="53" t="s">
        <v>485</v>
      </c>
      <c r="R1107" s="55" t="s">
        <v>504</v>
      </c>
    </row>
    <row r="1108" spans="1:18" x14ac:dyDescent="0.5">
      <c r="A1108" s="56" t="str">
        <f>"414008CF7"</f>
        <v>414008CF7</v>
      </c>
      <c r="B1108" s="57" t="s">
        <v>451</v>
      </c>
      <c r="C1108" s="57" t="s">
        <v>1428</v>
      </c>
      <c r="D1108" s="53" t="s">
        <v>447</v>
      </c>
      <c r="E1108" s="57">
        <v>3</v>
      </c>
      <c r="F1108" s="58">
        <v>48533</v>
      </c>
      <c r="G1108" s="58">
        <v>46157</v>
      </c>
      <c r="H1108" s="57" t="s">
        <v>105</v>
      </c>
      <c r="I1108" s="57" t="s">
        <v>611</v>
      </c>
      <c r="J1108" s="57" t="s">
        <v>101</v>
      </c>
      <c r="K1108" s="57">
        <v>91.51</v>
      </c>
      <c r="L1108" s="57" t="s">
        <v>101</v>
      </c>
      <c r="M1108" s="57">
        <v>4.3</v>
      </c>
      <c r="N1108" s="57">
        <v>4.3</v>
      </c>
      <c r="O1108" s="53" t="s">
        <v>101</v>
      </c>
      <c r="P1108" s="57" t="s">
        <v>448</v>
      </c>
      <c r="Q1108" s="57" t="s">
        <v>556</v>
      </c>
      <c r="R1108" s="59" t="s">
        <v>450</v>
      </c>
    </row>
    <row r="1109" spans="1:18" x14ac:dyDescent="0.5">
      <c r="A1109" s="52" t="str">
        <f>"511665KF7"</f>
        <v>511665KF7</v>
      </c>
      <c r="B1109" s="53" t="s">
        <v>499</v>
      </c>
      <c r="C1109" s="53" t="s">
        <v>1429</v>
      </c>
      <c r="D1109" s="53" t="s">
        <v>447</v>
      </c>
      <c r="E1109" s="53">
        <v>3</v>
      </c>
      <c r="F1109" s="54">
        <v>48533</v>
      </c>
      <c r="G1109" s="54">
        <v>46341</v>
      </c>
      <c r="H1109" s="53" t="s">
        <v>610</v>
      </c>
      <c r="I1109" s="53" t="s">
        <v>105</v>
      </c>
      <c r="J1109" s="53" t="s">
        <v>101</v>
      </c>
      <c r="K1109" s="53">
        <v>92.54</v>
      </c>
      <c r="L1109" s="53" t="s">
        <v>101</v>
      </c>
      <c r="M1109" s="53">
        <v>4.1349999999999998</v>
      </c>
      <c r="N1109" s="53">
        <v>4.1349999999999998</v>
      </c>
      <c r="O1109" s="53" t="s">
        <v>101</v>
      </c>
      <c r="P1109" s="53" t="s">
        <v>448</v>
      </c>
      <c r="Q1109" s="53" t="s">
        <v>488</v>
      </c>
      <c r="R1109" s="55" t="s">
        <v>506</v>
      </c>
    </row>
    <row r="1110" spans="1:18" x14ac:dyDescent="0.5">
      <c r="A1110" s="56" t="str">
        <f>"593211FC4"</f>
        <v>593211FC4</v>
      </c>
      <c r="B1110" s="57" t="s">
        <v>499</v>
      </c>
      <c r="C1110" s="57" t="s">
        <v>1430</v>
      </c>
      <c r="D1110" s="53" t="s">
        <v>447</v>
      </c>
      <c r="E1110" s="57">
        <v>5</v>
      </c>
      <c r="F1110" s="58">
        <v>48533</v>
      </c>
      <c r="G1110" s="58">
        <v>48167</v>
      </c>
      <c r="H1110" s="57" t="s">
        <v>627</v>
      </c>
      <c r="I1110" s="57" t="s">
        <v>105</v>
      </c>
      <c r="J1110" s="57" t="s">
        <v>101</v>
      </c>
      <c r="K1110" s="57">
        <v>107.84</v>
      </c>
      <c r="L1110" s="57" t="s">
        <v>101</v>
      </c>
      <c r="M1110" s="57">
        <v>3.6749999999999998</v>
      </c>
      <c r="N1110" s="57">
        <v>3.82</v>
      </c>
      <c r="O1110" s="53" t="s">
        <v>101</v>
      </c>
      <c r="P1110" s="57" t="s">
        <v>448</v>
      </c>
      <c r="Q1110" s="57" t="s">
        <v>538</v>
      </c>
      <c r="R1110" s="59" t="s">
        <v>450</v>
      </c>
    </row>
    <row r="1111" spans="1:18" x14ac:dyDescent="0.5">
      <c r="A1111" s="52" t="str">
        <f>"650279AM4"</f>
        <v>650279AM4</v>
      </c>
      <c r="B1111" s="53" t="s">
        <v>451</v>
      </c>
      <c r="C1111" s="53" t="s">
        <v>1431</v>
      </c>
      <c r="D1111" s="53" t="s">
        <v>447</v>
      </c>
      <c r="E1111" s="53">
        <v>4</v>
      </c>
      <c r="F1111" s="54">
        <v>48533</v>
      </c>
      <c r="G1111" s="54">
        <v>46341</v>
      </c>
      <c r="H1111" s="53" t="s">
        <v>105</v>
      </c>
      <c r="I1111" s="53" t="s">
        <v>616</v>
      </c>
      <c r="J1111" s="53" t="s">
        <v>101</v>
      </c>
      <c r="K1111" s="53">
        <v>100.777</v>
      </c>
      <c r="L1111" s="53" t="s">
        <v>101</v>
      </c>
      <c r="M1111" s="53">
        <v>3.5329999999999999</v>
      </c>
      <c r="N1111" s="53">
        <v>3.8820000000000001</v>
      </c>
      <c r="O1111" s="53" t="s">
        <v>101</v>
      </c>
      <c r="P1111" s="53" t="s">
        <v>448</v>
      </c>
      <c r="Q1111" s="53" t="s">
        <v>556</v>
      </c>
      <c r="R1111" s="55" t="s">
        <v>450</v>
      </c>
    </row>
    <row r="1112" spans="1:18" x14ac:dyDescent="0.5">
      <c r="A1112" s="56" t="str">
        <f>"158159CD3"</f>
        <v>158159CD3</v>
      </c>
      <c r="B1112" s="57" t="s">
        <v>491</v>
      </c>
      <c r="C1112" s="57" t="s">
        <v>1432</v>
      </c>
      <c r="D1112" s="53" t="s">
        <v>447</v>
      </c>
      <c r="E1112" s="57">
        <v>3</v>
      </c>
      <c r="F1112" s="58">
        <v>48549</v>
      </c>
      <c r="G1112" s="58">
        <v>46357</v>
      </c>
      <c r="H1112" s="57" t="s">
        <v>105</v>
      </c>
      <c r="I1112" s="57" t="s">
        <v>628</v>
      </c>
      <c r="J1112" s="57" t="s">
        <v>101</v>
      </c>
      <c r="K1112" s="57">
        <v>95.51</v>
      </c>
      <c r="L1112" s="57" t="s">
        <v>101</v>
      </c>
      <c r="M1112" s="57">
        <v>3.6680000000000001</v>
      </c>
      <c r="N1112" s="57">
        <v>3.6680000000000001</v>
      </c>
      <c r="O1112" s="53" t="s">
        <v>101</v>
      </c>
      <c r="P1112" s="57" t="s">
        <v>448</v>
      </c>
      <c r="Q1112" s="57" t="s">
        <v>1433</v>
      </c>
      <c r="R1112" s="59" t="s">
        <v>482</v>
      </c>
    </row>
    <row r="1113" spans="1:18" x14ac:dyDescent="0.5">
      <c r="A1113" s="52" t="str">
        <f>"213309NF0"</f>
        <v>213309NF0</v>
      </c>
      <c r="B1113" s="53" t="s">
        <v>491</v>
      </c>
      <c r="C1113" s="53" t="s">
        <v>1434</v>
      </c>
      <c r="D1113" s="53" t="s">
        <v>447</v>
      </c>
      <c r="E1113" s="53">
        <v>3.125</v>
      </c>
      <c r="F1113" s="54">
        <v>48549</v>
      </c>
      <c r="G1113" s="54">
        <v>47088</v>
      </c>
      <c r="H1113" s="53" t="s">
        <v>624</v>
      </c>
      <c r="I1113" s="53" t="s">
        <v>628</v>
      </c>
      <c r="J1113" s="53" t="s">
        <v>101</v>
      </c>
      <c r="K1113" s="53">
        <v>96.87</v>
      </c>
      <c r="L1113" s="53" t="s">
        <v>101</v>
      </c>
      <c r="M1113" s="53">
        <v>3.589</v>
      </c>
      <c r="N1113" s="53">
        <v>3.589</v>
      </c>
      <c r="O1113" s="53" t="s">
        <v>101</v>
      </c>
      <c r="P1113" s="53" t="s">
        <v>448</v>
      </c>
      <c r="Q1113" s="53" t="s">
        <v>475</v>
      </c>
      <c r="R1113" s="55" t="s">
        <v>680</v>
      </c>
    </row>
    <row r="1114" spans="1:18" x14ac:dyDescent="0.5">
      <c r="A1114" s="56" t="str">
        <f>"215039EV6"</f>
        <v>215039EV6</v>
      </c>
      <c r="B1114" s="57" t="s">
        <v>491</v>
      </c>
      <c r="C1114" s="57" t="s">
        <v>1435</v>
      </c>
      <c r="D1114" s="53" t="s">
        <v>447</v>
      </c>
      <c r="E1114" s="57">
        <v>4</v>
      </c>
      <c r="F1114" s="58">
        <v>48549</v>
      </c>
      <c r="G1114" s="58">
        <v>46357</v>
      </c>
      <c r="H1114" s="57" t="s">
        <v>613</v>
      </c>
      <c r="I1114" s="57" t="s">
        <v>105</v>
      </c>
      <c r="J1114" s="57" t="s">
        <v>101</v>
      </c>
      <c r="K1114" s="57">
        <v>100.84</v>
      </c>
      <c r="L1114" s="57" t="s">
        <v>101</v>
      </c>
      <c r="M1114" s="57">
        <v>3.508</v>
      </c>
      <c r="N1114" s="57">
        <v>3.8730000000000002</v>
      </c>
      <c r="O1114" s="53" t="s">
        <v>101</v>
      </c>
      <c r="P1114" s="57" t="s">
        <v>448</v>
      </c>
      <c r="Q1114" s="57" t="s">
        <v>488</v>
      </c>
      <c r="R1114" s="59" t="s">
        <v>482</v>
      </c>
    </row>
    <row r="1115" spans="1:18" x14ac:dyDescent="0.5">
      <c r="A1115" s="52" t="str">
        <f>"215705JA3"</f>
        <v>215705JA3</v>
      </c>
      <c r="B1115" s="53" t="s">
        <v>491</v>
      </c>
      <c r="C1115" s="53" t="s">
        <v>1436</v>
      </c>
      <c r="D1115" s="53" t="s">
        <v>447</v>
      </c>
      <c r="E1115" s="53">
        <v>3</v>
      </c>
      <c r="F1115" s="54">
        <v>48549</v>
      </c>
      <c r="G1115" s="54">
        <v>45992</v>
      </c>
      <c r="H1115" s="53" t="s">
        <v>105</v>
      </c>
      <c r="I1115" s="53" t="s">
        <v>628</v>
      </c>
      <c r="J1115" s="53" t="s">
        <v>101</v>
      </c>
      <c r="K1115" s="53">
        <v>94.26</v>
      </c>
      <c r="L1115" s="53" t="s">
        <v>101</v>
      </c>
      <c r="M1115" s="53">
        <v>3.86</v>
      </c>
      <c r="N1115" s="53">
        <v>3.86</v>
      </c>
      <c r="O1115" s="53" t="s">
        <v>101</v>
      </c>
      <c r="P1115" s="53" t="s">
        <v>448</v>
      </c>
      <c r="Q1115" s="53" t="s">
        <v>947</v>
      </c>
      <c r="R1115" s="55" t="s">
        <v>454</v>
      </c>
    </row>
    <row r="1116" spans="1:18" x14ac:dyDescent="0.5">
      <c r="A1116" s="56" t="str">
        <f>"215651LF5"</f>
        <v>215651LF5</v>
      </c>
      <c r="B1116" s="57" t="s">
        <v>491</v>
      </c>
      <c r="C1116" s="57" t="s">
        <v>1437</v>
      </c>
      <c r="D1116" s="53" t="s">
        <v>447</v>
      </c>
      <c r="E1116" s="57">
        <v>3</v>
      </c>
      <c r="F1116" s="58">
        <v>48549</v>
      </c>
      <c r="G1116" s="58">
        <v>47088</v>
      </c>
      <c r="H1116" s="57" t="s">
        <v>105</v>
      </c>
      <c r="I1116" s="57" t="s">
        <v>628</v>
      </c>
      <c r="J1116" s="57" t="s">
        <v>101</v>
      </c>
      <c r="K1116" s="57">
        <v>94.71</v>
      </c>
      <c r="L1116" s="57" t="s">
        <v>101</v>
      </c>
      <c r="M1116" s="57">
        <v>3.79</v>
      </c>
      <c r="N1116" s="57">
        <v>3.79</v>
      </c>
      <c r="O1116" s="53" t="s">
        <v>101</v>
      </c>
      <c r="P1116" s="57" t="s">
        <v>448</v>
      </c>
      <c r="Q1116" s="57" t="s">
        <v>457</v>
      </c>
      <c r="R1116" s="59" t="s">
        <v>630</v>
      </c>
    </row>
    <row r="1117" spans="1:18" x14ac:dyDescent="0.5">
      <c r="A1117" s="52" t="str">
        <f>"214057GZ8"</f>
        <v>214057GZ8</v>
      </c>
      <c r="B1117" s="53" t="s">
        <v>491</v>
      </c>
      <c r="C1117" s="53" t="s">
        <v>1438</v>
      </c>
      <c r="D1117" s="53" t="s">
        <v>447</v>
      </c>
      <c r="E1117" s="53">
        <v>3</v>
      </c>
      <c r="F1117" s="54">
        <v>48549</v>
      </c>
      <c r="G1117" s="54">
        <v>47453</v>
      </c>
      <c r="H1117" s="53" t="s">
        <v>105</v>
      </c>
      <c r="I1117" s="53" t="s">
        <v>628</v>
      </c>
      <c r="J1117" s="53" t="s">
        <v>101</v>
      </c>
      <c r="K1117" s="53">
        <v>94.768000000000001</v>
      </c>
      <c r="L1117" s="53" t="s">
        <v>101</v>
      </c>
      <c r="M1117" s="53">
        <v>3.782</v>
      </c>
      <c r="N1117" s="53">
        <v>3.782</v>
      </c>
      <c r="O1117" s="53" t="s">
        <v>101</v>
      </c>
      <c r="P1117" s="53" t="s">
        <v>448</v>
      </c>
      <c r="Q1117" s="53" t="s">
        <v>517</v>
      </c>
      <c r="R1117" s="55" t="s">
        <v>680</v>
      </c>
    </row>
    <row r="1118" spans="1:18" x14ac:dyDescent="0.5">
      <c r="A1118" s="56" t="str">
        <f>"214165MB5"</f>
        <v>214165MB5</v>
      </c>
      <c r="B1118" s="57" t="s">
        <v>491</v>
      </c>
      <c r="C1118" s="57" t="s">
        <v>1439</v>
      </c>
      <c r="D1118" s="53" t="s">
        <v>447</v>
      </c>
      <c r="E1118" s="57">
        <v>3</v>
      </c>
      <c r="F1118" s="58">
        <v>48549</v>
      </c>
      <c r="G1118" s="58">
        <v>47818</v>
      </c>
      <c r="H1118" s="57" t="s">
        <v>105</v>
      </c>
      <c r="I1118" s="57" t="s">
        <v>628</v>
      </c>
      <c r="J1118" s="57" t="s">
        <v>101</v>
      </c>
      <c r="K1118" s="57">
        <v>93.31</v>
      </c>
      <c r="L1118" s="57" t="s">
        <v>101</v>
      </c>
      <c r="M1118" s="57">
        <v>4.008</v>
      </c>
      <c r="N1118" s="57">
        <v>4.008</v>
      </c>
      <c r="O1118" s="53" t="s">
        <v>101</v>
      </c>
      <c r="P1118" s="57" t="s">
        <v>448</v>
      </c>
      <c r="Q1118" s="57" t="s">
        <v>488</v>
      </c>
      <c r="R1118" s="59" t="s">
        <v>680</v>
      </c>
    </row>
    <row r="1119" spans="1:18" x14ac:dyDescent="0.5">
      <c r="A1119" s="52" t="str">
        <f>"215795RX5"</f>
        <v>215795RX5</v>
      </c>
      <c r="B1119" s="53" t="s">
        <v>491</v>
      </c>
      <c r="C1119" s="53" t="s">
        <v>1440</v>
      </c>
      <c r="D1119" s="53" t="s">
        <v>447</v>
      </c>
      <c r="E1119" s="53">
        <v>4</v>
      </c>
      <c r="F1119" s="54">
        <v>48549</v>
      </c>
      <c r="G1119" s="54">
        <v>47453</v>
      </c>
      <c r="H1119" s="53" t="s">
        <v>105</v>
      </c>
      <c r="I1119" s="53" t="s">
        <v>628</v>
      </c>
      <c r="J1119" s="53" t="s">
        <v>101</v>
      </c>
      <c r="K1119" s="53">
        <v>101.932</v>
      </c>
      <c r="L1119" s="53" t="s">
        <v>101</v>
      </c>
      <c r="M1119" s="53">
        <v>3.556</v>
      </c>
      <c r="N1119" s="53">
        <v>3.7109999999999999</v>
      </c>
      <c r="O1119" s="53" t="s">
        <v>101</v>
      </c>
      <c r="P1119" s="53" t="s">
        <v>448</v>
      </c>
      <c r="Q1119" s="53" t="s">
        <v>479</v>
      </c>
      <c r="R1119" s="55" t="s">
        <v>630</v>
      </c>
    </row>
    <row r="1120" spans="1:18" x14ac:dyDescent="0.5">
      <c r="A1120" s="56" t="str">
        <f>"215543MR7"</f>
        <v>215543MR7</v>
      </c>
      <c r="B1120" s="57" t="s">
        <v>491</v>
      </c>
      <c r="C1120" s="57" t="s">
        <v>1441</v>
      </c>
      <c r="D1120" s="53" t="s">
        <v>447</v>
      </c>
      <c r="E1120" s="57">
        <v>3</v>
      </c>
      <c r="F1120" s="58">
        <v>48549</v>
      </c>
      <c r="G1120" s="58">
        <v>48183</v>
      </c>
      <c r="H1120" s="57" t="s">
        <v>540</v>
      </c>
      <c r="I1120" s="57" t="s">
        <v>105</v>
      </c>
      <c r="J1120" s="57" t="s">
        <v>101</v>
      </c>
      <c r="K1120" s="57">
        <v>94.52</v>
      </c>
      <c r="L1120" s="57" t="s">
        <v>101</v>
      </c>
      <c r="M1120" s="57">
        <v>3.82</v>
      </c>
      <c r="N1120" s="57">
        <v>3.82</v>
      </c>
      <c r="O1120" s="53" t="s">
        <v>101</v>
      </c>
      <c r="P1120" s="57" t="s">
        <v>448</v>
      </c>
      <c r="Q1120" s="57" t="s">
        <v>475</v>
      </c>
      <c r="R1120" s="59" t="s">
        <v>482</v>
      </c>
    </row>
    <row r="1121" spans="1:18" x14ac:dyDescent="0.5">
      <c r="A1121" s="52" t="str">
        <f>"299228AR7"</f>
        <v>299228AR7</v>
      </c>
      <c r="B1121" s="53" t="s">
        <v>491</v>
      </c>
      <c r="C1121" s="53" t="s">
        <v>1442</v>
      </c>
      <c r="D1121" s="53" t="s">
        <v>447</v>
      </c>
      <c r="E1121" s="53">
        <v>2.5</v>
      </c>
      <c r="F1121" s="54">
        <v>48549</v>
      </c>
      <c r="G1121" s="54">
        <v>46357</v>
      </c>
      <c r="H1121" s="53" t="s">
        <v>613</v>
      </c>
      <c r="I1121" s="53" t="s">
        <v>105</v>
      </c>
      <c r="J1121" s="53" t="s">
        <v>101</v>
      </c>
      <c r="K1121" s="53">
        <v>89.052000000000007</v>
      </c>
      <c r="L1121" s="53" t="s">
        <v>101</v>
      </c>
      <c r="M1121" s="53">
        <v>4.16</v>
      </c>
      <c r="N1121" s="53">
        <v>4.16</v>
      </c>
      <c r="O1121" s="53" t="s">
        <v>101</v>
      </c>
      <c r="P1121" s="53" t="s">
        <v>448</v>
      </c>
      <c r="Q1121" s="53" t="s">
        <v>488</v>
      </c>
      <c r="R1121" s="55" t="s">
        <v>482</v>
      </c>
    </row>
    <row r="1122" spans="1:18" x14ac:dyDescent="0.5">
      <c r="A1122" s="56" t="str">
        <f>"299228BW5"</f>
        <v>299228BW5</v>
      </c>
      <c r="B1122" s="57" t="s">
        <v>491</v>
      </c>
      <c r="C1122" s="57" t="s">
        <v>1443</v>
      </c>
      <c r="D1122" s="53" t="s">
        <v>447</v>
      </c>
      <c r="E1122" s="57">
        <v>3</v>
      </c>
      <c r="F1122" s="58">
        <v>48549</v>
      </c>
      <c r="G1122" s="58">
        <v>46722</v>
      </c>
      <c r="H1122" s="57" t="s">
        <v>613</v>
      </c>
      <c r="I1122" s="57" t="s">
        <v>105</v>
      </c>
      <c r="J1122" s="57" t="s">
        <v>101</v>
      </c>
      <c r="K1122" s="57">
        <v>95.275000000000006</v>
      </c>
      <c r="L1122" s="57" t="s">
        <v>101</v>
      </c>
      <c r="M1122" s="57">
        <v>3.7040000000000002</v>
      </c>
      <c r="N1122" s="57">
        <v>3.7040000000000002</v>
      </c>
      <c r="O1122" s="53" t="s">
        <v>101</v>
      </c>
      <c r="P1122" s="57" t="s">
        <v>448</v>
      </c>
      <c r="Q1122" s="57" t="s">
        <v>460</v>
      </c>
      <c r="R1122" s="59" t="s">
        <v>454</v>
      </c>
    </row>
    <row r="1123" spans="1:18" x14ac:dyDescent="0.5">
      <c r="A1123" s="52" t="str">
        <f>"34682HUQ7"</f>
        <v>34682HUQ7</v>
      </c>
      <c r="B1123" s="53" t="s">
        <v>451</v>
      </c>
      <c r="C1123" s="53" t="s">
        <v>1444</v>
      </c>
      <c r="D1123" s="53" t="s">
        <v>447</v>
      </c>
      <c r="E1123" s="53">
        <v>2</v>
      </c>
      <c r="F1123" s="54">
        <v>48549</v>
      </c>
      <c r="G1123" s="54">
        <v>46357</v>
      </c>
      <c r="H1123" s="53" t="s">
        <v>105</v>
      </c>
      <c r="I1123" s="53" t="s">
        <v>628</v>
      </c>
      <c r="J1123" s="53" t="s">
        <v>101</v>
      </c>
      <c r="K1123" s="53">
        <v>84.616</v>
      </c>
      <c r="L1123" s="53" t="s">
        <v>101</v>
      </c>
      <c r="M1123" s="53">
        <v>4.3499999999999996</v>
      </c>
      <c r="N1123" s="53">
        <v>4.3499999999999996</v>
      </c>
      <c r="O1123" s="53" t="s">
        <v>101</v>
      </c>
      <c r="P1123" s="53" t="s">
        <v>448</v>
      </c>
      <c r="Q1123" s="53" t="s">
        <v>682</v>
      </c>
      <c r="R1123" s="55" t="s">
        <v>820</v>
      </c>
    </row>
    <row r="1124" spans="1:18" x14ac:dyDescent="0.5">
      <c r="A1124" s="56" t="str">
        <f>"468687CJ5"</f>
        <v>468687CJ5</v>
      </c>
      <c r="B1124" s="57" t="s">
        <v>491</v>
      </c>
      <c r="C1124" s="57" t="s">
        <v>1445</v>
      </c>
      <c r="D1124" s="53" t="s">
        <v>447</v>
      </c>
      <c r="E1124" s="57">
        <v>5</v>
      </c>
      <c r="F1124" s="58">
        <v>48549</v>
      </c>
      <c r="G1124" s="58">
        <v>48183</v>
      </c>
      <c r="H1124" s="57" t="s">
        <v>105</v>
      </c>
      <c r="I1124" s="57" t="s">
        <v>628</v>
      </c>
      <c r="J1124" s="57" t="s">
        <v>101</v>
      </c>
      <c r="K1124" s="57">
        <v>108.9</v>
      </c>
      <c r="L1124" s="57" t="s">
        <v>101</v>
      </c>
      <c r="M1124" s="57">
        <v>3.5139999999999998</v>
      </c>
      <c r="N1124" s="57">
        <v>3.6739999999999999</v>
      </c>
      <c r="O1124" s="53" t="s">
        <v>101</v>
      </c>
      <c r="P1124" s="57" t="s">
        <v>448</v>
      </c>
      <c r="Q1124" s="57" t="s">
        <v>457</v>
      </c>
      <c r="R1124" s="59" t="s">
        <v>1376</v>
      </c>
    </row>
    <row r="1125" spans="1:18" x14ac:dyDescent="0.5">
      <c r="A1125" s="52" t="str">
        <f>"484386HK6"</f>
        <v>484386HK6</v>
      </c>
      <c r="B1125" s="53" t="s">
        <v>491</v>
      </c>
      <c r="C1125" s="53" t="s">
        <v>1446</v>
      </c>
      <c r="D1125" s="53" t="s">
        <v>447</v>
      </c>
      <c r="E1125" s="53">
        <v>3</v>
      </c>
      <c r="F1125" s="54">
        <v>48549</v>
      </c>
      <c r="G1125" s="54">
        <v>47818</v>
      </c>
      <c r="H1125" s="53" t="s">
        <v>105</v>
      </c>
      <c r="I1125" s="53" t="s">
        <v>628</v>
      </c>
      <c r="J1125" s="53" t="s">
        <v>101</v>
      </c>
      <c r="K1125" s="53">
        <v>94.641999999999996</v>
      </c>
      <c r="L1125" s="53" t="s">
        <v>101</v>
      </c>
      <c r="M1125" s="53">
        <v>3.8010000000000002</v>
      </c>
      <c r="N1125" s="53">
        <v>3.8010000000000002</v>
      </c>
      <c r="O1125" s="53" t="s">
        <v>101</v>
      </c>
      <c r="P1125" s="53" t="s">
        <v>448</v>
      </c>
      <c r="Q1125" s="53" t="s">
        <v>457</v>
      </c>
      <c r="R1125" s="55" t="s">
        <v>680</v>
      </c>
    </row>
    <row r="1126" spans="1:18" x14ac:dyDescent="0.5">
      <c r="A1126" s="56" t="str">
        <f>"499260GP6"</f>
        <v>499260GP6</v>
      </c>
      <c r="B1126" s="57" t="s">
        <v>491</v>
      </c>
      <c r="C1126" s="57" t="s">
        <v>1447</v>
      </c>
      <c r="D1126" s="53" t="s">
        <v>447</v>
      </c>
      <c r="E1126" s="57">
        <v>4</v>
      </c>
      <c r="F1126" s="58">
        <v>48549</v>
      </c>
      <c r="G1126" s="58">
        <v>46722</v>
      </c>
      <c r="H1126" s="57" t="s">
        <v>105</v>
      </c>
      <c r="I1126" s="57" t="s">
        <v>628</v>
      </c>
      <c r="J1126" s="57" t="s">
        <v>101</v>
      </c>
      <c r="K1126" s="57">
        <v>101.129</v>
      </c>
      <c r="L1126" s="57" t="s">
        <v>101</v>
      </c>
      <c r="M1126" s="57">
        <v>3.569</v>
      </c>
      <c r="N1126" s="57">
        <v>3.83</v>
      </c>
      <c r="O1126" s="53" t="s">
        <v>101</v>
      </c>
      <c r="P1126" s="57" t="s">
        <v>448</v>
      </c>
      <c r="Q1126" s="57" t="s">
        <v>460</v>
      </c>
      <c r="R1126" s="59" t="s">
        <v>680</v>
      </c>
    </row>
    <row r="1127" spans="1:18" x14ac:dyDescent="0.5">
      <c r="A1127" s="52" t="str">
        <f>"508205JX0"</f>
        <v>508205JX0</v>
      </c>
      <c r="B1127" s="53" t="s">
        <v>491</v>
      </c>
      <c r="C1127" s="53" t="s">
        <v>1448</v>
      </c>
      <c r="D1127" s="53" t="s">
        <v>447</v>
      </c>
      <c r="E1127" s="53">
        <v>3</v>
      </c>
      <c r="F1127" s="54">
        <v>48549</v>
      </c>
      <c r="G1127" s="54">
        <v>47818</v>
      </c>
      <c r="H1127" s="53" t="s">
        <v>105</v>
      </c>
      <c r="I1127" s="53" t="s">
        <v>104</v>
      </c>
      <c r="J1127" s="53" t="s">
        <v>101</v>
      </c>
      <c r="K1127" s="53">
        <v>95.516000000000005</v>
      </c>
      <c r="L1127" s="53" t="s">
        <v>101</v>
      </c>
      <c r="M1127" s="53">
        <v>3.6669999999999998</v>
      </c>
      <c r="N1127" s="53">
        <v>3.6669999999999998</v>
      </c>
      <c r="O1127" s="53" t="s">
        <v>101</v>
      </c>
      <c r="P1127" s="53" t="s">
        <v>448</v>
      </c>
      <c r="Q1127" s="53" t="s">
        <v>457</v>
      </c>
      <c r="R1127" s="55" t="s">
        <v>482</v>
      </c>
    </row>
    <row r="1128" spans="1:18" x14ac:dyDescent="0.5">
      <c r="A1128" s="56" t="str">
        <f>"538420CA6"</f>
        <v>538420CA6</v>
      </c>
      <c r="B1128" s="57" t="s">
        <v>491</v>
      </c>
      <c r="C1128" s="57" t="s">
        <v>1449</v>
      </c>
      <c r="D1128" s="53" t="s">
        <v>447</v>
      </c>
      <c r="E1128" s="57">
        <v>4</v>
      </c>
      <c r="F1128" s="58">
        <v>48549</v>
      </c>
      <c r="G1128" s="58">
        <v>47088</v>
      </c>
      <c r="H1128" s="57" t="s">
        <v>105</v>
      </c>
      <c r="I1128" s="57" t="s">
        <v>628</v>
      </c>
      <c r="J1128" s="57" t="s">
        <v>101</v>
      </c>
      <c r="K1128" s="57">
        <v>101.73</v>
      </c>
      <c r="L1128" s="57" t="s">
        <v>101</v>
      </c>
      <c r="M1128" s="57">
        <v>3.5070000000000001</v>
      </c>
      <c r="N1128" s="57">
        <v>3.7410000000000001</v>
      </c>
      <c r="O1128" s="53" t="s">
        <v>101</v>
      </c>
      <c r="P1128" s="57" t="s">
        <v>448</v>
      </c>
      <c r="Q1128" s="57" t="s">
        <v>460</v>
      </c>
      <c r="R1128" s="59" t="s">
        <v>680</v>
      </c>
    </row>
    <row r="1129" spans="1:18" x14ac:dyDescent="0.5">
      <c r="A1129" s="52" t="str">
        <f>"555483EW2"</f>
        <v>555483EW2</v>
      </c>
      <c r="B1129" s="53" t="s">
        <v>491</v>
      </c>
      <c r="C1129" s="53" t="s">
        <v>1450</v>
      </c>
      <c r="D1129" s="53" t="s">
        <v>447</v>
      </c>
      <c r="E1129" s="53">
        <v>4</v>
      </c>
      <c r="F1129" s="54">
        <v>48549</v>
      </c>
      <c r="G1129" s="54">
        <v>47818</v>
      </c>
      <c r="H1129" s="53" t="s">
        <v>105</v>
      </c>
      <c r="I1129" s="53" t="s">
        <v>628</v>
      </c>
      <c r="J1129" s="53" t="s">
        <v>101</v>
      </c>
      <c r="K1129" s="53">
        <v>102.54</v>
      </c>
      <c r="L1129" s="53" t="s">
        <v>101</v>
      </c>
      <c r="M1129" s="53">
        <v>3.51</v>
      </c>
      <c r="N1129" s="53">
        <v>3.6219999999999999</v>
      </c>
      <c r="O1129" s="53" t="s">
        <v>101</v>
      </c>
      <c r="P1129" s="53" t="s">
        <v>448</v>
      </c>
      <c r="Q1129" s="53" t="s">
        <v>475</v>
      </c>
      <c r="R1129" s="55" t="s">
        <v>630</v>
      </c>
    </row>
    <row r="1130" spans="1:18" x14ac:dyDescent="0.5">
      <c r="A1130" s="56" t="str">
        <f>"622826ZF5"</f>
        <v>622826ZF5</v>
      </c>
      <c r="B1130" s="57" t="s">
        <v>491</v>
      </c>
      <c r="C1130" s="57" t="s">
        <v>1451</v>
      </c>
      <c r="D1130" s="53" t="s">
        <v>447</v>
      </c>
      <c r="E1130" s="57">
        <v>3</v>
      </c>
      <c r="F1130" s="58">
        <v>48549</v>
      </c>
      <c r="G1130" s="58">
        <v>48183</v>
      </c>
      <c r="H1130" s="57" t="s">
        <v>105</v>
      </c>
      <c r="I1130" s="57" t="s">
        <v>509</v>
      </c>
      <c r="J1130" s="57" t="s">
        <v>101</v>
      </c>
      <c r="K1130" s="57">
        <v>96.561999999999998</v>
      </c>
      <c r="L1130" s="57" t="s">
        <v>101</v>
      </c>
      <c r="M1130" s="57">
        <v>3.508</v>
      </c>
      <c r="N1130" s="57">
        <v>3.508</v>
      </c>
      <c r="O1130" s="53" t="s">
        <v>101</v>
      </c>
      <c r="P1130" s="57" t="s">
        <v>448</v>
      </c>
      <c r="Q1130" s="57" t="s">
        <v>790</v>
      </c>
      <c r="R1130" s="59" t="s">
        <v>482</v>
      </c>
    </row>
    <row r="1131" spans="1:18" x14ac:dyDescent="0.5">
      <c r="A1131" s="52" t="str">
        <f>"646720KA9"</f>
        <v>646720KA9</v>
      </c>
      <c r="B1131" s="53" t="s">
        <v>496</v>
      </c>
      <c r="C1131" s="53" t="s">
        <v>1452</v>
      </c>
      <c r="D1131" s="53" t="s">
        <v>447</v>
      </c>
      <c r="E1131" s="53">
        <v>3.25</v>
      </c>
      <c r="F1131" s="54">
        <v>48549</v>
      </c>
      <c r="G1131" s="54">
        <v>46722</v>
      </c>
      <c r="H1131" s="53" t="s">
        <v>610</v>
      </c>
      <c r="I1131" s="53" t="s">
        <v>628</v>
      </c>
      <c r="J1131" s="53" t="s">
        <v>101</v>
      </c>
      <c r="K1131" s="53">
        <v>95.71</v>
      </c>
      <c r="L1131" s="53" t="s">
        <v>101</v>
      </c>
      <c r="M1131" s="53">
        <v>3.8929999999999998</v>
      </c>
      <c r="N1131" s="53">
        <v>3.8929999999999998</v>
      </c>
      <c r="O1131" s="53" t="s">
        <v>101</v>
      </c>
      <c r="P1131" s="53" t="s">
        <v>448</v>
      </c>
      <c r="Q1131" s="53" t="s">
        <v>488</v>
      </c>
      <c r="R1131" s="55" t="s">
        <v>771</v>
      </c>
    </row>
    <row r="1132" spans="1:18" x14ac:dyDescent="0.5">
      <c r="A1132" s="56" t="str">
        <f>"654200MD3"</f>
        <v>654200MD3</v>
      </c>
      <c r="B1132" s="57" t="s">
        <v>491</v>
      </c>
      <c r="C1132" s="57" t="s">
        <v>1453</v>
      </c>
      <c r="D1132" s="53" t="s">
        <v>447</v>
      </c>
      <c r="E1132" s="57">
        <v>3.5</v>
      </c>
      <c r="F1132" s="58">
        <v>48549</v>
      </c>
      <c r="G1132" s="58">
        <v>46357</v>
      </c>
      <c r="H1132" s="57" t="s">
        <v>105</v>
      </c>
      <c r="I1132" s="57" t="s">
        <v>628</v>
      </c>
      <c r="J1132" s="57" t="s">
        <v>101</v>
      </c>
      <c r="K1132" s="57">
        <v>99.82</v>
      </c>
      <c r="L1132" s="57" t="s">
        <v>101</v>
      </c>
      <c r="M1132" s="57">
        <v>3.5259999999999998</v>
      </c>
      <c r="N1132" s="57">
        <v>3.5259999999999998</v>
      </c>
      <c r="O1132" s="53" t="s">
        <v>101</v>
      </c>
      <c r="P1132" s="57" t="s">
        <v>448</v>
      </c>
      <c r="Q1132" s="57" t="s">
        <v>488</v>
      </c>
      <c r="R1132" s="59" t="s">
        <v>454</v>
      </c>
    </row>
    <row r="1133" spans="1:18" x14ac:dyDescent="0.5">
      <c r="A1133" s="52" t="str">
        <f>"686356RZ1"</f>
        <v>686356RZ1</v>
      </c>
      <c r="B1133" s="53" t="s">
        <v>491</v>
      </c>
      <c r="C1133" s="53" t="s">
        <v>1454</v>
      </c>
      <c r="D1133" s="53" t="s">
        <v>447</v>
      </c>
      <c r="E1133" s="53">
        <v>3</v>
      </c>
      <c r="F1133" s="54">
        <v>48549</v>
      </c>
      <c r="G1133" s="54">
        <v>47818</v>
      </c>
      <c r="H1133" s="53" t="s">
        <v>105</v>
      </c>
      <c r="I1133" s="53" t="s">
        <v>509</v>
      </c>
      <c r="J1133" s="53" t="s">
        <v>101</v>
      </c>
      <c r="K1133" s="53">
        <v>95.129000000000005</v>
      </c>
      <c r="L1133" s="53" t="s">
        <v>101</v>
      </c>
      <c r="M1133" s="53">
        <v>3.726</v>
      </c>
      <c r="N1133" s="53">
        <v>3.726</v>
      </c>
      <c r="O1133" s="53" t="s">
        <v>101</v>
      </c>
      <c r="P1133" s="53" t="s">
        <v>448</v>
      </c>
      <c r="Q1133" s="53" t="s">
        <v>556</v>
      </c>
      <c r="R1133" s="55" t="s">
        <v>589</v>
      </c>
    </row>
    <row r="1134" spans="1:18" x14ac:dyDescent="0.5">
      <c r="A1134" s="56" t="str">
        <f>"763056CT3"</f>
        <v>763056CT3</v>
      </c>
      <c r="B1134" s="57" t="s">
        <v>491</v>
      </c>
      <c r="C1134" s="57" t="s">
        <v>1455</v>
      </c>
      <c r="D1134" s="53" t="s">
        <v>447</v>
      </c>
      <c r="E1134" s="57">
        <v>5</v>
      </c>
      <c r="F1134" s="58">
        <v>48549</v>
      </c>
      <c r="G1134" s="58" t="s">
        <v>105</v>
      </c>
      <c r="H1134" s="57" t="s">
        <v>105</v>
      </c>
      <c r="I1134" s="57" t="s">
        <v>628</v>
      </c>
      <c r="J1134" s="57" t="s">
        <v>101</v>
      </c>
      <c r="K1134" s="57">
        <v>110.06</v>
      </c>
      <c r="L1134" s="57" t="s">
        <v>101</v>
      </c>
      <c r="M1134" s="57">
        <v>3.5110000000000001</v>
      </c>
      <c r="N1134" s="57">
        <v>3.5110000000000001</v>
      </c>
      <c r="O1134" s="53" t="s">
        <v>101</v>
      </c>
      <c r="P1134" s="57" t="s">
        <v>448</v>
      </c>
      <c r="Q1134" s="57" t="s">
        <v>488</v>
      </c>
      <c r="R1134" s="59" t="s">
        <v>647</v>
      </c>
    </row>
    <row r="1135" spans="1:18" x14ac:dyDescent="0.5">
      <c r="A1135" s="52" t="str">
        <f>"777543WR6"</f>
        <v>777543WR6</v>
      </c>
      <c r="B1135" s="53" t="s">
        <v>491</v>
      </c>
      <c r="C1135" s="53" t="s">
        <v>1456</v>
      </c>
      <c r="D1135" s="53" t="s">
        <v>447</v>
      </c>
      <c r="E1135" s="53">
        <v>4</v>
      </c>
      <c r="F1135" s="54">
        <v>48549</v>
      </c>
      <c r="G1135" s="54">
        <v>46357</v>
      </c>
      <c r="H1135" s="53" t="s">
        <v>641</v>
      </c>
      <c r="I1135" s="53" t="s">
        <v>628</v>
      </c>
      <c r="J1135" s="53" t="s">
        <v>101</v>
      </c>
      <c r="K1135" s="53">
        <v>100.624</v>
      </c>
      <c r="L1135" s="53" t="s">
        <v>101</v>
      </c>
      <c r="M1135" s="53">
        <v>3.633</v>
      </c>
      <c r="N1135" s="53">
        <v>3.9060000000000001</v>
      </c>
      <c r="O1135" s="53" t="s">
        <v>101</v>
      </c>
      <c r="P1135" s="53" t="s">
        <v>448</v>
      </c>
      <c r="Q1135" s="53" t="s">
        <v>782</v>
      </c>
      <c r="R1135" s="55" t="s">
        <v>680</v>
      </c>
    </row>
    <row r="1136" spans="1:18" x14ac:dyDescent="0.5">
      <c r="A1136" s="56" t="str">
        <f>"8827568A0"</f>
        <v>8827568A0</v>
      </c>
      <c r="B1136" s="57" t="s">
        <v>451</v>
      </c>
      <c r="C1136" s="57" t="s">
        <v>1457</v>
      </c>
      <c r="D1136" s="53" t="s">
        <v>447</v>
      </c>
      <c r="E1136" s="57">
        <v>4</v>
      </c>
      <c r="F1136" s="58">
        <v>48549</v>
      </c>
      <c r="G1136" s="58">
        <v>46357</v>
      </c>
      <c r="H1136" s="57" t="s">
        <v>613</v>
      </c>
      <c r="I1136" s="57" t="s">
        <v>105</v>
      </c>
      <c r="J1136" s="57" t="s">
        <v>101</v>
      </c>
      <c r="K1136" s="57">
        <v>100.568</v>
      </c>
      <c r="L1136" s="57" t="s">
        <v>101</v>
      </c>
      <c r="M1136" s="57">
        <v>3.6659999999999999</v>
      </c>
      <c r="N1136" s="57">
        <v>3.9140000000000001</v>
      </c>
      <c r="O1136" s="53" t="s">
        <v>101</v>
      </c>
      <c r="P1136" s="57" t="s">
        <v>448</v>
      </c>
      <c r="Q1136" s="57" t="s">
        <v>485</v>
      </c>
      <c r="R1136" s="59" t="s">
        <v>504</v>
      </c>
    </row>
    <row r="1137" spans="1:18" x14ac:dyDescent="0.5">
      <c r="A1137" s="52" t="str">
        <f>"92823PGP5"</f>
        <v>92823PGP5</v>
      </c>
      <c r="B1137" s="53" t="s">
        <v>451</v>
      </c>
      <c r="C1137" s="53" t="s">
        <v>1458</v>
      </c>
      <c r="D1137" s="53" t="s">
        <v>447</v>
      </c>
      <c r="E1137" s="53">
        <v>3.375</v>
      </c>
      <c r="F1137" s="54">
        <v>48549</v>
      </c>
      <c r="G1137" s="54">
        <v>45733</v>
      </c>
      <c r="H1137" s="53" t="s">
        <v>105</v>
      </c>
      <c r="I1137" s="53" t="s">
        <v>628</v>
      </c>
      <c r="J1137" s="53" t="s">
        <v>101</v>
      </c>
      <c r="K1137" s="53">
        <v>96.73</v>
      </c>
      <c r="L1137" s="53" t="s">
        <v>101</v>
      </c>
      <c r="M1137" s="53">
        <v>3.8650000000000002</v>
      </c>
      <c r="N1137" s="53">
        <v>3.8650000000000002</v>
      </c>
      <c r="O1137" s="53" t="s">
        <v>101</v>
      </c>
      <c r="P1137" s="53" t="s">
        <v>448</v>
      </c>
      <c r="Q1137" s="53" t="s">
        <v>527</v>
      </c>
      <c r="R1137" s="55" t="s">
        <v>630</v>
      </c>
    </row>
    <row r="1138" spans="1:18" x14ac:dyDescent="0.5">
      <c r="A1138" s="56" t="str">
        <f>"92823PSN7"</f>
        <v>92823PSN7</v>
      </c>
      <c r="B1138" s="57" t="s">
        <v>451</v>
      </c>
      <c r="C1138" s="57" t="s">
        <v>1459</v>
      </c>
      <c r="D1138" s="53" t="s">
        <v>447</v>
      </c>
      <c r="E1138" s="57">
        <v>4</v>
      </c>
      <c r="F1138" s="58">
        <v>48549</v>
      </c>
      <c r="G1138" s="58">
        <v>47818</v>
      </c>
      <c r="H1138" s="57" t="s">
        <v>677</v>
      </c>
      <c r="I1138" s="57" t="s">
        <v>628</v>
      </c>
      <c r="J1138" s="57" t="s">
        <v>101</v>
      </c>
      <c r="K1138" s="57">
        <v>102.48</v>
      </c>
      <c r="L1138" s="57" t="s">
        <v>101</v>
      </c>
      <c r="M1138" s="57">
        <v>3.5219999999999998</v>
      </c>
      <c r="N1138" s="57">
        <v>3.6309999999999998</v>
      </c>
      <c r="O1138" s="53" t="s">
        <v>101</v>
      </c>
      <c r="P1138" s="57" t="s">
        <v>448</v>
      </c>
      <c r="Q1138" s="57" t="s">
        <v>503</v>
      </c>
      <c r="R1138" s="59" t="s">
        <v>1267</v>
      </c>
    </row>
    <row r="1139" spans="1:18" x14ac:dyDescent="0.5">
      <c r="A1139" s="52" t="str">
        <f>"97712DPP5"</f>
        <v>97712DPP5</v>
      </c>
      <c r="B1139" s="53" t="s">
        <v>496</v>
      </c>
      <c r="C1139" s="53" t="s">
        <v>1460</v>
      </c>
      <c r="D1139" s="53" t="s">
        <v>447</v>
      </c>
      <c r="E1139" s="53">
        <v>3</v>
      </c>
      <c r="F1139" s="54">
        <v>48549</v>
      </c>
      <c r="G1139" s="54">
        <v>46327</v>
      </c>
      <c r="H1139" s="53" t="s">
        <v>624</v>
      </c>
      <c r="I1139" s="53" t="s">
        <v>616</v>
      </c>
      <c r="J1139" s="53" t="s">
        <v>101</v>
      </c>
      <c r="K1139" s="53">
        <v>94.471000000000004</v>
      </c>
      <c r="L1139" s="53" t="s">
        <v>101</v>
      </c>
      <c r="M1139" s="53">
        <v>3.827</v>
      </c>
      <c r="N1139" s="53">
        <v>3.827</v>
      </c>
      <c r="O1139" s="53" t="s">
        <v>101</v>
      </c>
      <c r="P1139" s="53" t="s">
        <v>448</v>
      </c>
      <c r="Q1139" s="53" t="s">
        <v>453</v>
      </c>
      <c r="R1139" s="55" t="s">
        <v>506</v>
      </c>
    </row>
    <row r="1140" spans="1:18" x14ac:dyDescent="0.5">
      <c r="A1140" s="56" t="str">
        <f>"215489PG4"</f>
        <v>215489PG4</v>
      </c>
      <c r="B1140" s="57" t="s">
        <v>491</v>
      </c>
      <c r="C1140" s="57" t="s">
        <v>1461</v>
      </c>
      <c r="D1140" s="53" t="s">
        <v>447</v>
      </c>
      <c r="E1140" s="57">
        <v>3</v>
      </c>
      <c r="F1140" s="58">
        <v>48563</v>
      </c>
      <c r="G1140" s="58">
        <v>47832</v>
      </c>
      <c r="H1140" s="57" t="s">
        <v>104</v>
      </c>
      <c r="I1140" s="57" t="s">
        <v>105</v>
      </c>
      <c r="J1140" s="57" t="s">
        <v>101</v>
      </c>
      <c r="K1140" s="57">
        <v>95.82</v>
      </c>
      <c r="L1140" s="57" t="s">
        <v>101</v>
      </c>
      <c r="M1140" s="57">
        <v>3.6179999999999999</v>
      </c>
      <c r="N1140" s="57">
        <v>3.6179999999999999</v>
      </c>
      <c r="O1140" s="53" t="s">
        <v>101</v>
      </c>
      <c r="P1140" s="57" t="s">
        <v>448</v>
      </c>
      <c r="Q1140" s="57" t="s">
        <v>453</v>
      </c>
      <c r="R1140" s="59" t="s">
        <v>454</v>
      </c>
    </row>
    <row r="1141" spans="1:18" x14ac:dyDescent="0.5">
      <c r="A1141" s="52" t="str">
        <f>"2862998F2"</f>
        <v>2862998F2</v>
      </c>
      <c r="B1141" s="53" t="s">
        <v>491</v>
      </c>
      <c r="C1141" s="53" t="s">
        <v>1462</v>
      </c>
      <c r="D1141" s="53" t="s">
        <v>447</v>
      </c>
      <c r="E1141" s="53">
        <v>2</v>
      </c>
      <c r="F1141" s="54">
        <v>48563</v>
      </c>
      <c r="G1141" s="54">
        <v>47832</v>
      </c>
      <c r="H1141" s="53" t="s">
        <v>105</v>
      </c>
      <c r="I1141" s="53" t="s">
        <v>509</v>
      </c>
      <c r="J1141" s="53" t="s">
        <v>101</v>
      </c>
      <c r="K1141" s="53">
        <v>84.492000000000004</v>
      </c>
      <c r="L1141" s="53" t="s">
        <v>101</v>
      </c>
      <c r="M1141" s="53">
        <v>4.3600000000000003</v>
      </c>
      <c r="N1141" s="53">
        <v>4.3600000000000003</v>
      </c>
      <c r="O1141" s="53" t="s">
        <v>101</v>
      </c>
      <c r="P1141" s="53" t="s">
        <v>448</v>
      </c>
      <c r="Q1141" s="53" t="s">
        <v>517</v>
      </c>
      <c r="R1141" s="55" t="s">
        <v>454</v>
      </c>
    </row>
    <row r="1142" spans="1:18" x14ac:dyDescent="0.5">
      <c r="A1142" s="56" t="str">
        <f>"483862NG9"</f>
        <v>483862NG9</v>
      </c>
      <c r="B1142" s="57" t="s">
        <v>491</v>
      </c>
      <c r="C1142" s="57" t="s">
        <v>1463</v>
      </c>
      <c r="D1142" s="53" t="s">
        <v>447</v>
      </c>
      <c r="E1142" s="57">
        <v>3.25</v>
      </c>
      <c r="F1142" s="58">
        <v>48563</v>
      </c>
      <c r="G1142" s="58">
        <v>46006</v>
      </c>
      <c r="H1142" s="57" t="s">
        <v>105</v>
      </c>
      <c r="I1142" s="57" t="s">
        <v>509</v>
      </c>
      <c r="J1142" s="57" t="s">
        <v>101</v>
      </c>
      <c r="K1142" s="57">
        <v>97.62</v>
      </c>
      <c r="L1142" s="57" t="s">
        <v>101</v>
      </c>
      <c r="M1142" s="57">
        <v>3.601</v>
      </c>
      <c r="N1142" s="57">
        <v>3.601</v>
      </c>
      <c r="O1142" s="53" t="s">
        <v>101</v>
      </c>
      <c r="P1142" s="57" t="s">
        <v>448</v>
      </c>
      <c r="Q1142" s="57" t="s">
        <v>485</v>
      </c>
      <c r="R1142" s="59" t="s">
        <v>482</v>
      </c>
    </row>
    <row r="1143" spans="1:18" x14ac:dyDescent="0.5">
      <c r="A1143" s="52" t="str">
        <f>"509696US7"</f>
        <v>509696US7</v>
      </c>
      <c r="B1143" s="53" t="s">
        <v>491</v>
      </c>
      <c r="C1143" s="53" t="s">
        <v>1464</v>
      </c>
      <c r="D1143" s="53" t="s">
        <v>447</v>
      </c>
      <c r="E1143" s="53">
        <v>3.25</v>
      </c>
      <c r="F1143" s="54">
        <v>48563</v>
      </c>
      <c r="G1143" s="54">
        <v>45733</v>
      </c>
      <c r="H1143" s="53" t="s">
        <v>104</v>
      </c>
      <c r="I1143" s="53" t="s">
        <v>105</v>
      </c>
      <c r="J1143" s="53" t="s">
        <v>101</v>
      </c>
      <c r="K1143" s="53">
        <v>96.95</v>
      </c>
      <c r="L1143" s="53" t="s">
        <v>101</v>
      </c>
      <c r="M1143" s="53">
        <v>3.702</v>
      </c>
      <c r="N1143" s="53">
        <v>3.702</v>
      </c>
      <c r="O1143" s="53" t="s">
        <v>101</v>
      </c>
      <c r="P1143" s="53" t="s">
        <v>448</v>
      </c>
      <c r="Q1143" s="53" t="s">
        <v>457</v>
      </c>
      <c r="R1143" s="55" t="s">
        <v>454</v>
      </c>
    </row>
    <row r="1144" spans="1:18" x14ac:dyDescent="0.5">
      <c r="A1144" s="56" t="str">
        <f>"592248GX0"</f>
        <v>592248GX0</v>
      </c>
      <c r="B1144" s="57" t="s">
        <v>491</v>
      </c>
      <c r="C1144" s="57" t="s">
        <v>1465</v>
      </c>
      <c r="D1144" s="53" t="s">
        <v>447</v>
      </c>
      <c r="E1144" s="57">
        <v>0</v>
      </c>
      <c r="F1144" s="58">
        <v>48563</v>
      </c>
      <c r="G1144" s="58" t="s">
        <v>105</v>
      </c>
      <c r="H1144" s="57" t="s">
        <v>105</v>
      </c>
      <c r="I1144" s="57" t="s">
        <v>628</v>
      </c>
      <c r="J1144" s="57" t="s">
        <v>101</v>
      </c>
      <c r="K1144" s="57">
        <v>75.808000000000007</v>
      </c>
      <c r="L1144" s="57" t="s">
        <v>101</v>
      </c>
      <c r="M1144" s="57">
        <v>3.5710000000000002</v>
      </c>
      <c r="N1144" s="57">
        <v>3.5710000000000002</v>
      </c>
      <c r="O1144" s="53" t="s">
        <v>101</v>
      </c>
      <c r="P1144" s="57" t="s">
        <v>448</v>
      </c>
      <c r="Q1144" s="57" t="s">
        <v>1466</v>
      </c>
      <c r="R1144" s="59" t="s">
        <v>896</v>
      </c>
    </row>
    <row r="1145" spans="1:18" x14ac:dyDescent="0.5">
      <c r="A1145" s="52" t="str">
        <f>"646136EV9"</f>
        <v>646136EV9</v>
      </c>
      <c r="B1145" s="53" t="s">
        <v>477</v>
      </c>
      <c r="C1145" s="53" t="s">
        <v>1467</v>
      </c>
      <c r="D1145" s="53" t="s">
        <v>447</v>
      </c>
      <c r="E1145" s="53">
        <v>0</v>
      </c>
      <c r="F1145" s="54">
        <v>48563</v>
      </c>
      <c r="G1145" s="54" t="s">
        <v>101</v>
      </c>
      <c r="H1145" s="53" t="s">
        <v>641</v>
      </c>
      <c r="I1145" s="53" t="s">
        <v>628</v>
      </c>
      <c r="J1145" s="53" t="s">
        <v>101</v>
      </c>
      <c r="K1145" s="53">
        <v>76</v>
      </c>
      <c r="L1145" s="53" t="s">
        <v>101</v>
      </c>
      <c r="M1145" s="53">
        <v>3.5379999999999998</v>
      </c>
      <c r="N1145" s="53">
        <v>3.5379999999999998</v>
      </c>
      <c r="O1145" s="53" t="s">
        <v>101</v>
      </c>
      <c r="P1145" s="53" t="s">
        <v>448</v>
      </c>
      <c r="Q1145" s="53" t="s">
        <v>1433</v>
      </c>
      <c r="R1145" s="55" t="s">
        <v>820</v>
      </c>
    </row>
    <row r="1146" spans="1:18" x14ac:dyDescent="0.5">
      <c r="A1146" s="56" t="str">
        <f>"646136WP2"</f>
        <v>646136WP2</v>
      </c>
      <c r="B1146" s="57" t="s">
        <v>477</v>
      </c>
      <c r="C1146" s="57" t="s">
        <v>1468</v>
      </c>
      <c r="D1146" s="53" t="s">
        <v>447</v>
      </c>
      <c r="E1146" s="57">
        <v>0</v>
      </c>
      <c r="F1146" s="58">
        <v>48563</v>
      </c>
      <c r="G1146" s="58" t="s">
        <v>101</v>
      </c>
      <c r="H1146" s="57" t="s">
        <v>610</v>
      </c>
      <c r="I1146" s="57" t="s">
        <v>713</v>
      </c>
      <c r="J1146" s="57" t="s">
        <v>101</v>
      </c>
      <c r="K1146" s="57">
        <v>74.307000000000002</v>
      </c>
      <c r="L1146" s="57" t="s">
        <v>101</v>
      </c>
      <c r="M1146" s="57">
        <v>3.831</v>
      </c>
      <c r="N1146" s="57">
        <v>3.831</v>
      </c>
      <c r="O1146" s="53" t="s">
        <v>101</v>
      </c>
      <c r="P1146" s="57" t="s">
        <v>448</v>
      </c>
      <c r="Q1146" s="57" t="s">
        <v>1469</v>
      </c>
      <c r="R1146" s="59" t="s">
        <v>506</v>
      </c>
    </row>
    <row r="1147" spans="1:18" x14ac:dyDescent="0.5">
      <c r="A1147" s="52" t="str">
        <f>"646136XK2"</f>
        <v>646136XK2</v>
      </c>
      <c r="B1147" s="53" t="s">
        <v>477</v>
      </c>
      <c r="C1147" s="53" t="s">
        <v>1470</v>
      </c>
      <c r="D1147" s="53" t="s">
        <v>447</v>
      </c>
      <c r="E1147" s="53">
        <v>0</v>
      </c>
      <c r="F1147" s="54">
        <v>48563</v>
      </c>
      <c r="G1147" s="54" t="s">
        <v>101</v>
      </c>
      <c r="H1147" s="53" t="s">
        <v>610</v>
      </c>
      <c r="I1147" s="53" t="s">
        <v>713</v>
      </c>
      <c r="J1147" s="53" t="s">
        <v>101</v>
      </c>
      <c r="K1147" s="53">
        <v>75.08</v>
      </c>
      <c r="L1147" s="53" t="s">
        <v>101</v>
      </c>
      <c r="M1147" s="53">
        <v>3.6970000000000001</v>
      </c>
      <c r="N1147" s="53">
        <v>3.6970000000000001</v>
      </c>
      <c r="O1147" s="53" t="s">
        <v>101</v>
      </c>
      <c r="P1147" s="53" t="s">
        <v>448</v>
      </c>
      <c r="Q1147" s="53" t="s">
        <v>453</v>
      </c>
      <c r="R1147" s="55" t="s">
        <v>450</v>
      </c>
    </row>
    <row r="1148" spans="1:18" x14ac:dyDescent="0.5">
      <c r="A1148" s="56" t="str">
        <f>"769290FH5"</f>
        <v>769290FH5</v>
      </c>
      <c r="B1148" s="57" t="s">
        <v>477</v>
      </c>
      <c r="C1148" s="57" t="s">
        <v>1471</v>
      </c>
      <c r="D1148" s="53" t="s">
        <v>447</v>
      </c>
      <c r="E1148" s="57">
        <v>2.25</v>
      </c>
      <c r="F1148" s="58">
        <v>48563</v>
      </c>
      <c r="G1148" s="58">
        <v>46371</v>
      </c>
      <c r="H1148" s="57" t="s">
        <v>641</v>
      </c>
      <c r="I1148" s="57" t="s">
        <v>628</v>
      </c>
      <c r="J1148" s="57" t="s">
        <v>101</v>
      </c>
      <c r="K1148" s="57">
        <v>86.739000000000004</v>
      </c>
      <c r="L1148" s="57" t="s">
        <v>101</v>
      </c>
      <c r="M1148" s="57">
        <v>4.26</v>
      </c>
      <c r="N1148" s="57">
        <v>4.26</v>
      </c>
      <c r="O1148" s="53" t="s">
        <v>101</v>
      </c>
      <c r="P1148" s="57" t="s">
        <v>448</v>
      </c>
      <c r="Q1148" s="57" t="s">
        <v>453</v>
      </c>
      <c r="R1148" s="59" t="s">
        <v>630</v>
      </c>
    </row>
    <row r="1149" spans="1:18" x14ac:dyDescent="0.5">
      <c r="A1149" s="52" t="str">
        <f>"773182WB2"</f>
        <v>773182WB2</v>
      </c>
      <c r="B1149" s="53" t="s">
        <v>491</v>
      </c>
      <c r="C1149" s="53" t="s">
        <v>1472</v>
      </c>
      <c r="D1149" s="53" t="s">
        <v>447</v>
      </c>
      <c r="E1149" s="53">
        <v>3.375</v>
      </c>
      <c r="F1149" s="54">
        <v>48563</v>
      </c>
      <c r="G1149" s="54">
        <v>46371</v>
      </c>
      <c r="H1149" s="53" t="s">
        <v>624</v>
      </c>
      <c r="I1149" s="53" t="s">
        <v>105</v>
      </c>
      <c r="J1149" s="53" t="s">
        <v>101</v>
      </c>
      <c r="K1149" s="53">
        <v>97.65</v>
      </c>
      <c r="L1149" s="53" t="s">
        <v>101</v>
      </c>
      <c r="M1149" s="53">
        <v>3.7229999999999999</v>
      </c>
      <c r="N1149" s="53">
        <v>3.7229999999999999</v>
      </c>
      <c r="O1149" s="53" t="s">
        <v>101</v>
      </c>
      <c r="P1149" s="53" t="s">
        <v>448</v>
      </c>
      <c r="Q1149" s="53" t="s">
        <v>488</v>
      </c>
      <c r="R1149" s="55" t="s">
        <v>454</v>
      </c>
    </row>
    <row r="1150" spans="1:18" x14ac:dyDescent="0.5">
      <c r="A1150" s="56" t="str">
        <f>"783311HA4"</f>
        <v>783311HA4</v>
      </c>
      <c r="B1150" s="57" t="s">
        <v>477</v>
      </c>
      <c r="C1150" s="57" t="s">
        <v>1473</v>
      </c>
      <c r="D1150" s="53" t="s">
        <v>447</v>
      </c>
      <c r="E1150" s="57">
        <v>2.5</v>
      </c>
      <c r="F1150" s="58">
        <v>48563</v>
      </c>
      <c r="G1150" s="58">
        <v>46371</v>
      </c>
      <c r="H1150" s="57" t="s">
        <v>105</v>
      </c>
      <c r="I1150" s="57" t="s">
        <v>616</v>
      </c>
      <c r="J1150" s="57" t="s">
        <v>101</v>
      </c>
      <c r="K1150" s="57">
        <v>88.025000000000006</v>
      </c>
      <c r="L1150" s="57" t="s">
        <v>101</v>
      </c>
      <c r="M1150" s="57">
        <v>4.319</v>
      </c>
      <c r="N1150" s="57">
        <v>4.319</v>
      </c>
      <c r="O1150" s="53" t="s">
        <v>101</v>
      </c>
      <c r="P1150" s="57" t="s">
        <v>448</v>
      </c>
      <c r="Q1150" s="57" t="s">
        <v>485</v>
      </c>
      <c r="R1150" s="59" t="s">
        <v>454</v>
      </c>
    </row>
    <row r="1151" spans="1:18" x14ac:dyDescent="0.5">
      <c r="A1151" s="52" t="str">
        <f>"800711CW1"</f>
        <v>800711CW1</v>
      </c>
      <c r="B1151" s="53" t="s">
        <v>491</v>
      </c>
      <c r="C1151" s="53" t="s">
        <v>1474</v>
      </c>
      <c r="D1151" s="53" t="s">
        <v>447</v>
      </c>
      <c r="E1151" s="53">
        <v>3</v>
      </c>
      <c r="F1151" s="54">
        <v>48563</v>
      </c>
      <c r="G1151" s="54">
        <v>47467</v>
      </c>
      <c r="H1151" s="53" t="s">
        <v>105</v>
      </c>
      <c r="I1151" s="53" t="s">
        <v>628</v>
      </c>
      <c r="J1151" s="53" t="s">
        <v>101</v>
      </c>
      <c r="K1151" s="53">
        <v>94.91</v>
      </c>
      <c r="L1151" s="53" t="s">
        <v>101</v>
      </c>
      <c r="M1151" s="53">
        <v>3.7559999999999998</v>
      </c>
      <c r="N1151" s="53">
        <v>3.7559999999999998</v>
      </c>
      <c r="O1151" s="53" t="s">
        <v>101</v>
      </c>
      <c r="P1151" s="53" t="s">
        <v>448</v>
      </c>
      <c r="Q1151" s="53" t="s">
        <v>790</v>
      </c>
      <c r="R1151" s="55" t="s">
        <v>680</v>
      </c>
    </row>
    <row r="1152" spans="1:18" x14ac:dyDescent="0.5">
      <c r="A1152" s="56" t="str">
        <f>"051645C23"</f>
        <v>051645C23</v>
      </c>
      <c r="B1152" s="57" t="s">
        <v>491</v>
      </c>
      <c r="C1152" s="57" t="s">
        <v>1475</v>
      </c>
      <c r="D1152" s="53" t="s">
        <v>447</v>
      </c>
      <c r="E1152" s="57">
        <v>3.25</v>
      </c>
      <c r="F1152" s="58">
        <v>48578</v>
      </c>
      <c r="G1152" s="58">
        <v>45733</v>
      </c>
      <c r="H1152" s="57" t="s">
        <v>105</v>
      </c>
      <c r="I1152" s="57" t="s">
        <v>628</v>
      </c>
      <c r="J1152" s="57" t="s">
        <v>101</v>
      </c>
      <c r="K1152" s="57">
        <v>95.61</v>
      </c>
      <c r="L1152" s="57" t="s">
        <v>101</v>
      </c>
      <c r="M1152" s="57">
        <v>3.903</v>
      </c>
      <c r="N1152" s="57">
        <v>3.903</v>
      </c>
      <c r="O1152" s="53" t="s">
        <v>101</v>
      </c>
      <c r="P1152" s="57" t="s">
        <v>585</v>
      </c>
      <c r="Q1152" s="57" t="s">
        <v>488</v>
      </c>
      <c r="R1152" s="59" t="s">
        <v>454</v>
      </c>
    </row>
    <row r="1153" spans="1:18" x14ac:dyDescent="0.5">
      <c r="A1153" s="52" t="str">
        <f>"051645K24"</f>
        <v>051645K24</v>
      </c>
      <c r="B1153" s="53" t="s">
        <v>491</v>
      </c>
      <c r="C1153" s="53" t="s">
        <v>1476</v>
      </c>
      <c r="D1153" s="53" t="s">
        <v>447</v>
      </c>
      <c r="E1153" s="53">
        <v>3.25</v>
      </c>
      <c r="F1153" s="54">
        <v>48578</v>
      </c>
      <c r="G1153" s="54">
        <v>45733</v>
      </c>
      <c r="H1153" s="53" t="s">
        <v>105</v>
      </c>
      <c r="I1153" s="53" t="s">
        <v>628</v>
      </c>
      <c r="J1153" s="53" t="s">
        <v>101</v>
      </c>
      <c r="K1153" s="53">
        <v>95.164000000000001</v>
      </c>
      <c r="L1153" s="53" t="s">
        <v>101</v>
      </c>
      <c r="M1153" s="53">
        <v>3.9710000000000001</v>
      </c>
      <c r="N1153" s="53">
        <v>3.9710000000000001</v>
      </c>
      <c r="O1153" s="53" t="s">
        <v>101</v>
      </c>
      <c r="P1153" s="53" t="s">
        <v>448</v>
      </c>
      <c r="Q1153" s="53" t="s">
        <v>527</v>
      </c>
      <c r="R1153" s="55" t="s">
        <v>482</v>
      </c>
    </row>
    <row r="1154" spans="1:18" x14ac:dyDescent="0.5">
      <c r="A1154" s="56" t="str">
        <f>"051645M71"</f>
        <v>051645M71</v>
      </c>
      <c r="B1154" s="57" t="s">
        <v>491</v>
      </c>
      <c r="C1154" s="57" t="s">
        <v>1477</v>
      </c>
      <c r="D1154" s="53" t="s">
        <v>447</v>
      </c>
      <c r="E1154" s="57">
        <v>3.625</v>
      </c>
      <c r="F1154" s="58">
        <v>48578</v>
      </c>
      <c r="G1154" s="58">
        <v>45733</v>
      </c>
      <c r="H1154" s="57" t="s">
        <v>105</v>
      </c>
      <c r="I1154" s="57" t="s">
        <v>628</v>
      </c>
      <c r="J1154" s="57" t="s">
        <v>101</v>
      </c>
      <c r="K1154" s="57">
        <v>98.548000000000002</v>
      </c>
      <c r="L1154" s="57" t="s">
        <v>101</v>
      </c>
      <c r="M1154" s="57">
        <v>3.84</v>
      </c>
      <c r="N1154" s="57">
        <v>3.84</v>
      </c>
      <c r="O1154" s="53" t="s">
        <v>101</v>
      </c>
      <c r="P1154" s="57" t="s">
        <v>448</v>
      </c>
      <c r="Q1154" s="57" t="s">
        <v>488</v>
      </c>
      <c r="R1154" s="59" t="s">
        <v>454</v>
      </c>
    </row>
    <row r="1155" spans="1:18" x14ac:dyDescent="0.5">
      <c r="A1155" s="52" t="str">
        <f>"978386FC9"</f>
        <v>978386FC9</v>
      </c>
      <c r="B1155" s="53" t="s">
        <v>491</v>
      </c>
      <c r="C1155" s="53" t="s">
        <v>1478</v>
      </c>
      <c r="D1155" s="53" t="s">
        <v>447</v>
      </c>
      <c r="E1155" s="53">
        <v>2.375</v>
      </c>
      <c r="F1155" s="54">
        <v>48578</v>
      </c>
      <c r="G1155" s="54">
        <v>47117</v>
      </c>
      <c r="H1155" s="53" t="s">
        <v>105</v>
      </c>
      <c r="I1155" s="53" t="s">
        <v>509</v>
      </c>
      <c r="J1155" s="53" t="s">
        <v>101</v>
      </c>
      <c r="K1155" s="53">
        <v>87.5</v>
      </c>
      <c r="L1155" s="53" t="s">
        <v>101</v>
      </c>
      <c r="M1155" s="53">
        <v>4.2619999999999996</v>
      </c>
      <c r="N1155" s="53">
        <v>4.2619999999999996</v>
      </c>
      <c r="O1155" s="53" t="s">
        <v>101</v>
      </c>
      <c r="P1155" s="53" t="s">
        <v>448</v>
      </c>
      <c r="Q1155" s="53" t="s">
        <v>488</v>
      </c>
      <c r="R1155" s="55" t="s">
        <v>504</v>
      </c>
    </row>
    <row r="1156" spans="1:18" x14ac:dyDescent="0.5">
      <c r="A1156" s="56" t="str">
        <f>"882667AR9"</f>
        <v>882667AR9</v>
      </c>
      <c r="B1156" s="57" t="s">
        <v>451</v>
      </c>
      <c r="C1156" s="57" t="s">
        <v>1479</v>
      </c>
      <c r="D1156" s="53" t="s">
        <v>447</v>
      </c>
      <c r="E1156" s="57">
        <v>5</v>
      </c>
      <c r="F1156" s="58">
        <v>48579</v>
      </c>
      <c r="G1156" s="58">
        <v>47483</v>
      </c>
      <c r="H1156" s="57" t="s">
        <v>670</v>
      </c>
      <c r="I1156" s="57" t="s">
        <v>105</v>
      </c>
      <c r="J1156" s="57" t="s">
        <v>101</v>
      </c>
      <c r="K1156" s="57">
        <v>106.6</v>
      </c>
      <c r="L1156" s="57" t="s">
        <v>101</v>
      </c>
      <c r="M1156" s="57">
        <v>3.512</v>
      </c>
      <c r="N1156" s="57">
        <v>4.0129999999999999</v>
      </c>
      <c r="O1156" s="53" t="s">
        <v>101</v>
      </c>
      <c r="P1156" s="57" t="s">
        <v>448</v>
      </c>
      <c r="Q1156" s="57" t="s">
        <v>635</v>
      </c>
      <c r="R1156" s="59" t="s">
        <v>450</v>
      </c>
    </row>
    <row r="1157" spans="1:18" x14ac:dyDescent="0.5">
      <c r="A1157" s="52" t="str">
        <f>"155498KF4"</f>
        <v>155498KF4</v>
      </c>
      <c r="B1157" s="53" t="s">
        <v>451</v>
      </c>
      <c r="C1157" s="53" t="s">
        <v>1480</v>
      </c>
      <c r="D1157" s="53" t="s">
        <v>447</v>
      </c>
      <c r="E1157" s="53">
        <v>4</v>
      </c>
      <c r="F1157" s="54">
        <v>48580</v>
      </c>
      <c r="G1157" s="54">
        <v>47484</v>
      </c>
      <c r="H1157" s="53" t="s">
        <v>627</v>
      </c>
      <c r="I1157" s="53" t="s">
        <v>658</v>
      </c>
      <c r="J1157" s="53" t="s">
        <v>101</v>
      </c>
      <c r="K1157" s="53">
        <v>102</v>
      </c>
      <c r="L1157" s="53" t="s">
        <v>101</v>
      </c>
      <c r="M1157" s="53">
        <v>3.548</v>
      </c>
      <c r="N1157" s="53">
        <v>3.7040000000000002</v>
      </c>
      <c r="O1157" s="53" t="s">
        <v>101</v>
      </c>
      <c r="P1157" s="53" t="s">
        <v>448</v>
      </c>
      <c r="Q1157" s="53" t="s">
        <v>457</v>
      </c>
      <c r="R1157" s="55" t="s">
        <v>504</v>
      </c>
    </row>
    <row r="1158" spans="1:18" x14ac:dyDescent="0.5">
      <c r="A1158" s="56" t="str">
        <f>"167562QY6"</f>
        <v>167562QY6</v>
      </c>
      <c r="B1158" s="57" t="s">
        <v>491</v>
      </c>
      <c r="C1158" s="57" t="s">
        <v>1481</v>
      </c>
      <c r="D1158" s="53" t="s">
        <v>447</v>
      </c>
      <c r="E1158" s="57">
        <v>3</v>
      </c>
      <c r="F1158" s="58">
        <v>48580</v>
      </c>
      <c r="G1158" s="58">
        <v>46023</v>
      </c>
      <c r="H1158" s="57" t="s">
        <v>105</v>
      </c>
      <c r="I1158" s="57" t="s">
        <v>611</v>
      </c>
      <c r="J1158" s="57" t="s">
        <v>101</v>
      </c>
      <c r="K1158" s="57">
        <v>91.62</v>
      </c>
      <c r="L1158" s="57" t="s">
        <v>101</v>
      </c>
      <c r="M1158" s="57">
        <v>4.2640000000000002</v>
      </c>
      <c r="N1158" s="57">
        <v>4.2640000000000002</v>
      </c>
      <c r="O1158" s="53" t="s">
        <v>101</v>
      </c>
      <c r="P1158" s="57" t="s">
        <v>448</v>
      </c>
      <c r="Q1158" s="57" t="s">
        <v>488</v>
      </c>
      <c r="R1158" s="59" t="s">
        <v>504</v>
      </c>
    </row>
    <row r="1159" spans="1:18" x14ac:dyDescent="0.5">
      <c r="A1159" s="52" t="str">
        <f>"240685JU2"</f>
        <v>240685JU2</v>
      </c>
      <c r="B1159" s="53" t="s">
        <v>491</v>
      </c>
      <c r="C1159" s="53" t="s">
        <v>1482</v>
      </c>
      <c r="D1159" s="53" t="s">
        <v>447</v>
      </c>
      <c r="E1159" s="53">
        <v>3.125</v>
      </c>
      <c r="F1159" s="54">
        <v>48580</v>
      </c>
      <c r="G1159" s="54">
        <v>46023</v>
      </c>
      <c r="H1159" s="53" t="s">
        <v>613</v>
      </c>
      <c r="I1159" s="53" t="s">
        <v>105</v>
      </c>
      <c r="J1159" s="53" t="s">
        <v>101</v>
      </c>
      <c r="K1159" s="53">
        <v>96.78</v>
      </c>
      <c r="L1159" s="53" t="s">
        <v>101</v>
      </c>
      <c r="M1159" s="53">
        <v>3.5979999999999999</v>
      </c>
      <c r="N1159" s="53">
        <v>3.5979999999999999</v>
      </c>
      <c r="O1159" s="53" t="s">
        <v>101</v>
      </c>
      <c r="P1159" s="53" t="s">
        <v>448</v>
      </c>
      <c r="Q1159" s="53" t="s">
        <v>782</v>
      </c>
      <c r="R1159" s="55" t="s">
        <v>454</v>
      </c>
    </row>
    <row r="1160" spans="1:18" x14ac:dyDescent="0.5">
      <c r="A1160" s="56" t="str">
        <f>"240685KR7"</f>
        <v>240685KR7</v>
      </c>
      <c r="B1160" s="57" t="s">
        <v>491</v>
      </c>
      <c r="C1160" s="57" t="s">
        <v>1483</v>
      </c>
      <c r="D1160" s="53" t="s">
        <v>447</v>
      </c>
      <c r="E1160" s="57">
        <v>3</v>
      </c>
      <c r="F1160" s="58">
        <v>48580</v>
      </c>
      <c r="G1160" s="58">
        <v>46753</v>
      </c>
      <c r="H1160" s="57" t="s">
        <v>613</v>
      </c>
      <c r="I1160" s="57" t="s">
        <v>105</v>
      </c>
      <c r="J1160" s="57" t="s">
        <v>101</v>
      </c>
      <c r="K1160" s="57">
        <v>94.822999999999993</v>
      </c>
      <c r="L1160" s="57" t="s">
        <v>101</v>
      </c>
      <c r="M1160" s="57">
        <v>3.766</v>
      </c>
      <c r="N1160" s="57">
        <v>3.766</v>
      </c>
      <c r="O1160" s="53" t="s">
        <v>101</v>
      </c>
      <c r="P1160" s="57" t="s">
        <v>448</v>
      </c>
      <c r="Q1160" s="57" t="s">
        <v>556</v>
      </c>
      <c r="R1160" s="59" t="s">
        <v>482</v>
      </c>
    </row>
    <row r="1161" spans="1:18" x14ac:dyDescent="0.5">
      <c r="A1161" s="52" t="str">
        <f>"263381DX0"</f>
        <v>263381DX0</v>
      </c>
      <c r="B1161" s="53" t="s">
        <v>491</v>
      </c>
      <c r="C1161" s="53" t="s">
        <v>1484</v>
      </c>
      <c r="D1161" s="53" t="s">
        <v>447</v>
      </c>
      <c r="E1161" s="53">
        <v>4</v>
      </c>
      <c r="F1161" s="54">
        <v>48580</v>
      </c>
      <c r="G1161" s="54">
        <v>46388</v>
      </c>
      <c r="H1161" s="53" t="s">
        <v>624</v>
      </c>
      <c r="I1161" s="53" t="s">
        <v>105</v>
      </c>
      <c r="J1161" s="53" t="s">
        <v>101</v>
      </c>
      <c r="K1161" s="53">
        <v>100.756</v>
      </c>
      <c r="L1161" s="53" t="s">
        <v>101</v>
      </c>
      <c r="M1161" s="53">
        <v>3.5760000000000001</v>
      </c>
      <c r="N1161" s="53">
        <v>3.887</v>
      </c>
      <c r="O1161" s="53" t="s">
        <v>101</v>
      </c>
      <c r="P1161" s="53" t="s">
        <v>448</v>
      </c>
      <c r="Q1161" s="53" t="s">
        <v>488</v>
      </c>
      <c r="R1161" s="55" t="s">
        <v>482</v>
      </c>
    </row>
    <row r="1162" spans="1:18" x14ac:dyDescent="0.5">
      <c r="A1162" s="56" t="str">
        <f>"45204E3S5"</f>
        <v>45204E3S5</v>
      </c>
      <c r="B1162" s="57" t="s">
        <v>491</v>
      </c>
      <c r="C1162" s="57" t="s">
        <v>1485</v>
      </c>
      <c r="D1162" s="53" t="s">
        <v>447</v>
      </c>
      <c r="E1162" s="57">
        <v>3</v>
      </c>
      <c r="F1162" s="58">
        <v>48580</v>
      </c>
      <c r="G1162" s="58">
        <v>46753</v>
      </c>
      <c r="H1162" s="57" t="s">
        <v>105</v>
      </c>
      <c r="I1162" s="57" t="s">
        <v>509</v>
      </c>
      <c r="J1162" s="57" t="s">
        <v>101</v>
      </c>
      <c r="K1162" s="57">
        <v>94.596999999999994</v>
      </c>
      <c r="L1162" s="57" t="s">
        <v>101</v>
      </c>
      <c r="M1162" s="57">
        <v>3.8</v>
      </c>
      <c r="N1162" s="57">
        <v>3.8</v>
      </c>
      <c r="O1162" s="53" t="s">
        <v>101</v>
      </c>
      <c r="P1162" s="57" t="s">
        <v>448</v>
      </c>
      <c r="Q1162" s="57" t="s">
        <v>457</v>
      </c>
      <c r="R1162" s="59" t="s">
        <v>504</v>
      </c>
    </row>
    <row r="1163" spans="1:18" x14ac:dyDescent="0.5">
      <c r="A1163" s="52" t="str">
        <f>"484404YV4"</f>
        <v>484404YV4</v>
      </c>
      <c r="B1163" s="53" t="s">
        <v>491</v>
      </c>
      <c r="C1163" s="53" t="s">
        <v>1486</v>
      </c>
      <c r="D1163" s="53" t="s">
        <v>447</v>
      </c>
      <c r="E1163" s="53">
        <v>4</v>
      </c>
      <c r="F1163" s="54">
        <v>48580</v>
      </c>
      <c r="G1163" s="54">
        <v>47484</v>
      </c>
      <c r="H1163" s="53" t="s">
        <v>105</v>
      </c>
      <c r="I1163" s="53" t="s">
        <v>628</v>
      </c>
      <c r="J1163" s="53" t="s">
        <v>101</v>
      </c>
      <c r="K1163" s="53">
        <v>101.845</v>
      </c>
      <c r="L1163" s="53" t="s">
        <v>101</v>
      </c>
      <c r="M1163" s="53">
        <v>3.5830000000000002</v>
      </c>
      <c r="N1163" s="53">
        <v>3.7269999999999999</v>
      </c>
      <c r="O1163" s="53" t="s">
        <v>101</v>
      </c>
      <c r="P1163" s="53" t="s">
        <v>448</v>
      </c>
      <c r="Q1163" s="53" t="s">
        <v>485</v>
      </c>
      <c r="R1163" s="55" t="s">
        <v>630</v>
      </c>
    </row>
    <row r="1164" spans="1:18" x14ac:dyDescent="0.5">
      <c r="A1164" s="56" t="str">
        <f>"509084HW2"</f>
        <v>509084HW2</v>
      </c>
      <c r="B1164" s="57" t="s">
        <v>491</v>
      </c>
      <c r="C1164" s="57" t="s">
        <v>1487</v>
      </c>
      <c r="D1164" s="53" t="s">
        <v>447</v>
      </c>
      <c r="E1164" s="57">
        <v>3</v>
      </c>
      <c r="F1164" s="58">
        <v>48580</v>
      </c>
      <c r="G1164" s="58">
        <v>47119</v>
      </c>
      <c r="H1164" s="57" t="s">
        <v>104</v>
      </c>
      <c r="I1164" s="57" t="s">
        <v>105</v>
      </c>
      <c r="J1164" s="57" t="s">
        <v>101</v>
      </c>
      <c r="K1164" s="57">
        <v>95.117999999999995</v>
      </c>
      <c r="L1164" s="57" t="s">
        <v>101</v>
      </c>
      <c r="M1164" s="57">
        <v>3.7210000000000001</v>
      </c>
      <c r="N1164" s="57">
        <v>3.7210000000000001</v>
      </c>
      <c r="O1164" s="53" t="s">
        <v>101</v>
      </c>
      <c r="P1164" s="57" t="s">
        <v>448</v>
      </c>
      <c r="Q1164" s="57" t="s">
        <v>858</v>
      </c>
      <c r="R1164" s="59" t="s">
        <v>482</v>
      </c>
    </row>
    <row r="1165" spans="1:18" x14ac:dyDescent="0.5">
      <c r="A1165" s="52" t="str">
        <f>"555597HN6"</f>
        <v>555597HN6</v>
      </c>
      <c r="B1165" s="53" t="s">
        <v>491</v>
      </c>
      <c r="C1165" s="53" t="s">
        <v>1488</v>
      </c>
      <c r="D1165" s="53" t="s">
        <v>447</v>
      </c>
      <c r="E1165" s="53">
        <v>4</v>
      </c>
      <c r="F1165" s="54">
        <v>48580</v>
      </c>
      <c r="G1165" s="54">
        <v>46388</v>
      </c>
      <c r="H1165" s="53" t="s">
        <v>627</v>
      </c>
      <c r="I1165" s="53" t="s">
        <v>628</v>
      </c>
      <c r="J1165" s="53" t="s">
        <v>101</v>
      </c>
      <c r="K1165" s="53">
        <v>100.69799999999999</v>
      </c>
      <c r="L1165" s="53" t="s">
        <v>101</v>
      </c>
      <c r="M1165" s="53">
        <v>3.609</v>
      </c>
      <c r="N1165" s="53">
        <v>3.8959999999999999</v>
      </c>
      <c r="O1165" s="53" t="s">
        <v>101</v>
      </c>
      <c r="P1165" s="53" t="s">
        <v>448</v>
      </c>
      <c r="Q1165" s="53" t="s">
        <v>538</v>
      </c>
      <c r="R1165" s="55" t="s">
        <v>820</v>
      </c>
    </row>
    <row r="1166" spans="1:18" x14ac:dyDescent="0.5">
      <c r="A1166" s="56" t="str">
        <f>"66285WXE1"</f>
        <v>66285WXE1</v>
      </c>
      <c r="B1166" s="57" t="s">
        <v>451</v>
      </c>
      <c r="C1166" s="57" t="s">
        <v>1489</v>
      </c>
      <c r="D1166" s="53" t="s">
        <v>447</v>
      </c>
      <c r="E1166" s="57">
        <v>3.125</v>
      </c>
      <c r="F1166" s="58">
        <v>48580</v>
      </c>
      <c r="G1166" s="58">
        <v>46388</v>
      </c>
      <c r="H1166" s="57" t="s">
        <v>641</v>
      </c>
      <c r="I1166" s="57" t="s">
        <v>628</v>
      </c>
      <c r="J1166" s="57" t="s">
        <v>101</v>
      </c>
      <c r="K1166" s="57">
        <v>97.414000000000001</v>
      </c>
      <c r="L1166" s="57" t="s">
        <v>101</v>
      </c>
      <c r="M1166" s="57">
        <v>3.5030000000000001</v>
      </c>
      <c r="N1166" s="57">
        <v>3.5030000000000001</v>
      </c>
      <c r="O1166" s="53" t="s">
        <v>101</v>
      </c>
      <c r="P1166" s="57" t="s">
        <v>448</v>
      </c>
      <c r="Q1166" s="57" t="s">
        <v>874</v>
      </c>
      <c r="R1166" s="59" t="s">
        <v>820</v>
      </c>
    </row>
    <row r="1167" spans="1:18" x14ac:dyDescent="0.5">
      <c r="A1167" s="52" t="str">
        <f>"713178BN0"</f>
        <v>713178BN0</v>
      </c>
      <c r="B1167" s="53" t="s">
        <v>491</v>
      </c>
      <c r="C1167" s="53" t="s">
        <v>1490</v>
      </c>
      <c r="D1167" s="53" t="s">
        <v>447</v>
      </c>
      <c r="E1167" s="53">
        <v>3.375</v>
      </c>
      <c r="F1167" s="54">
        <v>48580</v>
      </c>
      <c r="G1167" s="54">
        <v>46388</v>
      </c>
      <c r="H1167" s="53" t="s">
        <v>610</v>
      </c>
      <c r="I1167" s="53" t="s">
        <v>628</v>
      </c>
      <c r="J1167" s="53" t="s">
        <v>101</v>
      </c>
      <c r="K1167" s="53">
        <v>98.3</v>
      </c>
      <c r="L1167" s="53" t="s">
        <v>101</v>
      </c>
      <c r="M1167" s="53">
        <v>3.625</v>
      </c>
      <c r="N1167" s="53">
        <v>3.625</v>
      </c>
      <c r="O1167" s="53" t="s">
        <v>101</v>
      </c>
      <c r="P1167" s="53" t="s">
        <v>448</v>
      </c>
      <c r="Q1167" s="53" t="s">
        <v>453</v>
      </c>
      <c r="R1167" s="55" t="s">
        <v>630</v>
      </c>
    </row>
    <row r="1168" spans="1:18" x14ac:dyDescent="0.5">
      <c r="A1168" s="56" t="str">
        <f>"713178DG3"</f>
        <v>713178DG3</v>
      </c>
      <c r="B1168" s="57" t="s">
        <v>491</v>
      </c>
      <c r="C1168" s="57" t="s">
        <v>1491</v>
      </c>
      <c r="D1168" s="53" t="s">
        <v>447</v>
      </c>
      <c r="E1168" s="57">
        <v>2.375</v>
      </c>
      <c r="F1168" s="58">
        <v>48580</v>
      </c>
      <c r="G1168" s="58">
        <v>47484</v>
      </c>
      <c r="H1168" s="57" t="s">
        <v>105</v>
      </c>
      <c r="I1168" s="57" t="s">
        <v>628</v>
      </c>
      <c r="J1168" s="57" t="s">
        <v>101</v>
      </c>
      <c r="K1168" s="57">
        <v>86.12</v>
      </c>
      <c r="L1168" s="57" t="s">
        <v>101</v>
      </c>
      <c r="M1168" s="57">
        <v>4.4880000000000004</v>
      </c>
      <c r="N1168" s="57">
        <v>4.4880000000000004</v>
      </c>
      <c r="O1168" s="53" t="s">
        <v>101</v>
      </c>
      <c r="P1168" s="57" t="s">
        <v>448</v>
      </c>
      <c r="Q1168" s="57" t="s">
        <v>488</v>
      </c>
      <c r="R1168" s="59" t="s">
        <v>630</v>
      </c>
    </row>
    <row r="1169" spans="1:18" x14ac:dyDescent="0.5">
      <c r="A1169" s="52" t="str">
        <f>"838530PE7"</f>
        <v>838530PE7</v>
      </c>
      <c r="B1169" s="53" t="s">
        <v>477</v>
      </c>
      <c r="C1169" s="53" t="s">
        <v>1492</v>
      </c>
      <c r="D1169" s="53" t="s">
        <v>447</v>
      </c>
      <c r="E1169" s="53">
        <v>3.25</v>
      </c>
      <c r="F1169" s="54">
        <v>48580</v>
      </c>
      <c r="G1169" s="54">
        <v>45728</v>
      </c>
      <c r="H1169" s="53" t="s">
        <v>627</v>
      </c>
      <c r="I1169" s="53" t="s">
        <v>887</v>
      </c>
      <c r="J1169" s="53" t="s">
        <v>101</v>
      </c>
      <c r="K1169" s="53">
        <v>95.07</v>
      </c>
      <c r="L1169" s="53" t="s">
        <v>101</v>
      </c>
      <c r="M1169" s="53">
        <v>3.9860000000000002</v>
      </c>
      <c r="N1169" s="53">
        <v>3.9860000000000002</v>
      </c>
      <c r="O1169" s="53" t="s">
        <v>101</v>
      </c>
      <c r="P1169" s="53" t="s">
        <v>448</v>
      </c>
      <c r="Q1169" s="53" t="s">
        <v>457</v>
      </c>
      <c r="R1169" s="55" t="s">
        <v>589</v>
      </c>
    </row>
    <row r="1170" spans="1:18" x14ac:dyDescent="0.5">
      <c r="A1170" s="56" t="str">
        <f>"840120CD9"</f>
        <v>840120CD9</v>
      </c>
      <c r="B1170" s="57" t="s">
        <v>491</v>
      </c>
      <c r="C1170" s="57" t="s">
        <v>1493</v>
      </c>
      <c r="D1170" s="53" t="s">
        <v>447</v>
      </c>
      <c r="E1170" s="57">
        <v>4</v>
      </c>
      <c r="F1170" s="58">
        <v>48580</v>
      </c>
      <c r="G1170" s="58">
        <v>47849</v>
      </c>
      <c r="H1170" s="57" t="s">
        <v>627</v>
      </c>
      <c r="I1170" s="57" t="s">
        <v>628</v>
      </c>
      <c r="J1170" s="57" t="s">
        <v>101</v>
      </c>
      <c r="K1170" s="57">
        <v>101.59</v>
      </c>
      <c r="L1170" s="57" t="s">
        <v>101</v>
      </c>
      <c r="M1170" s="57">
        <v>3.6960000000000002</v>
      </c>
      <c r="N1170" s="57">
        <v>3.7639999999999998</v>
      </c>
      <c r="O1170" s="53" t="s">
        <v>101</v>
      </c>
      <c r="P1170" s="57" t="s">
        <v>448</v>
      </c>
      <c r="Q1170" s="57" t="s">
        <v>488</v>
      </c>
      <c r="R1170" s="59" t="s">
        <v>820</v>
      </c>
    </row>
    <row r="1171" spans="1:18" x14ac:dyDescent="0.5">
      <c r="A1171" s="52" t="str">
        <f>"88256PAR1"</f>
        <v>88256PAR1</v>
      </c>
      <c r="B1171" s="53" t="s">
        <v>451</v>
      </c>
      <c r="C1171" s="53" t="s">
        <v>1494</v>
      </c>
      <c r="D1171" s="53" t="s">
        <v>447</v>
      </c>
      <c r="E1171" s="53">
        <v>5.5</v>
      </c>
      <c r="F1171" s="54">
        <v>48580</v>
      </c>
      <c r="G1171" s="54" t="s">
        <v>101</v>
      </c>
      <c r="H1171" s="53" t="s">
        <v>641</v>
      </c>
      <c r="I1171" s="53" t="s">
        <v>105</v>
      </c>
      <c r="J1171" s="53" t="s">
        <v>101</v>
      </c>
      <c r="K1171" s="53">
        <v>111.91</v>
      </c>
      <c r="L1171" s="53" t="s">
        <v>101</v>
      </c>
      <c r="M1171" s="53">
        <v>3.738</v>
      </c>
      <c r="N1171" s="53">
        <v>3.738</v>
      </c>
      <c r="O1171" s="53" t="s">
        <v>101</v>
      </c>
      <c r="P1171" s="53" t="s">
        <v>448</v>
      </c>
      <c r="Q1171" s="53" t="s">
        <v>1495</v>
      </c>
      <c r="R1171" s="55" t="s">
        <v>450</v>
      </c>
    </row>
    <row r="1172" spans="1:18" x14ac:dyDescent="0.5">
      <c r="A1172" s="56" t="str">
        <f>"969037NJ5"</f>
        <v>969037NJ5</v>
      </c>
      <c r="B1172" s="57" t="s">
        <v>491</v>
      </c>
      <c r="C1172" s="57" t="s">
        <v>1496</v>
      </c>
      <c r="D1172" s="53" t="s">
        <v>447</v>
      </c>
      <c r="E1172" s="57">
        <v>3</v>
      </c>
      <c r="F1172" s="58">
        <v>48580</v>
      </c>
      <c r="G1172" s="58">
        <v>47119</v>
      </c>
      <c r="H1172" s="57" t="s">
        <v>105</v>
      </c>
      <c r="I1172" s="57" t="s">
        <v>628</v>
      </c>
      <c r="J1172" s="57" t="s">
        <v>101</v>
      </c>
      <c r="K1172" s="57">
        <v>94.914000000000001</v>
      </c>
      <c r="L1172" s="57" t="s">
        <v>101</v>
      </c>
      <c r="M1172" s="57">
        <v>3.7519999999999998</v>
      </c>
      <c r="N1172" s="57">
        <v>3.7519999999999998</v>
      </c>
      <c r="O1172" s="53" t="s">
        <v>101</v>
      </c>
      <c r="P1172" s="57" t="s">
        <v>448</v>
      </c>
      <c r="Q1172" s="57" t="s">
        <v>682</v>
      </c>
      <c r="R1172" s="59" t="s">
        <v>454</v>
      </c>
    </row>
    <row r="1173" spans="1:18" x14ac:dyDescent="0.5">
      <c r="A1173" s="52" t="str">
        <f>"099642FU9"</f>
        <v>099642FU9</v>
      </c>
      <c r="B1173" s="53" t="s">
        <v>477</v>
      </c>
      <c r="C1173" s="53" t="s">
        <v>1497</v>
      </c>
      <c r="D1173" s="53" t="s">
        <v>447</v>
      </c>
      <c r="E1173" s="53">
        <v>3</v>
      </c>
      <c r="F1173" s="54">
        <v>48594</v>
      </c>
      <c r="G1173" s="54">
        <v>46218</v>
      </c>
      <c r="H1173" s="53" t="s">
        <v>105</v>
      </c>
      <c r="I1173" s="53" t="s">
        <v>616</v>
      </c>
      <c r="J1173" s="53" t="s">
        <v>101</v>
      </c>
      <c r="K1173" s="53">
        <v>95.521000000000001</v>
      </c>
      <c r="L1173" s="53" t="s">
        <v>101</v>
      </c>
      <c r="M1173" s="53">
        <v>3.657</v>
      </c>
      <c r="N1173" s="53">
        <v>3.657</v>
      </c>
      <c r="O1173" s="53" t="s">
        <v>101</v>
      </c>
      <c r="P1173" s="53" t="s">
        <v>448</v>
      </c>
      <c r="Q1173" s="53" t="s">
        <v>488</v>
      </c>
      <c r="R1173" s="55" t="s">
        <v>454</v>
      </c>
    </row>
    <row r="1174" spans="1:18" x14ac:dyDescent="0.5">
      <c r="A1174" s="56" t="str">
        <f>"101637CZ7"</f>
        <v>101637CZ7</v>
      </c>
      <c r="B1174" s="57" t="s">
        <v>477</v>
      </c>
      <c r="C1174" s="57" t="s">
        <v>1498</v>
      </c>
      <c r="D1174" s="53" t="s">
        <v>447</v>
      </c>
      <c r="E1174" s="57">
        <v>3.25</v>
      </c>
      <c r="F1174" s="58">
        <v>48594</v>
      </c>
      <c r="G1174" s="58">
        <v>45733</v>
      </c>
      <c r="H1174" s="57" t="s">
        <v>105</v>
      </c>
      <c r="I1174" s="57" t="s">
        <v>616</v>
      </c>
      <c r="J1174" s="57" t="s">
        <v>101</v>
      </c>
      <c r="K1174" s="57">
        <v>97.6</v>
      </c>
      <c r="L1174" s="57" t="s">
        <v>101</v>
      </c>
      <c r="M1174" s="57">
        <v>3.601</v>
      </c>
      <c r="N1174" s="57">
        <v>3.601</v>
      </c>
      <c r="O1174" s="53" t="s">
        <v>101</v>
      </c>
      <c r="P1174" s="57" t="s">
        <v>448</v>
      </c>
      <c r="Q1174" s="57" t="s">
        <v>503</v>
      </c>
      <c r="R1174" s="59" t="s">
        <v>454</v>
      </c>
    </row>
    <row r="1175" spans="1:18" x14ac:dyDescent="0.5">
      <c r="A1175" s="52" t="str">
        <f>"45204E2D9"</f>
        <v>45204E2D9</v>
      </c>
      <c r="B1175" s="53" t="s">
        <v>491</v>
      </c>
      <c r="C1175" s="53" t="s">
        <v>1499</v>
      </c>
      <c r="D1175" s="53" t="s">
        <v>447</v>
      </c>
      <c r="E1175" s="53">
        <v>4</v>
      </c>
      <c r="F1175" s="54">
        <v>48594</v>
      </c>
      <c r="G1175" s="54">
        <v>46767</v>
      </c>
      <c r="H1175" s="53" t="s">
        <v>105</v>
      </c>
      <c r="I1175" s="53" t="s">
        <v>104</v>
      </c>
      <c r="J1175" s="53" t="s">
        <v>101</v>
      </c>
      <c r="K1175" s="53">
        <v>101.28</v>
      </c>
      <c r="L1175" s="53" t="s">
        <v>101</v>
      </c>
      <c r="M1175" s="53">
        <v>3.532</v>
      </c>
      <c r="N1175" s="53">
        <v>3.8109999999999999</v>
      </c>
      <c r="O1175" s="53" t="s">
        <v>101</v>
      </c>
      <c r="P1175" s="53" t="s">
        <v>448</v>
      </c>
      <c r="Q1175" s="53" t="s">
        <v>457</v>
      </c>
      <c r="R1175" s="55" t="s">
        <v>504</v>
      </c>
    </row>
    <row r="1176" spans="1:18" x14ac:dyDescent="0.5">
      <c r="A1176" s="56" t="str">
        <f>"542620NU9"</f>
        <v>542620NU9</v>
      </c>
      <c r="B1176" s="57" t="s">
        <v>477</v>
      </c>
      <c r="C1176" s="57" t="s">
        <v>1500</v>
      </c>
      <c r="D1176" s="53" t="s">
        <v>447</v>
      </c>
      <c r="E1176" s="57">
        <v>3</v>
      </c>
      <c r="F1176" s="58">
        <v>48594</v>
      </c>
      <c r="G1176" s="58">
        <v>45733</v>
      </c>
      <c r="H1176" s="57" t="s">
        <v>613</v>
      </c>
      <c r="I1176" s="57" t="s">
        <v>105</v>
      </c>
      <c r="J1176" s="57" t="s">
        <v>101</v>
      </c>
      <c r="K1176" s="57">
        <v>95.566999999999993</v>
      </c>
      <c r="L1176" s="57" t="s">
        <v>101</v>
      </c>
      <c r="M1176" s="57">
        <v>3.65</v>
      </c>
      <c r="N1176" s="57">
        <v>3.65</v>
      </c>
      <c r="O1176" s="53" t="s">
        <v>101</v>
      </c>
      <c r="P1176" s="57" t="s">
        <v>448</v>
      </c>
      <c r="Q1176" s="57" t="s">
        <v>488</v>
      </c>
      <c r="R1176" s="59" t="s">
        <v>454</v>
      </c>
    </row>
    <row r="1177" spans="1:18" x14ac:dyDescent="0.5">
      <c r="A1177" s="52" t="str">
        <f>"005824HX8"</f>
        <v>005824HX8</v>
      </c>
      <c r="B1177" s="53" t="s">
        <v>491</v>
      </c>
      <c r="C1177" s="53" t="s">
        <v>1501</v>
      </c>
      <c r="D1177" s="53" t="s">
        <v>447</v>
      </c>
      <c r="E1177" s="53">
        <v>3</v>
      </c>
      <c r="F1177" s="54">
        <v>48611</v>
      </c>
      <c r="G1177" s="54">
        <v>46054</v>
      </c>
      <c r="H1177" s="53" t="s">
        <v>105</v>
      </c>
      <c r="I1177" s="53" t="s">
        <v>628</v>
      </c>
      <c r="J1177" s="53" t="s">
        <v>101</v>
      </c>
      <c r="K1177" s="53">
        <v>94.86</v>
      </c>
      <c r="L1177" s="53" t="s">
        <v>101</v>
      </c>
      <c r="M1177" s="53">
        <v>3.7530000000000001</v>
      </c>
      <c r="N1177" s="53">
        <v>3.7530000000000001</v>
      </c>
      <c r="O1177" s="53" t="s">
        <v>101</v>
      </c>
      <c r="P1177" s="53" t="s">
        <v>448</v>
      </c>
      <c r="Q1177" s="53" t="s">
        <v>1433</v>
      </c>
      <c r="R1177" s="55" t="s">
        <v>680</v>
      </c>
    </row>
    <row r="1178" spans="1:18" x14ac:dyDescent="0.5">
      <c r="A1178" s="56" t="str">
        <f>"293425J96"</f>
        <v>293425J96</v>
      </c>
      <c r="B1178" s="57" t="s">
        <v>451</v>
      </c>
      <c r="C1178" s="57" t="s">
        <v>1502</v>
      </c>
      <c r="D1178" s="53" t="s">
        <v>447</v>
      </c>
      <c r="E1178" s="57">
        <v>4</v>
      </c>
      <c r="F1178" s="58">
        <v>48611</v>
      </c>
      <c r="G1178" s="58">
        <v>47150</v>
      </c>
      <c r="H1178" s="57" t="s">
        <v>105</v>
      </c>
      <c r="I1178" s="57" t="s">
        <v>616</v>
      </c>
      <c r="J1178" s="57" t="s">
        <v>101</v>
      </c>
      <c r="K1178" s="57">
        <v>101.708</v>
      </c>
      <c r="L1178" s="57" t="s">
        <v>101</v>
      </c>
      <c r="M1178" s="57">
        <v>3.5329999999999999</v>
      </c>
      <c r="N1178" s="57">
        <v>3.7490000000000001</v>
      </c>
      <c r="O1178" s="53" t="s">
        <v>101</v>
      </c>
      <c r="P1178" s="57" t="s">
        <v>448</v>
      </c>
      <c r="Q1178" s="57" t="s">
        <v>485</v>
      </c>
      <c r="R1178" s="59" t="s">
        <v>504</v>
      </c>
    </row>
    <row r="1179" spans="1:18" x14ac:dyDescent="0.5">
      <c r="A1179" s="52" t="str">
        <f>"44044TGM8"</f>
        <v>44044TGM8</v>
      </c>
      <c r="B1179" s="53" t="s">
        <v>451</v>
      </c>
      <c r="C1179" s="53" t="s">
        <v>1503</v>
      </c>
      <c r="D1179" s="53" t="s">
        <v>447</v>
      </c>
      <c r="E1179" s="53">
        <v>3.25</v>
      </c>
      <c r="F1179" s="54">
        <v>48611</v>
      </c>
      <c r="G1179" s="54">
        <v>45733</v>
      </c>
      <c r="H1179" s="53" t="s">
        <v>627</v>
      </c>
      <c r="I1179" s="53" t="s">
        <v>628</v>
      </c>
      <c r="J1179" s="53" t="s">
        <v>101</v>
      </c>
      <c r="K1179" s="53">
        <v>95.63</v>
      </c>
      <c r="L1179" s="53" t="s">
        <v>101</v>
      </c>
      <c r="M1179" s="53">
        <v>3.8940000000000001</v>
      </c>
      <c r="N1179" s="53">
        <v>3.8940000000000001</v>
      </c>
      <c r="O1179" s="53" t="s">
        <v>101</v>
      </c>
      <c r="P1179" s="53" t="s">
        <v>448</v>
      </c>
      <c r="Q1179" s="53" t="s">
        <v>475</v>
      </c>
      <c r="R1179" s="55" t="s">
        <v>630</v>
      </c>
    </row>
    <row r="1180" spans="1:18" x14ac:dyDescent="0.5">
      <c r="A1180" s="56" t="str">
        <f>"468895KL0"</f>
        <v>468895KL0</v>
      </c>
      <c r="B1180" s="57" t="s">
        <v>477</v>
      </c>
      <c r="C1180" s="57" t="s">
        <v>1504</v>
      </c>
      <c r="D1180" s="53" t="s">
        <v>447</v>
      </c>
      <c r="E1180" s="57">
        <v>2</v>
      </c>
      <c r="F1180" s="58">
        <v>48611</v>
      </c>
      <c r="G1180" s="58">
        <v>46419</v>
      </c>
      <c r="H1180" s="57" t="s">
        <v>105</v>
      </c>
      <c r="I1180" s="57" t="s">
        <v>509</v>
      </c>
      <c r="J1180" s="57" t="s">
        <v>101</v>
      </c>
      <c r="K1180" s="57">
        <v>85.35</v>
      </c>
      <c r="L1180" s="57" t="s">
        <v>101</v>
      </c>
      <c r="M1180" s="57">
        <v>4.1849999999999996</v>
      </c>
      <c r="N1180" s="57">
        <v>4.1849999999999996</v>
      </c>
      <c r="O1180" s="53" t="s">
        <v>101</v>
      </c>
      <c r="P1180" s="57" t="s">
        <v>448</v>
      </c>
      <c r="Q1180" s="57" t="s">
        <v>682</v>
      </c>
      <c r="R1180" s="59" t="s">
        <v>454</v>
      </c>
    </row>
    <row r="1181" spans="1:18" x14ac:dyDescent="0.5">
      <c r="A1181" s="52" t="str">
        <f>"488683KN2"</f>
        <v>488683KN2</v>
      </c>
      <c r="B1181" s="53" t="s">
        <v>491</v>
      </c>
      <c r="C1181" s="53" t="s">
        <v>1505</v>
      </c>
      <c r="D1181" s="53" t="s">
        <v>447</v>
      </c>
      <c r="E1181" s="53">
        <v>3</v>
      </c>
      <c r="F1181" s="54">
        <v>48611</v>
      </c>
      <c r="G1181" s="54">
        <v>47150</v>
      </c>
      <c r="H1181" s="53" t="s">
        <v>105</v>
      </c>
      <c r="I1181" s="53" t="s">
        <v>628</v>
      </c>
      <c r="J1181" s="53" t="s">
        <v>101</v>
      </c>
      <c r="K1181" s="53">
        <v>94.49</v>
      </c>
      <c r="L1181" s="53" t="s">
        <v>101</v>
      </c>
      <c r="M1181" s="53">
        <v>3.8090000000000002</v>
      </c>
      <c r="N1181" s="53">
        <v>3.8090000000000002</v>
      </c>
      <c r="O1181" s="53" t="s">
        <v>101</v>
      </c>
      <c r="P1181" s="53" t="s">
        <v>448</v>
      </c>
      <c r="Q1181" s="53" t="s">
        <v>457</v>
      </c>
      <c r="R1181" s="55" t="s">
        <v>680</v>
      </c>
    </row>
    <row r="1182" spans="1:18" x14ac:dyDescent="0.5">
      <c r="A1182" s="56" t="str">
        <f>"537095UQ2"</f>
        <v>537095UQ2</v>
      </c>
      <c r="B1182" s="57" t="s">
        <v>451</v>
      </c>
      <c r="C1182" s="57" t="s">
        <v>1506</v>
      </c>
      <c r="D1182" s="53" t="s">
        <v>447</v>
      </c>
      <c r="E1182" s="57">
        <v>3.125</v>
      </c>
      <c r="F1182" s="58">
        <v>48611</v>
      </c>
      <c r="G1182" s="58">
        <v>46784</v>
      </c>
      <c r="H1182" s="57" t="s">
        <v>105</v>
      </c>
      <c r="I1182" s="57" t="s">
        <v>509</v>
      </c>
      <c r="J1182" s="57" t="s">
        <v>101</v>
      </c>
      <c r="K1182" s="57">
        <v>96.582999999999998</v>
      </c>
      <c r="L1182" s="57" t="s">
        <v>101</v>
      </c>
      <c r="M1182" s="57">
        <v>3.6230000000000002</v>
      </c>
      <c r="N1182" s="57">
        <v>3.6230000000000002</v>
      </c>
      <c r="O1182" s="53" t="s">
        <v>101</v>
      </c>
      <c r="P1182" s="57" t="s">
        <v>448</v>
      </c>
      <c r="Q1182" s="57" t="s">
        <v>666</v>
      </c>
      <c r="R1182" s="59" t="s">
        <v>504</v>
      </c>
    </row>
    <row r="1183" spans="1:18" x14ac:dyDescent="0.5">
      <c r="A1183" s="52" t="str">
        <f>"59333MU86"</f>
        <v>59333MU86</v>
      </c>
      <c r="B1183" s="53" t="s">
        <v>499</v>
      </c>
      <c r="C1183" s="53" t="s">
        <v>1507</v>
      </c>
      <c r="D1183" s="53" t="s">
        <v>447</v>
      </c>
      <c r="E1183" s="53">
        <v>4</v>
      </c>
      <c r="F1183" s="54">
        <v>48611</v>
      </c>
      <c r="G1183" s="54">
        <v>46054</v>
      </c>
      <c r="H1183" s="53" t="s">
        <v>641</v>
      </c>
      <c r="I1183" s="53" t="s">
        <v>628</v>
      </c>
      <c r="J1183" s="53" t="s">
        <v>101</v>
      </c>
      <c r="K1183" s="53">
        <v>100.408</v>
      </c>
      <c r="L1183" s="53" t="s">
        <v>101</v>
      </c>
      <c r="M1183" s="53">
        <v>3.5590000000000002</v>
      </c>
      <c r="N1183" s="53">
        <v>3.9390000000000001</v>
      </c>
      <c r="O1183" s="53" t="s">
        <v>101</v>
      </c>
      <c r="P1183" s="53" t="s">
        <v>448</v>
      </c>
      <c r="Q1183" s="53" t="s">
        <v>488</v>
      </c>
      <c r="R1183" s="55" t="s">
        <v>727</v>
      </c>
    </row>
    <row r="1184" spans="1:18" x14ac:dyDescent="0.5">
      <c r="A1184" s="56" t="str">
        <f>"59333MV93"</f>
        <v>59333MV93</v>
      </c>
      <c r="B1184" s="57" t="s">
        <v>499</v>
      </c>
      <c r="C1184" s="57" t="s">
        <v>1508</v>
      </c>
      <c r="D1184" s="53" t="s">
        <v>447</v>
      </c>
      <c r="E1184" s="57">
        <v>3.25</v>
      </c>
      <c r="F1184" s="58">
        <v>48611</v>
      </c>
      <c r="G1184" s="58">
        <v>45733</v>
      </c>
      <c r="H1184" s="57" t="s">
        <v>641</v>
      </c>
      <c r="I1184" s="57" t="s">
        <v>658</v>
      </c>
      <c r="J1184" s="57" t="s">
        <v>101</v>
      </c>
      <c r="K1184" s="57">
        <v>97.07</v>
      </c>
      <c r="L1184" s="57" t="s">
        <v>101</v>
      </c>
      <c r="M1184" s="57">
        <v>3.6779999999999999</v>
      </c>
      <c r="N1184" s="57">
        <v>3.6779999999999999</v>
      </c>
      <c r="O1184" s="53" t="s">
        <v>101</v>
      </c>
      <c r="P1184" s="57" t="s">
        <v>448</v>
      </c>
      <c r="Q1184" s="57" t="s">
        <v>1509</v>
      </c>
      <c r="R1184" s="59" t="s">
        <v>450</v>
      </c>
    </row>
    <row r="1185" spans="1:18" x14ac:dyDescent="0.5">
      <c r="A1185" s="52" t="str">
        <f>"59333MW43"</f>
        <v>59333MW43</v>
      </c>
      <c r="B1185" s="53" t="s">
        <v>499</v>
      </c>
      <c r="C1185" s="53" t="s">
        <v>1508</v>
      </c>
      <c r="D1185" s="53" t="s">
        <v>447</v>
      </c>
      <c r="E1185" s="53">
        <v>3.25</v>
      </c>
      <c r="F1185" s="54">
        <v>48611</v>
      </c>
      <c r="G1185" s="54">
        <v>45733</v>
      </c>
      <c r="H1185" s="53" t="s">
        <v>641</v>
      </c>
      <c r="I1185" s="53" t="s">
        <v>628</v>
      </c>
      <c r="J1185" s="53" t="s">
        <v>101</v>
      </c>
      <c r="K1185" s="53">
        <v>97.47</v>
      </c>
      <c r="L1185" s="53" t="s">
        <v>101</v>
      </c>
      <c r="M1185" s="53">
        <v>3.6190000000000002</v>
      </c>
      <c r="N1185" s="53">
        <v>3.6190000000000002</v>
      </c>
      <c r="O1185" s="53" t="s">
        <v>101</v>
      </c>
      <c r="P1185" s="53" t="s">
        <v>448</v>
      </c>
      <c r="Q1185" s="53" t="s">
        <v>635</v>
      </c>
      <c r="R1185" s="55" t="s">
        <v>727</v>
      </c>
    </row>
    <row r="1186" spans="1:18" x14ac:dyDescent="0.5">
      <c r="A1186" s="56" t="str">
        <f>"612233JA5"</f>
        <v>612233JA5</v>
      </c>
      <c r="B1186" s="57" t="s">
        <v>451</v>
      </c>
      <c r="C1186" s="57" t="s">
        <v>1510</v>
      </c>
      <c r="D1186" s="53" t="s">
        <v>447</v>
      </c>
      <c r="E1186" s="57">
        <v>3</v>
      </c>
      <c r="F1186" s="58">
        <v>48611</v>
      </c>
      <c r="G1186" s="58">
        <v>47880</v>
      </c>
      <c r="H1186" s="57" t="s">
        <v>104</v>
      </c>
      <c r="I1186" s="57" t="s">
        <v>105</v>
      </c>
      <c r="J1186" s="57" t="s">
        <v>101</v>
      </c>
      <c r="K1186" s="57">
        <v>96.001999999999995</v>
      </c>
      <c r="L1186" s="57" t="s">
        <v>101</v>
      </c>
      <c r="M1186" s="57">
        <v>3.5819999999999999</v>
      </c>
      <c r="N1186" s="57">
        <v>3.5819999999999999</v>
      </c>
      <c r="O1186" s="53" t="s">
        <v>101</v>
      </c>
      <c r="P1186" s="57" t="s">
        <v>448</v>
      </c>
      <c r="Q1186" s="57" t="s">
        <v>573</v>
      </c>
      <c r="R1186" s="59" t="s">
        <v>454</v>
      </c>
    </row>
    <row r="1187" spans="1:18" x14ac:dyDescent="0.5">
      <c r="A1187" s="52" t="str">
        <f>"642543XP2"</f>
        <v>642543XP2</v>
      </c>
      <c r="B1187" s="53" t="s">
        <v>451</v>
      </c>
      <c r="C1187" s="53" t="s">
        <v>1511</v>
      </c>
      <c r="D1187" s="53" t="s">
        <v>447</v>
      </c>
      <c r="E1187" s="53">
        <v>3.25</v>
      </c>
      <c r="F1187" s="54">
        <v>48611</v>
      </c>
      <c r="G1187" s="54">
        <v>46054</v>
      </c>
      <c r="H1187" s="53" t="s">
        <v>105</v>
      </c>
      <c r="I1187" s="53" t="s">
        <v>104</v>
      </c>
      <c r="J1187" s="53" t="s">
        <v>101</v>
      </c>
      <c r="K1187" s="53">
        <v>98.08</v>
      </c>
      <c r="L1187" s="53" t="s">
        <v>101</v>
      </c>
      <c r="M1187" s="53">
        <v>3.5289999999999999</v>
      </c>
      <c r="N1187" s="53">
        <v>3.5289999999999999</v>
      </c>
      <c r="O1187" s="53" t="s">
        <v>101</v>
      </c>
      <c r="P1187" s="53" t="s">
        <v>448</v>
      </c>
      <c r="Q1187" s="53" t="s">
        <v>457</v>
      </c>
      <c r="R1187" s="55" t="s">
        <v>454</v>
      </c>
    </row>
    <row r="1188" spans="1:18" x14ac:dyDescent="0.5">
      <c r="A1188" s="56" t="str">
        <f>"800722FH8"</f>
        <v>800722FH8</v>
      </c>
      <c r="B1188" s="57" t="s">
        <v>491</v>
      </c>
      <c r="C1188" s="57" t="s">
        <v>1512</v>
      </c>
      <c r="D1188" s="53" t="s">
        <v>447</v>
      </c>
      <c r="E1188" s="57">
        <v>3.25</v>
      </c>
      <c r="F1188" s="58">
        <v>48611</v>
      </c>
      <c r="G1188" s="58">
        <v>45733</v>
      </c>
      <c r="H1188" s="57" t="s">
        <v>641</v>
      </c>
      <c r="I1188" s="57" t="s">
        <v>628</v>
      </c>
      <c r="J1188" s="57" t="s">
        <v>101</v>
      </c>
      <c r="K1188" s="57">
        <v>97.32</v>
      </c>
      <c r="L1188" s="57" t="s">
        <v>101</v>
      </c>
      <c r="M1188" s="57">
        <v>3.641</v>
      </c>
      <c r="N1188" s="57">
        <v>3.641</v>
      </c>
      <c r="O1188" s="53" t="s">
        <v>101</v>
      </c>
      <c r="P1188" s="57" t="s">
        <v>448</v>
      </c>
      <c r="Q1188" s="57" t="s">
        <v>538</v>
      </c>
      <c r="R1188" s="59" t="s">
        <v>680</v>
      </c>
    </row>
    <row r="1189" spans="1:18" x14ac:dyDescent="0.5">
      <c r="A1189" s="52" t="str">
        <f>"849476UG9"</f>
        <v>849476UG9</v>
      </c>
      <c r="B1189" s="53" t="s">
        <v>451</v>
      </c>
      <c r="C1189" s="53" t="s">
        <v>1513</v>
      </c>
      <c r="D1189" s="53" t="s">
        <v>447</v>
      </c>
      <c r="E1189" s="53">
        <v>3</v>
      </c>
      <c r="F1189" s="54">
        <v>48611</v>
      </c>
      <c r="G1189" s="54">
        <v>47880</v>
      </c>
      <c r="H1189" s="53" t="s">
        <v>104</v>
      </c>
      <c r="I1189" s="53" t="s">
        <v>104</v>
      </c>
      <c r="J1189" s="53" t="s">
        <v>101</v>
      </c>
      <c r="K1189" s="53">
        <v>94.73</v>
      </c>
      <c r="L1189" s="53" t="s">
        <v>101</v>
      </c>
      <c r="M1189" s="53">
        <v>3.7730000000000001</v>
      </c>
      <c r="N1189" s="53">
        <v>3.7730000000000001</v>
      </c>
      <c r="O1189" s="53" t="s">
        <v>101</v>
      </c>
      <c r="P1189" s="53" t="s">
        <v>448</v>
      </c>
      <c r="Q1189" s="53" t="s">
        <v>488</v>
      </c>
      <c r="R1189" s="55" t="s">
        <v>454</v>
      </c>
    </row>
    <row r="1190" spans="1:18" x14ac:dyDescent="0.5">
      <c r="A1190" s="56" t="str">
        <f>"889642GE8"</f>
        <v>889642GE8</v>
      </c>
      <c r="B1190" s="57" t="s">
        <v>451</v>
      </c>
      <c r="C1190" s="57" t="s">
        <v>1514</v>
      </c>
      <c r="D1190" s="53" t="s">
        <v>447</v>
      </c>
      <c r="E1190" s="57">
        <v>3.5</v>
      </c>
      <c r="F1190" s="58">
        <v>48611</v>
      </c>
      <c r="G1190" s="58">
        <v>45733</v>
      </c>
      <c r="H1190" s="57" t="s">
        <v>624</v>
      </c>
      <c r="I1190" s="57" t="s">
        <v>628</v>
      </c>
      <c r="J1190" s="57" t="s">
        <v>101</v>
      </c>
      <c r="K1190" s="57">
        <v>99.08</v>
      </c>
      <c r="L1190" s="57" t="s">
        <v>101</v>
      </c>
      <c r="M1190" s="57">
        <v>3.6339999999999999</v>
      </c>
      <c r="N1190" s="57">
        <v>3.6339999999999999</v>
      </c>
      <c r="O1190" s="53" t="s">
        <v>101</v>
      </c>
      <c r="P1190" s="57" t="s">
        <v>448</v>
      </c>
      <c r="Q1190" s="57" t="s">
        <v>479</v>
      </c>
      <c r="R1190" s="59" t="s">
        <v>504</v>
      </c>
    </row>
    <row r="1191" spans="1:18" x14ac:dyDescent="0.5">
      <c r="A1191" s="52" t="str">
        <f>"929831JU0"</f>
        <v>929831JU0</v>
      </c>
      <c r="B1191" s="53" t="s">
        <v>451</v>
      </c>
      <c r="C1191" s="53" t="s">
        <v>1515</v>
      </c>
      <c r="D1191" s="53" t="s">
        <v>447</v>
      </c>
      <c r="E1191" s="53">
        <v>3</v>
      </c>
      <c r="F1191" s="54">
        <v>48611</v>
      </c>
      <c r="G1191" s="54">
        <v>45733</v>
      </c>
      <c r="H1191" s="53" t="s">
        <v>540</v>
      </c>
      <c r="I1191" s="53" t="s">
        <v>509</v>
      </c>
      <c r="J1191" s="53" t="s">
        <v>101</v>
      </c>
      <c r="K1191" s="53">
        <v>94.343999999999994</v>
      </c>
      <c r="L1191" s="53" t="s">
        <v>101</v>
      </c>
      <c r="M1191" s="53">
        <v>3.8319999999999999</v>
      </c>
      <c r="N1191" s="53">
        <v>3.8319999999999999</v>
      </c>
      <c r="O1191" s="53" t="s">
        <v>101</v>
      </c>
      <c r="P1191" s="53" t="s">
        <v>448</v>
      </c>
      <c r="Q1191" s="53" t="s">
        <v>556</v>
      </c>
      <c r="R1191" s="55" t="s">
        <v>454</v>
      </c>
    </row>
    <row r="1192" spans="1:18" x14ac:dyDescent="0.5">
      <c r="A1192" s="56" t="str">
        <f>"016249PH1"</f>
        <v>016249PH1</v>
      </c>
      <c r="B1192" s="57" t="s">
        <v>451</v>
      </c>
      <c r="C1192" s="57" t="s">
        <v>1516</v>
      </c>
      <c r="D1192" s="53" t="s">
        <v>447</v>
      </c>
      <c r="E1192" s="57">
        <v>3.125</v>
      </c>
      <c r="F1192" s="58">
        <v>48625</v>
      </c>
      <c r="G1192" s="58">
        <v>46433</v>
      </c>
      <c r="H1192" s="57" t="s">
        <v>104</v>
      </c>
      <c r="I1192" s="57" t="s">
        <v>105</v>
      </c>
      <c r="J1192" s="57" t="s">
        <v>101</v>
      </c>
      <c r="K1192" s="57">
        <v>96.677999999999997</v>
      </c>
      <c r="L1192" s="57" t="s">
        <v>101</v>
      </c>
      <c r="M1192" s="57">
        <v>3.6070000000000002</v>
      </c>
      <c r="N1192" s="57">
        <v>3.6070000000000002</v>
      </c>
      <c r="O1192" s="53" t="s">
        <v>101</v>
      </c>
      <c r="P1192" s="57" t="s">
        <v>448</v>
      </c>
      <c r="Q1192" s="57" t="s">
        <v>538</v>
      </c>
      <c r="R1192" s="59" t="s">
        <v>454</v>
      </c>
    </row>
    <row r="1193" spans="1:18" x14ac:dyDescent="0.5">
      <c r="A1193" s="52" t="str">
        <f>"034825B40"</f>
        <v>034825B40</v>
      </c>
      <c r="B1193" s="53" t="s">
        <v>451</v>
      </c>
      <c r="C1193" s="53" t="s">
        <v>1517</v>
      </c>
      <c r="D1193" s="53" t="s">
        <v>447</v>
      </c>
      <c r="E1193" s="53">
        <v>3</v>
      </c>
      <c r="F1193" s="54">
        <v>48625</v>
      </c>
      <c r="G1193" s="54">
        <v>46433</v>
      </c>
      <c r="H1193" s="53" t="s">
        <v>104</v>
      </c>
      <c r="I1193" s="53" t="s">
        <v>105</v>
      </c>
      <c r="J1193" s="53" t="s">
        <v>101</v>
      </c>
      <c r="K1193" s="53">
        <v>96.326999999999998</v>
      </c>
      <c r="L1193" s="53" t="s">
        <v>101</v>
      </c>
      <c r="M1193" s="53">
        <v>3.5310000000000001</v>
      </c>
      <c r="N1193" s="53">
        <v>3.5310000000000001</v>
      </c>
      <c r="O1193" s="53" t="s">
        <v>101</v>
      </c>
      <c r="P1193" s="53" t="s">
        <v>448</v>
      </c>
      <c r="Q1193" s="53" t="s">
        <v>475</v>
      </c>
      <c r="R1193" s="55" t="s">
        <v>454</v>
      </c>
    </row>
    <row r="1194" spans="1:18" x14ac:dyDescent="0.5">
      <c r="A1194" s="56" t="str">
        <f>"034825YY9"</f>
        <v>034825YY9</v>
      </c>
      <c r="B1194" s="57" t="s">
        <v>451</v>
      </c>
      <c r="C1194" s="57" t="s">
        <v>1518</v>
      </c>
      <c r="D1194" s="53" t="s">
        <v>447</v>
      </c>
      <c r="E1194" s="57">
        <v>3</v>
      </c>
      <c r="F1194" s="58">
        <v>48625</v>
      </c>
      <c r="G1194" s="58">
        <v>46433</v>
      </c>
      <c r="H1194" s="57" t="s">
        <v>104</v>
      </c>
      <c r="I1194" s="57" t="s">
        <v>105</v>
      </c>
      <c r="J1194" s="57" t="s">
        <v>101</v>
      </c>
      <c r="K1194" s="57">
        <v>96.1</v>
      </c>
      <c r="L1194" s="57" t="s">
        <v>101</v>
      </c>
      <c r="M1194" s="57">
        <v>3.5649999999999999</v>
      </c>
      <c r="N1194" s="57">
        <v>3.5649999999999999</v>
      </c>
      <c r="O1194" s="53" t="s">
        <v>101</v>
      </c>
      <c r="P1194" s="57" t="s">
        <v>448</v>
      </c>
      <c r="Q1194" s="57" t="s">
        <v>790</v>
      </c>
      <c r="R1194" s="59" t="s">
        <v>482</v>
      </c>
    </row>
    <row r="1195" spans="1:18" x14ac:dyDescent="0.5">
      <c r="A1195" s="52" t="str">
        <f>"072149HZ3"</f>
        <v>072149HZ3</v>
      </c>
      <c r="B1195" s="53" t="s">
        <v>451</v>
      </c>
      <c r="C1195" s="53" t="s">
        <v>1519</v>
      </c>
      <c r="D1195" s="53" t="s">
        <v>447</v>
      </c>
      <c r="E1195" s="53">
        <v>3</v>
      </c>
      <c r="F1195" s="54">
        <v>48625</v>
      </c>
      <c r="G1195" s="54">
        <v>46433</v>
      </c>
      <c r="H1195" s="53" t="s">
        <v>105</v>
      </c>
      <c r="I1195" s="53" t="s">
        <v>104</v>
      </c>
      <c r="J1195" s="53" t="s">
        <v>101</v>
      </c>
      <c r="K1195" s="53">
        <v>95.61</v>
      </c>
      <c r="L1195" s="53" t="s">
        <v>101</v>
      </c>
      <c r="M1195" s="53">
        <v>3.6379999999999999</v>
      </c>
      <c r="N1195" s="53">
        <v>3.6379999999999999</v>
      </c>
      <c r="O1195" s="53" t="s">
        <v>101</v>
      </c>
      <c r="P1195" s="53" t="s">
        <v>448</v>
      </c>
      <c r="Q1195" s="53" t="s">
        <v>538</v>
      </c>
      <c r="R1195" s="55" t="s">
        <v>454</v>
      </c>
    </row>
    <row r="1196" spans="1:18" x14ac:dyDescent="0.5">
      <c r="A1196" s="56" t="str">
        <f>"072149KF3"</f>
        <v>072149KF3</v>
      </c>
      <c r="B1196" s="57" t="s">
        <v>451</v>
      </c>
      <c r="C1196" s="57" t="s">
        <v>1520</v>
      </c>
      <c r="D1196" s="53" t="s">
        <v>447</v>
      </c>
      <c r="E1196" s="57">
        <v>3</v>
      </c>
      <c r="F1196" s="58">
        <v>48625</v>
      </c>
      <c r="G1196" s="58">
        <v>46798</v>
      </c>
      <c r="H1196" s="57" t="s">
        <v>105</v>
      </c>
      <c r="I1196" s="57" t="s">
        <v>104</v>
      </c>
      <c r="J1196" s="57" t="s">
        <v>101</v>
      </c>
      <c r="K1196" s="57">
        <v>95.37</v>
      </c>
      <c r="L1196" s="57" t="s">
        <v>101</v>
      </c>
      <c r="M1196" s="57">
        <v>3.6739999999999999</v>
      </c>
      <c r="N1196" s="57">
        <v>3.6739999999999999</v>
      </c>
      <c r="O1196" s="53" t="s">
        <v>101</v>
      </c>
      <c r="P1196" s="57" t="s">
        <v>448</v>
      </c>
      <c r="Q1196" s="57" t="s">
        <v>503</v>
      </c>
      <c r="R1196" s="59" t="s">
        <v>454</v>
      </c>
    </row>
    <row r="1197" spans="1:18" x14ac:dyDescent="0.5">
      <c r="A1197" s="52" t="str">
        <f>"072149LN5"</f>
        <v>072149LN5</v>
      </c>
      <c r="B1197" s="53" t="s">
        <v>451</v>
      </c>
      <c r="C1197" s="53" t="s">
        <v>1521</v>
      </c>
      <c r="D1197" s="53" t="s">
        <v>447</v>
      </c>
      <c r="E1197" s="53">
        <v>3.125</v>
      </c>
      <c r="F1197" s="54">
        <v>48625</v>
      </c>
      <c r="G1197" s="54">
        <v>46798</v>
      </c>
      <c r="H1197" s="53" t="s">
        <v>105</v>
      </c>
      <c r="I1197" s="53" t="s">
        <v>104</v>
      </c>
      <c r="J1197" s="53" t="s">
        <v>101</v>
      </c>
      <c r="K1197" s="53">
        <v>96.48</v>
      </c>
      <c r="L1197" s="53" t="s">
        <v>101</v>
      </c>
      <c r="M1197" s="53">
        <v>3.6360000000000001</v>
      </c>
      <c r="N1197" s="53">
        <v>3.6360000000000001</v>
      </c>
      <c r="O1197" s="53" t="s">
        <v>101</v>
      </c>
      <c r="P1197" s="53" t="s">
        <v>448</v>
      </c>
      <c r="Q1197" s="53" t="s">
        <v>453</v>
      </c>
      <c r="R1197" s="55" t="s">
        <v>454</v>
      </c>
    </row>
    <row r="1198" spans="1:18" x14ac:dyDescent="0.5">
      <c r="A1198" s="56" t="str">
        <f>"074527SA1"</f>
        <v>074527SA1</v>
      </c>
      <c r="B1198" s="57" t="s">
        <v>451</v>
      </c>
      <c r="C1198" s="57" t="s">
        <v>1522</v>
      </c>
      <c r="D1198" s="53" t="s">
        <v>447</v>
      </c>
      <c r="E1198" s="57">
        <v>3</v>
      </c>
      <c r="F1198" s="58">
        <v>48625</v>
      </c>
      <c r="G1198" s="58">
        <v>46433</v>
      </c>
      <c r="H1198" s="57" t="s">
        <v>105</v>
      </c>
      <c r="I1198" s="57" t="s">
        <v>104</v>
      </c>
      <c r="J1198" s="57" t="s">
        <v>101</v>
      </c>
      <c r="K1198" s="57">
        <v>95.817999999999998</v>
      </c>
      <c r="L1198" s="57" t="s">
        <v>101</v>
      </c>
      <c r="M1198" s="57">
        <v>3.6070000000000002</v>
      </c>
      <c r="N1198" s="57">
        <v>3.6070000000000002</v>
      </c>
      <c r="O1198" s="53" t="s">
        <v>101</v>
      </c>
      <c r="P1198" s="57" t="s">
        <v>448</v>
      </c>
      <c r="Q1198" s="57" t="s">
        <v>503</v>
      </c>
      <c r="R1198" s="59" t="s">
        <v>454</v>
      </c>
    </row>
    <row r="1199" spans="1:18" x14ac:dyDescent="0.5">
      <c r="A1199" s="52" t="str">
        <f>"0782755X8"</f>
        <v>0782755X8</v>
      </c>
      <c r="B1199" s="53" t="s">
        <v>451</v>
      </c>
      <c r="C1199" s="53" t="s">
        <v>1523</v>
      </c>
      <c r="D1199" s="53" t="s">
        <v>447</v>
      </c>
      <c r="E1199" s="53">
        <v>3</v>
      </c>
      <c r="F1199" s="54">
        <v>48625</v>
      </c>
      <c r="G1199" s="54">
        <v>46068</v>
      </c>
      <c r="H1199" s="53" t="s">
        <v>105</v>
      </c>
      <c r="I1199" s="53" t="s">
        <v>104</v>
      </c>
      <c r="J1199" s="53" t="s">
        <v>101</v>
      </c>
      <c r="K1199" s="53">
        <v>95.222999999999999</v>
      </c>
      <c r="L1199" s="53" t="s">
        <v>101</v>
      </c>
      <c r="M1199" s="53">
        <v>3.6960000000000002</v>
      </c>
      <c r="N1199" s="53">
        <v>3.6960000000000002</v>
      </c>
      <c r="O1199" s="53" t="s">
        <v>101</v>
      </c>
      <c r="P1199" s="53" t="s">
        <v>448</v>
      </c>
      <c r="Q1199" s="53" t="s">
        <v>556</v>
      </c>
      <c r="R1199" s="55" t="s">
        <v>454</v>
      </c>
    </row>
    <row r="1200" spans="1:18" x14ac:dyDescent="0.5">
      <c r="A1200" s="56" t="str">
        <f>"106219LE6"</f>
        <v>106219LE6</v>
      </c>
      <c r="B1200" s="57" t="s">
        <v>451</v>
      </c>
      <c r="C1200" s="57" t="s">
        <v>1524</v>
      </c>
      <c r="D1200" s="53" t="s">
        <v>447</v>
      </c>
      <c r="E1200" s="57">
        <v>3.125</v>
      </c>
      <c r="F1200" s="58">
        <v>48625</v>
      </c>
      <c r="G1200" s="58">
        <v>45733</v>
      </c>
      <c r="H1200" s="57" t="s">
        <v>105</v>
      </c>
      <c r="I1200" s="57" t="s">
        <v>628</v>
      </c>
      <c r="J1200" s="57" t="s">
        <v>101</v>
      </c>
      <c r="K1200" s="57">
        <v>95.046000000000006</v>
      </c>
      <c r="L1200" s="57" t="s">
        <v>101</v>
      </c>
      <c r="M1200" s="57">
        <v>3.851</v>
      </c>
      <c r="N1200" s="57">
        <v>3.851</v>
      </c>
      <c r="O1200" s="53" t="s">
        <v>101</v>
      </c>
      <c r="P1200" s="57" t="s">
        <v>448</v>
      </c>
      <c r="Q1200" s="57" t="s">
        <v>485</v>
      </c>
      <c r="R1200" s="59" t="s">
        <v>504</v>
      </c>
    </row>
    <row r="1201" spans="1:18" x14ac:dyDescent="0.5">
      <c r="A1201" s="52" t="str">
        <f>"117583ZN7"</f>
        <v>117583ZN7</v>
      </c>
      <c r="B1201" s="53" t="s">
        <v>451</v>
      </c>
      <c r="C1201" s="53" t="s">
        <v>1525</v>
      </c>
      <c r="D1201" s="53" t="s">
        <v>447</v>
      </c>
      <c r="E1201" s="53">
        <v>3</v>
      </c>
      <c r="F1201" s="54">
        <v>48625</v>
      </c>
      <c r="G1201" s="54">
        <v>45703</v>
      </c>
      <c r="H1201" s="53" t="s">
        <v>105</v>
      </c>
      <c r="I1201" s="53" t="s">
        <v>104</v>
      </c>
      <c r="J1201" s="53" t="s">
        <v>101</v>
      </c>
      <c r="K1201" s="53">
        <v>95.161000000000001</v>
      </c>
      <c r="L1201" s="53" t="s">
        <v>101</v>
      </c>
      <c r="M1201" s="53">
        <v>3.7050000000000001</v>
      </c>
      <c r="N1201" s="53">
        <v>3.7050000000000001</v>
      </c>
      <c r="O1201" s="53" t="s">
        <v>101</v>
      </c>
      <c r="P1201" s="53" t="s">
        <v>448</v>
      </c>
      <c r="Q1201" s="53" t="s">
        <v>556</v>
      </c>
      <c r="R1201" s="55" t="s">
        <v>454</v>
      </c>
    </row>
    <row r="1202" spans="1:18" x14ac:dyDescent="0.5">
      <c r="A1202" s="56" t="str">
        <f>"128109SA4"</f>
        <v>128109SA4</v>
      </c>
      <c r="B1202" s="57" t="s">
        <v>451</v>
      </c>
      <c r="C1202" s="57" t="s">
        <v>1526</v>
      </c>
      <c r="D1202" s="53" t="s">
        <v>447</v>
      </c>
      <c r="E1202" s="57">
        <v>3.125</v>
      </c>
      <c r="F1202" s="58">
        <v>48625</v>
      </c>
      <c r="G1202" s="58">
        <v>46433</v>
      </c>
      <c r="H1202" s="57" t="s">
        <v>105</v>
      </c>
      <c r="I1202" s="57" t="s">
        <v>104</v>
      </c>
      <c r="J1202" s="57" t="s">
        <v>101</v>
      </c>
      <c r="K1202" s="57">
        <v>96.483000000000004</v>
      </c>
      <c r="L1202" s="57" t="s">
        <v>101</v>
      </c>
      <c r="M1202" s="57">
        <v>3.6360000000000001</v>
      </c>
      <c r="N1202" s="57">
        <v>3.6360000000000001</v>
      </c>
      <c r="O1202" s="53" t="s">
        <v>101</v>
      </c>
      <c r="P1202" s="57" t="s">
        <v>448</v>
      </c>
      <c r="Q1202" s="57" t="s">
        <v>874</v>
      </c>
      <c r="R1202" s="59" t="s">
        <v>454</v>
      </c>
    </row>
    <row r="1203" spans="1:18" x14ac:dyDescent="0.5">
      <c r="A1203" s="52" t="str">
        <f>"139015QP9"</f>
        <v>139015QP9</v>
      </c>
      <c r="B1203" s="53" t="s">
        <v>451</v>
      </c>
      <c r="C1203" s="53" t="s">
        <v>1527</v>
      </c>
      <c r="D1203" s="53" t="s">
        <v>447</v>
      </c>
      <c r="E1203" s="53">
        <v>3</v>
      </c>
      <c r="F1203" s="54">
        <v>48625</v>
      </c>
      <c r="G1203" s="54">
        <v>46798</v>
      </c>
      <c r="H1203" s="53" t="s">
        <v>105</v>
      </c>
      <c r="I1203" s="53" t="s">
        <v>104</v>
      </c>
      <c r="J1203" s="53" t="s">
        <v>101</v>
      </c>
      <c r="K1203" s="53">
        <v>96.17</v>
      </c>
      <c r="L1203" s="53" t="s">
        <v>101</v>
      </c>
      <c r="M1203" s="53">
        <v>3.5550000000000002</v>
      </c>
      <c r="N1203" s="53">
        <v>3.5550000000000002</v>
      </c>
      <c r="O1203" s="53" t="s">
        <v>101</v>
      </c>
      <c r="P1203" s="53" t="s">
        <v>448</v>
      </c>
      <c r="Q1203" s="53" t="s">
        <v>538</v>
      </c>
      <c r="R1203" s="55" t="s">
        <v>454</v>
      </c>
    </row>
    <row r="1204" spans="1:18" x14ac:dyDescent="0.5">
      <c r="A1204" s="56" t="str">
        <f>"184541AS9"</f>
        <v>184541AS9</v>
      </c>
      <c r="B1204" s="57" t="s">
        <v>451</v>
      </c>
      <c r="C1204" s="57" t="s">
        <v>1528</v>
      </c>
      <c r="D1204" s="53" t="s">
        <v>447</v>
      </c>
      <c r="E1204" s="57">
        <v>3</v>
      </c>
      <c r="F1204" s="58">
        <v>48625</v>
      </c>
      <c r="G1204" s="58">
        <v>46068</v>
      </c>
      <c r="H1204" s="57" t="s">
        <v>105</v>
      </c>
      <c r="I1204" s="57" t="s">
        <v>104</v>
      </c>
      <c r="J1204" s="57" t="s">
        <v>101</v>
      </c>
      <c r="K1204" s="57">
        <v>94.480999999999995</v>
      </c>
      <c r="L1204" s="57" t="s">
        <v>101</v>
      </c>
      <c r="M1204" s="57">
        <v>3.8069999999999999</v>
      </c>
      <c r="N1204" s="57">
        <v>3.8069999999999999</v>
      </c>
      <c r="O1204" s="53" t="s">
        <v>101</v>
      </c>
      <c r="P1204" s="57" t="s">
        <v>448</v>
      </c>
      <c r="Q1204" s="57" t="s">
        <v>485</v>
      </c>
      <c r="R1204" s="59" t="s">
        <v>482</v>
      </c>
    </row>
    <row r="1205" spans="1:18" x14ac:dyDescent="0.5">
      <c r="A1205" s="52" t="str">
        <f>"194469FS6"</f>
        <v>194469FS6</v>
      </c>
      <c r="B1205" s="53" t="s">
        <v>451</v>
      </c>
      <c r="C1205" s="53" t="s">
        <v>1529</v>
      </c>
      <c r="D1205" s="53" t="s">
        <v>447</v>
      </c>
      <c r="E1205" s="53">
        <v>3</v>
      </c>
      <c r="F1205" s="54">
        <v>48625</v>
      </c>
      <c r="G1205" s="54">
        <v>46433</v>
      </c>
      <c r="H1205" s="53" t="s">
        <v>540</v>
      </c>
      <c r="I1205" s="53" t="s">
        <v>509</v>
      </c>
      <c r="J1205" s="53" t="s">
        <v>101</v>
      </c>
      <c r="K1205" s="53">
        <v>95.138999999999996</v>
      </c>
      <c r="L1205" s="53" t="s">
        <v>101</v>
      </c>
      <c r="M1205" s="53">
        <v>3.7080000000000002</v>
      </c>
      <c r="N1205" s="53">
        <v>3.7080000000000002</v>
      </c>
      <c r="O1205" s="53" t="s">
        <v>101</v>
      </c>
      <c r="P1205" s="53" t="s">
        <v>448</v>
      </c>
      <c r="Q1205" s="53" t="s">
        <v>790</v>
      </c>
      <c r="R1205" s="55" t="s">
        <v>454</v>
      </c>
    </row>
    <row r="1206" spans="1:18" x14ac:dyDescent="0.5">
      <c r="A1206" s="56" t="str">
        <f>"194469GN6"</f>
        <v>194469GN6</v>
      </c>
      <c r="B1206" s="57" t="s">
        <v>451</v>
      </c>
      <c r="C1206" s="57" t="s">
        <v>1530</v>
      </c>
      <c r="D1206" s="53" t="s">
        <v>447</v>
      </c>
      <c r="E1206" s="57">
        <v>3</v>
      </c>
      <c r="F1206" s="58">
        <v>48625</v>
      </c>
      <c r="G1206" s="58">
        <v>46433</v>
      </c>
      <c r="H1206" s="57" t="s">
        <v>540</v>
      </c>
      <c r="I1206" s="57" t="s">
        <v>509</v>
      </c>
      <c r="J1206" s="57" t="s">
        <v>101</v>
      </c>
      <c r="K1206" s="57">
        <v>95.23</v>
      </c>
      <c r="L1206" s="57" t="s">
        <v>101</v>
      </c>
      <c r="M1206" s="57">
        <v>3.6949999999999998</v>
      </c>
      <c r="N1206" s="57">
        <v>3.6949999999999998</v>
      </c>
      <c r="O1206" s="53" t="s">
        <v>101</v>
      </c>
      <c r="P1206" s="57" t="s">
        <v>448</v>
      </c>
      <c r="Q1206" s="57" t="s">
        <v>453</v>
      </c>
      <c r="R1206" s="59" t="s">
        <v>504</v>
      </c>
    </row>
    <row r="1207" spans="1:18" x14ac:dyDescent="0.5">
      <c r="A1207" s="52" t="str">
        <f>"235308A60"</f>
        <v>235308A60</v>
      </c>
      <c r="B1207" s="53" t="s">
        <v>451</v>
      </c>
      <c r="C1207" s="53" t="s">
        <v>1531</v>
      </c>
      <c r="D1207" s="53" t="s">
        <v>447</v>
      </c>
      <c r="E1207" s="53">
        <v>3</v>
      </c>
      <c r="F1207" s="54">
        <v>48625</v>
      </c>
      <c r="G1207" s="54">
        <v>47529</v>
      </c>
      <c r="H1207" s="53" t="s">
        <v>104</v>
      </c>
      <c r="I1207" s="53" t="s">
        <v>104</v>
      </c>
      <c r="J1207" s="53" t="s">
        <v>101</v>
      </c>
      <c r="K1207" s="53">
        <v>95.864000000000004</v>
      </c>
      <c r="L1207" s="53" t="s">
        <v>101</v>
      </c>
      <c r="M1207" s="53">
        <v>3.6</v>
      </c>
      <c r="N1207" s="53">
        <v>3.6</v>
      </c>
      <c r="O1207" s="53" t="s">
        <v>101</v>
      </c>
      <c r="P1207" s="53" t="s">
        <v>448</v>
      </c>
      <c r="Q1207" s="53" t="s">
        <v>1227</v>
      </c>
      <c r="R1207" s="55" t="s">
        <v>454</v>
      </c>
    </row>
    <row r="1208" spans="1:18" x14ac:dyDescent="0.5">
      <c r="A1208" s="56" t="str">
        <f>"24170PUA4"</f>
        <v>24170PUA4</v>
      </c>
      <c r="B1208" s="57" t="s">
        <v>451</v>
      </c>
      <c r="C1208" s="57" t="s">
        <v>1532</v>
      </c>
      <c r="D1208" s="53" t="s">
        <v>447</v>
      </c>
      <c r="E1208" s="57">
        <v>3</v>
      </c>
      <c r="F1208" s="58">
        <v>48625</v>
      </c>
      <c r="G1208" s="58">
        <v>47529</v>
      </c>
      <c r="H1208" s="57" t="s">
        <v>105</v>
      </c>
      <c r="I1208" s="57" t="s">
        <v>628</v>
      </c>
      <c r="J1208" s="57" t="s">
        <v>101</v>
      </c>
      <c r="K1208" s="57">
        <v>95.066999999999993</v>
      </c>
      <c r="L1208" s="57" t="s">
        <v>101</v>
      </c>
      <c r="M1208" s="57">
        <v>3.7189999999999999</v>
      </c>
      <c r="N1208" s="57">
        <v>3.7189999999999999</v>
      </c>
      <c r="O1208" s="53" t="s">
        <v>101</v>
      </c>
      <c r="P1208" s="57" t="s">
        <v>448</v>
      </c>
      <c r="Q1208" s="57" t="s">
        <v>485</v>
      </c>
      <c r="R1208" s="59" t="s">
        <v>504</v>
      </c>
    </row>
    <row r="1209" spans="1:18" x14ac:dyDescent="0.5">
      <c r="A1209" s="52" t="str">
        <f>"24879YLU5"</f>
        <v>24879YLU5</v>
      </c>
      <c r="B1209" s="53" t="s">
        <v>451</v>
      </c>
      <c r="C1209" s="53" t="s">
        <v>1533</v>
      </c>
      <c r="D1209" s="53" t="s">
        <v>447</v>
      </c>
      <c r="E1209" s="53">
        <v>3.375</v>
      </c>
      <c r="F1209" s="54">
        <v>48625</v>
      </c>
      <c r="G1209" s="54">
        <v>45733</v>
      </c>
      <c r="H1209" s="53" t="s">
        <v>641</v>
      </c>
      <c r="I1209" s="53" t="s">
        <v>105</v>
      </c>
      <c r="J1209" s="53" t="s">
        <v>101</v>
      </c>
      <c r="K1209" s="53">
        <v>97.498000000000005</v>
      </c>
      <c r="L1209" s="53" t="s">
        <v>101</v>
      </c>
      <c r="M1209" s="53">
        <v>3.74</v>
      </c>
      <c r="N1209" s="53">
        <v>3.74</v>
      </c>
      <c r="O1209" s="53" t="s">
        <v>101</v>
      </c>
      <c r="P1209" s="53" t="s">
        <v>448</v>
      </c>
      <c r="Q1209" s="53" t="s">
        <v>457</v>
      </c>
      <c r="R1209" s="55" t="s">
        <v>630</v>
      </c>
    </row>
    <row r="1210" spans="1:18" x14ac:dyDescent="0.5">
      <c r="A1210" s="56" t="str">
        <f>"24879YPH0"</f>
        <v>24879YPH0</v>
      </c>
      <c r="B1210" s="57" t="s">
        <v>451</v>
      </c>
      <c r="C1210" s="57" t="s">
        <v>1534</v>
      </c>
      <c r="D1210" s="53" t="s">
        <v>447</v>
      </c>
      <c r="E1210" s="57">
        <v>3.25</v>
      </c>
      <c r="F1210" s="58">
        <v>48625</v>
      </c>
      <c r="G1210" s="58">
        <v>45733</v>
      </c>
      <c r="H1210" s="57" t="s">
        <v>610</v>
      </c>
      <c r="I1210" s="57" t="s">
        <v>628</v>
      </c>
      <c r="J1210" s="57" t="s">
        <v>101</v>
      </c>
      <c r="K1210" s="57">
        <v>96.66</v>
      </c>
      <c r="L1210" s="57" t="s">
        <v>101</v>
      </c>
      <c r="M1210" s="57">
        <v>3.7370000000000001</v>
      </c>
      <c r="N1210" s="57">
        <v>3.7370000000000001</v>
      </c>
      <c r="O1210" s="53" t="s">
        <v>101</v>
      </c>
      <c r="P1210" s="57" t="s">
        <v>448</v>
      </c>
      <c r="Q1210" s="57" t="s">
        <v>503</v>
      </c>
      <c r="R1210" s="59" t="s">
        <v>630</v>
      </c>
    </row>
    <row r="1211" spans="1:18" x14ac:dyDescent="0.5">
      <c r="A1211" s="52" t="str">
        <f>"2488666P5"</f>
        <v>2488666P5</v>
      </c>
      <c r="B1211" s="53" t="s">
        <v>451</v>
      </c>
      <c r="C1211" s="53" t="s">
        <v>1535</v>
      </c>
      <c r="D1211" s="53" t="s">
        <v>447</v>
      </c>
      <c r="E1211" s="53">
        <v>2</v>
      </c>
      <c r="F1211" s="54">
        <v>48625</v>
      </c>
      <c r="G1211" s="54">
        <v>47345</v>
      </c>
      <c r="H1211" s="53" t="s">
        <v>105</v>
      </c>
      <c r="I1211" s="53" t="s">
        <v>509</v>
      </c>
      <c r="J1211" s="53" t="s">
        <v>101</v>
      </c>
      <c r="K1211" s="53">
        <v>84.751000000000005</v>
      </c>
      <c r="L1211" s="53" t="s">
        <v>101</v>
      </c>
      <c r="M1211" s="53">
        <v>4.2720000000000002</v>
      </c>
      <c r="N1211" s="53">
        <v>4.2720000000000002</v>
      </c>
      <c r="O1211" s="53" t="s">
        <v>101</v>
      </c>
      <c r="P1211" s="53" t="s">
        <v>448</v>
      </c>
      <c r="Q1211" s="53" t="s">
        <v>488</v>
      </c>
      <c r="R1211" s="55" t="s">
        <v>454</v>
      </c>
    </row>
    <row r="1212" spans="1:18" x14ac:dyDescent="0.5">
      <c r="A1212" s="56" t="str">
        <f>"281335HU6"</f>
        <v>281335HU6</v>
      </c>
      <c r="B1212" s="57" t="s">
        <v>451</v>
      </c>
      <c r="C1212" s="57" t="s">
        <v>1536</v>
      </c>
      <c r="D1212" s="53" t="s">
        <v>447</v>
      </c>
      <c r="E1212" s="57">
        <v>4</v>
      </c>
      <c r="F1212" s="58">
        <v>48625</v>
      </c>
      <c r="G1212" s="58">
        <v>46433</v>
      </c>
      <c r="H1212" s="57" t="s">
        <v>105</v>
      </c>
      <c r="I1212" s="57" t="s">
        <v>104</v>
      </c>
      <c r="J1212" s="57" t="s">
        <v>101</v>
      </c>
      <c r="K1212" s="57">
        <v>100.94199999999999</v>
      </c>
      <c r="L1212" s="57" t="s">
        <v>101</v>
      </c>
      <c r="M1212" s="57">
        <v>3.5059999999999998</v>
      </c>
      <c r="N1212" s="57">
        <v>3.8620000000000001</v>
      </c>
      <c r="O1212" s="53" t="s">
        <v>101</v>
      </c>
      <c r="P1212" s="57" t="s">
        <v>448</v>
      </c>
      <c r="Q1212" s="57" t="s">
        <v>1537</v>
      </c>
      <c r="R1212" s="59" t="s">
        <v>454</v>
      </c>
    </row>
    <row r="1213" spans="1:18" x14ac:dyDescent="0.5">
      <c r="A1213" s="52" t="str">
        <f>"309495J59"</f>
        <v>309495J59</v>
      </c>
      <c r="B1213" s="53" t="s">
        <v>451</v>
      </c>
      <c r="C1213" s="53" t="s">
        <v>1538</v>
      </c>
      <c r="D1213" s="53" t="s">
        <v>447</v>
      </c>
      <c r="E1213" s="53">
        <v>3.25</v>
      </c>
      <c r="F1213" s="54">
        <v>48625</v>
      </c>
      <c r="G1213" s="54">
        <v>46798</v>
      </c>
      <c r="H1213" s="53" t="s">
        <v>105</v>
      </c>
      <c r="I1213" s="53" t="s">
        <v>104</v>
      </c>
      <c r="J1213" s="53" t="s">
        <v>101</v>
      </c>
      <c r="K1213" s="53">
        <v>97.6</v>
      </c>
      <c r="L1213" s="53" t="s">
        <v>101</v>
      </c>
      <c r="M1213" s="53">
        <v>3.5979999999999999</v>
      </c>
      <c r="N1213" s="53">
        <v>3.5979999999999999</v>
      </c>
      <c r="O1213" s="53" t="s">
        <v>101</v>
      </c>
      <c r="P1213" s="53" t="s">
        <v>448</v>
      </c>
      <c r="Q1213" s="53" t="s">
        <v>488</v>
      </c>
      <c r="R1213" s="55" t="s">
        <v>454</v>
      </c>
    </row>
    <row r="1214" spans="1:18" x14ac:dyDescent="0.5">
      <c r="A1214" s="56" t="str">
        <f>"346425FQ9"</f>
        <v>346425FQ9</v>
      </c>
      <c r="B1214" s="57" t="s">
        <v>451</v>
      </c>
      <c r="C1214" s="57" t="s">
        <v>1539</v>
      </c>
      <c r="D1214" s="53" t="s">
        <v>447</v>
      </c>
      <c r="E1214" s="57">
        <v>3</v>
      </c>
      <c r="F1214" s="58">
        <v>48625</v>
      </c>
      <c r="G1214" s="58">
        <v>47529</v>
      </c>
      <c r="H1214" s="57" t="s">
        <v>105</v>
      </c>
      <c r="I1214" s="57" t="s">
        <v>104</v>
      </c>
      <c r="J1214" s="57" t="s">
        <v>101</v>
      </c>
      <c r="K1214" s="57">
        <v>94.11</v>
      </c>
      <c r="L1214" s="57" t="s">
        <v>101</v>
      </c>
      <c r="M1214" s="57">
        <v>3.8639999999999999</v>
      </c>
      <c r="N1214" s="57">
        <v>3.8639999999999999</v>
      </c>
      <c r="O1214" s="53" t="s">
        <v>101</v>
      </c>
      <c r="P1214" s="57" t="s">
        <v>448</v>
      </c>
      <c r="Q1214" s="57" t="s">
        <v>488</v>
      </c>
      <c r="R1214" s="59" t="s">
        <v>482</v>
      </c>
    </row>
    <row r="1215" spans="1:18" x14ac:dyDescent="0.5">
      <c r="A1215" s="52" t="str">
        <f>"34944RDR6"</f>
        <v>34944RDR6</v>
      </c>
      <c r="B1215" s="53" t="s">
        <v>451</v>
      </c>
      <c r="C1215" s="53" t="s">
        <v>1540</v>
      </c>
      <c r="D1215" s="53" t="s">
        <v>447</v>
      </c>
      <c r="E1215" s="53">
        <v>3</v>
      </c>
      <c r="F1215" s="54">
        <v>48625</v>
      </c>
      <c r="G1215" s="54">
        <v>46068</v>
      </c>
      <c r="H1215" s="53" t="s">
        <v>105</v>
      </c>
      <c r="I1215" s="53" t="s">
        <v>509</v>
      </c>
      <c r="J1215" s="53" t="s">
        <v>101</v>
      </c>
      <c r="K1215" s="53">
        <v>94.817999999999998</v>
      </c>
      <c r="L1215" s="53" t="s">
        <v>101</v>
      </c>
      <c r="M1215" s="53">
        <v>3.7570000000000001</v>
      </c>
      <c r="N1215" s="53">
        <v>3.7570000000000001</v>
      </c>
      <c r="O1215" s="53" t="s">
        <v>101</v>
      </c>
      <c r="P1215" s="53" t="s">
        <v>448</v>
      </c>
      <c r="Q1215" s="53" t="s">
        <v>1466</v>
      </c>
      <c r="R1215" s="55" t="s">
        <v>504</v>
      </c>
    </row>
    <row r="1216" spans="1:18" x14ac:dyDescent="0.5">
      <c r="A1216" s="56" t="str">
        <f>"358776K27"</f>
        <v>358776K27</v>
      </c>
      <c r="B1216" s="57" t="s">
        <v>451</v>
      </c>
      <c r="C1216" s="57" t="s">
        <v>1541</v>
      </c>
      <c r="D1216" s="53" t="s">
        <v>447</v>
      </c>
      <c r="E1216" s="57">
        <v>3</v>
      </c>
      <c r="F1216" s="58">
        <v>48625</v>
      </c>
      <c r="G1216" s="58">
        <v>47710</v>
      </c>
      <c r="H1216" s="57" t="s">
        <v>104</v>
      </c>
      <c r="I1216" s="57" t="s">
        <v>104</v>
      </c>
      <c r="J1216" s="57" t="s">
        <v>101</v>
      </c>
      <c r="K1216" s="57">
        <v>95.6</v>
      </c>
      <c r="L1216" s="57" t="s">
        <v>101</v>
      </c>
      <c r="M1216" s="57">
        <v>3.6389999999999998</v>
      </c>
      <c r="N1216" s="57">
        <v>3.6389999999999998</v>
      </c>
      <c r="O1216" s="53" t="s">
        <v>101</v>
      </c>
      <c r="P1216" s="57" t="s">
        <v>448</v>
      </c>
      <c r="Q1216" s="57" t="s">
        <v>457</v>
      </c>
      <c r="R1216" s="59" t="s">
        <v>589</v>
      </c>
    </row>
    <row r="1217" spans="1:18" x14ac:dyDescent="0.5">
      <c r="A1217" s="52" t="str">
        <f>"366119P58"</f>
        <v>366119P58</v>
      </c>
      <c r="B1217" s="53" t="s">
        <v>451</v>
      </c>
      <c r="C1217" s="53" t="s">
        <v>1542</v>
      </c>
      <c r="D1217" s="53" t="s">
        <v>447</v>
      </c>
      <c r="E1217" s="53">
        <v>3</v>
      </c>
      <c r="F1217" s="54">
        <v>48625</v>
      </c>
      <c r="G1217" s="54">
        <v>45703</v>
      </c>
      <c r="H1217" s="53" t="s">
        <v>105</v>
      </c>
      <c r="I1217" s="53" t="s">
        <v>509</v>
      </c>
      <c r="J1217" s="53" t="s">
        <v>101</v>
      </c>
      <c r="K1217" s="53">
        <v>93.79</v>
      </c>
      <c r="L1217" s="53" t="s">
        <v>101</v>
      </c>
      <c r="M1217" s="53">
        <v>3.9119999999999999</v>
      </c>
      <c r="N1217" s="53">
        <v>3.9119999999999999</v>
      </c>
      <c r="O1217" s="53" t="s">
        <v>101</v>
      </c>
      <c r="P1217" s="53" t="s">
        <v>448</v>
      </c>
      <c r="Q1217" s="53" t="s">
        <v>1543</v>
      </c>
      <c r="R1217" s="55" t="s">
        <v>454</v>
      </c>
    </row>
    <row r="1218" spans="1:18" x14ac:dyDescent="0.5">
      <c r="A1218" s="56" t="str">
        <f>"3661197E9"</f>
        <v>3661197E9</v>
      </c>
      <c r="B1218" s="57" t="s">
        <v>451</v>
      </c>
      <c r="C1218" s="57" t="s">
        <v>1544</v>
      </c>
      <c r="D1218" s="53" t="s">
        <v>447</v>
      </c>
      <c r="E1218" s="57">
        <v>3</v>
      </c>
      <c r="F1218" s="58">
        <v>48625</v>
      </c>
      <c r="G1218" s="58">
        <v>47894</v>
      </c>
      <c r="H1218" s="57" t="s">
        <v>105</v>
      </c>
      <c r="I1218" s="57" t="s">
        <v>509</v>
      </c>
      <c r="J1218" s="57" t="s">
        <v>101</v>
      </c>
      <c r="K1218" s="57">
        <v>94.838999999999999</v>
      </c>
      <c r="L1218" s="57" t="s">
        <v>101</v>
      </c>
      <c r="M1218" s="57">
        <v>3.7530000000000001</v>
      </c>
      <c r="N1218" s="57">
        <v>3.7530000000000001</v>
      </c>
      <c r="O1218" s="53" t="s">
        <v>101</v>
      </c>
      <c r="P1218" s="57" t="s">
        <v>448</v>
      </c>
      <c r="Q1218" s="57" t="s">
        <v>790</v>
      </c>
      <c r="R1218" s="59" t="s">
        <v>454</v>
      </c>
    </row>
    <row r="1219" spans="1:18" x14ac:dyDescent="0.5">
      <c r="A1219" s="52" t="str">
        <f>"382604W85"</f>
        <v>382604W85</v>
      </c>
      <c r="B1219" s="53" t="s">
        <v>451</v>
      </c>
      <c r="C1219" s="53" t="s">
        <v>1545</v>
      </c>
      <c r="D1219" s="53" t="s">
        <v>447</v>
      </c>
      <c r="E1219" s="53">
        <v>3</v>
      </c>
      <c r="F1219" s="54">
        <v>48625</v>
      </c>
      <c r="G1219" s="54">
        <v>47529</v>
      </c>
      <c r="H1219" s="53" t="s">
        <v>104</v>
      </c>
      <c r="I1219" s="53" t="s">
        <v>105</v>
      </c>
      <c r="J1219" s="53" t="s">
        <v>101</v>
      </c>
      <c r="K1219" s="53">
        <v>94.197999999999993</v>
      </c>
      <c r="L1219" s="53" t="s">
        <v>101</v>
      </c>
      <c r="M1219" s="53">
        <v>3.85</v>
      </c>
      <c r="N1219" s="53">
        <v>3.85</v>
      </c>
      <c r="O1219" s="53" t="s">
        <v>101</v>
      </c>
      <c r="P1219" s="53" t="s">
        <v>448</v>
      </c>
      <c r="Q1219" s="53" t="s">
        <v>457</v>
      </c>
      <c r="R1219" s="55" t="s">
        <v>482</v>
      </c>
    </row>
    <row r="1220" spans="1:18" x14ac:dyDescent="0.5">
      <c r="A1220" s="56" t="str">
        <f>"388625GX7"</f>
        <v>388625GX7</v>
      </c>
      <c r="B1220" s="57" t="s">
        <v>451</v>
      </c>
      <c r="C1220" s="57" t="s">
        <v>1546</v>
      </c>
      <c r="D1220" s="53" t="s">
        <v>447</v>
      </c>
      <c r="E1220" s="57">
        <v>3.125</v>
      </c>
      <c r="F1220" s="58">
        <v>48625</v>
      </c>
      <c r="G1220" s="58">
        <v>46433</v>
      </c>
      <c r="H1220" s="57" t="s">
        <v>540</v>
      </c>
      <c r="I1220" s="57" t="s">
        <v>509</v>
      </c>
      <c r="J1220" s="57" t="s">
        <v>101</v>
      </c>
      <c r="K1220" s="57">
        <v>96.92</v>
      </c>
      <c r="L1220" s="57" t="s">
        <v>101</v>
      </c>
      <c r="M1220" s="57">
        <v>3.5710000000000002</v>
      </c>
      <c r="N1220" s="57">
        <v>3.5710000000000002</v>
      </c>
      <c r="O1220" s="53" t="s">
        <v>101</v>
      </c>
      <c r="P1220" s="57" t="s">
        <v>448</v>
      </c>
      <c r="Q1220" s="57" t="s">
        <v>488</v>
      </c>
      <c r="R1220" s="59" t="s">
        <v>504</v>
      </c>
    </row>
    <row r="1221" spans="1:18" x14ac:dyDescent="0.5">
      <c r="A1221" s="52" t="str">
        <f>"388625HY4"</f>
        <v>388625HY4</v>
      </c>
      <c r="B1221" s="53" t="s">
        <v>451</v>
      </c>
      <c r="C1221" s="53" t="s">
        <v>1547</v>
      </c>
      <c r="D1221" s="53" t="s">
        <v>447</v>
      </c>
      <c r="E1221" s="53">
        <v>3</v>
      </c>
      <c r="F1221" s="54">
        <v>48625</v>
      </c>
      <c r="G1221" s="54">
        <v>46798</v>
      </c>
      <c r="H1221" s="53" t="s">
        <v>540</v>
      </c>
      <c r="I1221" s="53" t="s">
        <v>509</v>
      </c>
      <c r="J1221" s="53" t="s">
        <v>101</v>
      </c>
      <c r="K1221" s="53">
        <v>96.117999999999995</v>
      </c>
      <c r="L1221" s="53" t="s">
        <v>101</v>
      </c>
      <c r="M1221" s="53">
        <v>3.5619999999999998</v>
      </c>
      <c r="N1221" s="53">
        <v>3.5619999999999998</v>
      </c>
      <c r="O1221" s="53" t="s">
        <v>101</v>
      </c>
      <c r="P1221" s="53" t="s">
        <v>448</v>
      </c>
      <c r="Q1221" s="53" t="s">
        <v>947</v>
      </c>
      <c r="R1221" s="55" t="s">
        <v>454</v>
      </c>
    </row>
    <row r="1222" spans="1:18" x14ac:dyDescent="0.5">
      <c r="A1222" s="56" t="str">
        <f>"397586RN0"</f>
        <v>397586RN0</v>
      </c>
      <c r="B1222" s="57" t="s">
        <v>451</v>
      </c>
      <c r="C1222" s="57" t="s">
        <v>1548</v>
      </c>
      <c r="D1222" s="53" t="s">
        <v>447</v>
      </c>
      <c r="E1222" s="57">
        <v>3</v>
      </c>
      <c r="F1222" s="58">
        <v>48625</v>
      </c>
      <c r="G1222" s="58">
        <v>46980</v>
      </c>
      <c r="H1222" s="57" t="s">
        <v>104</v>
      </c>
      <c r="I1222" s="57" t="s">
        <v>104</v>
      </c>
      <c r="J1222" s="57" t="s">
        <v>101</v>
      </c>
      <c r="K1222" s="57">
        <v>95.671999999999997</v>
      </c>
      <c r="L1222" s="57" t="s">
        <v>101</v>
      </c>
      <c r="M1222" s="57">
        <v>3.629</v>
      </c>
      <c r="N1222" s="57">
        <v>3.629</v>
      </c>
      <c r="O1222" s="53" t="s">
        <v>101</v>
      </c>
      <c r="P1222" s="57" t="s">
        <v>448</v>
      </c>
      <c r="Q1222" s="57" t="s">
        <v>479</v>
      </c>
      <c r="R1222" s="59" t="s">
        <v>454</v>
      </c>
    </row>
    <row r="1223" spans="1:18" x14ac:dyDescent="0.5">
      <c r="A1223" s="52" t="str">
        <f>"41415UAS5"</f>
        <v>41415UAS5</v>
      </c>
      <c r="B1223" s="53" t="s">
        <v>451</v>
      </c>
      <c r="C1223" s="53" t="s">
        <v>1549</v>
      </c>
      <c r="D1223" s="53" t="s">
        <v>447</v>
      </c>
      <c r="E1223" s="53">
        <v>3</v>
      </c>
      <c r="F1223" s="54">
        <v>48625</v>
      </c>
      <c r="G1223" s="54">
        <v>46068</v>
      </c>
      <c r="H1223" s="53" t="s">
        <v>540</v>
      </c>
      <c r="I1223" s="53" t="s">
        <v>105</v>
      </c>
      <c r="J1223" s="53" t="s">
        <v>101</v>
      </c>
      <c r="K1223" s="53">
        <v>94.573999999999998</v>
      </c>
      <c r="L1223" s="53" t="s">
        <v>101</v>
      </c>
      <c r="M1223" s="53">
        <v>3.7930000000000001</v>
      </c>
      <c r="N1223" s="53">
        <v>3.7930000000000001</v>
      </c>
      <c r="O1223" s="53" t="s">
        <v>101</v>
      </c>
      <c r="P1223" s="53" t="s">
        <v>448</v>
      </c>
      <c r="Q1223" s="53" t="s">
        <v>1550</v>
      </c>
      <c r="R1223" s="55" t="s">
        <v>504</v>
      </c>
    </row>
    <row r="1224" spans="1:18" x14ac:dyDescent="0.5">
      <c r="A1224" s="56" t="str">
        <f>"41415WCL4"</f>
        <v>41415WCL4</v>
      </c>
      <c r="B1224" s="57" t="s">
        <v>451</v>
      </c>
      <c r="C1224" s="57" t="s">
        <v>1551</v>
      </c>
      <c r="D1224" s="53" t="s">
        <v>447</v>
      </c>
      <c r="E1224" s="57">
        <v>3</v>
      </c>
      <c r="F1224" s="58">
        <v>48625</v>
      </c>
      <c r="G1224" s="58">
        <v>46068</v>
      </c>
      <c r="H1224" s="57" t="s">
        <v>610</v>
      </c>
      <c r="I1224" s="57" t="s">
        <v>105</v>
      </c>
      <c r="J1224" s="57" t="s">
        <v>101</v>
      </c>
      <c r="K1224" s="57">
        <v>92.38</v>
      </c>
      <c r="L1224" s="57" t="s">
        <v>101</v>
      </c>
      <c r="M1224" s="57">
        <v>4.1289999999999996</v>
      </c>
      <c r="N1224" s="57">
        <v>4.1289999999999996</v>
      </c>
      <c r="O1224" s="53" t="s">
        <v>101</v>
      </c>
      <c r="P1224" s="57" t="s">
        <v>448</v>
      </c>
      <c r="Q1224" s="57" t="s">
        <v>1342</v>
      </c>
      <c r="R1224" s="59" t="s">
        <v>504</v>
      </c>
    </row>
    <row r="1225" spans="1:18" x14ac:dyDescent="0.5">
      <c r="A1225" s="52" t="str">
        <f>"422454HV3"</f>
        <v>422454HV3</v>
      </c>
      <c r="B1225" s="53" t="s">
        <v>451</v>
      </c>
      <c r="C1225" s="53" t="s">
        <v>1552</v>
      </c>
      <c r="D1225" s="53" t="s">
        <v>447</v>
      </c>
      <c r="E1225" s="53">
        <v>3.75</v>
      </c>
      <c r="F1225" s="54">
        <v>48625</v>
      </c>
      <c r="G1225" s="54">
        <v>45733</v>
      </c>
      <c r="H1225" s="53" t="s">
        <v>105</v>
      </c>
      <c r="I1225" s="53" t="s">
        <v>509</v>
      </c>
      <c r="J1225" s="53" t="s">
        <v>101</v>
      </c>
      <c r="K1225" s="53">
        <v>99.54</v>
      </c>
      <c r="L1225" s="53" t="s">
        <v>101</v>
      </c>
      <c r="M1225" s="53">
        <v>3.8170000000000002</v>
      </c>
      <c r="N1225" s="53">
        <v>3.8170000000000002</v>
      </c>
      <c r="O1225" s="53" t="s">
        <v>101</v>
      </c>
      <c r="P1225" s="53" t="s">
        <v>448</v>
      </c>
      <c r="Q1225" s="53" t="s">
        <v>479</v>
      </c>
      <c r="R1225" s="55" t="s">
        <v>504</v>
      </c>
    </row>
    <row r="1226" spans="1:18" x14ac:dyDescent="0.5">
      <c r="A1226" s="56" t="str">
        <f>"430840E38"</f>
        <v>430840E38</v>
      </c>
      <c r="B1226" s="57" t="s">
        <v>451</v>
      </c>
      <c r="C1226" s="57" t="s">
        <v>1553</v>
      </c>
      <c r="D1226" s="53" t="s">
        <v>447</v>
      </c>
      <c r="E1226" s="57">
        <v>3</v>
      </c>
      <c r="F1226" s="58">
        <v>48625</v>
      </c>
      <c r="G1226" s="58">
        <v>47894</v>
      </c>
      <c r="H1226" s="57" t="s">
        <v>105</v>
      </c>
      <c r="I1226" s="57" t="s">
        <v>104</v>
      </c>
      <c r="J1226" s="57" t="s">
        <v>101</v>
      </c>
      <c r="K1226" s="57">
        <v>95.278000000000006</v>
      </c>
      <c r="L1226" s="57" t="s">
        <v>101</v>
      </c>
      <c r="M1226" s="57">
        <v>3.6880000000000002</v>
      </c>
      <c r="N1226" s="57">
        <v>3.6880000000000002</v>
      </c>
      <c r="O1226" s="53" t="s">
        <v>101</v>
      </c>
      <c r="P1226" s="57" t="s">
        <v>448</v>
      </c>
      <c r="Q1226" s="57" t="s">
        <v>538</v>
      </c>
      <c r="R1226" s="59" t="s">
        <v>504</v>
      </c>
    </row>
    <row r="1227" spans="1:18" x14ac:dyDescent="0.5">
      <c r="A1227" s="52" t="str">
        <f>"447276PY6"</f>
        <v>447276PY6</v>
      </c>
      <c r="B1227" s="53" t="s">
        <v>451</v>
      </c>
      <c r="C1227" s="53" t="s">
        <v>1554</v>
      </c>
      <c r="D1227" s="53" t="s">
        <v>447</v>
      </c>
      <c r="E1227" s="53">
        <v>3</v>
      </c>
      <c r="F1227" s="54">
        <v>48625</v>
      </c>
      <c r="G1227" s="54">
        <v>47529</v>
      </c>
      <c r="H1227" s="53" t="s">
        <v>104</v>
      </c>
      <c r="I1227" s="53" t="s">
        <v>105</v>
      </c>
      <c r="J1227" s="53" t="s">
        <v>101</v>
      </c>
      <c r="K1227" s="53">
        <v>94.408000000000001</v>
      </c>
      <c r="L1227" s="53" t="s">
        <v>101</v>
      </c>
      <c r="M1227" s="53">
        <v>3.8180000000000001</v>
      </c>
      <c r="N1227" s="53">
        <v>3.8180000000000001</v>
      </c>
      <c r="O1227" s="53" t="s">
        <v>101</v>
      </c>
      <c r="P1227" s="53" t="s">
        <v>448</v>
      </c>
      <c r="Q1227" s="53" t="s">
        <v>460</v>
      </c>
      <c r="R1227" s="55" t="s">
        <v>454</v>
      </c>
    </row>
    <row r="1228" spans="1:18" x14ac:dyDescent="0.5">
      <c r="A1228" s="56" t="str">
        <f>"45204EPN2"</f>
        <v>45204EPN2</v>
      </c>
      <c r="B1228" s="57" t="s">
        <v>491</v>
      </c>
      <c r="C1228" s="57" t="s">
        <v>1555</v>
      </c>
      <c r="D1228" s="53" t="s">
        <v>447</v>
      </c>
      <c r="E1228" s="57">
        <v>3.5</v>
      </c>
      <c r="F1228" s="58">
        <v>48625</v>
      </c>
      <c r="G1228" s="58">
        <v>46068</v>
      </c>
      <c r="H1228" s="57" t="s">
        <v>105</v>
      </c>
      <c r="I1228" s="57" t="s">
        <v>616</v>
      </c>
      <c r="J1228" s="57" t="s">
        <v>101</v>
      </c>
      <c r="K1228" s="57">
        <v>98.61</v>
      </c>
      <c r="L1228" s="57" t="s">
        <v>101</v>
      </c>
      <c r="M1228" s="57">
        <v>3.702</v>
      </c>
      <c r="N1228" s="57">
        <v>3.702</v>
      </c>
      <c r="O1228" s="53" t="s">
        <v>101</v>
      </c>
      <c r="P1228" s="57" t="s">
        <v>448</v>
      </c>
      <c r="Q1228" s="57" t="s">
        <v>475</v>
      </c>
      <c r="R1228" s="59" t="s">
        <v>450</v>
      </c>
    </row>
    <row r="1229" spans="1:18" x14ac:dyDescent="0.5">
      <c r="A1229" s="52" t="str">
        <f>"471146RX0"</f>
        <v>471146RX0</v>
      </c>
      <c r="B1229" s="53" t="s">
        <v>451</v>
      </c>
      <c r="C1229" s="53" t="s">
        <v>1556</v>
      </c>
      <c r="D1229" s="53" t="s">
        <v>447</v>
      </c>
      <c r="E1229" s="53">
        <v>3.125</v>
      </c>
      <c r="F1229" s="54">
        <v>48625</v>
      </c>
      <c r="G1229" s="54">
        <v>46433</v>
      </c>
      <c r="H1229" s="53" t="s">
        <v>105</v>
      </c>
      <c r="I1229" s="53" t="s">
        <v>104</v>
      </c>
      <c r="J1229" s="53" t="s">
        <v>101</v>
      </c>
      <c r="K1229" s="53">
        <v>96.811999999999998</v>
      </c>
      <c r="L1229" s="53" t="s">
        <v>101</v>
      </c>
      <c r="M1229" s="53">
        <v>3.5870000000000002</v>
      </c>
      <c r="N1229" s="53">
        <v>3.5870000000000002</v>
      </c>
      <c r="O1229" s="53" t="s">
        <v>101</v>
      </c>
      <c r="P1229" s="53" t="s">
        <v>448</v>
      </c>
      <c r="Q1229" s="53" t="s">
        <v>488</v>
      </c>
      <c r="R1229" s="55" t="s">
        <v>454</v>
      </c>
    </row>
    <row r="1230" spans="1:18" x14ac:dyDescent="0.5">
      <c r="A1230" s="56" t="str">
        <f>"516824AR0"</f>
        <v>516824AR0</v>
      </c>
      <c r="B1230" s="57" t="s">
        <v>451</v>
      </c>
      <c r="C1230" s="57" t="s">
        <v>1557</v>
      </c>
      <c r="D1230" s="53" t="s">
        <v>447</v>
      </c>
      <c r="E1230" s="57">
        <v>3.5</v>
      </c>
      <c r="F1230" s="58">
        <v>48625</v>
      </c>
      <c r="G1230" s="58">
        <v>45703</v>
      </c>
      <c r="H1230" s="57" t="s">
        <v>613</v>
      </c>
      <c r="I1230" s="57" t="s">
        <v>628</v>
      </c>
      <c r="J1230" s="57" t="s">
        <v>101</v>
      </c>
      <c r="K1230" s="57">
        <v>99.45</v>
      </c>
      <c r="L1230" s="57" t="s">
        <v>101</v>
      </c>
      <c r="M1230" s="57">
        <v>3.58</v>
      </c>
      <c r="N1230" s="57">
        <v>3.58</v>
      </c>
      <c r="O1230" s="53" t="s">
        <v>101</v>
      </c>
      <c r="P1230" s="57" t="s">
        <v>448</v>
      </c>
      <c r="Q1230" s="57" t="s">
        <v>488</v>
      </c>
      <c r="R1230" s="59" t="s">
        <v>504</v>
      </c>
    </row>
    <row r="1231" spans="1:18" x14ac:dyDescent="0.5">
      <c r="A1231" s="52" t="str">
        <f>"5217688C8"</f>
        <v>5217688C8</v>
      </c>
      <c r="B1231" s="53" t="s">
        <v>451</v>
      </c>
      <c r="C1231" s="53" t="s">
        <v>1558</v>
      </c>
      <c r="D1231" s="53" t="s">
        <v>447</v>
      </c>
      <c r="E1231" s="53">
        <v>2.625</v>
      </c>
      <c r="F1231" s="54">
        <v>48625</v>
      </c>
      <c r="G1231" s="54">
        <v>46068</v>
      </c>
      <c r="H1231" s="53" t="s">
        <v>540</v>
      </c>
      <c r="I1231" s="53" t="s">
        <v>105</v>
      </c>
      <c r="J1231" s="53" t="s">
        <v>101</v>
      </c>
      <c r="K1231" s="53">
        <v>90.721000000000004</v>
      </c>
      <c r="L1231" s="53" t="s">
        <v>101</v>
      </c>
      <c r="M1231" s="53">
        <v>3.9929999999999999</v>
      </c>
      <c r="N1231" s="53">
        <v>3.9929999999999999</v>
      </c>
      <c r="O1231" s="53" t="s">
        <v>101</v>
      </c>
      <c r="P1231" s="53" t="s">
        <v>448</v>
      </c>
      <c r="Q1231" s="53" t="s">
        <v>556</v>
      </c>
      <c r="R1231" s="55" t="s">
        <v>454</v>
      </c>
    </row>
    <row r="1232" spans="1:18" x14ac:dyDescent="0.5">
      <c r="A1232" s="56" t="str">
        <f>"521769AR0"</f>
        <v>521769AR0</v>
      </c>
      <c r="B1232" s="57" t="s">
        <v>451</v>
      </c>
      <c r="C1232" s="57" t="s">
        <v>1559</v>
      </c>
      <c r="D1232" s="53" t="s">
        <v>447</v>
      </c>
      <c r="E1232" s="57">
        <v>3</v>
      </c>
      <c r="F1232" s="58">
        <v>48625</v>
      </c>
      <c r="G1232" s="58">
        <v>46433</v>
      </c>
      <c r="H1232" s="57" t="s">
        <v>540</v>
      </c>
      <c r="I1232" s="57" t="s">
        <v>509</v>
      </c>
      <c r="J1232" s="57" t="s">
        <v>101</v>
      </c>
      <c r="K1232" s="57">
        <v>95.415000000000006</v>
      </c>
      <c r="L1232" s="57" t="s">
        <v>101</v>
      </c>
      <c r="M1232" s="57">
        <v>3.6669999999999998</v>
      </c>
      <c r="N1232" s="57">
        <v>3.6669999999999998</v>
      </c>
      <c r="O1232" s="53" t="s">
        <v>101</v>
      </c>
      <c r="P1232" s="57" t="s">
        <v>448</v>
      </c>
      <c r="Q1232" s="57" t="s">
        <v>485</v>
      </c>
      <c r="R1232" s="59" t="s">
        <v>504</v>
      </c>
    </row>
    <row r="1233" spans="1:18" x14ac:dyDescent="0.5">
      <c r="A1233" s="52" t="str">
        <f>"549108QT8"</f>
        <v>549108QT8</v>
      </c>
      <c r="B1233" s="53" t="s">
        <v>451</v>
      </c>
      <c r="C1233" s="53" t="s">
        <v>1560</v>
      </c>
      <c r="D1233" s="53" t="s">
        <v>447</v>
      </c>
      <c r="E1233" s="53">
        <v>3.5</v>
      </c>
      <c r="F1233" s="54">
        <v>48625</v>
      </c>
      <c r="G1233" s="54">
        <v>46068</v>
      </c>
      <c r="H1233" s="53" t="s">
        <v>105</v>
      </c>
      <c r="I1233" s="53" t="s">
        <v>104</v>
      </c>
      <c r="J1233" s="53" t="s">
        <v>101</v>
      </c>
      <c r="K1233" s="53">
        <v>99.07</v>
      </c>
      <c r="L1233" s="53" t="s">
        <v>101</v>
      </c>
      <c r="M1233" s="53">
        <v>3.6349999999999998</v>
      </c>
      <c r="N1233" s="53">
        <v>3.6349999999999998</v>
      </c>
      <c r="O1233" s="53" t="s">
        <v>101</v>
      </c>
      <c r="P1233" s="53" t="s">
        <v>448</v>
      </c>
      <c r="Q1233" s="53" t="s">
        <v>457</v>
      </c>
      <c r="R1233" s="55" t="s">
        <v>454</v>
      </c>
    </row>
    <row r="1234" spans="1:18" x14ac:dyDescent="0.5">
      <c r="A1234" s="56" t="str">
        <f>"565335LZ7"</f>
        <v>565335LZ7</v>
      </c>
      <c r="B1234" s="57" t="s">
        <v>477</v>
      </c>
      <c r="C1234" s="57" t="s">
        <v>1561</v>
      </c>
      <c r="D1234" s="53" t="s">
        <v>447</v>
      </c>
      <c r="E1234" s="57">
        <v>3</v>
      </c>
      <c r="F1234" s="58">
        <v>48625</v>
      </c>
      <c r="G1234" s="58">
        <v>46068</v>
      </c>
      <c r="H1234" s="57" t="s">
        <v>105</v>
      </c>
      <c r="I1234" s="57" t="s">
        <v>616</v>
      </c>
      <c r="J1234" s="57" t="s">
        <v>101</v>
      </c>
      <c r="K1234" s="57">
        <v>94.49</v>
      </c>
      <c r="L1234" s="57" t="s">
        <v>101</v>
      </c>
      <c r="M1234" s="57">
        <v>3.806</v>
      </c>
      <c r="N1234" s="57">
        <v>3.806</v>
      </c>
      <c r="O1234" s="53" t="s">
        <v>101</v>
      </c>
      <c r="P1234" s="57" t="s">
        <v>448</v>
      </c>
      <c r="Q1234" s="57" t="s">
        <v>488</v>
      </c>
      <c r="R1234" s="59" t="s">
        <v>454</v>
      </c>
    </row>
    <row r="1235" spans="1:18" x14ac:dyDescent="0.5">
      <c r="A1235" s="52" t="str">
        <f>"585483MG2"</f>
        <v>585483MG2</v>
      </c>
      <c r="B1235" s="53" t="s">
        <v>451</v>
      </c>
      <c r="C1235" s="53" t="s">
        <v>1562</v>
      </c>
      <c r="D1235" s="53" t="s">
        <v>447</v>
      </c>
      <c r="E1235" s="53">
        <v>3.125</v>
      </c>
      <c r="F1235" s="54">
        <v>48625</v>
      </c>
      <c r="G1235" s="54">
        <v>45733</v>
      </c>
      <c r="H1235" s="53" t="s">
        <v>613</v>
      </c>
      <c r="I1235" s="53" t="s">
        <v>628</v>
      </c>
      <c r="J1235" s="53" t="s">
        <v>101</v>
      </c>
      <c r="K1235" s="53">
        <v>94.44</v>
      </c>
      <c r="L1235" s="53" t="s">
        <v>101</v>
      </c>
      <c r="M1235" s="53">
        <v>3.9430000000000001</v>
      </c>
      <c r="N1235" s="53">
        <v>3.9430000000000001</v>
      </c>
      <c r="O1235" s="53" t="s">
        <v>101</v>
      </c>
      <c r="P1235" s="53" t="s">
        <v>448</v>
      </c>
      <c r="Q1235" s="53" t="s">
        <v>479</v>
      </c>
      <c r="R1235" s="55" t="s">
        <v>630</v>
      </c>
    </row>
    <row r="1236" spans="1:18" x14ac:dyDescent="0.5">
      <c r="A1236" s="56" t="str">
        <f>"587839N64"</f>
        <v>587839N64</v>
      </c>
      <c r="B1236" s="57" t="s">
        <v>477</v>
      </c>
      <c r="C1236" s="57" t="s">
        <v>1563</v>
      </c>
      <c r="D1236" s="53" t="s">
        <v>447</v>
      </c>
      <c r="E1236" s="57">
        <v>2</v>
      </c>
      <c r="F1236" s="58">
        <v>48625</v>
      </c>
      <c r="G1236" s="58">
        <v>47164</v>
      </c>
      <c r="H1236" s="57" t="s">
        <v>105</v>
      </c>
      <c r="I1236" s="57" t="s">
        <v>628</v>
      </c>
      <c r="J1236" s="57" t="s">
        <v>101</v>
      </c>
      <c r="K1236" s="57">
        <v>84.69</v>
      </c>
      <c r="L1236" s="57" t="s">
        <v>101</v>
      </c>
      <c r="M1236" s="57">
        <v>4.282</v>
      </c>
      <c r="N1236" s="57">
        <v>4.282</v>
      </c>
      <c r="O1236" s="53" t="s">
        <v>101</v>
      </c>
      <c r="P1236" s="57" t="s">
        <v>448</v>
      </c>
      <c r="Q1236" s="57" t="s">
        <v>488</v>
      </c>
      <c r="R1236" s="59" t="s">
        <v>454</v>
      </c>
    </row>
    <row r="1237" spans="1:18" x14ac:dyDescent="0.5">
      <c r="A1237" s="52" t="str">
        <f>"609010DH3"</f>
        <v>609010DH3</v>
      </c>
      <c r="B1237" s="53" t="s">
        <v>451</v>
      </c>
      <c r="C1237" s="53" t="s">
        <v>1564</v>
      </c>
      <c r="D1237" s="53" t="s">
        <v>447</v>
      </c>
      <c r="E1237" s="53">
        <v>3</v>
      </c>
      <c r="F1237" s="54">
        <v>48625</v>
      </c>
      <c r="G1237" s="54">
        <v>46433</v>
      </c>
      <c r="H1237" s="53" t="s">
        <v>105</v>
      </c>
      <c r="I1237" s="53" t="s">
        <v>104</v>
      </c>
      <c r="J1237" s="53" t="s">
        <v>101</v>
      </c>
      <c r="K1237" s="53">
        <v>95.474000000000004</v>
      </c>
      <c r="L1237" s="53" t="s">
        <v>101</v>
      </c>
      <c r="M1237" s="53">
        <v>3.6579999999999999</v>
      </c>
      <c r="N1237" s="53">
        <v>3.6579999999999999</v>
      </c>
      <c r="O1237" s="53" t="s">
        <v>101</v>
      </c>
      <c r="P1237" s="53" t="s">
        <v>448</v>
      </c>
      <c r="Q1237" s="53" t="s">
        <v>457</v>
      </c>
      <c r="R1237" s="55" t="s">
        <v>454</v>
      </c>
    </row>
    <row r="1238" spans="1:18" x14ac:dyDescent="0.5">
      <c r="A1238" s="56" t="str">
        <f>"626752UQ0"</f>
        <v>626752UQ0</v>
      </c>
      <c r="B1238" s="57" t="s">
        <v>451</v>
      </c>
      <c r="C1238" s="57" t="s">
        <v>1565</v>
      </c>
      <c r="D1238" s="53" t="s">
        <v>447</v>
      </c>
      <c r="E1238" s="57">
        <v>3.125</v>
      </c>
      <c r="F1238" s="58">
        <v>48625</v>
      </c>
      <c r="G1238" s="58">
        <v>46433</v>
      </c>
      <c r="H1238" s="57" t="s">
        <v>105</v>
      </c>
      <c r="I1238" s="57" t="s">
        <v>509</v>
      </c>
      <c r="J1238" s="57" t="s">
        <v>101</v>
      </c>
      <c r="K1238" s="57">
        <v>97.091999999999999</v>
      </c>
      <c r="L1238" s="57" t="s">
        <v>101</v>
      </c>
      <c r="M1238" s="57">
        <v>3.5459999999999998</v>
      </c>
      <c r="N1238" s="57">
        <v>3.5459999999999998</v>
      </c>
      <c r="O1238" s="53" t="s">
        <v>101</v>
      </c>
      <c r="P1238" s="57" t="s">
        <v>448</v>
      </c>
      <c r="Q1238" s="57" t="s">
        <v>666</v>
      </c>
      <c r="R1238" s="59" t="s">
        <v>504</v>
      </c>
    </row>
    <row r="1239" spans="1:18" x14ac:dyDescent="0.5">
      <c r="A1239" s="52" t="str">
        <f>"643154HF7"</f>
        <v>643154HF7</v>
      </c>
      <c r="B1239" s="53" t="s">
        <v>451</v>
      </c>
      <c r="C1239" s="53" t="s">
        <v>1566</v>
      </c>
      <c r="D1239" s="53" t="s">
        <v>447</v>
      </c>
      <c r="E1239" s="53">
        <v>3</v>
      </c>
      <c r="F1239" s="54">
        <v>48625</v>
      </c>
      <c r="G1239" s="54">
        <v>47894</v>
      </c>
      <c r="H1239" s="53" t="s">
        <v>104</v>
      </c>
      <c r="I1239" s="53" t="s">
        <v>105</v>
      </c>
      <c r="J1239" s="53" t="s">
        <v>101</v>
      </c>
      <c r="K1239" s="53">
        <v>96.215999999999994</v>
      </c>
      <c r="L1239" s="53" t="s">
        <v>101</v>
      </c>
      <c r="M1239" s="53">
        <v>3.548</v>
      </c>
      <c r="N1239" s="53">
        <v>3.548</v>
      </c>
      <c r="O1239" s="53" t="s">
        <v>101</v>
      </c>
      <c r="P1239" s="53" t="s">
        <v>448</v>
      </c>
      <c r="Q1239" s="53" t="s">
        <v>453</v>
      </c>
      <c r="R1239" s="55" t="s">
        <v>454</v>
      </c>
    </row>
    <row r="1240" spans="1:18" x14ac:dyDescent="0.5">
      <c r="A1240" s="56" t="str">
        <f>"661838PC0"</f>
        <v>661838PC0</v>
      </c>
      <c r="B1240" s="57" t="s">
        <v>451</v>
      </c>
      <c r="C1240" s="57" t="s">
        <v>1567</v>
      </c>
      <c r="D1240" s="53" t="s">
        <v>447</v>
      </c>
      <c r="E1240" s="57">
        <v>3</v>
      </c>
      <c r="F1240" s="58">
        <v>48625</v>
      </c>
      <c r="G1240" s="58">
        <v>46433</v>
      </c>
      <c r="H1240" s="57" t="s">
        <v>613</v>
      </c>
      <c r="I1240" s="57" t="s">
        <v>509</v>
      </c>
      <c r="J1240" s="57" t="s">
        <v>101</v>
      </c>
      <c r="K1240" s="57">
        <v>95.700999999999993</v>
      </c>
      <c r="L1240" s="57" t="s">
        <v>101</v>
      </c>
      <c r="M1240" s="57">
        <v>3.6240000000000001</v>
      </c>
      <c r="N1240" s="57">
        <v>3.6240000000000001</v>
      </c>
      <c r="O1240" s="53" t="s">
        <v>101</v>
      </c>
      <c r="P1240" s="57" t="s">
        <v>448</v>
      </c>
      <c r="Q1240" s="57" t="s">
        <v>488</v>
      </c>
      <c r="R1240" s="59" t="s">
        <v>504</v>
      </c>
    </row>
    <row r="1241" spans="1:18" x14ac:dyDescent="0.5">
      <c r="A1241" s="52" t="str">
        <f>"661838RZ7"</f>
        <v>661838RZ7</v>
      </c>
      <c r="B1241" s="53" t="s">
        <v>451</v>
      </c>
      <c r="C1241" s="53" t="s">
        <v>1568</v>
      </c>
      <c r="D1241" s="53" t="s">
        <v>447</v>
      </c>
      <c r="E1241" s="53">
        <v>2.5</v>
      </c>
      <c r="F1241" s="54">
        <v>48625</v>
      </c>
      <c r="G1241" s="54">
        <v>46980</v>
      </c>
      <c r="H1241" s="53" t="s">
        <v>613</v>
      </c>
      <c r="I1241" s="53" t="s">
        <v>509</v>
      </c>
      <c r="J1241" s="53" t="s">
        <v>101</v>
      </c>
      <c r="K1241" s="53">
        <v>89.236999999999995</v>
      </c>
      <c r="L1241" s="53" t="s">
        <v>101</v>
      </c>
      <c r="M1241" s="53">
        <v>4.093</v>
      </c>
      <c r="N1241" s="53">
        <v>4.093</v>
      </c>
      <c r="O1241" s="53" t="s">
        <v>101</v>
      </c>
      <c r="P1241" s="53" t="s">
        <v>448</v>
      </c>
      <c r="Q1241" s="53" t="s">
        <v>527</v>
      </c>
      <c r="R1241" s="55" t="s">
        <v>504</v>
      </c>
    </row>
    <row r="1242" spans="1:18" x14ac:dyDescent="0.5">
      <c r="A1242" s="56" t="str">
        <f>"705227GL4"</f>
        <v>705227GL4</v>
      </c>
      <c r="B1242" s="57" t="s">
        <v>451</v>
      </c>
      <c r="C1242" s="57" t="s">
        <v>1569</v>
      </c>
      <c r="D1242" s="53" t="s">
        <v>447</v>
      </c>
      <c r="E1242" s="57">
        <v>4</v>
      </c>
      <c r="F1242" s="58">
        <v>48625</v>
      </c>
      <c r="G1242" s="58">
        <v>46068</v>
      </c>
      <c r="H1242" s="57" t="s">
        <v>105</v>
      </c>
      <c r="I1242" s="57" t="s">
        <v>104</v>
      </c>
      <c r="J1242" s="57" t="s">
        <v>101</v>
      </c>
      <c r="K1242" s="57">
        <v>100.357</v>
      </c>
      <c r="L1242" s="57" t="s">
        <v>101</v>
      </c>
      <c r="M1242" s="57">
        <v>3.63</v>
      </c>
      <c r="N1242" s="57">
        <v>3.9470000000000001</v>
      </c>
      <c r="O1242" s="53" t="s">
        <v>101</v>
      </c>
      <c r="P1242" s="57" t="s">
        <v>448</v>
      </c>
      <c r="Q1242" s="57" t="s">
        <v>485</v>
      </c>
      <c r="R1242" s="59" t="s">
        <v>454</v>
      </c>
    </row>
    <row r="1243" spans="1:18" x14ac:dyDescent="0.5">
      <c r="A1243" s="52" t="str">
        <f>"73474MPB5"</f>
        <v>73474MPB5</v>
      </c>
      <c r="B1243" s="53" t="s">
        <v>451</v>
      </c>
      <c r="C1243" s="53" t="s">
        <v>1570</v>
      </c>
      <c r="D1243" s="53" t="s">
        <v>447</v>
      </c>
      <c r="E1243" s="53">
        <v>3</v>
      </c>
      <c r="F1243" s="54">
        <v>48625</v>
      </c>
      <c r="G1243" s="54">
        <v>45703</v>
      </c>
      <c r="H1243" s="53" t="s">
        <v>104</v>
      </c>
      <c r="I1243" s="53" t="s">
        <v>105</v>
      </c>
      <c r="J1243" s="53" t="s">
        <v>101</v>
      </c>
      <c r="K1243" s="53">
        <v>94.43</v>
      </c>
      <c r="L1243" s="53" t="s">
        <v>101</v>
      </c>
      <c r="M1243" s="53">
        <v>3.8149999999999999</v>
      </c>
      <c r="N1243" s="53">
        <v>3.8149999999999999</v>
      </c>
      <c r="O1243" s="53" t="s">
        <v>101</v>
      </c>
      <c r="P1243" s="53" t="s">
        <v>448</v>
      </c>
      <c r="Q1243" s="53" t="s">
        <v>488</v>
      </c>
      <c r="R1243" s="55" t="s">
        <v>454</v>
      </c>
    </row>
    <row r="1244" spans="1:18" x14ac:dyDescent="0.5">
      <c r="A1244" s="56" t="str">
        <f>"73474MPS8"</f>
        <v>73474MPS8</v>
      </c>
      <c r="B1244" s="57" t="s">
        <v>451</v>
      </c>
      <c r="C1244" s="57" t="s">
        <v>1571</v>
      </c>
      <c r="D1244" s="53" t="s">
        <v>447</v>
      </c>
      <c r="E1244" s="57">
        <v>3</v>
      </c>
      <c r="F1244" s="58">
        <v>48625</v>
      </c>
      <c r="G1244" s="58">
        <v>46068</v>
      </c>
      <c r="H1244" s="57" t="s">
        <v>104</v>
      </c>
      <c r="I1244" s="57" t="s">
        <v>105</v>
      </c>
      <c r="J1244" s="57" t="s">
        <v>101</v>
      </c>
      <c r="K1244" s="57">
        <v>94.436000000000007</v>
      </c>
      <c r="L1244" s="57" t="s">
        <v>101</v>
      </c>
      <c r="M1244" s="57">
        <v>3.8140000000000001</v>
      </c>
      <c r="N1244" s="57">
        <v>3.8140000000000001</v>
      </c>
      <c r="O1244" s="53" t="s">
        <v>101</v>
      </c>
      <c r="P1244" s="57" t="s">
        <v>448</v>
      </c>
      <c r="Q1244" s="57" t="s">
        <v>718</v>
      </c>
      <c r="R1244" s="59" t="s">
        <v>454</v>
      </c>
    </row>
    <row r="1245" spans="1:18" x14ac:dyDescent="0.5">
      <c r="A1245" s="52" t="str">
        <f>"742395VA1"</f>
        <v>742395VA1</v>
      </c>
      <c r="B1245" s="53" t="s">
        <v>451</v>
      </c>
      <c r="C1245" s="53" t="s">
        <v>1572</v>
      </c>
      <c r="D1245" s="53" t="s">
        <v>447</v>
      </c>
      <c r="E1245" s="53">
        <v>3</v>
      </c>
      <c r="F1245" s="54">
        <v>48625</v>
      </c>
      <c r="G1245" s="54">
        <v>47529</v>
      </c>
      <c r="H1245" s="53" t="s">
        <v>104</v>
      </c>
      <c r="I1245" s="53" t="s">
        <v>105</v>
      </c>
      <c r="J1245" s="53" t="s">
        <v>101</v>
      </c>
      <c r="K1245" s="53">
        <v>95.768000000000001</v>
      </c>
      <c r="L1245" s="53" t="s">
        <v>101</v>
      </c>
      <c r="M1245" s="53">
        <v>3.6139999999999999</v>
      </c>
      <c r="N1245" s="53">
        <v>3.6139999999999999</v>
      </c>
      <c r="O1245" s="53" t="s">
        <v>101</v>
      </c>
      <c r="P1245" s="53" t="s">
        <v>448</v>
      </c>
      <c r="Q1245" s="53" t="s">
        <v>457</v>
      </c>
      <c r="R1245" s="55" t="s">
        <v>454</v>
      </c>
    </row>
    <row r="1246" spans="1:18" x14ac:dyDescent="0.5">
      <c r="A1246" s="56" t="str">
        <f>"779699CW5"</f>
        <v>779699CW5</v>
      </c>
      <c r="B1246" s="57" t="s">
        <v>451</v>
      </c>
      <c r="C1246" s="57" t="s">
        <v>1573</v>
      </c>
      <c r="D1246" s="53" t="s">
        <v>447</v>
      </c>
      <c r="E1246" s="57">
        <v>3</v>
      </c>
      <c r="F1246" s="58">
        <v>48625</v>
      </c>
      <c r="G1246" s="58">
        <v>46433</v>
      </c>
      <c r="H1246" s="57" t="s">
        <v>613</v>
      </c>
      <c r="I1246" s="57" t="s">
        <v>509</v>
      </c>
      <c r="J1246" s="57" t="s">
        <v>101</v>
      </c>
      <c r="K1246" s="57">
        <v>96.331999999999994</v>
      </c>
      <c r="L1246" s="57" t="s">
        <v>101</v>
      </c>
      <c r="M1246" s="57">
        <v>3.5310000000000001</v>
      </c>
      <c r="N1246" s="57">
        <v>3.5310000000000001</v>
      </c>
      <c r="O1246" s="53" t="s">
        <v>101</v>
      </c>
      <c r="P1246" s="57" t="s">
        <v>448</v>
      </c>
      <c r="Q1246" s="57" t="s">
        <v>503</v>
      </c>
      <c r="R1246" s="59" t="s">
        <v>454</v>
      </c>
    </row>
    <row r="1247" spans="1:18" x14ac:dyDescent="0.5">
      <c r="A1247" s="52" t="str">
        <f>"779699DR5"</f>
        <v>779699DR5</v>
      </c>
      <c r="B1247" s="53" t="s">
        <v>451</v>
      </c>
      <c r="C1247" s="53" t="s">
        <v>1574</v>
      </c>
      <c r="D1247" s="53" t="s">
        <v>447</v>
      </c>
      <c r="E1247" s="53">
        <v>3.125</v>
      </c>
      <c r="F1247" s="54">
        <v>48625</v>
      </c>
      <c r="G1247" s="54">
        <v>46798</v>
      </c>
      <c r="H1247" s="53" t="s">
        <v>613</v>
      </c>
      <c r="I1247" s="53" t="s">
        <v>509</v>
      </c>
      <c r="J1247" s="53" t="s">
        <v>101</v>
      </c>
      <c r="K1247" s="53">
        <v>95.221000000000004</v>
      </c>
      <c r="L1247" s="53" t="s">
        <v>101</v>
      </c>
      <c r="M1247" s="53">
        <v>3.8250000000000002</v>
      </c>
      <c r="N1247" s="53">
        <v>3.8250000000000002</v>
      </c>
      <c r="O1247" s="53" t="s">
        <v>101</v>
      </c>
      <c r="P1247" s="53" t="s">
        <v>448</v>
      </c>
      <c r="Q1247" s="53" t="s">
        <v>488</v>
      </c>
      <c r="R1247" s="55" t="s">
        <v>454</v>
      </c>
    </row>
    <row r="1248" spans="1:18" x14ac:dyDescent="0.5">
      <c r="A1248" s="56" t="str">
        <f>"780699RC0"</f>
        <v>780699RC0</v>
      </c>
      <c r="B1248" s="57" t="s">
        <v>451</v>
      </c>
      <c r="C1248" s="57" t="s">
        <v>1575</v>
      </c>
      <c r="D1248" s="53" t="s">
        <v>447</v>
      </c>
      <c r="E1248" s="57">
        <v>3.125</v>
      </c>
      <c r="F1248" s="58">
        <v>48625</v>
      </c>
      <c r="G1248" s="58">
        <v>46433</v>
      </c>
      <c r="H1248" s="57" t="s">
        <v>105</v>
      </c>
      <c r="I1248" s="57" t="s">
        <v>104</v>
      </c>
      <c r="J1248" s="57" t="s">
        <v>101</v>
      </c>
      <c r="K1248" s="57">
        <v>97.1</v>
      </c>
      <c r="L1248" s="57" t="s">
        <v>101</v>
      </c>
      <c r="M1248" s="57">
        <v>3.5449999999999999</v>
      </c>
      <c r="N1248" s="57">
        <v>3.5449999999999999</v>
      </c>
      <c r="O1248" s="53" t="s">
        <v>101</v>
      </c>
      <c r="P1248" s="57" t="s">
        <v>448</v>
      </c>
      <c r="Q1248" s="57" t="s">
        <v>573</v>
      </c>
      <c r="R1248" s="59" t="s">
        <v>454</v>
      </c>
    </row>
    <row r="1249" spans="1:18" x14ac:dyDescent="0.5">
      <c r="A1249" s="52" t="str">
        <f>"785751PW2"</f>
        <v>785751PW2</v>
      </c>
      <c r="B1249" s="53" t="s">
        <v>451</v>
      </c>
      <c r="C1249" s="53" t="s">
        <v>1576</v>
      </c>
      <c r="D1249" s="53" t="s">
        <v>447</v>
      </c>
      <c r="E1249" s="53">
        <v>3</v>
      </c>
      <c r="F1249" s="54">
        <v>48625</v>
      </c>
      <c r="G1249" s="54">
        <v>46433</v>
      </c>
      <c r="H1249" s="53" t="s">
        <v>540</v>
      </c>
      <c r="I1249" s="53" t="s">
        <v>509</v>
      </c>
      <c r="J1249" s="53" t="s">
        <v>101</v>
      </c>
      <c r="K1249" s="53">
        <v>96.358999999999995</v>
      </c>
      <c r="L1249" s="53" t="s">
        <v>101</v>
      </c>
      <c r="M1249" s="53">
        <v>3.5270000000000001</v>
      </c>
      <c r="N1249" s="53">
        <v>3.5270000000000001</v>
      </c>
      <c r="O1249" s="53" t="s">
        <v>101</v>
      </c>
      <c r="P1249" s="53" t="s">
        <v>448</v>
      </c>
      <c r="Q1249" s="53" t="s">
        <v>488</v>
      </c>
      <c r="R1249" s="55" t="s">
        <v>504</v>
      </c>
    </row>
    <row r="1250" spans="1:18" x14ac:dyDescent="0.5">
      <c r="A1250" s="56" t="str">
        <f>"8225165S5"</f>
        <v>8225165S5</v>
      </c>
      <c r="B1250" s="57" t="s">
        <v>451</v>
      </c>
      <c r="C1250" s="57" t="s">
        <v>1577</v>
      </c>
      <c r="D1250" s="53" t="s">
        <v>447</v>
      </c>
      <c r="E1250" s="57">
        <v>3</v>
      </c>
      <c r="F1250" s="58">
        <v>48625</v>
      </c>
      <c r="G1250" s="58">
        <v>46798</v>
      </c>
      <c r="H1250" s="57" t="s">
        <v>104</v>
      </c>
      <c r="I1250" s="57" t="s">
        <v>105</v>
      </c>
      <c r="J1250" s="57" t="s">
        <v>101</v>
      </c>
      <c r="K1250" s="57">
        <v>96.046999999999997</v>
      </c>
      <c r="L1250" s="57" t="s">
        <v>101</v>
      </c>
      <c r="M1250" s="57">
        <v>3.573</v>
      </c>
      <c r="N1250" s="57">
        <v>3.573</v>
      </c>
      <c r="O1250" s="53" t="s">
        <v>101</v>
      </c>
      <c r="P1250" s="57" t="s">
        <v>448</v>
      </c>
      <c r="Q1250" s="57" t="s">
        <v>790</v>
      </c>
      <c r="R1250" s="59" t="s">
        <v>454</v>
      </c>
    </row>
    <row r="1251" spans="1:18" x14ac:dyDescent="0.5">
      <c r="A1251" s="52" t="str">
        <f>"850192BA2"</f>
        <v>850192BA2</v>
      </c>
      <c r="B1251" s="53" t="s">
        <v>451</v>
      </c>
      <c r="C1251" s="53" t="s">
        <v>1578</v>
      </c>
      <c r="D1251" s="53" t="s">
        <v>447</v>
      </c>
      <c r="E1251" s="53">
        <v>3.125</v>
      </c>
      <c r="F1251" s="54">
        <v>48625</v>
      </c>
      <c r="G1251" s="54">
        <v>45733</v>
      </c>
      <c r="H1251" s="53" t="s">
        <v>105</v>
      </c>
      <c r="I1251" s="53" t="s">
        <v>104</v>
      </c>
      <c r="J1251" s="53" t="s">
        <v>101</v>
      </c>
      <c r="K1251" s="53">
        <v>95.230999999999995</v>
      </c>
      <c r="L1251" s="53" t="s">
        <v>101</v>
      </c>
      <c r="M1251" s="53">
        <v>3.823</v>
      </c>
      <c r="N1251" s="53">
        <v>3.823</v>
      </c>
      <c r="O1251" s="53" t="s">
        <v>101</v>
      </c>
      <c r="P1251" s="53" t="s">
        <v>448</v>
      </c>
      <c r="Q1251" s="53" t="s">
        <v>457</v>
      </c>
      <c r="R1251" s="55" t="s">
        <v>482</v>
      </c>
    </row>
    <row r="1252" spans="1:18" x14ac:dyDescent="0.5">
      <c r="A1252" s="56" t="str">
        <f>"8648555X5"</f>
        <v>8648555X5</v>
      </c>
      <c r="B1252" s="57" t="s">
        <v>451</v>
      </c>
      <c r="C1252" s="57" t="s">
        <v>1579</v>
      </c>
      <c r="D1252" s="53" t="s">
        <v>447</v>
      </c>
      <c r="E1252" s="57">
        <v>3</v>
      </c>
      <c r="F1252" s="58">
        <v>48625</v>
      </c>
      <c r="G1252" s="58">
        <v>45733</v>
      </c>
      <c r="H1252" s="57" t="s">
        <v>105</v>
      </c>
      <c r="I1252" s="57" t="s">
        <v>104</v>
      </c>
      <c r="J1252" s="57" t="s">
        <v>101</v>
      </c>
      <c r="K1252" s="57">
        <v>94.21</v>
      </c>
      <c r="L1252" s="57" t="s">
        <v>101</v>
      </c>
      <c r="M1252" s="57">
        <v>3.8479999999999999</v>
      </c>
      <c r="N1252" s="57">
        <v>3.8479999999999999</v>
      </c>
      <c r="O1252" s="53" t="s">
        <v>101</v>
      </c>
      <c r="P1252" s="57" t="s">
        <v>448</v>
      </c>
      <c r="Q1252" s="57" t="s">
        <v>538</v>
      </c>
      <c r="R1252" s="59" t="s">
        <v>454</v>
      </c>
    </row>
    <row r="1253" spans="1:18" x14ac:dyDescent="0.5">
      <c r="A1253" s="52" t="str">
        <f>"914302JG0"</f>
        <v>914302JG0</v>
      </c>
      <c r="B1253" s="53" t="s">
        <v>451</v>
      </c>
      <c r="C1253" s="53" t="s">
        <v>1580</v>
      </c>
      <c r="D1253" s="53" t="s">
        <v>447</v>
      </c>
      <c r="E1253" s="53">
        <v>2</v>
      </c>
      <c r="F1253" s="54">
        <v>48625</v>
      </c>
      <c r="G1253" s="54">
        <v>47529</v>
      </c>
      <c r="H1253" s="53" t="s">
        <v>613</v>
      </c>
      <c r="I1253" s="53" t="s">
        <v>628</v>
      </c>
      <c r="J1253" s="53" t="s">
        <v>101</v>
      </c>
      <c r="K1253" s="53">
        <v>84.82</v>
      </c>
      <c r="L1253" s="53" t="s">
        <v>101</v>
      </c>
      <c r="M1253" s="53">
        <v>4.2610000000000001</v>
      </c>
      <c r="N1253" s="53">
        <v>4.2610000000000001</v>
      </c>
      <c r="O1253" s="53" t="s">
        <v>101</v>
      </c>
      <c r="P1253" s="53" t="s">
        <v>448</v>
      </c>
      <c r="Q1253" s="53" t="s">
        <v>517</v>
      </c>
      <c r="R1253" s="55" t="s">
        <v>504</v>
      </c>
    </row>
    <row r="1254" spans="1:18" x14ac:dyDescent="0.5">
      <c r="A1254" s="56" t="str">
        <f>"965271HD4"</f>
        <v>965271HD4</v>
      </c>
      <c r="B1254" s="57" t="s">
        <v>451</v>
      </c>
      <c r="C1254" s="57" t="s">
        <v>1581</v>
      </c>
      <c r="D1254" s="53" t="s">
        <v>447</v>
      </c>
      <c r="E1254" s="57">
        <v>2</v>
      </c>
      <c r="F1254" s="58">
        <v>48625</v>
      </c>
      <c r="G1254" s="58" t="s">
        <v>105</v>
      </c>
      <c r="H1254" s="57" t="s">
        <v>105</v>
      </c>
      <c r="I1254" s="57" t="s">
        <v>628</v>
      </c>
      <c r="J1254" s="57" t="s">
        <v>101</v>
      </c>
      <c r="K1254" s="57">
        <v>87</v>
      </c>
      <c r="L1254" s="57" t="s">
        <v>101</v>
      </c>
      <c r="M1254" s="57">
        <v>3.91</v>
      </c>
      <c r="N1254" s="57">
        <v>3.91</v>
      </c>
      <c r="O1254" s="53" t="s">
        <v>101</v>
      </c>
      <c r="P1254" s="57" t="s">
        <v>448</v>
      </c>
      <c r="Q1254" s="57" t="s">
        <v>475</v>
      </c>
      <c r="R1254" s="59" t="s">
        <v>608</v>
      </c>
    </row>
    <row r="1255" spans="1:18" x14ac:dyDescent="0.5">
      <c r="A1255" s="52" t="str">
        <f>"97712D6Q4"</f>
        <v>97712D6Q4</v>
      </c>
      <c r="B1255" s="53" t="s">
        <v>496</v>
      </c>
      <c r="C1255" s="53" t="s">
        <v>1582</v>
      </c>
      <c r="D1255" s="53" t="s">
        <v>447</v>
      </c>
      <c r="E1255" s="53">
        <v>5</v>
      </c>
      <c r="F1255" s="54">
        <v>48625</v>
      </c>
      <c r="G1255" s="54">
        <v>47529</v>
      </c>
      <c r="H1255" s="53" t="s">
        <v>105</v>
      </c>
      <c r="I1255" s="53" t="s">
        <v>628</v>
      </c>
      <c r="J1255" s="53" t="s">
        <v>101</v>
      </c>
      <c r="K1255" s="53">
        <v>106.456</v>
      </c>
      <c r="L1255" s="53" t="s">
        <v>101</v>
      </c>
      <c r="M1255" s="53">
        <v>3.5760000000000001</v>
      </c>
      <c r="N1255" s="53">
        <v>4.0460000000000003</v>
      </c>
      <c r="O1255" s="53" t="s">
        <v>101</v>
      </c>
      <c r="P1255" s="53" t="s">
        <v>448</v>
      </c>
      <c r="Q1255" s="53" t="s">
        <v>464</v>
      </c>
      <c r="R1255" s="55" t="s">
        <v>1583</v>
      </c>
    </row>
    <row r="1256" spans="1:18" x14ac:dyDescent="0.5">
      <c r="A1256" s="56" t="str">
        <f>"983069AW5"</f>
        <v>983069AW5</v>
      </c>
      <c r="B1256" s="57" t="s">
        <v>451</v>
      </c>
      <c r="C1256" s="57" t="s">
        <v>1584</v>
      </c>
      <c r="D1256" s="53" t="s">
        <v>447</v>
      </c>
      <c r="E1256" s="57">
        <v>3.25</v>
      </c>
      <c r="F1256" s="58">
        <v>48625</v>
      </c>
      <c r="G1256" s="58">
        <v>46068</v>
      </c>
      <c r="H1256" s="57" t="s">
        <v>104</v>
      </c>
      <c r="I1256" s="57" t="s">
        <v>105</v>
      </c>
      <c r="J1256" s="57" t="s">
        <v>101</v>
      </c>
      <c r="K1256" s="57">
        <v>97.54</v>
      </c>
      <c r="L1256" s="57" t="s">
        <v>101</v>
      </c>
      <c r="M1256" s="57">
        <v>3.6070000000000002</v>
      </c>
      <c r="N1256" s="57">
        <v>3.6070000000000002</v>
      </c>
      <c r="O1256" s="53" t="s">
        <v>101</v>
      </c>
      <c r="P1256" s="57" t="s">
        <v>448</v>
      </c>
      <c r="Q1256" s="57" t="s">
        <v>488</v>
      </c>
      <c r="R1256" s="59" t="s">
        <v>454</v>
      </c>
    </row>
    <row r="1257" spans="1:18" x14ac:dyDescent="0.5">
      <c r="A1257" s="52" t="str">
        <f>"075131US9"</f>
        <v>075131US9</v>
      </c>
      <c r="B1257" s="53" t="s">
        <v>496</v>
      </c>
      <c r="C1257" s="53" t="s">
        <v>1585</v>
      </c>
      <c r="D1257" s="53" t="s">
        <v>447</v>
      </c>
      <c r="E1257" s="53">
        <v>3.25</v>
      </c>
      <c r="F1257" s="54">
        <v>48639</v>
      </c>
      <c r="G1257" s="54">
        <v>47908</v>
      </c>
      <c r="H1257" s="53" t="s">
        <v>641</v>
      </c>
      <c r="I1257" s="53" t="s">
        <v>628</v>
      </c>
      <c r="J1257" s="53" t="s">
        <v>101</v>
      </c>
      <c r="K1257" s="53">
        <v>95.177999999999997</v>
      </c>
      <c r="L1257" s="53" t="s">
        <v>101</v>
      </c>
      <c r="M1257" s="53">
        <v>3.956</v>
      </c>
      <c r="N1257" s="53">
        <v>3.956</v>
      </c>
      <c r="O1257" s="53" t="s">
        <v>101</v>
      </c>
      <c r="P1257" s="53" t="s">
        <v>448</v>
      </c>
      <c r="Q1257" s="53" t="s">
        <v>488</v>
      </c>
      <c r="R1257" s="55" t="s">
        <v>630</v>
      </c>
    </row>
    <row r="1258" spans="1:18" x14ac:dyDescent="0.5">
      <c r="A1258" s="56" t="str">
        <f>"080375ES3"</f>
        <v>080375ES3</v>
      </c>
      <c r="B1258" s="57" t="s">
        <v>451</v>
      </c>
      <c r="C1258" s="57" t="s">
        <v>1586</v>
      </c>
      <c r="D1258" s="53" t="s">
        <v>447</v>
      </c>
      <c r="E1258" s="57">
        <v>3</v>
      </c>
      <c r="F1258" s="58">
        <v>48639</v>
      </c>
      <c r="G1258" s="58">
        <v>45717</v>
      </c>
      <c r="H1258" s="57" t="s">
        <v>627</v>
      </c>
      <c r="I1258" s="57" t="s">
        <v>628</v>
      </c>
      <c r="J1258" s="57" t="s">
        <v>101</v>
      </c>
      <c r="K1258" s="57">
        <v>93.108000000000004</v>
      </c>
      <c r="L1258" s="57" t="s">
        <v>101</v>
      </c>
      <c r="M1258" s="57">
        <v>4.0119999999999996</v>
      </c>
      <c r="N1258" s="57">
        <v>4.0119999999999996</v>
      </c>
      <c r="O1258" s="53" t="s">
        <v>101</v>
      </c>
      <c r="P1258" s="57" t="s">
        <v>448</v>
      </c>
      <c r="Q1258" s="57" t="s">
        <v>1587</v>
      </c>
      <c r="R1258" s="59" t="s">
        <v>630</v>
      </c>
    </row>
    <row r="1259" spans="1:18" x14ac:dyDescent="0.5">
      <c r="A1259" s="52" t="str">
        <f>"134505GP5"</f>
        <v>134505GP5</v>
      </c>
      <c r="B1259" s="53" t="s">
        <v>496</v>
      </c>
      <c r="C1259" s="53" t="s">
        <v>1588</v>
      </c>
      <c r="D1259" s="53" t="s">
        <v>447</v>
      </c>
      <c r="E1259" s="53">
        <v>3.125</v>
      </c>
      <c r="F1259" s="54">
        <v>48639</v>
      </c>
      <c r="G1259" s="54">
        <v>46082</v>
      </c>
      <c r="H1259" s="53" t="s">
        <v>624</v>
      </c>
      <c r="I1259" s="53" t="s">
        <v>105</v>
      </c>
      <c r="J1259" s="53" t="s">
        <v>101</v>
      </c>
      <c r="K1259" s="53">
        <v>95.67</v>
      </c>
      <c r="L1259" s="53" t="s">
        <v>101</v>
      </c>
      <c r="M1259" s="53">
        <v>3.754</v>
      </c>
      <c r="N1259" s="53">
        <v>3.754</v>
      </c>
      <c r="O1259" s="53" t="s">
        <v>101</v>
      </c>
      <c r="P1259" s="53" t="s">
        <v>448</v>
      </c>
      <c r="Q1259" s="53" t="s">
        <v>488</v>
      </c>
      <c r="R1259" s="55" t="s">
        <v>454</v>
      </c>
    </row>
    <row r="1260" spans="1:18" x14ac:dyDescent="0.5">
      <c r="A1260" s="56" t="str">
        <f>"1845765K8"</f>
        <v>1845765K8</v>
      </c>
      <c r="B1260" s="57" t="s">
        <v>451</v>
      </c>
      <c r="C1260" s="57" t="s">
        <v>1589</v>
      </c>
      <c r="D1260" s="53" t="s">
        <v>447</v>
      </c>
      <c r="E1260" s="57">
        <v>3.125</v>
      </c>
      <c r="F1260" s="58">
        <v>48639</v>
      </c>
      <c r="G1260" s="58">
        <v>45717</v>
      </c>
      <c r="H1260" s="57" t="s">
        <v>624</v>
      </c>
      <c r="I1260" s="57" t="s">
        <v>182</v>
      </c>
      <c r="J1260" s="57" t="s">
        <v>101</v>
      </c>
      <c r="K1260" s="57">
        <v>94.061000000000007</v>
      </c>
      <c r="L1260" s="57" t="s">
        <v>101</v>
      </c>
      <c r="M1260" s="57">
        <v>3.996</v>
      </c>
      <c r="N1260" s="57">
        <v>3.996</v>
      </c>
      <c r="O1260" s="53" t="s">
        <v>101</v>
      </c>
      <c r="P1260" s="57" t="s">
        <v>448</v>
      </c>
      <c r="Q1260" s="57" t="s">
        <v>460</v>
      </c>
      <c r="R1260" s="59" t="s">
        <v>771</v>
      </c>
    </row>
    <row r="1261" spans="1:18" x14ac:dyDescent="0.5">
      <c r="A1261" s="52" t="str">
        <f>"280276HY5"</f>
        <v>280276HY5</v>
      </c>
      <c r="B1261" s="53" t="s">
        <v>496</v>
      </c>
      <c r="C1261" s="53" t="s">
        <v>1590</v>
      </c>
      <c r="D1261" s="53" t="s">
        <v>447</v>
      </c>
      <c r="E1261" s="53">
        <v>3.125</v>
      </c>
      <c r="F1261" s="54">
        <v>48639</v>
      </c>
      <c r="G1261" s="54">
        <v>46447</v>
      </c>
      <c r="H1261" s="53" t="s">
        <v>105</v>
      </c>
      <c r="I1261" s="53" t="s">
        <v>616</v>
      </c>
      <c r="J1261" s="53" t="s">
        <v>101</v>
      </c>
      <c r="K1261" s="53">
        <v>94.736000000000004</v>
      </c>
      <c r="L1261" s="53" t="s">
        <v>101</v>
      </c>
      <c r="M1261" s="53">
        <v>3.8940000000000001</v>
      </c>
      <c r="N1261" s="53">
        <v>3.8940000000000001</v>
      </c>
      <c r="O1261" s="53" t="s">
        <v>101</v>
      </c>
      <c r="P1261" s="53" t="s">
        <v>448</v>
      </c>
      <c r="Q1261" s="53" t="s">
        <v>488</v>
      </c>
      <c r="R1261" s="55" t="s">
        <v>454</v>
      </c>
    </row>
    <row r="1262" spans="1:18" x14ac:dyDescent="0.5">
      <c r="A1262" s="56" t="str">
        <f>"289425VA5"</f>
        <v>289425VA5</v>
      </c>
      <c r="B1262" s="57" t="s">
        <v>491</v>
      </c>
      <c r="C1262" s="57" t="s">
        <v>1591</v>
      </c>
      <c r="D1262" s="53" t="s">
        <v>447</v>
      </c>
      <c r="E1262" s="57">
        <v>3</v>
      </c>
      <c r="F1262" s="58">
        <v>48639</v>
      </c>
      <c r="G1262" s="58">
        <v>45717</v>
      </c>
      <c r="H1262" s="57" t="s">
        <v>105</v>
      </c>
      <c r="I1262" s="57" t="s">
        <v>104</v>
      </c>
      <c r="J1262" s="57" t="s">
        <v>101</v>
      </c>
      <c r="K1262" s="57">
        <v>94.97</v>
      </c>
      <c r="L1262" s="57" t="s">
        <v>101</v>
      </c>
      <c r="M1262" s="57">
        <v>3.73</v>
      </c>
      <c r="N1262" s="57">
        <v>3.73</v>
      </c>
      <c r="O1262" s="53" t="s">
        <v>101</v>
      </c>
      <c r="P1262" s="57" t="s">
        <v>448</v>
      </c>
      <c r="Q1262" s="57" t="s">
        <v>780</v>
      </c>
      <c r="R1262" s="59" t="s">
        <v>482</v>
      </c>
    </row>
    <row r="1263" spans="1:18" x14ac:dyDescent="0.5">
      <c r="A1263" s="52" t="str">
        <f>"346766ZG6"</f>
        <v>346766ZG6</v>
      </c>
      <c r="B1263" s="53" t="s">
        <v>451</v>
      </c>
      <c r="C1263" s="53" t="s">
        <v>1592</v>
      </c>
      <c r="D1263" s="53" t="s">
        <v>447</v>
      </c>
      <c r="E1263" s="53">
        <v>3</v>
      </c>
      <c r="F1263" s="54">
        <v>48639</v>
      </c>
      <c r="G1263" s="54">
        <v>47908</v>
      </c>
      <c r="H1263" s="53" t="s">
        <v>540</v>
      </c>
      <c r="I1263" s="53" t="s">
        <v>105</v>
      </c>
      <c r="J1263" s="53" t="s">
        <v>101</v>
      </c>
      <c r="K1263" s="53">
        <v>95.06</v>
      </c>
      <c r="L1263" s="53" t="s">
        <v>101</v>
      </c>
      <c r="M1263" s="53">
        <v>3.7170000000000001</v>
      </c>
      <c r="N1263" s="53">
        <v>3.7170000000000001</v>
      </c>
      <c r="O1263" s="53" t="s">
        <v>101</v>
      </c>
      <c r="P1263" s="53" t="s">
        <v>448</v>
      </c>
      <c r="Q1263" s="53" t="s">
        <v>457</v>
      </c>
      <c r="R1263" s="55" t="s">
        <v>504</v>
      </c>
    </row>
    <row r="1264" spans="1:18" x14ac:dyDescent="0.5">
      <c r="A1264" s="56" t="str">
        <f>"346784AM3"</f>
        <v>346784AM3</v>
      </c>
      <c r="B1264" s="57" t="s">
        <v>451</v>
      </c>
      <c r="C1264" s="57" t="s">
        <v>1593</v>
      </c>
      <c r="D1264" s="53" t="s">
        <v>447</v>
      </c>
      <c r="E1264" s="57">
        <v>3</v>
      </c>
      <c r="F1264" s="58">
        <v>48639</v>
      </c>
      <c r="G1264" s="58">
        <v>47908</v>
      </c>
      <c r="H1264" s="57" t="s">
        <v>540</v>
      </c>
      <c r="I1264" s="57" t="s">
        <v>105</v>
      </c>
      <c r="J1264" s="57" t="s">
        <v>101</v>
      </c>
      <c r="K1264" s="57">
        <v>93.98</v>
      </c>
      <c r="L1264" s="57" t="s">
        <v>101</v>
      </c>
      <c r="M1264" s="57">
        <v>3.879</v>
      </c>
      <c r="N1264" s="57">
        <v>3.879</v>
      </c>
      <c r="O1264" s="53" t="s">
        <v>101</v>
      </c>
      <c r="P1264" s="57" t="s">
        <v>448</v>
      </c>
      <c r="Q1264" s="57" t="s">
        <v>457</v>
      </c>
      <c r="R1264" s="59" t="s">
        <v>454</v>
      </c>
    </row>
    <row r="1265" spans="1:18" x14ac:dyDescent="0.5">
      <c r="A1265" s="52" t="str">
        <f>"346789MJ6"</f>
        <v>346789MJ6</v>
      </c>
      <c r="B1265" s="53" t="s">
        <v>451</v>
      </c>
      <c r="C1265" s="53" t="s">
        <v>1594</v>
      </c>
      <c r="D1265" s="53" t="s">
        <v>447</v>
      </c>
      <c r="E1265" s="53">
        <v>3.5</v>
      </c>
      <c r="F1265" s="54">
        <v>48639</v>
      </c>
      <c r="G1265" s="54">
        <v>45733</v>
      </c>
      <c r="H1265" s="53" t="s">
        <v>105</v>
      </c>
      <c r="I1265" s="53" t="s">
        <v>616</v>
      </c>
      <c r="J1265" s="53" t="s">
        <v>101</v>
      </c>
      <c r="K1265" s="53">
        <v>97.97</v>
      </c>
      <c r="L1265" s="53" t="s">
        <v>101</v>
      </c>
      <c r="M1265" s="53">
        <v>3.7949999999999999</v>
      </c>
      <c r="N1265" s="53">
        <v>3.7949999999999999</v>
      </c>
      <c r="O1265" s="53" t="s">
        <v>101</v>
      </c>
      <c r="P1265" s="53" t="s">
        <v>448</v>
      </c>
      <c r="Q1265" s="53" t="s">
        <v>488</v>
      </c>
      <c r="R1265" s="55" t="s">
        <v>454</v>
      </c>
    </row>
    <row r="1266" spans="1:18" x14ac:dyDescent="0.5">
      <c r="A1266" s="56" t="str">
        <f>"346789RA0"</f>
        <v>346789RA0</v>
      </c>
      <c r="B1266" s="57" t="s">
        <v>451</v>
      </c>
      <c r="C1266" s="57" t="s">
        <v>1595</v>
      </c>
      <c r="D1266" s="53" t="s">
        <v>447</v>
      </c>
      <c r="E1266" s="57">
        <v>3</v>
      </c>
      <c r="F1266" s="58">
        <v>48639</v>
      </c>
      <c r="G1266" s="58">
        <v>46813</v>
      </c>
      <c r="H1266" s="57" t="s">
        <v>105</v>
      </c>
      <c r="I1266" s="57" t="s">
        <v>628</v>
      </c>
      <c r="J1266" s="57" t="s">
        <v>101</v>
      </c>
      <c r="K1266" s="57">
        <v>93.18</v>
      </c>
      <c r="L1266" s="57" t="s">
        <v>101</v>
      </c>
      <c r="M1266" s="57">
        <v>4.0010000000000003</v>
      </c>
      <c r="N1266" s="57">
        <v>4.0010000000000003</v>
      </c>
      <c r="O1266" s="53" t="s">
        <v>101</v>
      </c>
      <c r="P1266" s="57" t="s">
        <v>448</v>
      </c>
      <c r="Q1266" s="57" t="s">
        <v>453</v>
      </c>
      <c r="R1266" s="59" t="s">
        <v>630</v>
      </c>
    </row>
    <row r="1267" spans="1:18" x14ac:dyDescent="0.5">
      <c r="A1267" s="52" t="str">
        <f>"3494257T9"</f>
        <v>3494257T9</v>
      </c>
      <c r="B1267" s="53" t="s">
        <v>451</v>
      </c>
      <c r="C1267" s="53" t="s">
        <v>1596</v>
      </c>
      <c r="D1267" s="53" t="s">
        <v>447</v>
      </c>
      <c r="E1267" s="53">
        <v>3.25</v>
      </c>
      <c r="F1267" s="54">
        <v>48639</v>
      </c>
      <c r="G1267" s="54">
        <v>46447</v>
      </c>
      <c r="H1267" s="53" t="s">
        <v>624</v>
      </c>
      <c r="I1267" s="53" t="s">
        <v>628</v>
      </c>
      <c r="J1267" s="53" t="s">
        <v>101</v>
      </c>
      <c r="K1267" s="53">
        <v>97.786000000000001</v>
      </c>
      <c r="L1267" s="53" t="s">
        <v>101</v>
      </c>
      <c r="M1267" s="53">
        <v>3.569</v>
      </c>
      <c r="N1267" s="53">
        <v>3.569</v>
      </c>
      <c r="O1267" s="53" t="s">
        <v>101</v>
      </c>
      <c r="P1267" s="53" t="s">
        <v>448</v>
      </c>
      <c r="Q1267" s="53" t="s">
        <v>485</v>
      </c>
      <c r="R1267" s="55" t="s">
        <v>454</v>
      </c>
    </row>
    <row r="1268" spans="1:18" x14ac:dyDescent="0.5">
      <c r="A1268" s="56" t="str">
        <f>"355185QH5"</f>
        <v>355185QH5</v>
      </c>
      <c r="B1268" s="57" t="s">
        <v>496</v>
      </c>
      <c r="C1268" s="57" t="s">
        <v>1597</v>
      </c>
      <c r="D1268" s="53" t="s">
        <v>447</v>
      </c>
      <c r="E1268" s="57">
        <v>3.125</v>
      </c>
      <c r="F1268" s="58">
        <v>48639</v>
      </c>
      <c r="G1268" s="58">
        <v>46082</v>
      </c>
      <c r="H1268" s="57" t="s">
        <v>613</v>
      </c>
      <c r="I1268" s="57" t="s">
        <v>105</v>
      </c>
      <c r="J1268" s="57" t="s">
        <v>101</v>
      </c>
      <c r="K1268" s="57">
        <v>95.373000000000005</v>
      </c>
      <c r="L1268" s="57" t="s">
        <v>101</v>
      </c>
      <c r="M1268" s="57">
        <v>3.798</v>
      </c>
      <c r="N1268" s="57">
        <v>3.798</v>
      </c>
      <c r="O1268" s="53" t="s">
        <v>101</v>
      </c>
      <c r="P1268" s="57" t="s">
        <v>448</v>
      </c>
      <c r="Q1268" s="57" t="s">
        <v>663</v>
      </c>
      <c r="R1268" s="59" t="s">
        <v>454</v>
      </c>
    </row>
    <row r="1269" spans="1:18" x14ac:dyDescent="0.5">
      <c r="A1269" s="52" t="str">
        <f>"37546RBH5"</f>
        <v>37546RBH5</v>
      </c>
      <c r="B1269" s="53" t="s">
        <v>491</v>
      </c>
      <c r="C1269" s="53" t="s">
        <v>1598</v>
      </c>
      <c r="D1269" s="53" t="s">
        <v>447</v>
      </c>
      <c r="E1269" s="53">
        <v>3.9</v>
      </c>
      <c r="F1269" s="54">
        <v>48639</v>
      </c>
      <c r="G1269" s="54" t="s">
        <v>101</v>
      </c>
      <c r="H1269" s="53" t="s">
        <v>105</v>
      </c>
      <c r="I1269" s="53" t="s">
        <v>628</v>
      </c>
      <c r="J1269" s="53" t="s">
        <v>101</v>
      </c>
      <c r="K1269" s="53">
        <v>102.396</v>
      </c>
      <c r="L1269" s="53" t="s">
        <v>101</v>
      </c>
      <c r="M1269" s="53">
        <v>3.5539999999999998</v>
      </c>
      <c r="N1269" s="53">
        <v>3.5539999999999998</v>
      </c>
      <c r="O1269" s="53" t="s">
        <v>101</v>
      </c>
      <c r="P1269" s="53" t="s">
        <v>448</v>
      </c>
      <c r="Q1269" s="53" t="s">
        <v>1599</v>
      </c>
      <c r="R1269" s="55" t="s">
        <v>727</v>
      </c>
    </row>
    <row r="1270" spans="1:18" x14ac:dyDescent="0.5">
      <c r="A1270" s="56" t="str">
        <f>"414947LJ8"</f>
        <v>414947LJ8</v>
      </c>
      <c r="B1270" s="57" t="s">
        <v>451</v>
      </c>
      <c r="C1270" s="57" t="s">
        <v>1600</v>
      </c>
      <c r="D1270" s="53" t="s">
        <v>447</v>
      </c>
      <c r="E1270" s="57">
        <v>4</v>
      </c>
      <c r="F1270" s="58">
        <v>48639</v>
      </c>
      <c r="G1270" s="58">
        <v>47178</v>
      </c>
      <c r="H1270" s="57" t="s">
        <v>670</v>
      </c>
      <c r="I1270" s="57" t="s">
        <v>628</v>
      </c>
      <c r="J1270" s="57" t="s">
        <v>101</v>
      </c>
      <c r="K1270" s="57">
        <v>101.29</v>
      </c>
      <c r="L1270" s="57" t="s">
        <v>101</v>
      </c>
      <c r="M1270" s="57">
        <v>3.653</v>
      </c>
      <c r="N1270" s="57">
        <v>3.8119999999999998</v>
      </c>
      <c r="O1270" s="53" t="s">
        <v>101</v>
      </c>
      <c r="P1270" s="57" t="s">
        <v>448</v>
      </c>
      <c r="Q1270" s="57" t="s">
        <v>479</v>
      </c>
      <c r="R1270" s="59" t="s">
        <v>630</v>
      </c>
    </row>
    <row r="1271" spans="1:18" x14ac:dyDescent="0.5">
      <c r="A1271" s="52" t="str">
        <f>"442331U93"</f>
        <v>442331U93</v>
      </c>
      <c r="B1271" s="53" t="s">
        <v>451</v>
      </c>
      <c r="C1271" s="53" t="s">
        <v>1601</v>
      </c>
      <c r="D1271" s="53" t="s">
        <v>447</v>
      </c>
      <c r="E1271" s="53">
        <v>4</v>
      </c>
      <c r="F1271" s="54">
        <v>48639</v>
      </c>
      <c r="G1271" s="54">
        <v>46447</v>
      </c>
      <c r="H1271" s="53" t="s">
        <v>624</v>
      </c>
      <c r="I1271" s="53" t="s">
        <v>105</v>
      </c>
      <c r="J1271" s="53" t="s">
        <v>101</v>
      </c>
      <c r="K1271" s="53">
        <v>100.64</v>
      </c>
      <c r="L1271" s="53" t="s">
        <v>101</v>
      </c>
      <c r="M1271" s="53">
        <v>3.67</v>
      </c>
      <c r="N1271" s="53">
        <v>3.9060000000000001</v>
      </c>
      <c r="O1271" s="53" t="s">
        <v>101</v>
      </c>
      <c r="P1271" s="53" t="s">
        <v>691</v>
      </c>
      <c r="Q1271" s="53" t="s">
        <v>488</v>
      </c>
      <c r="R1271" s="55" t="s">
        <v>482</v>
      </c>
    </row>
    <row r="1272" spans="1:18" x14ac:dyDescent="0.5">
      <c r="A1272" s="56" t="str">
        <f>"48619KGQ4"</f>
        <v>48619KGQ4</v>
      </c>
      <c r="B1272" s="57" t="s">
        <v>451</v>
      </c>
      <c r="C1272" s="57" t="s">
        <v>1602</v>
      </c>
      <c r="D1272" s="53" t="s">
        <v>447</v>
      </c>
      <c r="E1272" s="57">
        <v>2</v>
      </c>
      <c r="F1272" s="58">
        <v>48639</v>
      </c>
      <c r="G1272" s="58">
        <v>45717</v>
      </c>
      <c r="H1272" s="57" t="s">
        <v>670</v>
      </c>
      <c r="I1272" s="57" t="s">
        <v>628</v>
      </c>
      <c r="J1272" s="57" t="s">
        <v>101</v>
      </c>
      <c r="K1272" s="57">
        <v>83.596999999999994</v>
      </c>
      <c r="L1272" s="57" t="s">
        <v>101</v>
      </c>
      <c r="M1272" s="57">
        <v>4.45</v>
      </c>
      <c r="N1272" s="57">
        <v>4.45</v>
      </c>
      <c r="O1272" s="53" t="s">
        <v>101</v>
      </c>
      <c r="P1272" s="57" t="s">
        <v>448</v>
      </c>
      <c r="Q1272" s="57" t="s">
        <v>457</v>
      </c>
      <c r="R1272" s="59" t="s">
        <v>630</v>
      </c>
    </row>
    <row r="1273" spans="1:18" x14ac:dyDescent="0.5">
      <c r="A1273" s="52" t="str">
        <f>"48619TDQ8"</f>
        <v>48619TDQ8</v>
      </c>
      <c r="B1273" s="53" t="s">
        <v>451</v>
      </c>
      <c r="C1273" s="53" t="s">
        <v>1603</v>
      </c>
      <c r="D1273" s="53" t="s">
        <v>447</v>
      </c>
      <c r="E1273" s="53">
        <v>3.375</v>
      </c>
      <c r="F1273" s="54">
        <v>48639</v>
      </c>
      <c r="G1273" s="54">
        <v>45733</v>
      </c>
      <c r="H1273" s="53" t="s">
        <v>641</v>
      </c>
      <c r="I1273" s="53" t="s">
        <v>628</v>
      </c>
      <c r="J1273" s="53" t="s">
        <v>101</v>
      </c>
      <c r="K1273" s="53">
        <v>98.554000000000002</v>
      </c>
      <c r="L1273" s="53" t="s">
        <v>101</v>
      </c>
      <c r="M1273" s="53">
        <v>3.5840000000000001</v>
      </c>
      <c r="N1273" s="53">
        <v>3.5840000000000001</v>
      </c>
      <c r="O1273" s="53" t="s">
        <v>101</v>
      </c>
      <c r="P1273" s="53" t="s">
        <v>448</v>
      </c>
      <c r="Q1273" s="53" t="s">
        <v>1604</v>
      </c>
      <c r="R1273" s="55" t="s">
        <v>630</v>
      </c>
    </row>
    <row r="1274" spans="1:18" x14ac:dyDescent="0.5">
      <c r="A1274" s="56" t="str">
        <f>"590775AP7"</f>
        <v>590775AP7</v>
      </c>
      <c r="B1274" s="57" t="s">
        <v>451</v>
      </c>
      <c r="C1274" s="57" t="s">
        <v>1605</v>
      </c>
      <c r="D1274" s="53" t="s">
        <v>447</v>
      </c>
      <c r="E1274" s="57">
        <v>3</v>
      </c>
      <c r="F1274" s="58">
        <v>48639</v>
      </c>
      <c r="G1274" s="58">
        <v>46813</v>
      </c>
      <c r="H1274" s="57" t="s">
        <v>613</v>
      </c>
      <c r="I1274" s="57" t="s">
        <v>628</v>
      </c>
      <c r="J1274" s="57" t="s">
        <v>101</v>
      </c>
      <c r="K1274" s="57">
        <v>95.028000000000006</v>
      </c>
      <c r="L1274" s="57" t="s">
        <v>101</v>
      </c>
      <c r="M1274" s="57">
        <v>3.7210000000000001</v>
      </c>
      <c r="N1274" s="57">
        <v>3.7210000000000001</v>
      </c>
      <c r="O1274" s="53" t="s">
        <v>101</v>
      </c>
      <c r="P1274" s="57" t="s">
        <v>448</v>
      </c>
      <c r="Q1274" s="57" t="s">
        <v>460</v>
      </c>
      <c r="R1274" s="59" t="s">
        <v>504</v>
      </c>
    </row>
    <row r="1275" spans="1:18" x14ac:dyDescent="0.5">
      <c r="A1275" s="52" t="str">
        <f>"667910FT5"</f>
        <v>667910FT5</v>
      </c>
      <c r="B1275" s="53" t="s">
        <v>451</v>
      </c>
      <c r="C1275" s="53" t="s">
        <v>1606</v>
      </c>
      <c r="D1275" s="53" t="s">
        <v>447</v>
      </c>
      <c r="E1275" s="53">
        <v>3.25</v>
      </c>
      <c r="F1275" s="54">
        <v>48639</v>
      </c>
      <c r="G1275" s="54">
        <v>45733</v>
      </c>
      <c r="H1275" s="53" t="s">
        <v>105</v>
      </c>
      <c r="I1275" s="53" t="s">
        <v>628</v>
      </c>
      <c r="J1275" s="53" t="s">
        <v>101</v>
      </c>
      <c r="K1275" s="53">
        <v>97.894000000000005</v>
      </c>
      <c r="L1275" s="53" t="s">
        <v>101</v>
      </c>
      <c r="M1275" s="53">
        <v>3.5529999999999999</v>
      </c>
      <c r="N1275" s="53">
        <v>3.5529999999999999</v>
      </c>
      <c r="O1275" s="53" t="s">
        <v>101</v>
      </c>
      <c r="P1275" s="53" t="s">
        <v>448</v>
      </c>
      <c r="Q1275" s="53" t="s">
        <v>1607</v>
      </c>
      <c r="R1275" s="55" t="s">
        <v>630</v>
      </c>
    </row>
    <row r="1276" spans="1:18" x14ac:dyDescent="0.5">
      <c r="A1276" s="56" t="str">
        <f>"685814MY8"</f>
        <v>685814MY8</v>
      </c>
      <c r="B1276" s="57" t="s">
        <v>496</v>
      </c>
      <c r="C1276" s="57" t="s">
        <v>1608</v>
      </c>
      <c r="D1276" s="53" t="s">
        <v>447</v>
      </c>
      <c r="E1276" s="57">
        <v>3.125</v>
      </c>
      <c r="F1276" s="58">
        <v>48639</v>
      </c>
      <c r="G1276" s="58">
        <v>46813</v>
      </c>
      <c r="H1276" s="57" t="s">
        <v>105</v>
      </c>
      <c r="I1276" s="57" t="s">
        <v>628</v>
      </c>
      <c r="J1276" s="57" t="s">
        <v>101</v>
      </c>
      <c r="K1276" s="57">
        <v>96.075999999999993</v>
      </c>
      <c r="L1276" s="57" t="s">
        <v>101</v>
      </c>
      <c r="M1276" s="57">
        <v>3.694</v>
      </c>
      <c r="N1276" s="57">
        <v>3.694</v>
      </c>
      <c r="O1276" s="53" t="s">
        <v>101</v>
      </c>
      <c r="P1276" s="57" t="s">
        <v>448</v>
      </c>
      <c r="Q1276" s="57" t="s">
        <v>457</v>
      </c>
      <c r="R1276" s="59" t="s">
        <v>454</v>
      </c>
    </row>
    <row r="1277" spans="1:18" x14ac:dyDescent="0.5">
      <c r="A1277" s="52" t="str">
        <f>"687908GP2"</f>
        <v>687908GP2</v>
      </c>
      <c r="B1277" s="53" t="s">
        <v>496</v>
      </c>
      <c r="C1277" s="53" t="s">
        <v>1609</v>
      </c>
      <c r="D1277" s="53" t="s">
        <v>447</v>
      </c>
      <c r="E1277" s="53">
        <v>3.125</v>
      </c>
      <c r="F1277" s="54">
        <v>48639</v>
      </c>
      <c r="G1277" s="54">
        <v>45717</v>
      </c>
      <c r="H1277" s="53" t="s">
        <v>624</v>
      </c>
      <c r="I1277" s="53" t="s">
        <v>105</v>
      </c>
      <c r="J1277" s="53" t="s">
        <v>101</v>
      </c>
      <c r="K1277" s="53">
        <v>96.171999999999997</v>
      </c>
      <c r="L1277" s="53" t="s">
        <v>101</v>
      </c>
      <c r="M1277" s="53">
        <v>3.6789999999999998</v>
      </c>
      <c r="N1277" s="53">
        <v>3.6789999999999998</v>
      </c>
      <c r="O1277" s="53" t="s">
        <v>101</v>
      </c>
      <c r="P1277" s="53" t="s">
        <v>448</v>
      </c>
      <c r="Q1277" s="53" t="s">
        <v>556</v>
      </c>
      <c r="R1277" s="55" t="s">
        <v>454</v>
      </c>
    </row>
    <row r="1278" spans="1:18" x14ac:dyDescent="0.5">
      <c r="A1278" s="56" t="str">
        <f>"749845XR9"</f>
        <v>749845XR9</v>
      </c>
      <c r="B1278" s="57" t="s">
        <v>496</v>
      </c>
      <c r="C1278" s="57" t="s">
        <v>1610</v>
      </c>
      <c r="D1278" s="53" t="s">
        <v>447</v>
      </c>
      <c r="E1278" s="57">
        <v>2.25</v>
      </c>
      <c r="F1278" s="58">
        <v>48639</v>
      </c>
      <c r="G1278" s="58">
        <v>47543</v>
      </c>
      <c r="H1278" s="57" t="s">
        <v>105</v>
      </c>
      <c r="I1278" s="57" t="s">
        <v>628</v>
      </c>
      <c r="J1278" s="57" t="s">
        <v>101</v>
      </c>
      <c r="K1278" s="57">
        <v>86.558999999999997</v>
      </c>
      <c r="L1278" s="57" t="s">
        <v>101</v>
      </c>
      <c r="M1278" s="57">
        <v>4.2409999999999997</v>
      </c>
      <c r="N1278" s="57">
        <v>4.2409999999999997</v>
      </c>
      <c r="O1278" s="53" t="s">
        <v>101</v>
      </c>
      <c r="P1278" s="57" t="s">
        <v>448</v>
      </c>
      <c r="Q1278" s="57" t="s">
        <v>457</v>
      </c>
      <c r="R1278" s="59" t="s">
        <v>454</v>
      </c>
    </row>
    <row r="1279" spans="1:18" x14ac:dyDescent="0.5">
      <c r="A1279" s="52" t="str">
        <f>"817822CR8"</f>
        <v>817822CR8</v>
      </c>
      <c r="B1279" s="53" t="s">
        <v>496</v>
      </c>
      <c r="C1279" s="53" t="s">
        <v>1611</v>
      </c>
      <c r="D1279" s="53" t="s">
        <v>447</v>
      </c>
      <c r="E1279" s="53">
        <v>3</v>
      </c>
      <c r="F1279" s="54">
        <v>48639</v>
      </c>
      <c r="G1279" s="54">
        <v>46447</v>
      </c>
      <c r="H1279" s="53" t="s">
        <v>624</v>
      </c>
      <c r="I1279" s="53" t="s">
        <v>105</v>
      </c>
      <c r="J1279" s="53" t="s">
        <v>101</v>
      </c>
      <c r="K1279" s="53">
        <v>95.248000000000005</v>
      </c>
      <c r="L1279" s="53" t="s">
        <v>101</v>
      </c>
      <c r="M1279" s="53">
        <v>3.6890000000000001</v>
      </c>
      <c r="N1279" s="53">
        <v>3.6890000000000001</v>
      </c>
      <c r="O1279" s="53" t="s">
        <v>101</v>
      </c>
      <c r="P1279" s="53" t="s">
        <v>448</v>
      </c>
      <c r="Q1279" s="53" t="s">
        <v>556</v>
      </c>
      <c r="R1279" s="55" t="s">
        <v>454</v>
      </c>
    </row>
    <row r="1280" spans="1:18" x14ac:dyDescent="0.5">
      <c r="A1280" s="56" t="str">
        <f>"866854SC7"</f>
        <v>866854SC7</v>
      </c>
      <c r="B1280" s="57" t="s">
        <v>496</v>
      </c>
      <c r="C1280" s="57" t="s">
        <v>1612</v>
      </c>
      <c r="D1280" s="53" t="s">
        <v>447</v>
      </c>
      <c r="E1280" s="57">
        <v>3</v>
      </c>
      <c r="F1280" s="58">
        <v>48639</v>
      </c>
      <c r="G1280" s="58">
        <v>46813</v>
      </c>
      <c r="H1280" s="57" t="s">
        <v>105</v>
      </c>
      <c r="I1280" s="57" t="s">
        <v>628</v>
      </c>
      <c r="J1280" s="57" t="s">
        <v>101</v>
      </c>
      <c r="K1280" s="57">
        <v>93.216999999999999</v>
      </c>
      <c r="L1280" s="57" t="s">
        <v>101</v>
      </c>
      <c r="M1280" s="57">
        <v>3.9950000000000001</v>
      </c>
      <c r="N1280" s="57">
        <v>3.9950000000000001</v>
      </c>
      <c r="O1280" s="53" t="s">
        <v>101</v>
      </c>
      <c r="P1280" s="57" t="s">
        <v>448</v>
      </c>
      <c r="Q1280" s="57" t="s">
        <v>485</v>
      </c>
      <c r="R1280" s="59" t="s">
        <v>482</v>
      </c>
    </row>
    <row r="1281" spans="1:18" x14ac:dyDescent="0.5">
      <c r="A1281" s="52" t="str">
        <f>"89453PKR9"</f>
        <v>89453PKR9</v>
      </c>
      <c r="B1281" s="53" t="s">
        <v>451</v>
      </c>
      <c r="C1281" s="53" t="s">
        <v>1613</v>
      </c>
      <c r="D1281" s="53" t="s">
        <v>447</v>
      </c>
      <c r="E1281" s="53">
        <v>3.125</v>
      </c>
      <c r="F1281" s="54">
        <v>48639</v>
      </c>
      <c r="G1281" s="54">
        <v>45733</v>
      </c>
      <c r="H1281" s="53" t="s">
        <v>104</v>
      </c>
      <c r="I1281" s="53" t="s">
        <v>104</v>
      </c>
      <c r="J1281" s="53" t="s">
        <v>101</v>
      </c>
      <c r="K1281" s="53">
        <v>96.909000000000006</v>
      </c>
      <c r="L1281" s="53" t="s">
        <v>101</v>
      </c>
      <c r="M1281" s="53">
        <v>3.5710000000000002</v>
      </c>
      <c r="N1281" s="53">
        <v>3.5710000000000002</v>
      </c>
      <c r="O1281" s="53" t="s">
        <v>101</v>
      </c>
      <c r="P1281" s="53" t="s">
        <v>448</v>
      </c>
      <c r="Q1281" s="53" t="s">
        <v>874</v>
      </c>
      <c r="R1281" s="55" t="s">
        <v>454</v>
      </c>
    </row>
    <row r="1282" spans="1:18" x14ac:dyDescent="0.5">
      <c r="A1282" s="56" t="str">
        <f>"89453PRD3"</f>
        <v>89453PRD3</v>
      </c>
      <c r="B1282" s="57" t="s">
        <v>451</v>
      </c>
      <c r="C1282" s="57" t="s">
        <v>1614</v>
      </c>
      <c r="D1282" s="53" t="s">
        <v>447</v>
      </c>
      <c r="E1282" s="57">
        <v>3.2</v>
      </c>
      <c r="F1282" s="58">
        <v>48639</v>
      </c>
      <c r="G1282" s="58">
        <v>45717</v>
      </c>
      <c r="H1282" s="57" t="s">
        <v>104</v>
      </c>
      <c r="I1282" s="57" t="s">
        <v>104</v>
      </c>
      <c r="J1282" s="57" t="s">
        <v>101</v>
      </c>
      <c r="K1282" s="57">
        <v>96.617999999999995</v>
      </c>
      <c r="L1282" s="57" t="s">
        <v>101</v>
      </c>
      <c r="M1282" s="57">
        <v>3.69</v>
      </c>
      <c r="N1282" s="57">
        <v>3.69</v>
      </c>
      <c r="O1282" s="53" t="s">
        <v>101</v>
      </c>
      <c r="P1282" s="57" t="s">
        <v>448</v>
      </c>
      <c r="Q1282" s="57" t="s">
        <v>488</v>
      </c>
      <c r="R1282" s="59" t="s">
        <v>454</v>
      </c>
    </row>
    <row r="1283" spans="1:18" x14ac:dyDescent="0.5">
      <c r="A1283" s="52" t="str">
        <f>"89453PRZ4"</f>
        <v>89453PRZ4</v>
      </c>
      <c r="B1283" s="53" t="s">
        <v>451</v>
      </c>
      <c r="C1283" s="53" t="s">
        <v>1615</v>
      </c>
      <c r="D1283" s="53" t="s">
        <v>447</v>
      </c>
      <c r="E1283" s="53">
        <v>3.125</v>
      </c>
      <c r="F1283" s="54">
        <v>48639</v>
      </c>
      <c r="G1283" s="54">
        <v>45717</v>
      </c>
      <c r="H1283" s="53" t="s">
        <v>104</v>
      </c>
      <c r="I1283" s="53" t="s">
        <v>104</v>
      </c>
      <c r="J1283" s="53" t="s">
        <v>101</v>
      </c>
      <c r="K1283" s="53">
        <v>94.866</v>
      </c>
      <c r="L1283" s="53" t="s">
        <v>101</v>
      </c>
      <c r="M1283" s="53">
        <v>3.8740000000000001</v>
      </c>
      <c r="N1283" s="53">
        <v>3.8740000000000001</v>
      </c>
      <c r="O1283" s="53" t="s">
        <v>101</v>
      </c>
      <c r="P1283" s="53" t="s">
        <v>448</v>
      </c>
      <c r="Q1283" s="53" t="s">
        <v>485</v>
      </c>
      <c r="R1283" s="55" t="s">
        <v>504</v>
      </c>
    </row>
    <row r="1284" spans="1:18" x14ac:dyDescent="0.5">
      <c r="A1284" s="56" t="str">
        <f>"89453PSV2"</f>
        <v>89453PSV2</v>
      </c>
      <c r="B1284" s="57" t="s">
        <v>451</v>
      </c>
      <c r="C1284" s="57" t="s">
        <v>1616</v>
      </c>
      <c r="D1284" s="53" t="s">
        <v>447</v>
      </c>
      <c r="E1284" s="57">
        <v>3.2</v>
      </c>
      <c r="F1284" s="58">
        <v>48639</v>
      </c>
      <c r="G1284" s="58">
        <v>45717</v>
      </c>
      <c r="H1284" s="57" t="s">
        <v>104</v>
      </c>
      <c r="I1284" s="57" t="s">
        <v>104</v>
      </c>
      <c r="J1284" s="57" t="s">
        <v>101</v>
      </c>
      <c r="K1284" s="57">
        <v>97.212000000000003</v>
      </c>
      <c r="L1284" s="57" t="s">
        <v>101</v>
      </c>
      <c r="M1284" s="57">
        <v>3.6030000000000002</v>
      </c>
      <c r="N1284" s="57">
        <v>3.6030000000000002</v>
      </c>
      <c r="O1284" s="53" t="s">
        <v>101</v>
      </c>
      <c r="P1284" s="57" t="s">
        <v>448</v>
      </c>
      <c r="Q1284" s="57" t="s">
        <v>485</v>
      </c>
      <c r="R1284" s="59" t="s">
        <v>454</v>
      </c>
    </row>
    <row r="1285" spans="1:18" x14ac:dyDescent="0.5">
      <c r="A1285" s="52" t="str">
        <f>"281047K66"</f>
        <v>281047K66</v>
      </c>
      <c r="B1285" s="53" t="s">
        <v>477</v>
      </c>
      <c r="C1285" s="53" t="s">
        <v>1617</v>
      </c>
      <c r="D1285" s="53" t="s">
        <v>447</v>
      </c>
      <c r="E1285" s="53">
        <v>3</v>
      </c>
      <c r="F1285" s="54">
        <v>48653</v>
      </c>
      <c r="G1285" s="54">
        <v>47557</v>
      </c>
      <c r="H1285" s="53" t="s">
        <v>613</v>
      </c>
      <c r="I1285" s="53" t="s">
        <v>105</v>
      </c>
      <c r="J1285" s="53" t="s">
        <v>101</v>
      </c>
      <c r="K1285" s="53">
        <v>95.808999999999997</v>
      </c>
      <c r="L1285" s="53" t="s">
        <v>101</v>
      </c>
      <c r="M1285" s="53">
        <v>3.6030000000000002</v>
      </c>
      <c r="N1285" s="53">
        <v>3.6030000000000002</v>
      </c>
      <c r="O1285" s="53" t="s">
        <v>101</v>
      </c>
      <c r="P1285" s="53" t="s">
        <v>448</v>
      </c>
      <c r="Q1285" s="53" t="s">
        <v>485</v>
      </c>
      <c r="R1285" s="55" t="s">
        <v>454</v>
      </c>
    </row>
    <row r="1286" spans="1:18" x14ac:dyDescent="0.5">
      <c r="A1286" s="56" t="str">
        <f>"038137NC5"</f>
        <v>038137NC5</v>
      </c>
      <c r="B1286" s="57" t="s">
        <v>496</v>
      </c>
      <c r="C1286" s="57" t="s">
        <v>1618</v>
      </c>
      <c r="D1286" s="53" t="s">
        <v>447</v>
      </c>
      <c r="E1286" s="57">
        <v>3</v>
      </c>
      <c r="F1286" s="58">
        <v>48670</v>
      </c>
      <c r="G1286" s="58">
        <v>46478</v>
      </c>
      <c r="H1286" s="57" t="s">
        <v>613</v>
      </c>
      <c r="I1286" s="57" t="s">
        <v>105</v>
      </c>
      <c r="J1286" s="57" t="s">
        <v>101</v>
      </c>
      <c r="K1286" s="57">
        <v>94.730999999999995</v>
      </c>
      <c r="L1286" s="57" t="s">
        <v>101</v>
      </c>
      <c r="M1286" s="57">
        <v>3.7589999999999999</v>
      </c>
      <c r="N1286" s="57">
        <v>3.7589999999999999</v>
      </c>
      <c r="O1286" s="53" t="s">
        <v>101</v>
      </c>
      <c r="P1286" s="57" t="s">
        <v>448</v>
      </c>
      <c r="Q1286" s="57" t="s">
        <v>457</v>
      </c>
      <c r="R1286" s="59" t="s">
        <v>504</v>
      </c>
    </row>
    <row r="1287" spans="1:18" x14ac:dyDescent="0.5">
      <c r="A1287" s="52" t="str">
        <f>"126133QZ3"</f>
        <v>126133QZ3</v>
      </c>
      <c r="B1287" s="53" t="s">
        <v>451</v>
      </c>
      <c r="C1287" s="53" t="s">
        <v>1619</v>
      </c>
      <c r="D1287" s="53" t="s">
        <v>447</v>
      </c>
      <c r="E1287" s="53">
        <v>3.375</v>
      </c>
      <c r="F1287" s="54">
        <v>48670</v>
      </c>
      <c r="G1287" s="54">
        <v>45733</v>
      </c>
      <c r="H1287" s="53" t="s">
        <v>641</v>
      </c>
      <c r="I1287" s="53" t="s">
        <v>628</v>
      </c>
      <c r="J1287" s="53" t="s">
        <v>101</v>
      </c>
      <c r="K1287" s="53">
        <v>95.738</v>
      </c>
      <c r="L1287" s="53" t="s">
        <v>101</v>
      </c>
      <c r="M1287" s="53">
        <v>3.9940000000000002</v>
      </c>
      <c r="N1287" s="53">
        <v>3.9940000000000002</v>
      </c>
      <c r="O1287" s="53" t="s">
        <v>101</v>
      </c>
      <c r="P1287" s="53" t="s">
        <v>448</v>
      </c>
      <c r="Q1287" s="53" t="s">
        <v>460</v>
      </c>
      <c r="R1287" s="55" t="s">
        <v>630</v>
      </c>
    </row>
    <row r="1288" spans="1:18" x14ac:dyDescent="0.5">
      <c r="A1288" s="56" t="str">
        <f>"287769KA0"</f>
        <v>287769KA0</v>
      </c>
      <c r="B1288" s="57" t="s">
        <v>496</v>
      </c>
      <c r="C1288" s="57" t="s">
        <v>1620</v>
      </c>
      <c r="D1288" s="53" t="s">
        <v>447</v>
      </c>
      <c r="E1288" s="57">
        <v>3.4</v>
      </c>
      <c r="F1288" s="58">
        <v>48670</v>
      </c>
      <c r="G1288" s="58">
        <v>46113</v>
      </c>
      <c r="H1288" s="57" t="s">
        <v>613</v>
      </c>
      <c r="I1288" s="57" t="s">
        <v>105</v>
      </c>
      <c r="J1288" s="57" t="s">
        <v>101</v>
      </c>
      <c r="K1288" s="57">
        <v>99.29</v>
      </c>
      <c r="L1288" s="57" t="s">
        <v>101</v>
      </c>
      <c r="M1288" s="57">
        <v>3.5009999999999999</v>
      </c>
      <c r="N1288" s="57">
        <v>3.5009999999999999</v>
      </c>
      <c r="O1288" s="53" t="s">
        <v>101</v>
      </c>
      <c r="P1288" s="57" t="s">
        <v>448</v>
      </c>
      <c r="Q1288" s="57" t="s">
        <v>517</v>
      </c>
      <c r="R1288" s="59" t="s">
        <v>454</v>
      </c>
    </row>
    <row r="1289" spans="1:18" x14ac:dyDescent="0.5">
      <c r="A1289" s="52" t="str">
        <f>"344496KJ2"</f>
        <v>344496KJ2</v>
      </c>
      <c r="B1289" s="53" t="s">
        <v>496</v>
      </c>
      <c r="C1289" s="53" t="s">
        <v>1621</v>
      </c>
      <c r="D1289" s="53" t="s">
        <v>447</v>
      </c>
      <c r="E1289" s="53">
        <v>3</v>
      </c>
      <c r="F1289" s="54">
        <v>48670</v>
      </c>
      <c r="G1289" s="54">
        <v>46478</v>
      </c>
      <c r="H1289" s="53" t="s">
        <v>624</v>
      </c>
      <c r="I1289" s="53" t="s">
        <v>105</v>
      </c>
      <c r="J1289" s="53" t="s">
        <v>101</v>
      </c>
      <c r="K1289" s="53">
        <v>94.52</v>
      </c>
      <c r="L1289" s="53" t="s">
        <v>101</v>
      </c>
      <c r="M1289" s="53">
        <v>3.79</v>
      </c>
      <c r="N1289" s="53">
        <v>3.79</v>
      </c>
      <c r="O1289" s="53" t="s">
        <v>101</v>
      </c>
      <c r="P1289" s="53" t="s">
        <v>448</v>
      </c>
      <c r="Q1289" s="53" t="s">
        <v>453</v>
      </c>
      <c r="R1289" s="55" t="s">
        <v>482</v>
      </c>
    </row>
    <row r="1290" spans="1:18" x14ac:dyDescent="0.5">
      <c r="A1290" s="56" t="str">
        <f>"346806SC7"</f>
        <v>346806SC7</v>
      </c>
      <c r="B1290" s="57" t="s">
        <v>451</v>
      </c>
      <c r="C1290" s="57" t="s">
        <v>1622</v>
      </c>
      <c r="D1290" s="53" t="s">
        <v>447</v>
      </c>
      <c r="E1290" s="57">
        <v>3</v>
      </c>
      <c r="F1290" s="58">
        <v>48670</v>
      </c>
      <c r="G1290" s="58">
        <v>47209</v>
      </c>
      <c r="H1290" s="57" t="s">
        <v>105</v>
      </c>
      <c r="I1290" s="57" t="s">
        <v>628</v>
      </c>
      <c r="J1290" s="57" t="s">
        <v>101</v>
      </c>
      <c r="K1290" s="57">
        <v>93.965999999999994</v>
      </c>
      <c r="L1290" s="57" t="s">
        <v>101</v>
      </c>
      <c r="M1290" s="57">
        <v>3.8730000000000002</v>
      </c>
      <c r="N1290" s="57">
        <v>3.8730000000000002</v>
      </c>
      <c r="O1290" s="53" t="s">
        <v>101</v>
      </c>
      <c r="P1290" s="57" t="s">
        <v>448</v>
      </c>
      <c r="Q1290" s="57" t="s">
        <v>453</v>
      </c>
      <c r="R1290" s="59" t="s">
        <v>630</v>
      </c>
    </row>
    <row r="1291" spans="1:18" x14ac:dyDescent="0.5">
      <c r="A1291" s="52" t="str">
        <f>"346806TL6"</f>
        <v>346806TL6</v>
      </c>
      <c r="B1291" s="53" t="s">
        <v>451</v>
      </c>
      <c r="C1291" s="53" t="s">
        <v>1623</v>
      </c>
      <c r="D1291" s="53" t="s">
        <v>447</v>
      </c>
      <c r="E1291" s="53">
        <v>2</v>
      </c>
      <c r="F1291" s="54">
        <v>48670</v>
      </c>
      <c r="G1291" s="54">
        <v>46478</v>
      </c>
      <c r="H1291" s="53" t="s">
        <v>105</v>
      </c>
      <c r="I1291" s="53" t="s">
        <v>628</v>
      </c>
      <c r="J1291" s="53" t="s">
        <v>101</v>
      </c>
      <c r="K1291" s="53">
        <v>83.76</v>
      </c>
      <c r="L1291" s="53" t="s">
        <v>101</v>
      </c>
      <c r="M1291" s="53">
        <v>4.4000000000000004</v>
      </c>
      <c r="N1291" s="53">
        <v>4.4000000000000004</v>
      </c>
      <c r="O1291" s="53" t="s">
        <v>101</v>
      </c>
      <c r="P1291" s="53" t="s">
        <v>448</v>
      </c>
      <c r="Q1291" s="53" t="s">
        <v>565</v>
      </c>
      <c r="R1291" s="55" t="s">
        <v>630</v>
      </c>
    </row>
    <row r="1292" spans="1:18" x14ac:dyDescent="0.5">
      <c r="A1292" s="56" t="str">
        <f>"346905KD3"</f>
        <v>346905KD3</v>
      </c>
      <c r="B1292" s="57" t="s">
        <v>451</v>
      </c>
      <c r="C1292" s="57" t="s">
        <v>1624</v>
      </c>
      <c r="D1292" s="53" t="s">
        <v>447</v>
      </c>
      <c r="E1292" s="57">
        <v>2</v>
      </c>
      <c r="F1292" s="58">
        <v>48670</v>
      </c>
      <c r="G1292" s="58">
        <v>46113</v>
      </c>
      <c r="H1292" s="57" t="s">
        <v>641</v>
      </c>
      <c r="I1292" s="57" t="s">
        <v>628</v>
      </c>
      <c r="J1292" s="57" t="s">
        <v>101</v>
      </c>
      <c r="K1292" s="57">
        <v>83.25</v>
      </c>
      <c r="L1292" s="57" t="s">
        <v>101</v>
      </c>
      <c r="M1292" s="57">
        <v>4.484</v>
      </c>
      <c r="N1292" s="57">
        <v>4.484</v>
      </c>
      <c r="O1292" s="53" t="s">
        <v>101</v>
      </c>
      <c r="P1292" s="57" t="s">
        <v>448</v>
      </c>
      <c r="Q1292" s="57" t="s">
        <v>488</v>
      </c>
      <c r="R1292" s="59" t="s">
        <v>630</v>
      </c>
    </row>
    <row r="1293" spans="1:18" x14ac:dyDescent="0.5">
      <c r="A1293" s="52" t="str">
        <f>"3926414U7"</f>
        <v>3926414U7</v>
      </c>
      <c r="B1293" s="53" t="s">
        <v>496</v>
      </c>
      <c r="C1293" s="53" t="s">
        <v>1625</v>
      </c>
      <c r="D1293" s="53" t="s">
        <v>447</v>
      </c>
      <c r="E1293" s="53">
        <v>2.5</v>
      </c>
      <c r="F1293" s="54">
        <v>48670</v>
      </c>
      <c r="G1293" s="54">
        <v>46113</v>
      </c>
      <c r="H1293" s="53" t="s">
        <v>624</v>
      </c>
      <c r="I1293" s="53" t="s">
        <v>105</v>
      </c>
      <c r="J1293" s="53" t="s">
        <v>101</v>
      </c>
      <c r="K1293" s="53">
        <v>88.543000000000006</v>
      </c>
      <c r="L1293" s="53" t="s">
        <v>101</v>
      </c>
      <c r="M1293" s="53">
        <v>4.1779999999999999</v>
      </c>
      <c r="N1293" s="53">
        <v>4.1779999999999999</v>
      </c>
      <c r="O1293" s="53" t="s">
        <v>101</v>
      </c>
      <c r="P1293" s="53" t="s">
        <v>448</v>
      </c>
      <c r="Q1293" s="53" t="s">
        <v>488</v>
      </c>
      <c r="R1293" s="55" t="s">
        <v>454</v>
      </c>
    </row>
    <row r="1294" spans="1:18" x14ac:dyDescent="0.5">
      <c r="A1294" s="56" t="str">
        <f>"41419QFD8"</f>
        <v>41419QFD8</v>
      </c>
      <c r="B1294" s="57" t="s">
        <v>451</v>
      </c>
      <c r="C1294" s="57" t="s">
        <v>1626</v>
      </c>
      <c r="D1294" s="53" t="s">
        <v>447</v>
      </c>
      <c r="E1294" s="57">
        <v>2</v>
      </c>
      <c r="F1294" s="58">
        <v>48670</v>
      </c>
      <c r="G1294" s="58">
        <v>46478</v>
      </c>
      <c r="H1294" s="57" t="s">
        <v>641</v>
      </c>
      <c r="I1294" s="57" t="s">
        <v>628</v>
      </c>
      <c r="J1294" s="57" t="s">
        <v>101</v>
      </c>
      <c r="K1294" s="57">
        <v>83.76</v>
      </c>
      <c r="L1294" s="57" t="s">
        <v>101</v>
      </c>
      <c r="M1294" s="57">
        <v>4.4000000000000004</v>
      </c>
      <c r="N1294" s="57">
        <v>4.4000000000000004</v>
      </c>
      <c r="O1294" s="53" t="s">
        <v>101</v>
      </c>
      <c r="P1294" s="57" t="s">
        <v>448</v>
      </c>
      <c r="Q1294" s="57" t="s">
        <v>790</v>
      </c>
      <c r="R1294" s="59" t="s">
        <v>630</v>
      </c>
    </row>
    <row r="1295" spans="1:18" x14ac:dyDescent="0.5">
      <c r="A1295" s="52" t="str">
        <f>"41420LMN6"</f>
        <v>41420LMN6</v>
      </c>
      <c r="B1295" s="53" t="s">
        <v>451</v>
      </c>
      <c r="C1295" s="53" t="s">
        <v>1627</v>
      </c>
      <c r="D1295" s="53" t="s">
        <v>447</v>
      </c>
      <c r="E1295" s="53">
        <v>3.5</v>
      </c>
      <c r="F1295" s="54">
        <v>48670</v>
      </c>
      <c r="G1295" s="54">
        <v>45733</v>
      </c>
      <c r="H1295" s="53" t="s">
        <v>105</v>
      </c>
      <c r="I1295" s="53" t="s">
        <v>628</v>
      </c>
      <c r="J1295" s="53" t="s">
        <v>101</v>
      </c>
      <c r="K1295" s="53">
        <v>97.385000000000005</v>
      </c>
      <c r="L1295" s="53" t="s">
        <v>101</v>
      </c>
      <c r="M1295" s="53">
        <v>3.8780000000000001</v>
      </c>
      <c r="N1295" s="53">
        <v>3.8780000000000001</v>
      </c>
      <c r="O1295" s="53" t="s">
        <v>101</v>
      </c>
      <c r="P1295" s="53" t="s">
        <v>448</v>
      </c>
      <c r="Q1295" s="53" t="s">
        <v>485</v>
      </c>
      <c r="R1295" s="55" t="s">
        <v>630</v>
      </c>
    </row>
    <row r="1296" spans="1:18" x14ac:dyDescent="0.5">
      <c r="A1296" s="56" t="str">
        <f>"489836SX5"</f>
        <v>489836SX5</v>
      </c>
      <c r="B1296" s="57" t="s">
        <v>496</v>
      </c>
      <c r="C1296" s="57" t="s">
        <v>1628</v>
      </c>
      <c r="D1296" s="53" t="s">
        <v>447</v>
      </c>
      <c r="E1296" s="57">
        <v>3</v>
      </c>
      <c r="F1296" s="58">
        <v>48670</v>
      </c>
      <c r="G1296" s="58">
        <v>46113</v>
      </c>
      <c r="H1296" s="57" t="s">
        <v>613</v>
      </c>
      <c r="I1296" s="57" t="s">
        <v>105</v>
      </c>
      <c r="J1296" s="57" t="s">
        <v>101</v>
      </c>
      <c r="K1296" s="57">
        <v>94.495999999999995</v>
      </c>
      <c r="L1296" s="57" t="s">
        <v>101</v>
      </c>
      <c r="M1296" s="57">
        <v>3.794</v>
      </c>
      <c r="N1296" s="57">
        <v>3.794</v>
      </c>
      <c r="O1296" s="53" t="s">
        <v>101</v>
      </c>
      <c r="P1296" s="57" t="s">
        <v>448</v>
      </c>
      <c r="Q1296" s="57" t="s">
        <v>460</v>
      </c>
      <c r="R1296" s="59" t="s">
        <v>454</v>
      </c>
    </row>
    <row r="1297" spans="1:18" x14ac:dyDescent="0.5">
      <c r="A1297" s="52" t="str">
        <f>"565624MM2"</f>
        <v>565624MM2</v>
      </c>
      <c r="B1297" s="53" t="s">
        <v>477</v>
      </c>
      <c r="C1297" s="53" t="s">
        <v>1629</v>
      </c>
      <c r="D1297" s="53" t="s">
        <v>447</v>
      </c>
      <c r="E1297" s="53">
        <v>2</v>
      </c>
      <c r="F1297" s="54">
        <v>48670</v>
      </c>
      <c r="G1297" s="54">
        <v>46844</v>
      </c>
      <c r="H1297" s="53" t="s">
        <v>105</v>
      </c>
      <c r="I1297" s="53" t="s">
        <v>628</v>
      </c>
      <c r="J1297" s="53" t="s">
        <v>101</v>
      </c>
      <c r="K1297" s="53">
        <v>83.882000000000005</v>
      </c>
      <c r="L1297" s="53" t="s">
        <v>101</v>
      </c>
      <c r="M1297" s="53">
        <v>4.38</v>
      </c>
      <c r="N1297" s="53">
        <v>4.38</v>
      </c>
      <c r="O1297" s="53" t="s">
        <v>101</v>
      </c>
      <c r="P1297" s="53" t="s">
        <v>448</v>
      </c>
      <c r="Q1297" s="53" t="s">
        <v>457</v>
      </c>
      <c r="R1297" s="55" t="s">
        <v>454</v>
      </c>
    </row>
    <row r="1298" spans="1:18" x14ac:dyDescent="0.5">
      <c r="A1298" s="56" t="str">
        <f>"580458HX8"</f>
        <v>580458HX8</v>
      </c>
      <c r="B1298" s="57" t="s">
        <v>496</v>
      </c>
      <c r="C1298" s="57" t="s">
        <v>1630</v>
      </c>
      <c r="D1298" s="53" t="s">
        <v>447</v>
      </c>
      <c r="E1298" s="57">
        <v>3.25</v>
      </c>
      <c r="F1298" s="58">
        <v>48670</v>
      </c>
      <c r="G1298" s="58">
        <v>46113</v>
      </c>
      <c r="H1298" s="57" t="s">
        <v>624</v>
      </c>
      <c r="I1298" s="57" t="s">
        <v>105</v>
      </c>
      <c r="J1298" s="57" t="s">
        <v>101</v>
      </c>
      <c r="K1298" s="57">
        <v>96.82</v>
      </c>
      <c r="L1298" s="57" t="s">
        <v>101</v>
      </c>
      <c r="M1298" s="57">
        <v>3.7069999999999999</v>
      </c>
      <c r="N1298" s="57">
        <v>3.7069999999999999</v>
      </c>
      <c r="O1298" s="53" t="s">
        <v>101</v>
      </c>
      <c r="P1298" s="57" t="s">
        <v>448</v>
      </c>
      <c r="Q1298" s="57" t="s">
        <v>488</v>
      </c>
      <c r="R1298" s="59" t="s">
        <v>454</v>
      </c>
    </row>
    <row r="1299" spans="1:18" x14ac:dyDescent="0.5">
      <c r="A1299" s="52" t="str">
        <f>"59333ND91"</f>
        <v>59333ND91</v>
      </c>
      <c r="B1299" s="53" t="s">
        <v>499</v>
      </c>
      <c r="C1299" s="53" t="s">
        <v>1631</v>
      </c>
      <c r="D1299" s="53" t="s">
        <v>447</v>
      </c>
      <c r="E1299" s="53">
        <v>3</v>
      </c>
      <c r="F1299" s="54">
        <v>48670</v>
      </c>
      <c r="G1299" s="54">
        <v>46113</v>
      </c>
      <c r="H1299" s="53" t="s">
        <v>613</v>
      </c>
      <c r="I1299" s="53" t="s">
        <v>628</v>
      </c>
      <c r="J1299" s="53" t="s">
        <v>101</v>
      </c>
      <c r="K1299" s="53">
        <v>94.19</v>
      </c>
      <c r="L1299" s="53" t="s">
        <v>101</v>
      </c>
      <c r="M1299" s="53">
        <v>3.839</v>
      </c>
      <c r="N1299" s="53">
        <v>3.839</v>
      </c>
      <c r="O1299" s="53" t="s">
        <v>101</v>
      </c>
      <c r="P1299" s="53" t="s">
        <v>448</v>
      </c>
      <c r="Q1299" s="53" t="s">
        <v>527</v>
      </c>
      <c r="R1299" s="55" t="s">
        <v>504</v>
      </c>
    </row>
    <row r="1300" spans="1:18" x14ac:dyDescent="0.5">
      <c r="A1300" s="56" t="str">
        <f>"602366YQ3"</f>
        <v>602366YQ3</v>
      </c>
      <c r="B1300" s="57" t="s">
        <v>496</v>
      </c>
      <c r="C1300" s="57" t="s">
        <v>1632</v>
      </c>
      <c r="D1300" s="53" t="s">
        <v>447</v>
      </c>
      <c r="E1300" s="57">
        <v>4</v>
      </c>
      <c r="F1300" s="58">
        <v>48670</v>
      </c>
      <c r="G1300" s="58">
        <v>46478</v>
      </c>
      <c r="H1300" s="57" t="s">
        <v>105</v>
      </c>
      <c r="I1300" s="57" t="s">
        <v>713</v>
      </c>
      <c r="J1300" s="57" t="s">
        <v>101</v>
      </c>
      <c r="K1300" s="57">
        <v>100.562</v>
      </c>
      <c r="L1300" s="57" t="s">
        <v>101</v>
      </c>
      <c r="M1300" s="57">
        <v>3.72</v>
      </c>
      <c r="N1300" s="57">
        <v>3.9180000000000001</v>
      </c>
      <c r="O1300" s="53" t="s">
        <v>101</v>
      </c>
      <c r="P1300" s="57" t="s">
        <v>448</v>
      </c>
      <c r="Q1300" s="57" t="s">
        <v>488</v>
      </c>
      <c r="R1300" s="59" t="s">
        <v>482</v>
      </c>
    </row>
    <row r="1301" spans="1:18" x14ac:dyDescent="0.5">
      <c r="A1301" s="52" t="str">
        <f>"622823AK8"</f>
        <v>622823AK8</v>
      </c>
      <c r="B1301" s="53" t="s">
        <v>496</v>
      </c>
      <c r="C1301" s="53" t="s">
        <v>1633</v>
      </c>
      <c r="D1301" s="53" t="s">
        <v>447</v>
      </c>
      <c r="E1301" s="53">
        <v>3.5</v>
      </c>
      <c r="F1301" s="54">
        <v>48670</v>
      </c>
      <c r="G1301" s="54">
        <v>46844</v>
      </c>
      <c r="H1301" s="53" t="s">
        <v>641</v>
      </c>
      <c r="I1301" s="53" t="s">
        <v>616</v>
      </c>
      <c r="J1301" s="53" t="s">
        <v>101</v>
      </c>
      <c r="K1301" s="53">
        <v>98.11</v>
      </c>
      <c r="L1301" s="53" t="s">
        <v>101</v>
      </c>
      <c r="M1301" s="53">
        <v>3.7719999999999998</v>
      </c>
      <c r="N1301" s="53">
        <v>3.7719999999999998</v>
      </c>
      <c r="O1301" s="53" t="s">
        <v>101</v>
      </c>
      <c r="P1301" s="53" t="s">
        <v>448</v>
      </c>
      <c r="Q1301" s="53" t="s">
        <v>488</v>
      </c>
      <c r="R1301" s="55" t="s">
        <v>504</v>
      </c>
    </row>
    <row r="1302" spans="1:18" x14ac:dyDescent="0.5">
      <c r="A1302" s="56" t="str">
        <f>"665245YK6"</f>
        <v>665245YK6</v>
      </c>
      <c r="B1302" s="57" t="s">
        <v>491</v>
      </c>
      <c r="C1302" s="57" t="s">
        <v>1634</v>
      </c>
      <c r="D1302" s="53" t="s">
        <v>447</v>
      </c>
      <c r="E1302" s="57">
        <v>5</v>
      </c>
      <c r="F1302" s="58">
        <v>48670</v>
      </c>
      <c r="G1302" s="58">
        <v>47574</v>
      </c>
      <c r="H1302" s="57" t="s">
        <v>685</v>
      </c>
      <c r="I1302" s="57" t="s">
        <v>628</v>
      </c>
      <c r="J1302" s="57" t="s">
        <v>101</v>
      </c>
      <c r="K1302" s="57">
        <v>106.626</v>
      </c>
      <c r="L1302" s="57" t="s">
        <v>101</v>
      </c>
      <c r="M1302" s="57">
        <v>3.5710000000000002</v>
      </c>
      <c r="N1302" s="57">
        <v>4.0339999999999998</v>
      </c>
      <c r="O1302" s="53" t="s">
        <v>101</v>
      </c>
      <c r="P1302" s="57" t="s">
        <v>448</v>
      </c>
      <c r="Q1302" s="57" t="s">
        <v>488</v>
      </c>
      <c r="R1302" s="59" t="s">
        <v>771</v>
      </c>
    </row>
    <row r="1303" spans="1:18" x14ac:dyDescent="0.5">
      <c r="A1303" s="52" t="str">
        <f>"868424JK9"</f>
        <v>868424JK9</v>
      </c>
      <c r="B1303" s="53" t="s">
        <v>496</v>
      </c>
      <c r="C1303" s="53" t="s">
        <v>1635</v>
      </c>
      <c r="D1303" s="53" t="s">
        <v>447</v>
      </c>
      <c r="E1303" s="53">
        <v>2.5</v>
      </c>
      <c r="F1303" s="54">
        <v>48670</v>
      </c>
      <c r="G1303" s="54">
        <v>45748</v>
      </c>
      <c r="H1303" s="53" t="s">
        <v>105</v>
      </c>
      <c r="I1303" s="53" t="s">
        <v>616</v>
      </c>
      <c r="J1303" s="53" t="s">
        <v>101</v>
      </c>
      <c r="K1303" s="53">
        <v>88.494</v>
      </c>
      <c r="L1303" s="53" t="s">
        <v>101</v>
      </c>
      <c r="M1303" s="53">
        <v>4.1859999999999999</v>
      </c>
      <c r="N1303" s="53">
        <v>4.1859999999999999</v>
      </c>
      <c r="O1303" s="53" t="s">
        <v>101</v>
      </c>
      <c r="P1303" s="53" t="s">
        <v>448</v>
      </c>
      <c r="Q1303" s="53" t="s">
        <v>1636</v>
      </c>
      <c r="R1303" s="55" t="s">
        <v>454</v>
      </c>
    </row>
    <row r="1304" spans="1:18" x14ac:dyDescent="0.5">
      <c r="A1304" s="56" t="str">
        <f>"892778RF0"</f>
        <v>892778RF0</v>
      </c>
      <c r="B1304" s="57" t="s">
        <v>451</v>
      </c>
      <c r="C1304" s="57" t="s">
        <v>1637</v>
      </c>
      <c r="D1304" s="53" t="s">
        <v>447</v>
      </c>
      <c r="E1304" s="57">
        <v>3</v>
      </c>
      <c r="F1304" s="58">
        <v>48670</v>
      </c>
      <c r="G1304" s="58">
        <v>45733</v>
      </c>
      <c r="H1304" s="57" t="s">
        <v>105</v>
      </c>
      <c r="I1304" s="57" t="s">
        <v>628</v>
      </c>
      <c r="J1304" s="57" t="s">
        <v>101</v>
      </c>
      <c r="K1304" s="57">
        <v>94.051000000000002</v>
      </c>
      <c r="L1304" s="57" t="s">
        <v>101</v>
      </c>
      <c r="M1304" s="57">
        <v>3.86</v>
      </c>
      <c r="N1304" s="57">
        <v>3.86</v>
      </c>
      <c r="O1304" s="53" t="s">
        <v>101</v>
      </c>
      <c r="P1304" s="57" t="s">
        <v>448</v>
      </c>
      <c r="Q1304" s="57" t="s">
        <v>457</v>
      </c>
      <c r="R1304" s="59" t="s">
        <v>630</v>
      </c>
    </row>
    <row r="1305" spans="1:18" x14ac:dyDescent="0.5">
      <c r="A1305" s="52" t="str">
        <f>"9143533J4"</f>
        <v>9143533J4</v>
      </c>
      <c r="B1305" s="53" t="s">
        <v>491</v>
      </c>
      <c r="C1305" s="53" t="s">
        <v>1638</v>
      </c>
      <c r="D1305" s="53" t="s">
        <v>447</v>
      </c>
      <c r="E1305" s="53">
        <v>4</v>
      </c>
      <c r="F1305" s="54">
        <v>48670</v>
      </c>
      <c r="G1305" s="54">
        <v>47574</v>
      </c>
      <c r="H1305" s="53" t="s">
        <v>613</v>
      </c>
      <c r="I1305" s="53" t="s">
        <v>616</v>
      </c>
      <c r="J1305" s="53" t="s">
        <v>101</v>
      </c>
      <c r="K1305" s="53">
        <v>101.875</v>
      </c>
      <c r="L1305" s="53" t="s">
        <v>101</v>
      </c>
      <c r="M1305" s="53">
        <v>3.5950000000000002</v>
      </c>
      <c r="N1305" s="53">
        <v>3.73</v>
      </c>
      <c r="O1305" s="53" t="s">
        <v>101</v>
      </c>
      <c r="P1305" s="53" t="s">
        <v>448</v>
      </c>
      <c r="Q1305" s="53" t="s">
        <v>488</v>
      </c>
      <c r="R1305" s="55" t="s">
        <v>504</v>
      </c>
    </row>
    <row r="1306" spans="1:18" x14ac:dyDescent="0.5">
      <c r="A1306" s="56" t="str">
        <f>"952433HK9"</f>
        <v>952433HK9</v>
      </c>
      <c r="B1306" s="57" t="s">
        <v>496</v>
      </c>
      <c r="C1306" s="57" t="s">
        <v>1639</v>
      </c>
      <c r="D1306" s="53" t="s">
        <v>447</v>
      </c>
      <c r="E1306" s="57">
        <v>2</v>
      </c>
      <c r="F1306" s="58">
        <v>48670</v>
      </c>
      <c r="G1306" s="58">
        <v>47574</v>
      </c>
      <c r="H1306" s="57" t="s">
        <v>105</v>
      </c>
      <c r="I1306" s="57" t="s">
        <v>616</v>
      </c>
      <c r="J1306" s="57" t="s">
        <v>101</v>
      </c>
      <c r="K1306" s="57">
        <v>86.185000000000002</v>
      </c>
      <c r="L1306" s="57" t="s">
        <v>101</v>
      </c>
      <c r="M1306" s="57">
        <v>4.01</v>
      </c>
      <c r="N1306" s="57">
        <v>4.01</v>
      </c>
      <c r="O1306" s="53" t="s">
        <v>101</v>
      </c>
      <c r="P1306" s="57" t="s">
        <v>448</v>
      </c>
      <c r="Q1306" s="57" t="s">
        <v>1245</v>
      </c>
      <c r="R1306" s="59" t="s">
        <v>454</v>
      </c>
    </row>
    <row r="1307" spans="1:18" x14ac:dyDescent="0.5">
      <c r="A1307" s="52" t="str">
        <f>"955728FN5"</f>
        <v>955728FN5</v>
      </c>
      <c r="B1307" s="53" t="s">
        <v>496</v>
      </c>
      <c r="C1307" s="53" t="s">
        <v>1640</v>
      </c>
      <c r="D1307" s="53" t="s">
        <v>447</v>
      </c>
      <c r="E1307" s="53">
        <v>3</v>
      </c>
      <c r="F1307" s="54">
        <v>48670</v>
      </c>
      <c r="G1307" s="54">
        <v>45748</v>
      </c>
      <c r="H1307" s="53" t="s">
        <v>105</v>
      </c>
      <c r="I1307" s="53" t="s">
        <v>658</v>
      </c>
      <c r="J1307" s="53" t="s">
        <v>101</v>
      </c>
      <c r="K1307" s="53">
        <v>92.74</v>
      </c>
      <c r="L1307" s="53" t="s">
        <v>101</v>
      </c>
      <c r="M1307" s="53">
        <v>4.0579999999999998</v>
      </c>
      <c r="N1307" s="53">
        <v>4.0579999999999998</v>
      </c>
      <c r="O1307" s="53" t="s">
        <v>101</v>
      </c>
      <c r="P1307" s="53" t="s">
        <v>448</v>
      </c>
      <c r="Q1307" s="53" t="s">
        <v>488</v>
      </c>
      <c r="R1307" s="55" t="s">
        <v>454</v>
      </c>
    </row>
    <row r="1308" spans="1:18" x14ac:dyDescent="0.5">
      <c r="A1308" s="56" t="str">
        <f>"41418MCG4"</f>
        <v>41418MCG4</v>
      </c>
      <c r="B1308" s="57" t="s">
        <v>451</v>
      </c>
      <c r="C1308" s="57" t="s">
        <v>1641</v>
      </c>
      <c r="D1308" s="53" t="s">
        <v>447</v>
      </c>
      <c r="E1308" s="57">
        <v>4</v>
      </c>
      <c r="F1308" s="58">
        <v>48700</v>
      </c>
      <c r="G1308" s="58">
        <v>47604</v>
      </c>
      <c r="H1308" s="57" t="s">
        <v>105</v>
      </c>
      <c r="I1308" s="57" t="s">
        <v>628</v>
      </c>
      <c r="J1308" s="57" t="s">
        <v>101</v>
      </c>
      <c r="K1308" s="57">
        <v>101.836</v>
      </c>
      <c r="L1308" s="57" t="s">
        <v>101</v>
      </c>
      <c r="M1308" s="57">
        <v>3.609</v>
      </c>
      <c r="N1308" s="57">
        <v>3.7370000000000001</v>
      </c>
      <c r="O1308" s="53" t="s">
        <v>101</v>
      </c>
      <c r="P1308" s="57" t="s">
        <v>448</v>
      </c>
      <c r="Q1308" s="57" t="s">
        <v>479</v>
      </c>
      <c r="R1308" s="59" t="s">
        <v>630</v>
      </c>
    </row>
    <row r="1309" spans="1:18" x14ac:dyDescent="0.5">
      <c r="A1309" s="52" t="str">
        <f>"43124AMM7"</f>
        <v>43124AMM7</v>
      </c>
      <c r="B1309" s="53" t="s">
        <v>451</v>
      </c>
      <c r="C1309" s="53" t="s">
        <v>1642</v>
      </c>
      <c r="D1309" s="53" t="s">
        <v>447</v>
      </c>
      <c r="E1309" s="53">
        <v>3</v>
      </c>
      <c r="F1309" s="54">
        <v>48700</v>
      </c>
      <c r="G1309" s="54">
        <v>46508</v>
      </c>
      <c r="H1309" s="53" t="s">
        <v>627</v>
      </c>
      <c r="I1309" s="53" t="s">
        <v>628</v>
      </c>
      <c r="J1309" s="53" t="s">
        <v>101</v>
      </c>
      <c r="K1309" s="53">
        <v>93.864000000000004</v>
      </c>
      <c r="L1309" s="53" t="s">
        <v>101</v>
      </c>
      <c r="M1309" s="53">
        <v>3.88</v>
      </c>
      <c r="N1309" s="53">
        <v>3.88</v>
      </c>
      <c r="O1309" s="53" t="s">
        <v>101</v>
      </c>
      <c r="P1309" s="53" t="s">
        <v>448</v>
      </c>
      <c r="Q1309" s="53" t="s">
        <v>503</v>
      </c>
      <c r="R1309" s="55" t="s">
        <v>630</v>
      </c>
    </row>
    <row r="1310" spans="1:18" x14ac:dyDescent="0.5">
      <c r="A1310" s="56" t="str">
        <f>"667488SC5"</f>
        <v>667488SC5</v>
      </c>
      <c r="B1310" s="57" t="s">
        <v>451</v>
      </c>
      <c r="C1310" s="57" t="s">
        <v>1643</v>
      </c>
      <c r="D1310" s="53" t="s">
        <v>447</v>
      </c>
      <c r="E1310" s="57">
        <v>3.25</v>
      </c>
      <c r="F1310" s="58">
        <v>48700</v>
      </c>
      <c r="G1310" s="58">
        <v>45733</v>
      </c>
      <c r="H1310" s="57" t="s">
        <v>641</v>
      </c>
      <c r="I1310" s="57" t="s">
        <v>628</v>
      </c>
      <c r="J1310" s="57" t="s">
        <v>101</v>
      </c>
      <c r="K1310" s="57">
        <v>95.94</v>
      </c>
      <c r="L1310" s="57" t="s">
        <v>101</v>
      </c>
      <c r="M1310" s="57">
        <v>3.831</v>
      </c>
      <c r="N1310" s="57">
        <v>3.831</v>
      </c>
      <c r="O1310" s="53" t="s">
        <v>101</v>
      </c>
      <c r="P1310" s="57" t="s">
        <v>448</v>
      </c>
      <c r="Q1310" s="57" t="s">
        <v>488</v>
      </c>
      <c r="R1310" s="59" t="s">
        <v>630</v>
      </c>
    </row>
    <row r="1311" spans="1:18" x14ac:dyDescent="0.5">
      <c r="A1311" s="52" t="str">
        <f>"701859M49"</f>
        <v>701859M49</v>
      </c>
      <c r="B1311" s="53" t="s">
        <v>477</v>
      </c>
      <c r="C1311" s="53" t="s">
        <v>1644</v>
      </c>
      <c r="D1311" s="53" t="s">
        <v>447</v>
      </c>
      <c r="E1311" s="53">
        <v>2.5</v>
      </c>
      <c r="F1311" s="54">
        <v>48700</v>
      </c>
      <c r="G1311" s="54">
        <v>46143</v>
      </c>
      <c r="H1311" s="53" t="s">
        <v>613</v>
      </c>
      <c r="I1311" s="53" t="s">
        <v>105</v>
      </c>
      <c r="J1311" s="53" t="s">
        <v>101</v>
      </c>
      <c r="K1311" s="53">
        <v>88.59</v>
      </c>
      <c r="L1311" s="53" t="s">
        <v>101</v>
      </c>
      <c r="M1311" s="53">
        <v>4.1550000000000002</v>
      </c>
      <c r="N1311" s="53">
        <v>4.1550000000000002</v>
      </c>
      <c r="O1311" s="53" t="s">
        <v>101</v>
      </c>
      <c r="P1311" s="53" t="s">
        <v>448</v>
      </c>
      <c r="Q1311" s="53" t="s">
        <v>460</v>
      </c>
      <c r="R1311" s="55" t="s">
        <v>454</v>
      </c>
    </row>
    <row r="1312" spans="1:18" x14ac:dyDescent="0.5">
      <c r="A1312" s="56" t="str">
        <f>"821037FC7"</f>
        <v>821037FC7</v>
      </c>
      <c r="B1312" s="57" t="s">
        <v>496</v>
      </c>
      <c r="C1312" s="57" t="s">
        <v>1645</v>
      </c>
      <c r="D1312" s="53" t="s">
        <v>447</v>
      </c>
      <c r="E1312" s="57">
        <v>3.125</v>
      </c>
      <c r="F1312" s="58">
        <v>48700</v>
      </c>
      <c r="G1312" s="58">
        <v>46874</v>
      </c>
      <c r="H1312" s="57" t="s">
        <v>613</v>
      </c>
      <c r="I1312" s="57" t="s">
        <v>105</v>
      </c>
      <c r="J1312" s="57" t="s">
        <v>101</v>
      </c>
      <c r="K1312" s="57">
        <v>96.37</v>
      </c>
      <c r="L1312" s="57" t="s">
        <v>101</v>
      </c>
      <c r="M1312" s="57">
        <v>3.64</v>
      </c>
      <c r="N1312" s="57">
        <v>3.64</v>
      </c>
      <c r="O1312" s="53" t="s">
        <v>101</v>
      </c>
      <c r="P1312" s="57" t="s">
        <v>448</v>
      </c>
      <c r="Q1312" s="57" t="s">
        <v>479</v>
      </c>
      <c r="R1312" s="59" t="s">
        <v>504</v>
      </c>
    </row>
    <row r="1313" spans="1:18" x14ac:dyDescent="0.5">
      <c r="A1313" s="52" t="str">
        <f>"836753LX9"</f>
        <v>836753LX9</v>
      </c>
      <c r="B1313" s="53" t="s">
        <v>499</v>
      </c>
      <c r="C1313" s="53" t="s">
        <v>1646</v>
      </c>
      <c r="D1313" s="53" t="s">
        <v>447</v>
      </c>
      <c r="E1313" s="53">
        <v>4</v>
      </c>
      <c r="F1313" s="54">
        <v>48700</v>
      </c>
      <c r="G1313" s="54">
        <v>46143</v>
      </c>
      <c r="H1313" s="53" t="s">
        <v>624</v>
      </c>
      <c r="I1313" s="53" t="s">
        <v>628</v>
      </c>
      <c r="J1313" s="53" t="s">
        <v>101</v>
      </c>
      <c r="K1313" s="53">
        <v>100.55</v>
      </c>
      <c r="L1313" s="53" t="s">
        <v>101</v>
      </c>
      <c r="M1313" s="53">
        <v>3.5249999999999999</v>
      </c>
      <c r="N1313" s="53">
        <v>3.92</v>
      </c>
      <c r="O1313" s="53" t="s">
        <v>101</v>
      </c>
      <c r="P1313" s="53" t="s">
        <v>448</v>
      </c>
      <c r="Q1313" s="53" t="s">
        <v>790</v>
      </c>
      <c r="R1313" s="55" t="s">
        <v>506</v>
      </c>
    </row>
    <row r="1314" spans="1:18" x14ac:dyDescent="0.5">
      <c r="A1314" s="56" t="str">
        <f>"878164EY4"</f>
        <v>878164EY4</v>
      </c>
      <c r="B1314" s="57" t="s">
        <v>477</v>
      </c>
      <c r="C1314" s="57" t="s">
        <v>1647</v>
      </c>
      <c r="D1314" s="53" t="s">
        <v>447</v>
      </c>
      <c r="E1314" s="57">
        <v>3</v>
      </c>
      <c r="F1314" s="58">
        <v>48700</v>
      </c>
      <c r="G1314" s="58">
        <v>47604</v>
      </c>
      <c r="H1314" s="57" t="s">
        <v>613</v>
      </c>
      <c r="I1314" s="57" t="s">
        <v>105</v>
      </c>
      <c r="J1314" s="57" t="s">
        <v>101</v>
      </c>
      <c r="K1314" s="57">
        <v>95.525000000000006</v>
      </c>
      <c r="L1314" s="57" t="s">
        <v>101</v>
      </c>
      <c r="M1314" s="57">
        <v>3.6349999999999998</v>
      </c>
      <c r="N1314" s="57">
        <v>3.6349999999999998</v>
      </c>
      <c r="O1314" s="53" t="s">
        <v>101</v>
      </c>
      <c r="P1314" s="57" t="s">
        <v>448</v>
      </c>
      <c r="Q1314" s="57" t="s">
        <v>457</v>
      </c>
      <c r="R1314" s="59" t="s">
        <v>454</v>
      </c>
    </row>
    <row r="1315" spans="1:18" x14ac:dyDescent="0.5">
      <c r="A1315" s="52" t="str">
        <f>"943368FL9"</f>
        <v>943368FL9</v>
      </c>
      <c r="B1315" s="53" t="s">
        <v>496</v>
      </c>
      <c r="C1315" s="53" t="s">
        <v>1648</v>
      </c>
      <c r="D1315" s="53" t="s">
        <v>447</v>
      </c>
      <c r="E1315" s="53">
        <v>2.25</v>
      </c>
      <c r="F1315" s="54">
        <v>48700</v>
      </c>
      <c r="G1315" s="54">
        <v>46508</v>
      </c>
      <c r="H1315" s="53" t="s">
        <v>624</v>
      </c>
      <c r="I1315" s="53" t="s">
        <v>105</v>
      </c>
      <c r="J1315" s="53" t="s">
        <v>101</v>
      </c>
      <c r="K1315" s="53">
        <v>85.745000000000005</v>
      </c>
      <c r="L1315" s="53" t="s">
        <v>101</v>
      </c>
      <c r="M1315" s="53">
        <v>4.3330000000000002</v>
      </c>
      <c r="N1315" s="53">
        <v>4.3330000000000002</v>
      </c>
      <c r="O1315" s="53" t="s">
        <v>101</v>
      </c>
      <c r="P1315" s="53" t="s">
        <v>448</v>
      </c>
      <c r="Q1315" s="53" t="s">
        <v>485</v>
      </c>
      <c r="R1315" s="55" t="s">
        <v>504</v>
      </c>
    </row>
    <row r="1316" spans="1:18" x14ac:dyDescent="0.5">
      <c r="A1316" s="56" t="str">
        <f>"940416LJ7"</f>
        <v>940416LJ7</v>
      </c>
      <c r="B1316" s="57" t="s">
        <v>477</v>
      </c>
      <c r="C1316" s="57" t="s">
        <v>1649</v>
      </c>
      <c r="D1316" s="53" t="s">
        <v>447</v>
      </c>
      <c r="E1316" s="57">
        <v>2</v>
      </c>
      <c r="F1316" s="58">
        <v>48714</v>
      </c>
      <c r="G1316" s="58">
        <v>47618</v>
      </c>
      <c r="H1316" s="57" t="s">
        <v>613</v>
      </c>
      <c r="I1316" s="57" t="s">
        <v>105</v>
      </c>
      <c r="J1316" s="57" t="s">
        <v>101</v>
      </c>
      <c r="K1316" s="57">
        <v>83.926000000000002</v>
      </c>
      <c r="L1316" s="57" t="s">
        <v>101</v>
      </c>
      <c r="M1316" s="57">
        <v>4.34</v>
      </c>
      <c r="N1316" s="57">
        <v>4.34</v>
      </c>
      <c r="O1316" s="53" t="s">
        <v>101</v>
      </c>
      <c r="P1316" s="57" t="s">
        <v>448</v>
      </c>
      <c r="Q1316" s="57" t="s">
        <v>485</v>
      </c>
      <c r="R1316" s="59" t="s">
        <v>454</v>
      </c>
    </row>
    <row r="1317" spans="1:18" x14ac:dyDescent="0.5">
      <c r="A1317" s="52" t="str">
        <f>"04184KSV8"</f>
        <v>04184KSV8</v>
      </c>
      <c r="B1317" s="53" t="s">
        <v>451</v>
      </c>
      <c r="C1317" s="53" t="s">
        <v>1650</v>
      </c>
      <c r="D1317" s="53" t="s">
        <v>447</v>
      </c>
      <c r="E1317" s="53">
        <v>3</v>
      </c>
      <c r="F1317" s="54">
        <v>48731</v>
      </c>
      <c r="G1317" s="54">
        <v>46539</v>
      </c>
      <c r="H1317" s="53" t="s">
        <v>540</v>
      </c>
      <c r="I1317" s="53" t="s">
        <v>104</v>
      </c>
      <c r="J1317" s="53" t="s">
        <v>101</v>
      </c>
      <c r="K1317" s="53">
        <v>94.793999999999997</v>
      </c>
      <c r="L1317" s="53" t="s">
        <v>101</v>
      </c>
      <c r="M1317" s="53">
        <v>3.7360000000000002</v>
      </c>
      <c r="N1317" s="53">
        <v>3.7360000000000002</v>
      </c>
      <c r="O1317" s="53" t="s">
        <v>101</v>
      </c>
      <c r="P1317" s="53" t="s">
        <v>448</v>
      </c>
      <c r="Q1317" s="53" t="s">
        <v>475</v>
      </c>
      <c r="R1317" s="55" t="s">
        <v>589</v>
      </c>
    </row>
    <row r="1318" spans="1:18" x14ac:dyDescent="0.5">
      <c r="A1318" s="56" t="str">
        <f>"112860AR2"</f>
        <v>112860AR2</v>
      </c>
      <c r="B1318" s="57" t="s">
        <v>496</v>
      </c>
      <c r="C1318" s="57" t="s">
        <v>1651</v>
      </c>
      <c r="D1318" s="53" t="s">
        <v>447</v>
      </c>
      <c r="E1318" s="57">
        <v>3.5</v>
      </c>
      <c r="F1318" s="58">
        <v>48731</v>
      </c>
      <c r="G1318" s="58">
        <v>45809</v>
      </c>
      <c r="H1318" s="57" t="s">
        <v>627</v>
      </c>
      <c r="I1318" s="57" t="s">
        <v>105</v>
      </c>
      <c r="J1318" s="57" t="s">
        <v>101</v>
      </c>
      <c r="K1318" s="57">
        <v>97.778000000000006</v>
      </c>
      <c r="L1318" s="57" t="s">
        <v>101</v>
      </c>
      <c r="M1318" s="57">
        <v>3.8149999999999999</v>
      </c>
      <c r="N1318" s="57">
        <v>3.8149999999999999</v>
      </c>
      <c r="O1318" s="53" t="s">
        <v>101</v>
      </c>
      <c r="P1318" s="57" t="s">
        <v>448</v>
      </c>
      <c r="Q1318" s="57" t="s">
        <v>556</v>
      </c>
      <c r="R1318" s="59" t="s">
        <v>450</v>
      </c>
    </row>
    <row r="1319" spans="1:18" x14ac:dyDescent="0.5">
      <c r="A1319" s="52" t="str">
        <f>"34153QGW0"</f>
        <v>34153QGW0</v>
      </c>
      <c r="B1319" s="53" t="s">
        <v>499</v>
      </c>
      <c r="C1319" s="53" t="s">
        <v>1652</v>
      </c>
      <c r="D1319" s="53" t="s">
        <v>447</v>
      </c>
      <c r="E1319" s="53">
        <v>3.125</v>
      </c>
      <c r="F1319" s="54">
        <v>48731</v>
      </c>
      <c r="G1319" s="54">
        <v>46174</v>
      </c>
      <c r="H1319" s="53" t="s">
        <v>104</v>
      </c>
      <c r="I1319" s="53" t="s">
        <v>104</v>
      </c>
      <c r="J1319" s="53" t="s">
        <v>101</v>
      </c>
      <c r="K1319" s="53">
        <v>97.27</v>
      </c>
      <c r="L1319" s="53" t="s">
        <v>101</v>
      </c>
      <c r="M1319" s="53">
        <v>3.5070000000000001</v>
      </c>
      <c r="N1319" s="53">
        <v>3.5070000000000001</v>
      </c>
      <c r="O1319" s="53" t="s">
        <v>101</v>
      </c>
      <c r="P1319" s="53" t="s">
        <v>448</v>
      </c>
      <c r="Q1319" s="53" t="s">
        <v>479</v>
      </c>
      <c r="R1319" s="55" t="s">
        <v>504</v>
      </c>
    </row>
    <row r="1320" spans="1:18" x14ac:dyDescent="0.5">
      <c r="A1320" s="56" t="str">
        <f>"509076BZ7"</f>
        <v>509076BZ7</v>
      </c>
      <c r="B1320" s="57" t="s">
        <v>491</v>
      </c>
      <c r="C1320" s="57" t="s">
        <v>1653</v>
      </c>
      <c r="D1320" s="53" t="s">
        <v>447</v>
      </c>
      <c r="E1320" s="57">
        <v>3</v>
      </c>
      <c r="F1320" s="58">
        <v>48731</v>
      </c>
      <c r="G1320" s="58">
        <v>46905</v>
      </c>
      <c r="H1320" s="57" t="s">
        <v>105</v>
      </c>
      <c r="I1320" s="57" t="s">
        <v>104</v>
      </c>
      <c r="J1320" s="57" t="s">
        <v>101</v>
      </c>
      <c r="K1320" s="57">
        <v>96.382999999999996</v>
      </c>
      <c r="L1320" s="57" t="s">
        <v>101</v>
      </c>
      <c r="M1320" s="57">
        <v>3.5059999999999998</v>
      </c>
      <c r="N1320" s="57">
        <v>3.5059999999999998</v>
      </c>
      <c r="O1320" s="53" t="s">
        <v>101</v>
      </c>
      <c r="P1320" s="57" t="s">
        <v>448</v>
      </c>
      <c r="Q1320" s="57" t="s">
        <v>874</v>
      </c>
      <c r="R1320" s="59" t="s">
        <v>482</v>
      </c>
    </row>
    <row r="1321" spans="1:18" x14ac:dyDescent="0.5">
      <c r="A1321" s="52" t="str">
        <f>"60242MEC3"</f>
        <v>60242MEC3</v>
      </c>
      <c r="B1321" s="53" t="s">
        <v>496</v>
      </c>
      <c r="C1321" s="53" t="s">
        <v>1654</v>
      </c>
      <c r="D1321" s="53" t="s">
        <v>447</v>
      </c>
      <c r="E1321" s="53">
        <v>3</v>
      </c>
      <c r="F1321" s="54">
        <v>48731</v>
      </c>
      <c r="G1321" s="54">
        <v>46174</v>
      </c>
      <c r="H1321" s="53" t="s">
        <v>105</v>
      </c>
      <c r="I1321" s="53" t="s">
        <v>633</v>
      </c>
      <c r="J1321" s="53" t="s">
        <v>101</v>
      </c>
      <c r="K1321" s="53">
        <v>92.447000000000003</v>
      </c>
      <c r="L1321" s="53" t="s">
        <v>101</v>
      </c>
      <c r="M1321" s="53">
        <v>4.0830000000000002</v>
      </c>
      <c r="N1321" s="53">
        <v>4.0830000000000002</v>
      </c>
      <c r="O1321" s="53" t="s">
        <v>101</v>
      </c>
      <c r="P1321" s="53" t="s">
        <v>448</v>
      </c>
      <c r="Q1321" s="53" t="s">
        <v>1655</v>
      </c>
      <c r="R1321" s="55" t="s">
        <v>504</v>
      </c>
    </row>
    <row r="1322" spans="1:18" x14ac:dyDescent="0.5">
      <c r="A1322" s="56" t="str">
        <f>"611312MQ9"</f>
        <v>611312MQ9</v>
      </c>
      <c r="B1322" s="57" t="s">
        <v>477</v>
      </c>
      <c r="C1322" s="57" t="s">
        <v>1656</v>
      </c>
      <c r="D1322" s="53" t="s">
        <v>447</v>
      </c>
      <c r="E1322" s="57">
        <v>3</v>
      </c>
      <c r="F1322" s="58">
        <v>48731</v>
      </c>
      <c r="G1322" s="58">
        <v>46174</v>
      </c>
      <c r="H1322" s="57" t="s">
        <v>105</v>
      </c>
      <c r="I1322" s="57" t="s">
        <v>509</v>
      </c>
      <c r="J1322" s="57" t="s">
        <v>101</v>
      </c>
      <c r="K1322" s="57">
        <v>95.766000000000005</v>
      </c>
      <c r="L1322" s="57" t="s">
        <v>101</v>
      </c>
      <c r="M1322" s="57">
        <v>3.5950000000000002</v>
      </c>
      <c r="N1322" s="57">
        <v>3.5950000000000002</v>
      </c>
      <c r="O1322" s="53" t="s">
        <v>101</v>
      </c>
      <c r="P1322" s="57" t="s">
        <v>448</v>
      </c>
      <c r="Q1322" s="57" t="s">
        <v>460</v>
      </c>
      <c r="R1322" s="59" t="s">
        <v>454</v>
      </c>
    </row>
    <row r="1323" spans="1:18" x14ac:dyDescent="0.5">
      <c r="A1323" s="52" t="str">
        <f>"611312NK1"</f>
        <v>611312NK1</v>
      </c>
      <c r="B1323" s="53" t="s">
        <v>477</v>
      </c>
      <c r="C1323" s="53" t="s">
        <v>1657</v>
      </c>
      <c r="D1323" s="53" t="s">
        <v>447</v>
      </c>
      <c r="E1323" s="53">
        <v>2</v>
      </c>
      <c r="F1323" s="54">
        <v>48731</v>
      </c>
      <c r="G1323" s="54">
        <v>46905</v>
      </c>
      <c r="H1323" s="53" t="s">
        <v>105</v>
      </c>
      <c r="I1323" s="53" t="s">
        <v>509</v>
      </c>
      <c r="J1323" s="53" t="s">
        <v>101</v>
      </c>
      <c r="K1323" s="53">
        <v>84.105999999999995</v>
      </c>
      <c r="L1323" s="53" t="s">
        <v>101</v>
      </c>
      <c r="M1323" s="53">
        <v>4.3</v>
      </c>
      <c r="N1323" s="53">
        <v>4.3</v>
      </c>
      <c r="O1323" s="53" t="s">
        <v>101</v>
      </c>
      <c r="P1323" s="53" t="s">
        <v>448</v>
      </c>
      <c r="Q1323" s="53" t="s">
        <v>457</v>
      </c>
      <c r="R1323" s="55" t="s">
        <v>454</v>
      </c>
    </row>
    <row r="1324" spans="1:18" x14ac:dyDescent="0.5">
      <c r="A1324" s="56" t="str">
        <f>"646039ZE0"</f>
        <v>646039ZE0</v>
      </c>
      <c r="B1324" s="57" t="s">
        <v>477</v>
      </c>
      <c r="C1324" s="57" t="s">
        <v>1658</v>
      </c>
      <c r="D1324" s="53" t="s">
        <v>447</v>
      </c>
      <c r="E1324" s="57">
        <v>2</v>
      </c>
      <c r="F1324" s="58">
        <v>48731</v>
      </c>
      <c r="G1324" s="58">
        <v>47453</v>
      </c>
      <c r="H1324" s="57" t="s">
        <v>641</v>
      </c>
      <c r="I1324" s="57" t="s">
        <v>611</v>
      </c>
      <c r="J1324" s="57" t="s">
        <v>101</v>
      </c>
      <c r="K1324" s="57">
        <v>85.625</v>
      </c>
      <c r="L1324" s="57" t="s">
        <v>101</v>
      </c>
      <c r="M1324" s="57">
        <v>4.0599999999999996</v>
      </c>
      <c r="N1324" s="57">
        <v>4.0599999999999996</v>
      </c>
      <c r="O1324" s="53" t="s">
        <v>101</v>
      </c>
      <c r="P1324" s="57" t="s">
        <v>448</v>
      </c>
      <c r="Q1324" s="57" t="s">
        <v>457</v>
      </c>
      <c r="R1324" s="59" t="s">
        <v>589</v>
      </c>
    </row>
    <row r="1325" spans="1:18" x14ac:dyDescent="0.5">
      <c r="A1325" s="52" t="str">
        <f>"656066PQ4"</f>
        <v>656066PQ4</v>
      </c>
      <c r="B1325" s="53" t="s">
        <v>491</v>
      </c>
      <c r="C1325" s="53" t="s">
        <v>1659</v>
      </c>
      <c r="D1325" s="53" t="s">
        <v>447</v>
      </c>
      <c r="E1325" s="53">
        <v>3</v>
      </c>
      <c r="F1325" s="54">
        <v>48731</v>
      </c>
      <c r="G1325" s="54">
        <v>45809</v>
      </c>
      <c r="H1325" s="53" t="s">
        <v>540</v>
      </c>
      <c r="I1325" s="53" t="s">
        <v>105</v>
      </c>
      <c r="J1325" s="53" t="s">
        <v>101</v>
      </c>
      <c r="K1325" s="53">
        <v>95</v>
      </c>
      <c r="L1325" s="53" t="s">
        <v>101</v>
      </c>
      <c r="M1325" s="53">
        <v>3.706</v>
      </c>
      <c r="N1325" s="53">
        <v>3.706</v>
      </c>
      <c r="O1325" s="53" t="s">
        <v>101</v>
      </c>
      <c r="P1325" s="53" t="s">
        <v>448</v>
      </c>
      <c r="Q1325" s="53" t="s">
        <v>682</v>
      </c>
      <c r="R1325" s="55" t="s">
        <v>454</v>
      </c>
    </row>
    <row r="1326" spans="1:18" x14ac:dyDescent="0.5">
      <c r="A1326" s="56" t="str">
        <f>"66283AGU4"</f>
        <v>66283AGU4</v>
      </c>
      <c r="B1326" s="57" t="s">
        <v>451</v>
      </c>
      <c r="C1326" s="57" t="s">
        <v>1660</v>
      </c>
      <c r="D1326" s="53" t="s">
        <v>447</v>
      </c>
      <c r="E1326" s="57">
        <v>3</v>
      </c>
      <c r="F1326" s="58">
        <v>48731</v>
      </c>
      <c r="G1326" s="58">
        <v>47635</v>
      </c>
      <c r="H1326" s="57" t="s">
        <v>641</v>
      </c>
      <c r="I1326" s="57" t="s">
        <v>628</v>
      </c>
      <c r="J1326" s="57" t="s">
        <v>101</v>
      </c>
      <c r="K1326" s="57">
        <v>96.363</v>
      </c>
      <c r="L1326" s="57" t="s">
        <v>101</v>
      </c>
      <c r="M1326" s="57">
        <v>3.5089999999999999</v>
      </c>
      <c r="N1326" s="57">
        <v>3.5089999999999999</v>
      </c>
      <c r="O1326" s="53" t="s">
        <v>101</v>
      </c>
      <c r="P1326" s="57" t="s">
        <v>448</v>
      </c>
      <c r="Q1326" s="57" t="s">
        <v>573</v>
      </c>
      <c r="R1326" s="59" t="s">
        <v>504</v>
      </c>
    </row>
    <row r="1327" spans="1:18" x14ac:dyDescent="0.5">
      <c r="A1327" s="52" t="str">
        <f>"662842PZ0"</f>
        <v>662842PZ0</v>
      </c>
      <c r="B1327" s="53" t="s">
        <v>451</v>
      </c>
      <c r="C1327" s="53" t="s">
        <v>1661</v>
      </c>
      <c r="D1327" s="53" t="s">
        <v>447</v>
      </c>
      <c r="E1327" s="53">
        <v>3</v>
      </c>
      <c r="F1327" s="54">
        <v>48731</v>
      </c>
      <c r="G1327" s="54">
        <v>46905</v>
      </c>
      <c r="H1327" s="53" t="s">
        <v>540</v>
      </c>
      <c r="I1327" s="53" t="s">
        <v>104</v>
      </c>
      <c r="J1327" s="53" t="s">
        <v>101</v>
      </c>
      <c r="K1327" s="53">
        <v>95.947999999999993</v>
      </c>
      <c r="L1327" s="53" t="s">
        <v>101</v>
      </c>
      <c r="M1327" s="53">
        <v>3.569</v>
      </c>
      <c r="N1327" s="53">
        <v>3.569</v>
      </c>
      <c r="O1327" s="53" t="s">
        <v>101</v>
      </c>
      <c r="P1327" s="53" t="s">
        <v>448</v>
      </c>
      <c r="Q1327" s="53" t="s">
        <v>591</v>
      </c>
      <c r="R1327" s="55" t="s">
        <v>589</v>
      </c>
    </row>
    <row r="1328" spans="1:18" x14ac:dyDescent="0.5">
      <c r="A1328" s="56" t="str">
        <f>"790420LD3"</f>
        <v>790420LD3</v>
      </c>
      <c r="B1328" s="57" t="s">
        <v>499</v>
      </c>
      <c r="C1328" s="57" t="s">
        <v>1662</v>
      </c>
      <c r="D1328" s="53" t="s">
        <v>447</v>
      </c>
      <c r="E1328" s="57">
        <v>0</v>
      </c>
      <c r="F1328" s="58">
        <v>48731</v>
      </c>
      <c r="G1328" s="58" t="s">
        <v>105</v>
      </c>
      <c r="H1328" s="57" t="s">
        <v>613</v>
      </c>
      <c r="I1328" s="57" t="s">
        <v>104</v>
      </c>
      <c r="J1328" s="57" t="s">
        <v>101</v>
      </c>
      <c r="K1328" s="57">
        <v>73.066999999999993</v>
      </c>
      <c r="L1328" s="57" t="s">
        <v>101</v>
      </c>
      <c r="M1328" s="57">
        <v>3.823</v>
      </c>
      <c r="N1328" s="57">
        <v>3.823</v>
      </c>
      <c r="O1328" s="53" t="s">
        <v>101</v>
      </c>
      <c r="P1328" s="57" t="s">
        <v>448</v>
      </c>
      <c r="Q1328" s="57" t="s">
        <v>485</v>
      </c>
      <c r="R1328" s="59" t="s">
        <v>608</v>
      </c>
    </row>
    <row r="1329" spans="1:18" x14ac:dyDescent="0.5">
      <c r="A1329" s="52" t="str">
        <f>"088281D23"</f>
        <v>088281D23</v>
      </c>
      <c r="B1329" s="53" t="s">
        <v>451</v>
      </c>
      <c r="C1329" s="53" t="s">
        <v>1663</v>
      </c>
      <c r="D1329" s="53" t="s">
        <v>447</v>
      </c>
      <c r="E1329" s="53">
        <v>3</v>
      </c>
      <c r="F1329" s="54">
        <v>48745</v>
      </c>
      <c r="G1329" s="54">
        <v>46188</v>
      </c>
      <c r="H1329" s="53" t="s">
        <v>104</v>
      </c>
      <c r="I1329" s="53" t="s">
        <v>104</v>
      </c>
      <c r="J1329" s="53" t="s">
        <v>101</v>
      </c>
      <c r="K1329" s="53">
        <v>95.176000000000002</v>
      </c>
      <c r="L1329" s="53" t="s">
        <v>101</v>
      </c>
      <c r="M1329" s="53">
        <v>3.6779999999999999</v>
      </c>
      <c r="N1329" s="53">
        <v>3.6779999999999999</v>
      </c>
      <c r="O1329" s="53" t="s">
        <v>101</v>
      </c>
      <c r="P1329" s="53" t="s">
        <v>448</v>
      </c>
      <c r="Q1329" s="53" t="s">
        <v>460</v>
      </c>
      <c r="R1329" s="55" t="s">
        <v>454</v>
      </c>
    </row>
    <row r="1330" spans="1:18" x14ac:dyDescent="0.5">
      <c r="A1330" s="56" t="str">
        <f>"088281VZ0"</f>
        <v>088281VZ0</v>
      </c>
      <c r="B1330" s="57" t="s">
        <v>451</v>
      </c>
      <c r="C1330" s="57" t="s">
        <v>1664</v>
      </c>
      <c r="D1330" s="53" t="s">
        <v>447</v>
      </c>
      <c r="E1330" s="57">
        <v>3</v>
      </c>
      <c r="F1330" s="58">
        <v>48745</v>
      </c>
      <c r="G1330" s="58">
        <v>45823</v>
      </c>
      <c r="H1330" s="57" t="s">
        <v>104</v>
      </c>
      <c r="I1330" s="57" t="s">
        <v>104</v>
      </c>
      <c r="J1330" s="57" t="s">
        <v>101</v>
      </c>
      <c r="K1330" s="57">
        <v>93.2</v>
      </c>
      <c r="L1330" s="57" t="s">
        <v>101</v>
      </c>
      <c r="M1330" s="57">
        <v>3.9670000000000001</v>
      </c>
      <c r="N1330" s="57">
        <v>3.9670000000000001</v>
      </c>
      <c r="O1330" s="53" t="s">
        <v>101</v>
      </c>
      <c r="P1330" s="57" t="s">
        <v>448</v>
      </c>
      <c r="Q1330" s="57" t="s">
        <v>556</v>
      </c>
      <c r="R1330" s="59" t="s">
        <v>454</v>
      </c>
    </row>
    <row r="1331" spans="1:18" x14ac:dyDescent="0.5">
      <c r="A1331" s="52" t="str">
        <f>"452227MB4"</f>
        <v>452227MB4</v>
      </c>
      <c r="B1331" s="53" t="s">
        <v>491</v>
      </c>
      <c r="C1331" s="53" t="s">
        <v>1665</v>
      </c>
      <c r="D1331" s="53" t="s">
        <v>447</v>
      </c>
      <c r="E1331" s="53">
        <v>3</v>
      </c>
      <c r="F1331" s="54">
        <v>48745</v>
      </c>
      <c r="G1331" s="54">
        <v>46188</v>
      </c>
      <c r="H1331" s="53" t="s">
        <v>105</v>
      </c>
      <c r="I1331" s="53" t="s">
        <v>611</v>
      </c>
      <c r="J1331" s="53" t="s">
        <v>101</v>
      </c>
      <c r="K1331" s="53">
        <v>90.33</v>
      </c>
      <c r="L1331" s="53" t="s">
        <v>101</v>
      </c>
      <c r="M1331" s="53">
        <v>4.399</v>
      </c>
      <c r="N1331" s="53">
        <v>4.399</v>
      </c>
      <c r="O1331" s="53" t="s">
        <v>101</v>
      </c>
      <c r="P1331" s="53" t="s">
        <v>448</v>
      </c>
      <c r="Q1331" s="53" t="s">
        <v>457</v>
      </c>
      <c r="R1331" s="55" t="s">
        <v>504</v>
      </c>
    </row>
    <row r="1332" spans="1:18" x14ac:dyDescent="0.5">
      <c r="A1332" s="56" t="str">
        <f>"452227MF5"</f>
        <v>452227MF5</v>
      </c>
      <c r="B1332" s="57" t="s">
        <v>491</v>
      </c>
      <c r="C1332" s="57" t="s">
        <v>1665</v>
      </c>
      <c r="D1332" s="53" t="s">
        <v>447</v>
      </c>
      <c r="E1332" s="57">
        <v>3</v>
      </c>
      <c r="F1332" s="58">
        <v>48745</v>
      </c>
      <c r="G1332" s="58">
        <v>46188</v>
      </c>
      <c r="H1332" s="57" t="s">
        <v>105</v>
      </c>
      <c r="I1332" s="57" t="s">
        <v>628</v>
      </c>
      <c r="J1332" s="57" t="s">
        <v>101</v>
      </c>
      <c r="K1332" s="57">
        <v>96.034000000000006</v>
      </c>
      <c r="L1332" s="57" t="s">
        <v>101</v>
      </c>
      <c r="M1332" s="57">
        <v>3.5539999999999998</v>
      </c>
      <c r="N1332" s="57">
        <v>3.5539999999999998</v>
      </c>
      <c r="O1332" s="53" t="s">
        <v>101</v>
      </c>
      <c r="P1332" s="57" t="s">
        <v>448</v>
      </c>
      <c r="Q1332" s="57" t="s">
        <v>1666</v>
      </c>
      <c r="R1332" s="59" t="s">
        <v>771</v>
      </c>
    </row>
    <row r="1333" spans="1:18" x14ac:dyDescent="0.5">
      <c r="A1333" s="52" t="str">
        <f>"452227TS0"</f>
        <v>452227TS0</v>
      </c>
      <c r="B1333" s="53" t="s">
        <v>491</v>
      </c>
      <c r="C1333" s="53" t="s">
        <v>1667</v>
      </c>
      <c r="D1333" s="53" t="s">
        <v>447</v>
      </c>
      <c r="E1333" s="53">
        <v>4</v>
      </c>
      <c r="F1333" s="54">
        <v>48745</v>
      </c>
      <c r="G1333" s="54">
        <v>48014</v>
      </c>
      <c r="H1333" s="53" t="s">
        <v>105</v>
      </c>
      <c r="I1333" s="53" t="s">
        <v>628</v>
      </c>
      <c r="J1333" s="53" t="s">
        <v>101</v>
      </c>
      <c r="K1333" s="53">
        <v>101.563</v>
      </c>
      <c r="L1333" s="53" t="s">
        <v>101</v>
      </c>
      <c r="M1333" s="53">
        <v>3.72</v>
      </c>
      <c r="N1333" s="53">
        <v>3.7789999999999999</v>
      </c>
      <c r="O1333" s="53" t="s">
        <v>101</v>
      </c>
      <c r="P1333" s="53" t="s">
        <v>448</v>
      </c>
      <c r="Q1333" s="53" t="s">
        <v>479</v>
      </c>
      <c r="R1333" s="55" t="s">
        <v>1267</v>
      </c>
    </row>
    <row r="1334" spans="1:18" x14ac:dyDescent="0.5">
      <c r="A1334" s="56" t="str">
        <f>"6060203J2"</f>
        <v>6060203J2</v>
      </c>
      <c r="B1334" s="57" t="s">
        <v>451</v>
      </c>
      <c r="C1334" s="57" t="s">
        <v>1668</v>
      </c>
      <c r="D1334" s="53" t="s">
        <v>447</v>
      </c>
      <c r="E1334" s="57">
        <v>3.125</v>
      </c>
      <c r="F1334" s="58">
        <v>48745</v>
      </c>
      <c r="G1334" s="58">
        <v>46188</v>
      </c>
      <c r="H1334" s="57" t="s">
        <v>540</v>
      </c>
      <c r="I1334" s="57" t="s">
        <v>105</v>
      </c>
      <c r="J1334" s="57" t="s">
        <v>101</v>
      </c>
      <c r="K1334" s="57">
        <v>96.465999999999994</v>
      </c>
      <c r="L1334" s="57" t="s">
        <v>101</v>
      </c>
      <c r="M1334" s="57">
        <v>3.62</v>
      </c>
      <c r="N1334" s="57">
        <v>3.62</v>
      </c>
      <c r="O1334" s="53" t="s">
        <v>101</v>
      </c>
      <c r="P1334" s="57" t="s">
        <v>448</v>
      </c>
      <c r="Q1334" s="57" t="s">
        <v>556</v>
      </c>
      <c r="R1334" s="59" t="s">
        <v>454</v>
      </c>
    </row>
    <row r="1335" spans="1:18" x14ac:dyDescent="0.5">
      <c r="A1335" s="52" t="str">
        <f>"869265B56"</f>
        <v>869265B56</v>
      </c>
      <c r="B1335" s="53" t="s">
        <v>477</v>
      </c>
      <c r="C1335" s="53" t="s">
        <v>1669</v>
      </c>
      <c r="D1335" s="53" t="s">
        <v>447</v>
      </c>
      <c r="E1335" s="53">
        <v>2</v>
      </c>
      <c r="F1335" s="54">
        <v>48745</v>
      </c>
      <c r="G1335" s="54">
        <v>46919</v>
      </c>
      <c r="H1335" s="53" t="s">
        <v>105</v>
      </c>
      <c r="I1335" s="53" t="s">
        <v>509</v>
      </c>
      <c r="J1335" s="53" t="s">
        <v>101</v>
      </c>
      <c r="K1335" s="53">
        <v>84.043999999999997</v>
      </c>
      <c r="L1335" s="53" t="s">
        <v>101</v>
      </c>
      <c r="M1335" s="53">
        <v>4.3</v>
      </c>
      <c r="N1335" s="53">
        <v>4.3</v>
      </c>
      <c r="O1335" s="53" t="s">
        <v>101</v>
      </c>
      <c r="P1335" s="53" t="s">
        <v>448</v>
      </c>
      <c r="Q1335" s="53" t="s">
        <v>457</v>
      </c>
      <c r="R1335" s="55" t="s">
        <v>454</v>
      </c>
    </row>
    <row r="1336" spans="1:18" x14ac:dyDescent="0.5">
      <c r="A1336" s="56" t="str">
        <f>"115065ZD9"</f>
        <v>115065ZD9</v>
      </c>
      <c r="B1336" s="57" t="s">
        <v>499</v>
      </c>
      <c r="C1336" s="57" t="s">
        <v>1670</v>
      </c>
      <c r="D1336" s="53" t="s">
        <v>447</v>
      </c>
      <c r="E1336" s="57">
        <v>3.25</v>
      </c>
      <c r="F1336" s="58">
        <v>48761</v>
      </c>
      <c r="G1336" s="58">
        <v>46204</v>
      </c>
      <c r="H1336" s="57" t="s">
        <v>624</v>
      </c>
      <c r="I1336" s="57" t="s">
        <v>658</v>
      </c>
      <c r="J1336" s="57" t="s">
        <v>101</v>
      </c>
      <c r="K1336" s="57">
        <v>94.795000000000002</v>
      </c>
      <c r="L1336" s="57" t="s">
        <v>101</v>
      </c>
      <c r="M1336" s="57">
        <v>3.9870000000000001</v>
      </c>
      <c r="N1336" s="57">
        <v>3.9870000000000001</v>
      </c>
      <c r="O1336" s="53" t="s">
        <v>101</v>
      </c>
      <c r="P1336" s="57" t="s">
        <v>448</v>
      </c>
      <c r="Q1336" s="57" t="s">
        <v>488</v>
      </c>
      <c r="R1336" s="59" t="s">
        <v>506</v>
      </c>
    </row>
    <row r="1337" spans="1:18" x14ac:dyDescent="0.5">
      <c r="A1337" s="52" t="str">
        <f>"117569JE4"</f>
        <v>117569JE4</v>
      </c>
      <c r="B1337" s="53" t="s">
        <v>451</v>
      </c>
      <c r="C1337" s="53" t="s">
        <v>1671</v>
      </c>
      <c r="D1337" s="53" t="s">
        <v>447</v>
      </c>
      <c r="E1337" s="53">
        <v>3</v>
      </c>
      <c r="F1337" s="54">
        <v>48761</v>
      </c>
      <c r="G1337" s="54">
        <v>46569</v>
      </c>
      <c r="H1337" s="53" t="s">
        <v>105</v>
      </c>
      <c r="I1337" s="53" t="s">
        <v>628</v>
      </c>
      <c r="J1337" s="53" t="s">
        <v>101</v>
      </c>
      <c r="K1337" s="53">
        <v>96.203999999999994</v>
      </c>
      <c r="L1337" s="53" t="s">
        <v>101</v>
      </c>
      <c r="M1337" s="53">
        <v>3.5270000000000001</v>
      </c>
      <c r="N1337" s="53">
        <v>3.5270000000000001</v>
      </c>
      <c r="O1337" s="53" t="s">
        <v>101</v>
      </c>
      <c r="P1337" s="53" t="s">
        <v>448</v>
      </c>
      <c r="Q1337" s="53" t="s">
        <v>666</v>
      </c>
      <c r="R1337" s="55" t="s">
        <v>820</v>
      </c>
    </row>
    <row r="1338" spans="1:18" x14ac:dyDescent="0.5">
      <c r="A1338" s="56" t="str">
        <f>"25812LAP3"</f>
        <v>25812LAP3</v>
      </c>
      <c r="B1338" s="57" t="s">
        <v>499</v>
      </c>
      <c r="C1338" s="57" t="s">
        <v>1672</v>
      </c>
      <c r="D1338" s="53" t="s">
        <v>447</v>
      </c>
      <c r="E1338" s="57">
        <v>3</v>
      </c>
      <c r="F1338" s="58">
        <v>48761</v>
      </c>
      <c r="G1338" s="58">
        <v>47300</v>
      </c>
      <c r="H1338" s="57" t="s">
        <v>105</v>
      </c>
      <c r="I1338" s="57" t="s">
        <v>509</v>
      </c>
      <c r="J1338" s="57" t="s">
        <v>101</v>
      </c>
      <c r="K1338" s="57">
        <v>95.713999999999999</v>
      </c>
      <c r="L1338" s="57" t="s">
        <v>101</v>
      </c>
      <c r="M1338" s="57">
        <v>3.597</v>
      </c>
      <c r="N1338" s="57">
        <v>3.597</v>
      </c>
      <c r="O1338" s="53" t="s">
        <v>101</v>
      </c>
      <c r="P1338" s="57" t="s">
        <v>448</v>
      </c>
      <c r="Q1338" s="57" t="s">
        <v>457</v>
      </c>
      <c r="R1338" s="59" t="s">
        <v>454</v>
      </c>
    </row>
    <row r="1339" spans="1:18" x14ac:dyDescent="0.5">
      <c r="A1339" s="52" t="str">
        <f>"34074M4M0"</f>
        <v>34074M4M0</v>
      </c>
      <c r="B1339" s="53" t="s">
        <v>499</v>
      </c>
      <c r="C1339" s="53" t="s">
        <v>1673</v>
      </c>
      <c r="D1339" s="53" t="s">
        <v>447</v>
      </c>
      <c r="E1339" s="53">
        <v>3.85</v>
      </c>
      <c r="F1339" s="54">
        <v>48761</v>
      </c>
      <c r="G1339" s="54" t="s">
        <v>101</v>
      </c>
      <c r="H1339" s="53" t="s">
        <v>104</v>
      </c>
      <c r="I1339" s="53" t="s">
        <v>105</v>
      </c>
      <c r="J1339" s="53" t="s">
        <v>101</v>
      </c>
      <c r="K1339" s="53">
        <v>102.47799999999999</v>
      </c>
      <c r="L1339" s="53" t="s">
        <v>101</v>
      </c>
      <c r="M1339" s="53">
        <v>3.5049999999999999</v>
      </c>
      <c r="N1339" s="53">
        <v>3.5049999999999999</v>
      </c>
      <c r="O1339" s="53" t="s">
        <v>101</v>
      </c>
      <c r="P1339" s="53" t="s">
        <v>448</v>
      </c>
      <c r="Q1339" s="53" t="s">
        <v>485</v>
      </c>
      <c r="R1339" s="55" t="s">
        <v>450</v>
      </c>
    </row>
    <row r="1340" spans="1:18" x14ac:dyDescent="0.5">
      <c r="A1340" s="56" t="str">
        <f>"34157WAH2"</f>
        <v>34157WAH2</v>
      </c>
      <c r="B1340" s="57" t="s">
        <v>499</v>
      </c>
      <c r="C1340" s="57" t="s">
        <v>1674</v>
      </c>
      <c r="D1340" s="53" t="s">
        <v>447</v>
      </c>
      <c r="E1340" s="57">
        <v>6</v>
      </c>
      <c r="F1340" s="58">
        <v>48761</v>
      </c>
      <c r="G1340" s="58" t="s">
        <v>105</v>
      </c>
      <c r="H1340" s="57" t="s">
        <v>105</v>
      </c>
      <c r="I1340" s="57" t="s">
        <v>628</v>
      </c>
      <c r="J1340" s="57" t="s">
        <v>101</v>
      </c>
      <c r="K1340" s="57">
        <v>117.893</v>
      </c>
      <c r="L1340" s="57" t="s">
        <v>101</v>
      </c>
      <c r="M1340" s="57">
        <v>3.5129999999999999</v>
      </c>
      <c r="N1340" s="57">
        <v>3.5129999999999999</v>
      </c>
      <c r="O1340" s="53" t="s">
        <v>101</v>
      </c>
      <c r="P1340" s="57" t="s">
        <v>448</v>
      </c>
      <c r="Q1340" s="57" t="s">
        <v>457</v>
      </c>
      <c r="R1340" s="59" t="s">
        <v>896</v>
      </c>
    </row>
    <row r="1341" spans="1:18" x14ac:dyDescent="0.5">
      <c r="A1341" s="52" t="str">
        <f>"341583DN9"</f>
        <v>341583DN9</v>
      </c>
      <c r="B1341" s="53" t="s">
        <v>499</v>
      </c>
      <c r="C1341" s="53" t="s">
        <v>1675</v>
      </c>
      <c r="D1341" s="53" t="s">
        <v>447</v>
      </c>
      <c r="E1341" s="53">
        <v>3</v>
      </c>
      <c r="F1341" s="54">
        <v>48761</v>
      </c>
      <c r="G1341" s="54">
        <v>46569</v>
      </c>
      <c r="H1341" s="53" t="s">
        <v>613</v>
      </c>
      <c r="I1341" s="53" t="s">
        <v>509</v>
      </c>
      <c r="J1341" s="53" t="s">
        <v>101</v>
      </c>
      <c r="K1341" s="53">
        <v>94.23</v>
      </c>
      <c r="L1341" s="53" t="s">
        <v>101</v>
      </c>
      <c r="M1341" s="53">
        <v>3.8109999999999999</v>
      </c>
      <c r="N1341" s="53">
        <v>3.8109999999999999</v>
      </c>
      <c r="O1341" s="53" t="s">
        <v>101</v>
      </c>
      <c r="P1341" s="53" t="s">
        <v>448</v>
      </c>
      <c r="Q1341" s="53" t="s">
        <v>460</v>
      </c>
      <c r="R1341" s="55" t="s">
        <v>589</v>
      </c>
    </row>
    <row r="1342" spans="1:18" x14ac:dyDescent="0.5">
      <c r="A1342" s="56" t="str">
        <f>"34160KBD1"</f>
        <v>34160KBD1</v>
      </c>
      <c r="B1342" s="57" t="s">
        <v>499</v>
      </c>
      <c r="C1342" s="57" t="s">
        <v>1676</v>
      </c>
      <c r="D1342" s="53" t="s">
        <v>447</v>
      </c>
      <c r="E1342" s="57">
        <v>3</v>
      </c>
      <c r="F1342" s="58">
        <v>48761</v>
      </c>
      <c r="G1342" s="58">
        <v>47665</v>
      </c>
      <c r="H1342" s="57" t="s">
        <v>540</v>
      </c>
      <c r="I1342" s="57" t="s">
        <v>509</v>
      </c>
      <c r="J1342" s="57" t="s">
        <v>101</v>
      </c>
      <c r="K1342" s="57">
        <v>96.007999999999996</v>
      </c>
      <c r="L1342" s="57" t="s">
        <v>101</v>
      </c>
      <c r="M1342" s="57">
        <v>3.5550000000000002</v>
      </c>
      <c r="N1342" s="57">
        <v>3.5550000000000002</v>
      </c>
      <c r="O1342" s="53" t="s">
        <v>101</v>
      </c>
      <c r="P1342" s="57" t="s">
        <v>448</v>
      </c>
      <c r="Q1342" s="57" t="s">
        <v>858</v>
      </c>
      <c r="R1342" s="59" t="s">
        <v>589</v>
      </c>
    </row>
    <row r="1343" spans="1:18" x14ac:dyDescent="0.5">
      <c r="A1343" s="52" t="str">
        <f>"34160WYN8"</f>
        <v>34160WYN8</v>
      </c>
      <c r="B1343" s="53" t="s">
        <v>499</v>
      </c>
      <c r="C1343" s="53" t="s">
        <v>1677</v>
      </c>
      <c r="D1343" s="53" t="s">
        <v>447</v>
      </c>
      <c r="E1343" s="53">
        <v>3.375</v>
      </c>
      <c r="F1343" s="54">
        <v>48761</v>
      </c>
      <c r="G1343" s="54">
        <v>45839</v>
      </c>
      <c r="H1343" s="53" t="s">
        <v>613</v>
      </c>
      <c r="I1343" s="53" t="s">
        <v>628</v>
      </c>
      <c r="J1343" s="53" t="s">
        <v>101</v>
      </c>
      <c r="K1343" s="53">
        <v>98.72</v>
      </c>
      <c r="L1343" s="53" t="s">
        <v>101</v>
      </c>
      <c r="M1343" s="53">
        <v>3.5529999999999999</v>
      </c>
      <c r="N1343" s="53">
        <v>3.5529999999999999</v>
      </c>
      <c r="O1343" s="53" t="s">
        <v>101</v>
      </c>
      <c r="P1343" s="53" t="s">
        <v>448</v>
      </c>
      <c r="Q1343" s="53" t="s">
        <v>453</v>
      </c>
      <c r="R1343" s="55" t="s">
        <v>504</v>
      </c>
    </row>
    <row r="1344" spans="1:18" x14ac:dyDescent="0.5">
      <c r="A1344" s="56" t="str">
        <f>"3431367Q4"</f>
        <v>3431367Q4</v>
      </c>
      <c r="B1344" s="57" t="s">
        <v>499</v>
      </c>
      <c r="C1344" s="57" t="s">
        <v>1678</v>
      </c>
      <c r="D1344" s="53" t="s">
        <v>447</v>
      </c>
      <c r="E1344" s="57">
        <v>4</v>
      </c>
      <c r="F1344" s="58">
        <v>48761</v>
      </c>
      <c r="G1344" s="58">
        <v>45839</v>
      </c>
      <c r="H1344" s="57" t="s">
        <v>613</v>
      </c>
      <c r="I1344" s="57" t="s">
        <v>105</v>
      </c>
      <c r="J1344" s="57" t="s">
        <v>101</v>
      </c>
      <c r="K1344" s="57">
        <v>100.17</v>
      </c>
      <c r="L1344" s="57" t="s">
        <v>101</v>
      </c>
      <c r="M1344" s="57">
        <v>3.516</v>
      </c>
      <c r="N1344" s="57">
        <v>3.9750000000000001</v>
      </c>
      <c r="O1344" s="53" t="s">
        <v>101</v>
      </c>
      <c r="P1344" s="57" t="s">
        <v>448</v>
      </c>
      <c r="Q1344" s="57" t="s">
        <v>453</v>
      </c>
      <c r="R1344" s="59" t="s">
        <v>504</v>
      </c>
    </row>
    <row r="1345" spans="1:18" x14ac:dyDescent="0.5">
      <c r="A1345" s="52" t="str">
        <f>"3431368L4"</f>
        <v>3431368L4</v>
      </c>
      <c r="B1345" s="53" t="s">
        <v>499</v>
      </c>
      <c r="C1345" s="53" t="s">
        <v>1679</v>
      </c>
      <c r="D1345" s="53" t="s">
        <v>447</v>
      </c>
      <c r="E1345" s="53">
        <v>3</v>
      </c>
      <c r="F1345" s="54">
        <v>48761</v>
      </c>
      <c r="G1345" s="54">
        <v>45839</v>
      </c>
      <c r="H1345" s="53" t="s">
        <v>613</v>
      </c>
      <c r="I1345" s="53" t="s">
        <v>105</v>
      </c>
      <c r="J1345" s="53" t="s">
        <v>101</v>
      </c>
      <c r="K1345" s="53">
        <v>94.168999999999997</v>
      </c>
      <c r="L1345" s="53" t="s">
        <v>101</v>
      </c>
      <c r="M1345" s="53">
        <v>3.82</v>
      </c>
      <c r="N1345" s="53">
        <v>3.82</v>
      </c>
      <c r="O1345" s="53" t="s">
        <v>101</v>
      </c>
      <c r="P1345" s="53" t="s">
        <v>448</v>
      </c>
      <c r="Q1345" s="53" t="s">
        <v>527</v>
      </c>
      <c r="R1345" s="55" t="s">
        <v>589</v>
      </c>
    </row>
    <row r="1346" spans="1:18" x14ac:dyDescent="0.5">
      <c r="A1346" s="56" t="str">
        <f>"343137HP3"</f>
        <v>343137HP3</v>
      </c>
      <c r="B1346" s="57" t="s">
        <v>499</v>
      </c>
      <c r="C1346" s="57" t="s">
        <v>1680</v>
      </c>
      <c r="D1346" s="53" t="s">
        <v>447</v>
      </c>
      <c r="E1346" s="57">
        <v>3</v>
      </c>
      <c r="F1346" s="58">
        <v>48761</v>
      </c>
      <c r="G1346" s="58">
        <v>47665</v>
      </c>
      <c r="H1346" s="57" t="s">
        <v>613</v>
      </c>
      <c r="I1346" s="57" t="s">
        <v>628</v>
      </c>
      <c r="J1346" s="57" t="s">
        <v>101</v>
      </c>
      <c r="K1346" s="57">
        <v>95.343000000000004</v>
      </c>
      <c r="L1346" s="57" t="s">
        <v>101</v>
      </c>
      <c r="M1346" s="57">
        <v>3.65</v>
      </c>
      <c r="N1346" s="57">
        <v>3.65</v>
      </c>
      <c r="O1346" s="53" t="s">
        <v>101</v>
      </c>
      <c r="P1346" s="57" t="s">
        <v>448</v>
      </c>
      <c r="Q1346" s="57" t="s">
        <v>790</v>
      </c>
      <c r="R1346" s="59" t="s">
        <v>504</v>
      </c>
    </row>
    <row r="1347" spans="1:18" x14ac:dyDescent="0.5">
      <c r="A1347" s="52" t="str">
        <f>"42766MEM5"</f>
        <v>42766MEM5</v>
      </c>
      <c r="B1347" s="53" t="s">
        <v>499</v>
      </c>
      <c r="C1347" s="53" t="s">
        <v>1681</v>
      </c>
      <c r="D1347" s="53" t="s">
        <v>447</v>
      </c>
      <c r="E1347" s="53">
        <v>3</v>
      </c>
      <c r="F1347" s="54">
        <v>48761</v>
      </c>
      <c r="G1347" s="54">
        <v>46204</v>
      </c>
      <c r="H1347" s="53" t="s">
        <v>105</v>
      </c>
      <c r="I1347" s="53" t="s">
        <v>628</v>
      </c>
      <c r="J1347" s="53" t="s">
        <v>101</v>
      </c>
      <c r="K1347" s="53">
        <v>94.122</v>
      </c>
      <c r="L1347" s="53" t="s">
        <v>101</v>
      </c>
      <c r="M1347" s="53">
        <v>3.827</v>
      </c>
      <c r="N1347" s="53">
        <v>3.827</v>
      </c>
      <c r="O1347" s="53" t="s">
        <v>101</v>
      </c>
      <c r="P1347" s="53" t="s">
        <v>448</v>
      </c>
      <c r="Q1347" s="53" t="s">
        <v>1682</v>
      </c>
      <c r="R1347" s="55" t="s">
        <v>771</v>
      </c>
    </row>
    <row r="1348" spans="1:18" x14ac:dyDescent="0.5">
      <c r="A1348" s="56" t="str">
        <f>"511355AM1"</f>
        <v>511355AM1</v>
      </c>
      <c r="B1348" s="57" t="s">
        <v>499</v>
      </c>
      <c r="C1348" s="57" t="s">
        <v>1683</v>
      </c>
      <c r="D1348" s="53" t="s">
        <v>447</v>
      </c>
      <c r="E1348" s="57">
        <v>3</v>
      </c>
      <c r="F1348" s="58">
        <v>48761</v>
      </c>
      <c r="G1348" s="58">
        <v>46935</v>
      </c>
      <c r="H1348" s="57" t="s">
        <v>641</v>
      </c>
      <c r="I1348" s="57" t="s">
        <v>628</v>
      </c>
      <c r="J1348" s="57" t="s">
        <v>101</v>
      </c>
      <c r="K1348" s="57">
        <v>95.475999999999999</v>
      </c>
      <c r="L1348" s="57" t="s">
        <v>101</v>
      </c>
      <c r="M1348" s="57">
        <v>3.6309999999999998</v>
      </c>
      <c r="N1348" s="57">
        <v>3.6309999999999998</v>
      </c>
      <c r="O1348" s="53" t="s">
        <v>101</v>
      </c>
      <c r="P1348" s="57" t="s">
        <v>448</v>
      </c>
      <c r="Q1348" s="57" t="s">
        <v>538</v>
      </c>
      <c r="R1348" s="59" t="s">
        <v>771</v>
      </c>
    </row>
    <row r="1349" spans="1:18" x14ac:dyDescent="0.5">
      <c r="A1349" s="52" t="str">
        <f>"511354FE7"</f>
        <v>511354FE7</v>
      </c>
      <c r="B1349" s="53" t="s">
        <v>499</v>
      </c>
      <c r="C1349" s="53" t="s">
        <v>1684</v>
      </c>
      <c r="D1349" s="53" t="s">
        <v>447</v>
      </c>
      <c r="E1349" s="53">
        <v>3.375</v>
      </c>
      <c r="F1349" s="54">
        <v>48761</v>
      </c>
      <c r="G1349" s="54">
        <v>46935</v>
      </c>
      <c r="H1349" s="53" t="s">
        <v>641</v>
      </c>
      <c r="I1349" s="53" t="s">
        <v>182</v>
      </c>
      <c r="J1349" s="53" t="s">
        <v>101</v>
      </c>
      <c r="K1349" s="53">
        <v>96.73</v>
      </c>
      <c r="L1349" s="53" t="s">
        <v>101</v>
      </c>
      <c r="M1349" s="53">
        <v>3.835</v>
      </c>
      <c r="N1349" s="53">
        <v>3.835</v>
      </c>
      <c r="O1349" s="53" t="s">
        <v>101</v>
      </c>
      <c r="P1349" s="53" t="s">
        <v>448</v>
      </c>
      <c r="Q1349" s="53" t="s">
        <v>488</v>
      </c>
      <c r="R1349" s="55" t="s">
        <v>454</v>
      </c>
    </row>
    <row r="1350" spans="1:18" x14ac:dyDescent="0.5">
      <c r="A1350" s="56" t="str">
        <f>"561790DZ6"</f>
        <v>561790DZ6</v>
      </c>
      <c r="B1350" s="57" t="s">
        <v>477</v>
      </c>
      <c r="C1350" s="57" t="s">
        <v>1685</v>
      </c>
      <c r="D1350" s="53" t="s">
        <v>447</v>
      </c>
      <c r="E1350" s="57">
        <v>3</v>
      </c>
      <c r="F1350" s="58">
        <v>48761</v>
      </c>
      <c r="G1350" s="58">
        <v>46204</v>
      </c>
      <c r="H1350" s="57" t="s">
        <v>610</v>
      </c>
      <c r="I1350" s="57" t="s">
        <v>105</v>
      </c>
      <c r="J1350" s="57" t="s">
        <v>101</v>
      </c>
      <c r="K1350" s="57">
        <v>92.986000000000004</v>
      </c>
      <c r="L1350" s="57" t="s">
        <v>101</v>
      </c>
      <c r="M1350" s="57">
        <v>3.9940000000000002</v>
      </c>
      <c r="N1350" s="57">
        <v>3.9940000000000002</v>
      </c>
      <c r="O1350" s="53" t="s">
        <v>101</v>
      </c>
      <c r="P1350" s="57" t="s">
        <v>585</v>
      </c>
      <c r="Q1350" s="57" t="s">
        <v>485</v>
      </c>
      <c r="R1350" s="59" t="s">
        <v>454</v>
      </c>
    </row>
    <row r="1351" spans="1:18" x14ac:dyDescent="0.5">
      <c r="A1351" s="52" t="str">
        <f>"645790EW2"</f>
        <v>645790EW2</v>
      </c>
      <c r="B1351" s="53" t="s">
        <v>477</v>
      </c>
      <c r="C1351" s="53" t="s">
        <v>1686</v>
      </c>
      <c r="D1351" s="53" t="s">
        <v>447</v>
      </c>
      <c r="E1351" s="53">
        <v>3</v>
      </c>
      <c r="F1351" s="54">
        <v>48761</v>
      </c>
      <c r="G1351" s="54">
        <v>46388</v>
      </c>
      <c r="H1351" s="53" t="s">
        <v>624</v>
      </c>
      <c r="I1351" s="53" t="s">
        <v>616</v>
      </c>
      <c r="J1351" s="53" t="s">
        <v>101</v>
      </c>
      <c r="K1351" s="53">
        <v>94.094999999999999</v>
      </c>
      <c r="L1351" s="53" t="s">
        <v>101</v>
      </c>
      <c r="M1351" s="53">
        <v>3.831</v>
      </c>
      <c r="N1351" s="53">
        <v>3.831</v>
      </c>
      <c r="O1351" s="53" t="s">
        <v>101</v>
      </c>
      <c r="P1351" s="53" t="s">
        <v>448</v>
      </c>
      <c r="Q1351" s="53" t="s">
        <v>485</v>
      </c>
      <c r="R1351" s="55" t="s">
        <v>450</v>
      </c>
    </row>
    <row r="1352" spans="1:18" x14ac:dyDescent="0.5">
      <c r="A1352" s="56" t="str">
        <f>"6460654T6"</f>
        <v>6460654T6</v>
      </c>
      <c r="B1352" s="57" t="s">
        <v>477</v>
      </c>
      <c r="C1352" s="57" t="s">
        <v>1687</v>
      </c>
      <c r="D1352" s="53" t="s">
        <v>447</v>
      </c>
      <c r="E1352" s="57">
        <v>3.25</v>
      </c>
      <c r="F1352" s="58">
        <v>48761</v>
      </c>
      <c r="G1352" s="58">
        <v>45733</v>
      </c>
      <c r="H1352" s="57" t="s">
        <v>670</v>
      </c>
      <c r="I1352" s="57" t="s">
        <v>105</v>
      </c>
      <c r="J1352" s="57" t="s">
        <v>101</v>
      </c>
      <c r="K1352" s="57">
        <v>91.55</v>
      </c>
      <c r="L1352" s="57" t="s">
        <v>101</v>
      </c>
      <c r="M1352" s="57">
        <v>4.4710000000000001</v>
      </c>
      <c r="N1352" s="57">
        <v>4.4710000000000001</v>
      </c>
      <c r="O1352" s="53" t="s">
        <v>101</v>
      </c>
      <c r="P1352" s="57" t="s">
        <v>448</v>
      </c>
      <c r="Q1352" s="57" t="s">
        <v>457</v>
      </c>
      <c r="R1352" s="59" t="s">
        <v>450</v>
      </c>
    </row>
    <row r="1353" spans="1:18" x14ac:dyDescent="0.5">
      <c r="A1353" s="52" t="str">
        <f>"646066L40"</f>
        <v>646066L40</v>
      </c>
      <c r="B1353" s="53" t="s">
        <v>477</v>
      </c>
      <c r="C1353" s="53" t="s">
        <v>1688</v>
      </c>
      <c r="D1353" s="53" t="s">
        <v>447</v>
      </c>
      <c r="E1353" s="53">
        <v>5</v>
      </c>
      <c r="F1353" s="54">
        <v>48761</v>
      </c>
      <c r="G1353" s="54">
        <v>46569</v>
      </c>
      <c r="H1353" s="53" t="s">
        <v>105</v>
      </c>
      <c r="I1353" s="53" t="s">
        <v>633</v>
      </c>
      <c r="J1353" s="53" t="s">
        <v>101</v>
      </c>
      <c r="K1353" s="53">
        <v>103.31</v>
      </c>
      <c r="L1353" s="53" t="s">
        <v>101</v>
      </c>
      <c r="M1353" s="53">
        <v>3.53</v>
      </c>
      <c r="N1353" s="53">
        <v>4.5199999999999996</v>
      </c>
      <c r="O1353" s="53" t="s">
        <v>101</v>
      </c>
      <c r="P1353" s="53" t="s">
        <v>448</v>
      </c>
      <c r="Q1353" s="53" t="s">
        <v>503</v>
      </c>
      <c r="R1353" s="55" t="s">
        <v>450</v>
      </c>
    </row>
    <row r="1354" spans="1:18" x14ac:dyDescent="0.5">
      <c r="A1354" s="56" t="str">
        <f>"74439YDG3"</f>
        <v>74439YDG3</v>
      </c>
      <c r="B1354" s="57" t="s">
        <v>496</v>
      </c>
      <c r="C1354" s="57" t="s">
        <v>1689</v>
      </c>
      <c r="D1354" s="53" t="s">
        <v>447</v>
      </c>
      <c r="E1354" s="57">
        <v>4</v>
      </c>
      <c r="F1354" s="58">
        <v>48761</v>
      </c>
      <c r="G1354" s="58">
        <v>46935</v>
      </c>
      <c r="H1354" s="57" t="s">
        <v>641</v>
      </c>
      <c r="I1354" s="57" t="s">
        <v>628</v>
      </c>
      <c r="J1354" s="57" t="s">
        <v>101</v>
      </c>
      <c r="K1354" s="57">
        <v>100.16</v>
      </c>
      <c r="L1354" s="57" t="s">
        <v>101</v>
      </c>
      <c r="M1354" s="57">
        <v>3.948</v>
      </c>
      <c r="N1354" s="57">
        <v>3.9769999999999999</v>
      </c>
      <c r="O1354" s="53" t="s">
        <v>101</v>
      </c>
      <c r="P1354" s="57" t="s">
        <v>448</v>
      </c>
      <c r="Q1354" s="57" t="s">
        <v>488</v>
      </c>
      <c r="R1354" s="59" t="s">
        <v>1583</v>
      </c>
    </row>
    <row r="1355" spans="1:18" x14ac:dyDescent="0.5">
      <c r="A1355" s="52" t="str">
        <f>"803327LJ2"</f>
        <v>803327LJ2</v>
      </c>
      <c r="B1355" s="53" t="s">
        <v>499</v>
      </c>
      <c r="C1355" s="53" t="s">
        <v>1690</v>
      </c>
      <c r="D1355" s="53" t="s">
        <v>447</v>
      </c>
      <c r="E1355" s="53">
        <v>3.25</v>
      </c>
      <c r="F1355" s="54">
        <v>48761</v>
      </c>
      <c r="G1355" s="54">
        <v>45839</v>
      </c>
      <c r="H1355" s="53" t="s">
        <v>540</v>
      </c>
      <c r="I1355" s="53" t="s">
        <v>105</v>
      </c>
      <c r="J1355" s="53" t="s">
        <v>101</v>
      </c>
      <c r="K1355" s="53">
        <v>97.897000000000006</v>
      </c>
      <c r="L1355" s="53" t="s">
        <v>101</v>
      </c>
      <c r="M1355" s="53">
        <v>3.5419999999999998</v>
      </c>
      <c r="N1355" s="53">
        <v>3.5419999999999998</v>
      </c>
      <c r="O1355" s="53" t="s">
        <v>101</v>
      </c>
      <c r="P1355" s="53" t="s">
        <v>448</v>
      </c>
      <c r="Q1355" s="53" t="s">
        <v>488</v>
      </c>
      <c r="R1355" s="55" t="s">
        <v>454</v>
      </c>
    </row>
    <row r="1356" spans="1:18" x14ac:dyDescent="0.5">
      <c r="A1356" s="56" t="str">
        <f>"220245VP6"</f>
        <v>220245VP6</v>
      </c>
      <c r="B1356" s="57" t="s">
        <v>451</v>
      </c>
      <c r="C1356" s="57" t="s">
        <v>1691</v>
      </c>
      <c r="D1356" s="53" t="s">
        <v>447</v>
      </c>
      <c r="E1356" s="57">
        <v>3.375</v>
      </c>
      <c r="F1356" s="58">
        <v>48775</v>
      </c>
      <c r="G1356" s="58">
        <v>45853</v>
      </c>
      <c r="H1356" s="57" t="s">
        <v>624</v>
      </c>
      <c r="I1356" s="57" t="s">
        <v>616</v>
      </c>
      <c r="J1356" s="57" t="s">
        <v>101</v>
      </c>
      <c r="K1356" s="57">
        <v>96.613</v>
      </c>
      <c r="L1356" s="57" t="s">
        <v>101</v>
      </c>
      <c r="M1356" s="57">
        <v>3.85</v>
      </c>
      <c r="N1356" s="57">
        <v>3.85</v>
      </c>
      <c r="O1356" s="53" t="s">
        <v>101</v>
      </c>
      <c r="P1356" s="57" t="s">
        <v>448</v>
      </c>
      <c r="Q1356" s="57" t="s">
        <v>453</v>
      </c>
      <c r="R1356" s="59" t="s">
        <v>589</v>
      </c>
    </row>
    <row r="1357" spans="1:18" x14ac:dyDescent="0.5">
      <c r="A1357" s="52" t="str">
        <f>"249721GW5"</f>
        <v>249721GW5</v>
      </c>
      <c r="B1357" s="53" t="s">
        <v>477</v>
      </c>
      <c r="C1357" s="53" t="s">
        <v>1692</v>
      </c>
      <c r="D1357" s="53" t="s">
        <v>447</v>
      </c>
      <c r="E1357" s="53">
        <v>2.5</v>
      </c>
      <c r="F1357" s="54">
        <v>48775</v>
      </c>
      <c r="G1357" s="54">
        <v>46583</v>
      </c>
      <c r="H1357" s="53" t="s">
        <v>105</v>
      </c>
      <c r="I1357" s="53" t="s">
        <v>628</v>
      </c>
      <c r="J1357" s="53" t="s">
        <v>101</v>
      </c>
      <c r="K1357" s="53">
        <v>88.046999999999997</v>
      </c>
      <c r="L1357" s="53" t="s">
        <v>101</v>
      </c>
      <c r="M1357" s="53">
        <v>4.202</v>
      </c>
      <c r="N1357" s="53">
        <v>4.202</v>
      </c>
      <c r="O1357" s="53" t="s">
        <v>101</v>
      </c>
      <c r="P1357" s="53" t="s">
        <v>448</v>
      </c>
      <c r="Q1357" s="53" t="s">
        <v>538</v>
      </c>
      <c r="R1357" s="55" t="s">
        <v>630</v>
      </c>
    </row>
    <row r="1358" spans="1:18" x14ac:dyDescent="0.5">
      <c r="A1358" s="56" t="str">
        <f>"675311BZ6"</f>
        <v>675311BZ6</v>
      </c>
      <c r="B1358" s="57" t="s">
        <v>477</v>
      </c>
      <c r="C1358" s="57" t="s">
        <v>1693</v>
      </c>
      <c r="D1358" s="53" t="s">
        <v>447</v>
      </c>
      <c r="E1358" s="57">
        <v>2.5</v>
      </c>
      <c r="F1358" s="58">
        <v>48775</v>
      </c>
      <c r="G1358" s="58">
        <v>46583</v>
      </c>
      <c r="H1358" s="57" t="s">
        <v>610</v>
      </c>
      <c r="I1358" s="57" t="s">
        <v>628</v>
      </c>
      <c r="J1358" s="57" t="s">
        <v>101</v>
      </c>
      <c r="K1358" s="57">
        <v>87.802000000000007</v>
      </c>
      <c r="L1358" s="57" t="s">
        <v>101</v>
      </c>
      <c r="M1358" s="57">
        <v>4.2389999999999999</v>
      </c>
      <c r="N1358" s="57">
        <v>4.2389999999999999</v>
      </c>
      <c r="O1358" s="53" t="s">
        <v>101</v>
      </c>
      <c r="P1358" s="57" t="s">
        <v>448</v>
      </c>
      <c r="Q1358" s="57" t="s">
        <v>874</v>
      </c>
      <c r="R1358" s="59" t="s">
        <v>630</v>
      </c>
    </row>
    <row r="1359" spans="1:18" x14ac:dyDescent="0.5">
      <c r="A1359" s="52" t="str">
        <f>"781479EU0"</f>
        <v>781479EU0</v>
      </c>
      <c r="B1359" s="53" t="s">
        <v>477</v>
      </c>
      <c r="C1359" s="53" t="s">
        <v>1694</v>
      </c>
      <c r="D1359" s="53" t="s">
        <v>447</v>
      </c>
      <c r="E1359" s="53">
        <v>2</v>
      </c>
      <c r="F1359" s="54">
        <v>48775</v>
      </c>
      <c r="G1359" s="54">
        <v>47314</v>
      </c>
      <c r="H1359" s="53" t="s">
        <v>540</v>
      </c>
      <c r="I1359" s="53" t="s">
        <v>105</v>
      </c>
      <c r="J1359" s="53" t="s">
        <v>101</v>
      </c>
      <c r="K1359" s="53">
        <v>84.62</v>
      </c>
      <c r="L1359" s="53" t="s">
        <v>101</v>
      </c>
      <c r="M1359" s="53">
        <v>4.1890000000000001</v>
      </c>
      <c r="N1359" s="53">
        <v>4.1890000000000001</v>
      </c>
      <c r="O1359" s="53" t="s">
        <v>101</v>
      </c>
      <c r="P1359" s="53" t="s">
        <v>448</v>
      </c>
      <c r="Q1359" s="53" t="s">
        <v>457</v>
      </c>
      <c r="R1359" s="55" t="s">
        <v>454</v>
      </c>
    </row>
    <row r="1360" spans="1:18" x14ac:dyDescent="0.5">
      <c r="A1360" s="56" t="str">
        <f>"979098EP1"</f>
        <v>979098EP1</v>
      </c>
      <c r="B1360" s="57" t="s">
        <v>477</v>
      </c>
      <c r="C1360" s="57" t="s">
        <v>1695</v>
      </c>
      <c r="D1360" s="53" t="s">
        <v>447</v>
      </c>
      <c r="E1360" s="57">
        <v>2.75</v>
      </c>
      <c r="F1360" s="58">
        <v>48775</v>
      </c>
      <c r="G1360" s="58">
        <v>46218</v>
      </c>
      <c r="H1360" s="57" t="s">
        <v>105</v>
      </c>
      <c r="I1360" s="57" t="s">
        <v>628</v>
      </c>
      <c r="J1360" s="57" t="s">
        <v>101</v>
      </c>
      <c r="K1360" s="57">
        <v>94.575000000000003</v>
      </c>
      <c r="L1360" s="57" t="s">
        <v>101</v>
      </c>
      <c r="M1360" s="57">
        <v>3.5</v>
      </c>
      <c r="N1360" s="57">
        <v>3.5</v>
      </c>
      <c r="O1360" s="53" t="s">
        <v>101</v>
      </c>
      <c r="P1360" s="57" t="s">
        <v>448</v>
      </c>
      <c r="Q1360" s="57" t="s">
        <v>1696</v>
      </c>
      <c r="R1360" s="59" t="s">
        <v>454</v>
      </c>
    </row>
    <row r="1361" spans="1:18" x14ac:dyDescent="0.5">
      <c r="A1361" s="52" t="str">
        <f>"34073XGG7"</f>
        <v>34073XGG7</v>
      </c>
      <c r="B1361" s="53" t="s">
        <v>499</v>
      </c>
      <c r="C1361" s="53" t="s">
        <v>1697</v>
      </c>
      <c r="D1361" s="53" t="s">
        <v>447</v>
      </c>
      <c r="E1361" s="53">
        <v>3.375</v>
      </c>
      <c r="F1361" s="54">
        <v>48792</v>
      </c>
      <c r="G1361" s="54">
        <v>46784</v>
      </c>
      <c r="H1361" s="53" t="s">
        <v>610</v>
      </c>
      <c r="I1361" s="53" t="s">
        <v>105</v>
      </c>
      <c r="J1361" s="53" t="s">
        <v>101</v>
      </c>
      <c r="K1361" s="53">
        <v>97.19</v>
      </c>
      <c r="L1361" s="53" t="s">
        <v>101</v>
      </c>
      <c r="M1361" s="53">
        <v>3.766</v>
      </c>
      <c r="N1361" s="53">
        <v>3.766</v>
      </c>
      <c r="O1361" s="53" t="s">
        <v>101</v>
      </c>
      <c r="P1361" s="53" t="s">
        <v>448</v>
      </c>
      <c r="Q1361" s="53" t="s">
        <v>460</v>
      </c>
      <c r="R1361" s="55" t="s">
        <v>450</v>
      </c>
    </row>
    <row r="1362" spans="1:18" x14ac:dyDescent="0.5">
      <c r="A1362" s="56" t="str">
        <f>"43232RBL3"</f>
        <v>43232RBL3</v>
      </c>
      <c r="B1362" s="57" t="s">
        <v>499</v>
      </c>
      <c r="C1362" s="57" t="s">
        <v>1698</v>
      </c>
      <c r="D1362" s="53" t="s">
        <v>447</v>
      </c>
      <c r="E1362" s="57">
        <v>3</v>
      </c>
      <c r="F1362" s="58">
        <v>48792</v>
      </c>
      <c r="G1362" s="58">
        <v>47880</v>
      </c>
      <c r="H1362" s="57" t="s">
        <v>104</v>
      </c>
      <c r="I1362" s="57" t="s">
        <v>104</v>
      </c>
      <c r="J1362" s="57" t="s">
        <v>101</v>
      </c>
      <c r="K1362" s="57">
        <v>94.956999999999994</v>
      </c>
      <c r="L1362" s="57" t="s">
        <v>101</v>
      </c>
      <c r="M1362" s="57">
        <v>3.7</v>
      </c>
      <c r="N1362" s="57">
        <v>3.7</v>
      </c>
      <c r="O1362" s="53" t="s">
        <v>101</v>
      </c>
      <c r="P1362" s="57" t="s">
        <v>448</v>
      </c>
      <c r="Q1362" s="57" t="s">
        <v>488</v>
      </c>
      <c r="R1362" s="59" t="s">
        <v>589</v>
      </c>
    </row>
    <row r="1363" spans="1:18" x14ac:dyDescent="0.5">
      <c r="A1363" s="52" t="str">
        <f>"432347PB2"</f>
        <v>432347PB2</v>
      </c>
      <c r="B1363" s="53" t="s">
        <v>499</v>
      </c>
      <c r="C1363" s="53" t="s">
        <v>1699</v>
      </c>
      <c r="D1363" s="53" t="s">
        <v>447</v>
      </c>
      <c r="E1363" s="53">
        <v>3</v>
      </c>
      <c r="F1363" s="54">
        <v>48792</v>
      </c>
      <c r="G1363" s="54">
        <v>48061</v>
      </c>
      <c r="H1363" s="53" t="s">
        <v>104</v>
      </c>
      <c r="I1363" s="53" t="s">
        <v>509</v>
      </c>
      <c r="J1363" s="53" t="s">
        <v>101</v>
      </c>
      <c r="K1363" s="53">
        <v>94.322000000000003</v>
      </c>
      <c r="L1363" s="53" t="s">
        <v>101</v>
      </c>
      <c r="M1363" s="53">
        <v>3.7909999999999999</v>
      </c>
      <c r="N1363" s="53">
        <v>3.7909999999999999</v>
      </c>
      <c r="O1363" s="53" t="s">
        <v>101</v>
      </c>
      <c r="P1363" s="53" t="s">
        <v>448</v>
      </c>
      <c r="Q1363" s="53" t="s">
        <v>457</v>
      </c>
      <c r="R1363" s="55" t="s">
        <v>504</v>
      </c>
    </row>
    <row r="1364" spans="1:18" x14ac:dyDescent="0.5">
      <c r="A1364" s="56" t="str">
        <f>"448474PH3"</f>
        <v>448474PH3</v>
      </c>
      <c r="B1364" s="57" t="s">
        <v>451</v>
      </c>
      <c r="C1364" s="57" t="s">
        <v>1700</v>
      </c>
      <c r="D1364" s="53" t="s">
        <v>447</v>
      </c>
      <c r="E1364" s="57">
        <v>3</v>
      </c>
      <c r="F1364" s="58">
        <v>48792</v>
      </c>
      <c r="G1364" s="58">
        <v>46600</v>
      </c>
      <c r="H1364" s="57" t="s">
        <v>105</v>
      </c>
      <c r="I1364" s="57" t="s">
        <v>628</v>
      </c>
      <c r="J1364" s="57" t="s">
        <v>101</v>
      </c>
      <c r="K1364" s="57">
        <v>96.129000000000005</v>
      </c>
      <c r="L1364" s="57" t="s">
        <v>101</v>
      </c>
      <c r="M1364" s="57">
        <v>3.5339999999999998</v>
      </c>
      <c r="N1364" s="57">
        <v>3.5339999999999998</v>
      </c>
      <c r="O1364" s="53" t="s">
        <v>101</v>
      </c>
      <c r="P1364" s="57" t="s">
        <v>448</v>
      </c>
      <c r="Q1364" s="57" t="s">
        <v>874</v>
      </c>
      <c r="R1364" s="59" t="s">
        <v>771</v>
      </c>
    </row>
    <row r="1365" spans="1:18" x14ac:dyDescent="0.5">
      <c r="A1365" s="52" t="str">
        <f>"45204EWX2"</f>
        <v>45204EWX2</v>
      </c>
      <c r="B1365" s="53" t="s">
        <v>491</v>
      </c>
      <c r="C1365" s="53" t="s">
        <v>1701</v>
      </c>
      <c r="D1365" s="53" t="s">
        <v>447</v>
      </c>
      <c r="E1365" s="53">
        <v>3.375</v>
      </c>
      <c r="F1365" s="54">
        <v>48792</v>
      </c>
      <c r="G1365" s="54">
        <v>46600</v>
      </c>
      <c r="H1365" s="53" t="s">
        <v>105</v>
      </c>
      <c r="I1365" s="53" t="s">
        <v>633</v>
      </c>
      <c r="J1365" s="53" t="s">
        <v>101</v>
      </c>
      <c r="K1365" s="53">
        <v>91.531000000000006</v>
      </c>
      <c r="L1365" s="53" t="s">
        <v>101</v>
      </c>
      <c r="M1365" s="53">
        <v>4.5949999999999998</v>
      </c>
      <c r="N1365" s="53">
        <v>4.5949999999999998</v>
      </c>
      <c r="O1365" s="53" t="s">
        <v>101</v>
      </c>
      <c r="P1365" s="53" t="s">
        <v>448</v>
      </c>
      <c r="Q1365" s="53" t="s">
        <v>1702</v>
      </c>
      <c r="R1365" s="55" t="s">
        <v>506</v>
      </c>
    </row>
    <row r="1366" spans="1:18" x14ac:dyDescent="0.5">
      <c r="A1366" s="56" t="str">
        <f>"4941347E3"</f>
        <v>4941347E3</v>
      </c>
      <c r="B1366" s="57" t="s">
        <v>451</v>
      </c>
      <c r="C1366" s="57" t="s">
        <v>1703</v>
      </c>
      <c r="D1366" s="53" t="s">
        <v>447</v>
      </c>
      <c r="E1366" s="57">
        <v>4</v>
      </c>
      <c r="F1366" s="58">
        <v>48792</v>
      </c>
      <c r="G1366" s="58">
        <v>46235</v>
      </c>
      <c r="H1366" s="57" t="s">
        <v>105</v>
      </c>
      <c r="I1366" s="57" t="s">
        <v>628</v>
      </c>
      <c r="J1366" s="57" t="s">
        <v>101</v>
      </c>
      <c r="K1366" s="57">
        <v>100.62</v>
      </c>
      <c r="L1366" s="57" t="s">
        <v>101</v>
      </c>
      <c r="M1366" s="57">
        <v>3.5569999999999999</v>
      </c>
      <c r="N1366" s="57">
        <v>3.9129999999999998</v>
      </c>
      <c r="O1366" s="53" t="s">
        <v>101</v>
      </c>
      <c r="P1366" s="57" t="s">
        <v>448</v>
      </c>
      <c r="Q1366" s="57" t="s">
        <v>682</v>
      </c>
      <c r="R1366" s="59" t="s">
        <v>454</v>
      </c>
    </row>
    <row r="1367" spans="1:18" x14ac:dyDescent="0.5">
      <c r="A1367" s="52" t="str">
        <f>"4941347V5"</f>
        <v>4941347V5</v>
      </c>
      <c r="B1367" s="53" t="s">
        <v>451</v>
      </c>
      <c r="C1367" s="53" t="s">
        <v>1704</v>
      </c>
      <c r="D1367" s="53" t="s">
        <v>447</v>
      </c>
      <c r="E1367" s="53">
        <v>4</v>
      </c>
      <c r="F1367" s="54">
        <v>48792</v>
      </c>
      <c r="G1367" s="54">
        <v>46600</v>
      </c>
      <c r="H1367" s="53" t="s">
        <v>105</v>
      </c>
      <c r="I1367" s="53" t="s">
        <v>628</v>
      </c>
      <c r="J1367" s="53" t="s">
        <v>101</v>
      </c>
      <c r="K1367" s="53">
        <v>101.15</v>
      </c>
      <c r="L1367" s="53" t="s">
        <v>101</v>
      </c>
      <c r="M1367" s="53">
        <v>3.5059999999999998</v>
      </c>
      <c r="N1367" s="53">
        <v>3.839</v>
      </c>
      <c r="O1367" s="53" t="s">
        <v>101</v>
      </c>
      <c r="P1367" s="53" t="s">
        <v>448</v>
      </c>
      <c r="Q1367" s="53" t="s">
        <v>479</v>
      </c>
      <c r="R1367" s="55" t="s">
        <v>482</v>
      </c>
    </row>
    <row r="1368" spans="1:18" x14ac:dyDescent="0.5">
      <c r="A1368" s="56" t="str">
        <f>"537071QH8"</f>
        <v>537071QH8</v>
      </c>
      <c r="B1368" s="57" t="s">
        <v>451</v>
      </c>
      <c r="C1368" s="57" t="s">
        <v>1705</v>
      </c>
      <c r="D1368" s="53" t="s">
        <v>447</v>
      </c>
      <c r="E1368" s="57">
        <v>3.375</v>
      </c>
      <c r="F1368" s="58">
        <v>48792</v>
      </c>
      <c r="G1368" s="58">
        <v>45733</v>
      </c>
      <c r="H1368" s="57" t="s">
        <v>105</v>
      </c>
      <c r="I1368" s="57" t="s">
        <v>104</v>
      </c>
      <c r="J1368" s="57" t="s">
        <v>101</v>
      </c>
      <c r="K1368" s="57">
        <v>97.77</v>
      </c>
      <c r="L1368" s="57" t="s">
        <v>101</v>
      </c>
      <c r="M1368" s="57">
        <v>3.6840000000000002</v>
      </c>
      <c r="N1368" s="57">
        <v>3.6840000000000002</v>
      </c>
      <c r="O1368" s="53" t="s">
        <v>101</v>
      </c>
      <c r="P1368" s="57" t="s">
        <v>448</v>
      </c>
      <c r="Q1368" s="57" t="s">
        <v>573</v>
      </c>
      <c r="R1368" s="59" t="s">
        <v>454</v>
      </c>
    </row>
    <row r="1369" spans="1:18" x14ac:dyDescent="0.5">
      <c r="A1369" s="52" t="str">
        <f>"537095TV3"</f>
        <v>537095TV3</v>
      </c>
      <c r="B1369" s="53" t="s">
        <v>451</v>
      </c>
      <c r="C1369" s="53" t="s">
        <v>1706</v>
      </c>
      <c r="D1369" s="53" t="s">
        <v>447</v>
      </c>
      <c r="E1369" s="53">
        <v>3.125</v>
      </c>
      <c r="F1369" s="54">
        <v>48792</v>
      </c>
      <c r="G1369" s="54">
        <v>46235</v>
      </c>
      <c r="H1369" s="53" t="s">
        <v>105</v>
      </c>
      <c r="I1369" s="53" t="s">
        <v>509</v>
      </c>
      <c r="J1369" s="53" t="s">
        <v>101</v>
      </c>
      <c r="K1369" s="53">
        <v>96.713999999999999</v>
      </c>
      <c r="L1369" s="53" t="s">
        <v>101</v>
      </c>
      <c r="M1369" s="53">
        <v>3.5790000000000002</v>
      </c>
      <c r="N1369" s="53">
        <v>3.5790000000000002</v>
      </c>
      <c r="O1369" s="53" t="s">
        <v>101</v>
      </c>
      <c r="P1369" s="53" t="s">
        <v>448</v>
      </c>
      <c r="Q1369" s="53" t="s">
        <v>1537</v>
      </c>
      <c r="R1369" s="55" t="s">
        <v>504</v>
      </c>
    </row>
    <row r="1370" spans="1:18" x14ac:dyDescent="0.5">
      <c r="A1370" s="56" t="str">
        <f>"537095TC5"</f>
        <v>537095TC5</v>
      </c>
      <c r="B1370" s="57" t="s">
        <v>451</v>
      </c>
      <c r="C1370" s="57" t="s">
        <v>1707</v>
      </c>
      <c r="D1370" s="53" t="s">
        <v>447</v>
      </c>
      <c r="E1370" s="57">
        <v>3.125</v>
      </c>
      <c r="F1370" s="58">
        <v>48792</v>
      </c>
      <c r="G1370" s="58">
        <v>46235</v>
      </c>
      <c r="H1370" s="57" t="s">
        <v>105</v>
      </c>
      <c r="I1370" s="57" t="s">
        <v>509</v>
      </c>
      <c r="J1370" s="57" t="s">
        <v>101</v>
      </c>
      <c r="K1370" s="57">
        <v>96.694000000000003</v>
      </c>
      <c r="L1370" s="57" t="s">
        <v>101</v>
      </c>
      <c r="M1370" s="57">
        <v>3.5819999999999999</v>
      </c>
      <c r="N1370" s="57">
        <v>3.5819999999999999</v>
      </c>
      <c r="O1370" s="53" t="s">
        <v>101</v>
      </c>
      <c r="P1370" s="57" t="s">
        <v>448</v>
      </c>
      <c r="Q1370" s="57" t="s">
        <v>1054</v>
      </c>
      <c r="R1370" s="59" t="s">
        <v>482</v>
      </c>
    </row>
    <row r="1371" spans="1:18" x14ac:dyDescent="0.5">
      <c r="A1371" s="52" t="str">
        <f>"537173MD5"</f>
        <v>537173MD5</v>
      </c>
      <c r="B1371" s="53" t="s">
        <v>477</v>
      </c>
      <c r="C1371" s="53" t="s">
        <v>1708</v>
      </c>
      <c r="D1371" s="53" t="s">
        <v>447</v>
      </c>
      <c r="E1371" s="53">
        <v>2</v>
      </c>
      <c r="F1371" s="54">
        <v>48792</v>
      </c>
      <c r="G1371" s="54">
        <v>46966</v>
      </c>
      <c r="H1371" s="53" t="s">
        <v>105</v>
      </c>
      <c r="I1371" s="53" t="s">
        <v>628</v>
      </c>
      <c r="J1371" s="53" t="s">
        <v>101</v>
      </c>
      <c r="K1371" s="53">
        <v>84.146000000000001</v>
      </c>
      <c r="L1371" s="53" t="s">
        <v>101</v>
      </c>
      <c r="M1371" s="53">
        <v>4.2519999999999998</v>
      </c>
      <c r="N1371" s="53">
        <v>4.2519999999999998</v>
      </c>
      <c r="O1371" s="53" t="s">
        <v>101</v>
      </c>
      <c r="P1371" s="53" t="s">
        <v>448</v>
      </c>
      <c r="Q1371" s="53" t="s">
        <v>503</v>
      </c>
      <c r="R1371" s="55" t="s">
        <v>454</v>
      </c>
    </row>
    <row r="1372" spans="1:18" x14ac:dyDescent="0.5">
      <c r="A1372" s="56" t="str">
        <f>"576566DV2"</f>
        <v>576566DV2</v>
      </c>
      <c r="B1372" s="57" t="s">
        <v>477</v>
      </c>
      <c r="C1372" s="57" t="s">
        <v>1709</v>
      </c>
      <c r="D1372" s="53" t="s">
        <v>447</v>
      </c>
      <c r="E1372" s="57">
        <v>2.5</v>
      </c>
      <c r="F1372" s="58">
        <v>48792</v>
      </c>
      <c r="G1372" s="58">
        <v>45870</v>
      </c>
      <c r="H1372" s="57" t="s">
        <v>105</v>
      </c>
      <c r="I1372" s="57" t="s">
        <v>616</v>
      </c>
      <c r="J1372" s="57" t="s">
        <v>101</v>
      </c>
      <c r="K1372" s="57">
        <v>86.944000000000003</v>
      </c>
      <c r="L1372" s="57" t="s">
        <v>101</v>
      </c>
      <c r="M1372" s="57">
        <v>4.3630000000000004</v>
      </c>
      <c r="N1372" s="57">
        <v>4.3630000000000004</v>
      </c>
      <c r="O1372" s="53" t="s">
        <v>101</v>
      </c>
      <c r="P1372" s="57" t="s">
        <v>448</v>
      </c>
      <c r="Q1372" s="57" t="s">
        <v>527</v>
      </c>
      <c r="R1372" s="59" t="s">
        <v>454</v>
      </c>
    </row>
    <row r="1373" spans="1:18" x14ac:dyDescent="0.5">
      <c r="A1373" s="52" t="str">
        <f>"8800642P4"</f>
        <v>8800642P4</v>
      </c>
      <c r="B1373" s="53" t="s">
        <v>451</v>
      </c>
      <c r="C1373" s="53" t="s">
        <v>1710</v>
      </c>
      <c r="D1373" s="53" t="s">
        <v>447</v>
      </c>
      <c r="E1373" s="53">
        <v>3</v>
      </c>
      <c r="F1373" s="54">
        <v>48792</v>
      </c>
      <c r="G1373" s="54">
        <v>46419</v>
      </c>
      <c r="H1373" s="53" t="s">
        <v>105</v>
      </c>
      <c r="I1373" s="53" t="s">
        <v>628</v>
      </c>
      <c r="J1373" s="53" t="s">
        <v>101</v>
      </c>
      <c r="K1373" s="53">
        <v>95.600999999999999</v>
      </c>
      <c r="L1373" s="53" t="s">
        <v>101</v>
      </c>
      <c r="M1373" s="53">
        <v>3.6080000000000001</v>
      </c>
      <c r="N1373" s="53">
        <v>3.6080000000000001</v>
      </c>
      <c r="O1373" s="53" t="s">
        <v>101</v>
      </c>
      <c r="P1373" s="53" t="s">
        <v>448</v>
      </c>
      <c r="Q1373" s="53" t="s">
        <v>453</v>
      </c>
      <c r="R1373" s="55" t="s">
        <v>504</v>
      </c>
    </row>
    <row r="1374" spans="1:18" x14ac:dyDescent="0.5">
      <c r="A1374" s="56" t="str">
        <f>"880162FB3"</f>
        <v>880162FB3</v>
      </c>
      <c r="B1374" s="57" t="s">
        <v>451</v>
      </c>
      <c r="C1374" s="57" t="s">
        <v>1711</v>
      </c>
      <c r="D1374" s="53" t="s">
        <v>447</v>
      </c>
      <c r="E1374" s="57">
        <v>3</v>
      </c>
      <c r="F1374" s="58">
        <v>48792</v>
      </c>
      <c r="G1374" s="58">
        <v>46235</v>
      </c>
      <c r="H1374" s="57" t="s">
        <v>105</v>
      </c>
      <c r="I1374" s="57" t="s">
        <v>628</v>
      </c>
      <c r="J1374" s="57" t="s">
        <v>101</v>
      </c>
      <c r="K1374" s="57">
        <v>94.075999999999993</v>
      </c>
      <c r="L1374" s="57" t="s">
        <v>101</v>
      </c>
      <c r="M1374" s="57">
        <v>3.827</v>
      </c>
      <c r="N1374" s="57">
        <v>3.827</v>
      </c>
      <c r="O1374" s="53" t="s">
        <v>101</v>
      </c>
      <c r="P1374" s="57" t="s">
        <v>448</v>
      </c>
      <c r="Q1374" s="57" t="s">
        <v>666</v>
      </c>
      <c r="R1374" s="59" t="s">
        <v>504</v>
      </c>
    </row>
    <row r="1375" spans="1:18" x14ac:dyDescent="0.5">
      <c r="A1375" s="52" t="str">
        <f>"905734PG8"</f>
        <v>905734PG8</v>
      </c>
      <c r="B1375" s="53" t="s">
        <v>477</v>
      </c>
      <c r="C1375" s="53" t="s">
        <v>1712</v>
      </c>
      <c r="D1375" s="53" t="s">
        <v>447</v>
      </c>
      <c r="E1375" s="53">
        <v>2.25</v>
      </c>
      <c r="F1375" s="54">
        <v>48792</v>
      </c>
      <c r="G1375" s="54">
        <v>47696</v>
      </c>
      <c r="H1375" s="53" t="s">
        <v>610</v>
      </c>
      <c r="I1375" s="53" t="s">
        <v>628</v>
      </c>
      <c r="J1375" s="53" t="s">
        <v>101</v>
      </c>
      <c r="K1375" s="53">
        <v>85.236000000000004</v>
      </c>
      <c r="L1375" s="53" t="s">
        <v>101</v>
      </c>
      <c r="M1375" s="53">
        <v>4.3570000000000002</v>
      </c>
      <c r="N1375" s="53">
        <v>4.3570000000000002</v>
      </c>
      <c r="O1375" s="53" t="s">
        <v>101</v>
      </c>
      <c r="P1375" s="53" t="s">
        <v>448</v>
      </c>
      <c r="Q1375" s="53" t="s">
        <v>538</v>
      </c>
      <c r="R1375" s="55" t="s">
        <v>630</v>
      </c>
    </row>
    <row r="1376" spans="1:18" x14ac:dyDescent="0.5">
      <c r="A1376" s="56" t="str">
        <f>"041806SK7"</f>
        <v>041806SK7</v>
      </c>
      <c r="B1376" s="57" t="s">
        <v>451</v>
      </c>
      <c r="C1376" s="57" t="s">
        <v>1713</v>
      </c>
      <c r="D1376" s="53" t="s">
        <v>447</v>
      </c>
      <c r="E1376" s="57">
        <v>4</v>
      </c>
      <c r="F1376" s="58">
        <v>48806</v>
      </c>
      <c r="G1376" s="58">
        <v>47345</v>
      </c>
      <c r="H1376" s="57" t="s">
        <v>104</v>
      </c>
      <c r="I1376" s="57" t="s">
        <v>105</v>
      </c>
      <c r="J1376" s="57" t="s">
        <v>101</v>
      </c>
      <c r="K1376" s="57">
        <v>102.048</v>
      </c>
      <c r="L1376" s="57" t="s">
        <v>101</v>
      </c>
      <c r="M1376" s="57">
        <v>3.5030000000000001</v>
      </c>
      <c r="N1376" s="57">
        <v>3.7170000000000001</v>
      </c>
      <c r="O1376" s="53" t="s">
        <v>101</v>
      </c>
      <c r="P1376" s="57" t="s">
        <v>448</v>
      </c>
      <c r="Q1376" s="57" t="s">
        <v>485</v>
      </c>
      <c r="R1376" s="59" t="s">
        <v>450</v>
      </c>
    </row>
    <row r="1377" spans="1:18" x14ac:dyDescent="0.5">
      <c r="A1377" s="52" t="str">
        <f>"041796NE9"</f>
        <v>041796NE9</v>
      </c>
      <c r="B1377" s="53" t="s">
        <v>451</v>
      </c>
      <c r="C1377" s="53" t="s">
        <v>1714</v>
      </c>
      <c r="D1377" s="53" t="s">
        <v>447</v>
      </c>
      <c r="E1377" s="53">
        <v>3</v>
      </c>
      <c r="F1377" s="54">
        <v>48806</v>
      </c>
      <c r="G1377" s="54">
        <v>46249</v>
      </c>
      <c r="H1377" s="53" t="s">
        <v>540</v>
      </c>
      <c r="I1377" s="53" t="s">
        <v>104</v>
      </c>
      <c r="J1377" s="53" t="s">
        <v>101</v>
      </c>
      <c r="K1377" s="53">
        <v>94.867999999999995</v>
      </c>
      <c r="L1377" s="53" t="s">
        <v>101</v>
      </c>
      <c r="M1377" s="53">
        <v>3.71</v>
      </c>
      <c r="N1377" s="53">
        <v>3.71</v>
      </c>
      <c r="O1377" s="53" t="s">
        <v>101</v>
      </c>
      <c r="P1377" s="53" t="s">
        <v>448</v>
      </c>
      <c r="Q1377" s="53" t="s">
        <v>573</v>
      </c>
      <c r="R1377" s="55" t="s">
        <v>454</v>
      </c>
    </row>
    <row r="1378" spans="1:18" x14ac:dyDescent="0.5">
      <c r="A1378" s="56" t="str">
        <f>"108709SG2"</f>
        <v>108709SG2</v>
      </c>
      <c r="B1378" s="57" t="s">
        <v>477</v>
      </c>
      <c r="C1378" s="57" t="s">
        <v>1715</v>
      </c>
      <c r="D1378" s="53" t="s">
        <v>447</v>
      </c>
      <c r="E1378" s="57">
        <v>2.25</v>
      </c>
      <c r="F1378" s="58">
        <v>48806</v>
      </c>
      <c r="G1378" s="58">
        <v>45733</v>
      </c>
      <c r="H1378" s="57" t="s">
        <v>105</v>
      </c>
      <c r="I1378" s="57" t="s">
        <v>509</v>
      </c>
      <c r="J1378" s="57" t="s">
        <v>101</v>
      </c>
      <c r="K1378" s="57">
        <v>85.4</v>
      </c>
      <c r="L1378" s="57" t="s">
        <v>101</v>
      </c>
      <c r="M1378" s="57">
        <v>4.3220000000000001</v>
      </c>
      <c r="N1378" s="57">
        <v>4.3220000000000001</v>
      </c>
      <c r="O1378" s="53" t="s">
        <v>101</v>
      </c>
      <c r="P1378" s="57" t="s">
        <v>448</v>
      </c>
      <c r="Q1378" s="57" t="s">
        <v>488</v>
      </c>
      <c r="R1378" s="59" t="s">
        <v>454</v>
      </c>
    </row>
    <row r="1379" spans="1:18" x14ac:dyDescent="0.5">
      <c r="A1379" s="52" t="str">
        <f>"150462KK4"</f>
        <v>150462KK4</v>
      </c>
      <c r="B1379" s="53" t="s">
        <v>451</v>
      </c>
      <c r="C1379" s="53" t="s">
        <v>1716</v>
      </c>
      <c r="D1379" s="53" t="s">
        <v>447</v>
      </c>
      <c r="E1379" s="53">
        <v>2</v>
      </c>
      <c r="F1379" s="54">
        <v>48806</v>
      </c>
      <c r="G1379" s="54">
        <v>47345</v>
      </c>
      <c r="H1379" s="53" t="s">
        <v>105</v>
      </c>
      <c r="I1379" s="53" t="s">
        <v>509</v>
      </c>
      <c r="J1379" s="53" t="s">
        <v>101</v>
      </c>
      <c r="K1379" s="53">
        <v>83.855000000000004</v>
      </c>
      <c r="L1379" s="53" t="s">
        <v>101</v>
      </c>
      <c r="M1379" s="53">
        <v>4.2880000000000003</v>
      </c>
      <c r="N1379" s="53">
        <v>4.2880000000000003</v>
      </c>
      <c r="O1379" s="53" t="s">
        <v>101</v>
      </c>
      <c r="P1379" s="53" t="s">
        <v>448</v>
      </c>
      <c r="Q1379" s="53" t="s">
        <v>485</v>
      </c>
      <c r="R1379" s="55" t="s">
        <v>504</v>
      </c>
    </row>
    <row r="1380" spans="1:18" x14ac:dyDescent="0.5">
      <c r="A1380" s="56" t="str">
        <f>"187145MY0"</f>
        <v>187145MY0</v>
      </c>
      <c r="B1380" s="57" t="s">
        <v>451</v>
      </c>
      <c r="C1380" s="57" t="s">
        <v>1717</v>
      </c>
      <c r="D1380" s="53" t="s">
        <v>447</v>
      </c>
      <c r="E1380" s="57">
        <v>4</v>
      </c>
      <c r="F1380" s="58">
        <v>48806</v>
      </c>
      <c r="G1380" s="58">
        <v>48075</v>
      </c>
      <c r="H1380" s="57" t="s">
        <v>104</v>
      </c>
      <c r="I1380" s="57" t="s">
        <v>105</v>
      </c>
      <c r="J1380" s="57" t="s">
        <v>101</v>
      </c>
      <c r="K1380" s="57">
        <v>102.265</v>
      </c>
      <c r="L1380" s="57" t="s">
        <v>101</v>
      </c>
      <c r="M1380" s="57">
        <v>3.605</v>
      </c>
      <c r="N1380" s="57">
        <v>3.6869999999999998</v>
      </c>
      <c r="O1380" s="53" t="s">
        <v>101</v>
      </c>
      <c r="P1380" s="57" t="s">
        <v>448</v>
      </c>
      <c r="Q1380" s="57" t="s">
        <v>460</v>
      </c>
      <c r="R1380" s="59" t="s">
        <v>506</v>
      </c>
    </row>
    <row r="1381" spans="1:18" x14ac:dyDescent="0.5">
      <c r="A1381" s="52" t="str">
        <f>"271515VJ4"</f>
        <v>271515VJ4</v>
      </c>
      <c r="B1381" s="53" t="s">
        <v>451</v>
      </c>
      <c r="C1381" s="53" t="s">
        <v>1718</v>
      </c>
      <c r="D1381" s="53" t="s">
        <v>447</v>
      </c>
      <c r="E1381" s="53">
        <v>3</v>
      </c>
      <c r="F1381" s="54">
        <v>48806</v>
      </c>
      <c r="G1381" s="54">
        <v>45884</v>
      </c>
      <c r="H1381" s="53" t="s">
        <v>104</v>
      </c>
      <c r="I1381" s="53" t="s">
        <v>104</v>
      </c>
      <c r="J1381" s="53" t="s">
        <v>101</v>
      </c>
      <c r="K1381" s="53">
        <v>93.81</v>
      </c>
      <c r="L1381" s="53" t="s">
        <v>101</v>
      </c>
      <c r="M1381" s="53">
        <v>3.8620000000000001</v>
      </c>
      <c r="N1381" s="53">
        <v>3.8620000000000001</v>
      </c>
      <c r="O1381" s="53" t="s">
        <v>101</v>
      </c>
      <c r="P1381" s="53" t="s">
        <v>448</v>
      </c>
      <c r="Q1381" s="53" t="s">
        <v>453</v>
      </c>
      <c r="R1381" s="55" t="s">
        <v>454</v>
      </c>
    </row>
    <row r="1382" spans="1:18" x14ac:dyDescent="0.5">
      <c r="A1382" s="56" t="str">
        <f>"283738AX0"</f>
        <v>283738AX0</v>
      </c>
      <c r="B1382" s="57" t="s">
        <v>451</v>
      </c>
      <c r="C1382" s="57" t="s">
        <v>1719</v>
      </c>
      <c r="D1382" s="53" t="s">
        <v>447</v>
      </c>
      <c r="E1382" s="57">
        <v>3</v>
      </c>
      <c r="F1382" s="58">
        <v>48806</v>
      </c>
      <c r="G1382" s="58">
        <v>46249</v>
      </c>
      <c r="H1382" s="57" t="s">
        <v>105</v>
      </c>
      <c r="I1382" s="57" t="s">
        <v>616</v>
      </c>
      <c r="J1382" s="57" t="s">
        <v>101</v>
      </c>
      <c r="K1382" s="57">
        <v>92.382000000000005</v>
      </c>
      <c r="L1382" s="57" t="s">
        <v>101</v>
      </c>
      <c r="M1382" s="57">
        <v>4.07</v>
      </c>
      <c r="N1382" s="57">
        <v>4.07</v>
      </c>
      <c r="O1382" s="53" t="s">
        <v>101</v>
      </c>
      <c r="P1382" s="57" t="s">
        <v>448</v>
      </c>
      <c r="Q1382" s="57" t="s">
        <v>479</v>
      </c>
      <c r="R1382" s="59" t="s">
        <v>450</v>
      </c>
    </row>
    <row r="1383" spans="1:18" x14ac:dyDescent="0.5">
      <c r="A1383" s="52" t="str">
        <f>"283770LY9"</f>
        <v>283770LY9</v>
      </c>
      <c r="B1383" s="53" t="s">
        <v>451</v>
      </c>
      <c r="C1383" s="53" t="s">
        <v>1720</v>
      </c>
      <c r="D1383" s="53" t="s">
        <v>447</v>
      </c>
      <c r="E1383" s="53">
        <v>3.125</v>
      </c>
      <c r="F1383" s="54">
        <v>48806</v>
      </c>
      <c r="G1383" s="54">
        <v>46798</v>
      </c>
      <c r="H1383" s="53" t="s">
        <v>104</v>
      </c>
      <c r="I1383" s="53" t="s">
        <v>105</v>
      </c>
      <c r="J1383" s="53" t="s">
        <v>101</v>
      </c>
      <c r="K1383" s="53">
        <v>96.55</v>
      </c>
      <c r="L1383" s="53" t="s">
        <v>101</v>
      </c>
      <c r="M1383" s="53">
        <v>3.6</v>
      </c>
      <c r="N1383" s="53">
        <v>3.6</v>
      </c>
      <c r="O1383" s="53" t="s">
        <v>101</v>
      </c>
      <c r="P1383" s="53" t="s">
        <v>448</v>
      </c>
      <c r="Q1383" s="53" t="s">
        <v>469</v>
      </c>
      <c r="R1383" s="55" t="s">
        <v>454</v>
      </c>
    </row>
    <row r="1384" spans="1:18" x14ac:dyDescent="0.5">
      <c r="A1384" s="56" t="str">
        <f>"296804W37"</f>
        <v>296804W37</v>
      </c>
      <c r="B1384" s="57" t="s">
        <v>477</v>
      </c>
      <c r="C1384" s="57" t="s">
        <v>1721</v>
      </c>
      <c r="D1384" s="53" t="s">
        <v>447</v>
      </c>
      <c r="E1384" s="57">
        <v>2</v>
      </c>
      <c r="F1384" s="58">
        <v>48806</v>
      </c>
      <c r="G1384" s="58">
        <v>47345</v>
      </c>
      <c r="H1384" s="57" t="s">
        <v>540</v>
      </c>
      <c r="I1384" s="57" t="s">
        <v>105</v>
      </c>
      <c r="J1384" s="57" t="s">
        <v>101</v>
      </c>
      <c r="K1384" s="57">
        <v>84.79</v>
      </c>
      <c r="L1384" s="57" t="s">
        <v>101</v>
      </c>
      <c r="M1384" s="57">
        <v>4.1429999999999998</v>
      </c>
      <c r="N1384" s="57">
        <v>4.1429999999999998</v>
      </c>
      <c r="O1384" s="53" t="s">
        <v>101</v>
      </c>
      <c r="P1384" s="57" t="s">
        <v>448</v>
      </c>
      <c r="Q1384" s="57" t="s">
        <v>457</v>
      </c>
      <c r="R1384" s="59" t="s">
        <v>454</v>
      </c>
    </row>
    <row r="1385" spans="1:18" x14ac:dyDescent="0.5">
      <c r="A1385" s="52" t="str">
        <f>"303171DX7"</f>
        <v>303171DX7</v>
      </c>
      <c r="B1385" s="53" t="s">
        <v>477</v>
      </c>
      <c r="C1385" s="53" t="s">
        <v>1722</v>
      </c>
      <c r="D1385" s="53" t="s">
        <v>447</v>
      </c>
      <c r="E1385" s="53">
        <v>2.5</v>
      </c>
      <c r="F1385" s="54">
        <v>48806</v>
      </c>
      <c r="G1385" s="54">
        <v>46249</v>
      </c>
      <c r="H1385" s="53" t="s">
        <v>105</v>
      </c>
      <c r="I1385" s="53" t="s">
        <v>509</v>
      </c>
      <c r="J1385" s="53" t="s">
        <v>101</v>
      </c>
      <c r="K1385" s="53">
        <v>88.21</v>
      </c>
      <c r="L1385" s="53" t="s">
        <v>101</v>
      </c>
      <c r="M1385" s="53">
        <v>4.1619999999999999</v>
      </c>
      <c r="N1385" s="53">
        <v>4.1619999999999999</v>
      </c>
      <c r="O1385" s="53" t="s">
        <v>101</v>
      </c>
      <c r="P1385" s="53" t="s">
        <v>448</v>
      </c>
      <c r="Q1385" s="53" t="s">
        <v>460</v>
      </c>
      <c r="R1385" s="55" t="s">
        <v>454</v>
      </c>
    </row>
    <row r="1386" spans="1:18" x14ac:dyDescent="0.5">
      <c r="A1386" s="56" t="str">
        <f>"340459CX2"</f>
        <v>340459CX2</v>
      </c>
      <c r="B1386" s="57" t="s">
        <v>477</v>
      </c>
      <c r="C1386" s="57" t="s">
        <v>1723</v>
      </c>
      <c r="D1386" s="53" t="s">
        <v>447</v>
      </c>
      <c r="E1386" s="57">
        <v>2.25</v>
      </c>
      <c r="F1386" s="58">
        <v>48806</v>
      </c>
      <c r="G1386" s="58">
        <v>46614</v>
      </c>
      <c r="H1386" s="57" t="s">
        <v>613</v>
      </c>
      <c r="I1386" s="57" t="s">
        <v>105</v>
      </c>
      <c r="J1386" s="57" t="s">
        <v>101</v>
      </c>
      <c r="K1386" s="57">
        <v>85.867000000000004</v>
      </c>
      <c r="L1386" s="57" t="s">
        <v>101</v>
      </c>
      <c r="M1386" s="57">
        <v>4.25</v>
      </c>
      <c r="N1386" s="57">
        <v>4.25</v>
      </c>
      <c r="O1386" s="53" t="s">
        <v>101</v>
      </c>
      <c r="P1386" s="57" t="s">
        <v>448</v>
      </c>
      <c r="Q1386" s="57" t="s">
        <v>538</v>
      </c>
      <c r="R1386" s="59" t="s">
        <v>454</v>
      </c>
    </row>
    <row r="1387" spans="1:18" x14ac:dyDescent="0.5">
      <c r="A1387" s="52" t="str">
        <f>"346425FE6"</f>
        <v>346425FE6</v>
      </c>
      <c r="B1387" s="53" t="s">
        <v>451</v>
      </c>
      <c r="C1387" s="53" t="s">
        <v>1724</v>
      </c>
      <c r="D1387" s="53" t="s">
        <v>447</v>
      </c>
      <c r="E1387" s="53">
        <v>3</v>
      </c>
      <c r="F1387" s="54">
        <v>48806</v>
      </c>
      <c r="G1387" s="54">
        <v>47345</v>
      </c>
      <c r="H1387" s="53" t="s">
        <v>105</v>
      </c>
      <c r="I1387" s="53" t="s">
        <v>104</v>
      </c>
      <c r="J1387" s="53" t="s">
        <v>101</v>
      </c>
      <c r="K1387" s="53">
        <v>94.974000000000004</v>
      </c>
      <c r="L1387" s="53" t="s">
        <v>101</v>
      </c>
      <c r="M1387" s="53">
        <v>3.6949999999999998</v>
      </c>
      <c r="N1387" s="53">
        <v>3.6949999999999998</v>
      </c>
      <c r="O1387" s="53" t="s">
        <v>101</v>
      </c>
      <c r="P1387" s="53" t="s">
        <v>448</v>
      </c>
      <c r="Q1387" s="53" t="s">
        <v>538</v>
      </c>
      <c r="R1387" s="55" t="s">
        <v>454</v>
      </c>
    </row>
    <row r="1388" spans="1:18" x14ac:dyDescent="0.5">
      <c r="A1388" s="56" t="str">
        <f>"346843RL1"</f>
        <v>346843RL1</v>
      </c>
      <c r="B1388" s="57" t="s">
        <v>451</v>
      </c>
      <c r="C1388" s="57" t="s">
        <v>1725</v>
      </c>
      <c r="D1388" s="53" t="s">
        <v>447</v>
      </c>
      <c r="E1388" s="57">
        <v>3</v>
      </c>
      <c r="F1388" s="58">
        <v>48806</v>
      </c>
      <c r="G1388" s="58">
        <v>47345</v>
      </c>
      <c r="H1388" s="57" t="s">
        <v>105</v>
      </c>
      <c r="I1388" s="57" t="s">
        <v>104</v>
      </c>
      <c r="J1388" s="57" t="s">
        <v>101</v>
      </c>
      <c r="K1388" s="57">
        <v>95.355000000000004</v>
      </c>
      <c r="L1388" s="57" t="s">
        <v>101</v>
      </c>
      <c r="M1388" s="57">
        <v>3.641</v>
      </c>
      <c r="N1388" s="57">
        <v>3.641</v>
      </c>
      <c r="O1388" s="53" t="s">
        <v>101</v>
      </c>
      <c r="P1388" s="57" t="s">
        <v>448</v>
      </c>
      <c r="Q1388" s="57" t="s">
        <v>573</v>
      </c>
      <c r="R1388" s="59" t="s">
        <v>454</v>
      </c>
    </row>
    <row r="1389" spans="1:18" x14ac:dyDescent="0.5">
      <c r="A1389" s="52" t="str">
        <f>"363335FY1"</f>
        <v>363335FY1</v>
      </c>
      <c r="B1389" s="53" t="s">
        <v>451</v>
      </c>
      <c r="C1389" s="53" t="s">
        <v>1726</v>
      </c>
      <c r="D1389" s="53" t="s">
        <v>447</v>
      </c>
      <c r="E1389" s="53">
        <v>3</v>
      </c>
      <c r="F1389" s="54">
        <v>48806</v>
      </c>
      <c r="G1389" s="54">
        <v>47529</v>
      </c>
      <c r="H1389" s="53" t="s">
        <v>104</v>
      </c>
      <c r="I1389" s="53" t="s">
        <v>105</v>
      </c>
      <c r="J1389" s="53" t="s">
        <v>101</v>
      </c>
      <c r="K1389" s="53">
        <v>94.903999999999996</v>
      </c>
      <c r="L1389" s="53" t="s">
        <v>101</v>
      </c>
      <c r="M1389" s="53">
        <v>3.7050000000000001</v>
      </c>
      <c r="N1389" s="53">
        <v>3.7050000000000001</v>
      </c>
      <c r="O1389" s="53" t="s">
        <v>101</v>
      </c>
      <c r="P1389" s="53" t="s">
        <v>448</v>
      </c>
      <c r="Q1389" s="53" t="s">
        <v>517</v>
      </c>
      <c r="R1389" s="55" t="s">
        <v>454</v>
      </c>
    </row>
    <row r="1390" spans="1:18" x14ac:dyDescent="0.5">
      <c r="A1390" s="56" t="str">
        <f>"373029SV0"</f>
        <v>373029SV0</v>
      </c>
      <c r="B1390" s="57" t="s">
        <v>451</v>
      </c>
      <c r="C1390" s="57" t="s">
        <v>1727</v>
      </c>
      <c r="D1390" s="53" t="s">
        <v>447</v>
      </c>
      <c r="E1390" s="57">
        <v>3.125</v>
      </c>
      <c r="F1390" s="58">
        <v>48806</v>
      </c>
      <c r="G1390" s="58">
        <v>48075</v>
      </c>
      <c r="H1390" s="57" t="s">
        <v>105</v>
      </c>
      <c r="I1390" s="57" t="s">
        <v>104</v>
      </c>
      <c r="J1390" s="57" t="s">
        <v>101</v>
      </c>
      <c r="K1390" s="57">
        <v>95.938000000000002</v>
      </c>
      <c r="L1390" s="57" t="s">
        <v>101</v>
      </c>
      <c r="M1390" s="57">
        <v>3.6859999999999999</v>
      </c>
      <c r="N1390" s="57">
        <v>3.6859999999999999</v>
      </c>
      <c r="O1390" s="53" t="s">
        <v>101</v>
      </c>
      <c r="P1390" s="57" t="s">
        <v>448</v>
      </c>
      <c r="Q1390" s="57" t="s">
        <v>488</v>
      </c>
      <c r="R1390" s="59" t="s">
        <v>504</v>
      </c>
    </row>
    <row r="1391" spans="1:18" x14ac:dyDescent="0.5">
      <c r="A1391" s="52" t="str">
        <f>"373064C44"</f>
        <v>373064C44</v>
      </c>
      <c r="B1391" s="53" t="s">
        <v>451</v>
      </c>
      <c r="C1391" s="53" t="s">
        <v>1728</v>
      </c>
      <c r="D1391" s="53" t="s">
        <v>447</v>
      </c>
      <c r="E1391" s="53">
        <v>3</v>
      </c>
      <c r="F1391" s="54">
        <v>48806</v>
      </c>
      <c r="G1391" s="54">
        <v>45884</v>
      </c>
      <c r="H1391" s="53" t="s">
        <v>105</v>
      </c>
      <c r="I1391" s="53" t="s">
        <v>658</v>
      </c>
      <c r="J1391" s="53" t="s">
        <v>101</v>
      </c>
      <c r="K1391" s="53">
        <v>92.152000000000001</v>
      </c>
      <c r="L1391" s="53" t="s">
        <v>101</v>
      </c>
      <c r="M1391" s="53">
        <v>4.1040000000000001</v>
      </c>
      <c r="N1391" s="53">
        <v>4.1040000000000001</v>
      </c>
      <c r="O1391" s="53" t="s">
        <v>101</v>
      </c>
      <c r="P1391" s="53" t="s">
        <v>448</v>
      </c>
      <c r="Q1391" s="53" t="s">
        <v>571</v>
      </c>
      <c r="R1391" s="55" t="s">
        <v>504</v>
      </c>
    </row>
    <row r="1392" spans="1:18" x14ac:dyDescent="0.5">
      <c r="A1392" s="56" t="str">
        <f>"373064J96"</f>
        <v>373064J96</v>
      </c>
      <c r="B1392" s="57" t="s">
        <v>451</v>
      </c>
      <c r="C1392" s="57" t="s">
        <v>1729</v>
      </c>
      <c r="D1392" s="53" t="s">
        <v>447</v>
      </c>
      <c r="E1392" s="57">
        <v>3.125</v>
      </c>
      <c r="F1392" s="58">
        <v>48806</v>
      </c>
      <c r="G1392" s="58">
        <v>46249</v>
      </c>
      <c r="H1392" s="57" t="s">
        <v>105</v>
      </c>
      <c r="I1392" s="57" t="s">
        <v>658</v>
      </c>
      <c r="J1392" s="57" t="s">
        <v>101</v>
      </c>
      <c r="K1392" s="57">
        <v>93.744</v>
      </c>
      <c r="L1392" s="57" t="s">
        <v>101</v>
      </c>
      <c r="M1392" s="57">
        <v>4.0010000000000003</v>
      </c>
      <c r="N1392" s="57">
        <v>4.0010000000000003</v>
      </c>
      <c r="O1392" s="53" t="s">
        <v>101</v>
      </c>
      <c r="P1392" s="57" t="s">
        <v>448</v>
      </c>
      <c r="Q1392" s="57" t="s">
        <v>527</v>
      </c>
      <c r="R1392" s="59" t="s">
        <v>504</v>
      </c>
    </row>
    <row r="1393" spans="1:18" x14ac:dyDescent="0.5">
      <c r="A1393" s="52" t="str">
        <f>"447290AQ0"</f>
        <v>447290AQ0</v>
      </c>
      <c r="B1393" s="53" t="s">
        <v>451</v>
      </c>
      <c r="C1393" s="53" t="s">
        <v>1730</v>
      </c>
      <c r="D1393" s="53" t="s">
        <v>447</v>
      </c>
      <c r="E1393" s="53">
        <v>3.375</v>
      </c>
      <c r="F1393" s="54">
        <v>48806</v>
      </c>
      <c r="G1393" s="54">
        <v>46980</v>
      </c>
      <c r="H1393" s="53" t="s">
        <v>105</v>
      </c>
      <c r="I1393" s="53" t="s">
        <v>616</v>
      </c>
      <c r="J1393" s="53" t="s">
        <v>101</v>
      </c>
      <c r="K1393" s="53">
        <v>98.534999999999997</v>
      </c>
      <c r="L1393" s="53" t="s">
        <v>101</v>
      </c>
      <c r="M1393" s="53">
        <v>3.577</v>
      </c>
      <c r="N1393" s="53">
        <v>3.577</v>
      </c>
      <c r="O1393" s="53" t="s">
        <v>101</v>
      </c>
      <c r="P1393" s="53" t="s">
        <v>448</v>
      </c>
      <c r="Q1393" s="53" t="s">
        <v>485</v>
      </c>
      <c r="R1393" s="55" t="s">
        <v>504</v>
      </c>
    </row>
    <row r="1394" spans="1:18" x14ac:dyDescent="0.5">
      <c r="A1394" s="56" t="str">
        <f>"45204ENS3"</f>
        <v>45204ENS3</v>
      </c>
      <c r="B1394" s="57" t="s">
        <v>491</v>
      </c>
      <c r="C1394" s="57" t="s">
        <v>1731</v>
      </c>
      <c r="D1394" s="53" t="s">
        <v>447</v>
      </c>
      <c r="E1394" s="57">
        <v>4</v>
      </c>
      <c r="F1394" s="58">
        <v>48806</v>
      </c>
      <c r="G1394" s="58">
        <v>46433</v>
      </c>
      <c r="H1394" s="57" t="s">
        <v>641</v>
      </c>
      <c r="I1394" s="57" t="s">
        <v>616</v>
      </c>
      <c r="J1394" s="57" t="s">
        <v>101</v>
      </c>
      <c r="K1394" s="57">
        <v>100.765</v>
      </c>
      <c r="L1394" s="57" t="s">
        <v>101</v>
      </c>
      <c r="M1394" s="57">
        <v>3.5979999999999999</v>
      </c>
      <c r="N1394" s="57">
        <v>3.8929999999999998</v>
      </c>
      <c r="O1394" s="53" t="s">
        <v>101</v>
      </c>
      <c r="P1394" s="57" t="s">
        <v>448</v>
      </c>
      <c r="Q1394" s="57" t="s">
        <v>503</v>
      </c>
      <c r="R1394" s="59" t="s">
        <v>506</v>
      </c>
    </row>
    <row r="1395" spans="1:18" x14ac:dyDescent="0.5">
      <c r="A1395" s="52" t="str">
        <f>"463831TS6"</f>
        <v>463831TS6</v>
      </c>
      <c r="B1395" s="53" t="s">
        <v>451</v>
      </c>
      <c r="C1395" s="53" t="s">
        <v>1732</v>
      </c>
      <c r="D1395" s="53" t="s">
        <v>447</v>
      </c>
      <c r="E1395" s="53">
        <v>3</v>
      </c>
      <c r="F1395" s="54">
        <v>48806</v>
      </c>
      <c r="G1395" s="54">
        <v>47710</v>
      </c>
      <c r="H1395" s="53" t="s">
        <v>540</v>
      </c>
      <c r="I1395" s="53" t="s">
        <v>509</v>
      </c>
      <c r="J1395" s="53" t="s">
        <v>101</v>
      </c>
      <c r="K1395" s="53">
        <v>94.908000000000001</v>
      </c>
      <c r="L1395" s="53" t="s">
        <v>101</v>
      </c>
      <c r="M1395" s="53">
        <v>3.7040000000000002</v>
      </c>
      <c r="N1395" s="53">
        <v>3.7040000000000002</v>
      </c>
      <c r="O1395" s="53" t="s">
        <v>101</v>
      </c>
      <c r="P1395" s="53" t="s">
        <v>448</v>
      </c>
      <c r="Q1395" s="53" t="s">
        <v>527</v>
      </c>
      <c r="R1395" s="55" t="s">
        <v>504</v>
      </c>
    </row>
    <row r="1396" spans="1:18" x14ac:dyDescent="0.5">
      <c r="A1396" s="56" t="str">
        <f>"52882PAR9"</f>
        <v>52882PAR9</v>
      </c>
      <c r="B1396" s="57" t="s">
        <v>451</v>
      </c>
      <c r="C1396" s="57" t="s">
        <v>1733</v>
      </c>
      <c r="D1396" s="53" t="s">
        <v>447</v>
      </c>
      <c r="E1396" s="57">
        <v>3</v>
      </c>
      <c r="F1396" s="58">
        <v>48806</v>
      </c>
      <c r="G1396" s="58">
        <v>46249</v>
      </c>
      <c r="H1396" s="57" t="s">
        <v>105</v>
      </c>
      <c r="I1396" s="57" t="s">
        <v>104</v>
      </c>
      <c r="J1396" s="57" t="s">
        <v>101</v>
      </c>
      <c r="K1396" s="57">
        <v>94.161000000000001</v>
      </c>
      <c r="L1396" s="57" t="s">
        <v>101</v>
      </c>
      <c r="M1396" s="57">
        <v>3.8109999999999999</v>
      </c>
      <c r="N1396" s="57">
        <v>3.8109999999999999</v>
      </c>
      <c r="O1396" s="53" t="s">
        <v>101</v>
      </c>
      <c r="P1396" s="57" t="s">
        <v>448</v>
      </c>
      <c r="Q1396" s="57" t="s">
        <v>460</v>
      </c>
      <c r="R1396" s="59" t="s">
        <v>482</v>
      </c>
    </row>
    <row r="1397" spans="1:18" x14ac:dyDescent="0.5">
      <c r="A1397" s="52" t="str">
        <f>"539107QC9"</f>
        <v>539107QC9</v>
      </c>
      <c r="B1397" s="53" t="s">
        <v>451</v>
      </c>
      <c r="C1397" s="53" t="s">
        <v>1734</v>
      </c>
      <c r="D1397" s="53" t="s">
        <v>447</v>
      </c>
      <c r="E1397" s="53">
        <v>3.25</v>
      </c>
      <c r="F1397" s="54">
        <v>48806</v>
      </c>
      <c r="G1397" s="54">
        <v>46614</v>
      </c>
      <c r="H1397" s="53" t="s">
        <v>105</v>
      </c>
      <c r="I1397" s="53" t="s">
        <v>104</v>
      </c>
      <c r="J1397" s="53" t="s">
        <v>101</v>
      </c>
      <c r="K1397" s="53">
        <v>96.95</v>
      </c>
      <c r="L1397" s="53" t="s">
        <v>101</v>
      </c>
      <c r="M1397" s="53">
        <v>3.6709999999999998</v>
      </c>
      <c r="N1397" s="53">
        <v>3.6709999999999998</v>
      </c>
      <c r="O1397" s="53" t="s">
        <v>101</v>
      </c>
      <c r="P1397" s="53" t="s">
        <v>448</v>
      </c>
      <c r="Q1397" s="53" t="s">
        <v>479</v>
      </c>
      <c r="R1397" s="55" t="s">
        <v>482</v>
      </c>
    </row>
    <row r="1398" spans="1:18" x14ac:dyDescent="0.5">
      <c r="A1398" s="56" t="str">
        <f>"566030WG3"</f>
        <v>566030WG3</v>
      </c>
      <c r="B1398" s="57" t="s">
        <v>451</v>
      </c>
      <c r="C1398" s="57" t="s">
        <v>1735</v>
      </c>
      <c r="D1398" s="53" t="s">
        <v>447</v>
      </c>
      <c r="E1398" s="57">
        <v>3</v>
      </c>
      <c r="F1398" s="58">
        <v>48806</v>
      </c>
      <c r="G1398" s="58">
        <v>46249</v>
      </c>
      <c r="H1398" s="57" t="s">
        <v>105</v>
      </c>
      <c r="I1398" s="57" t="s">
        <v>104</v>
      </c>
      <c r="J1398" s="57" t="s">
        <v>101</v>
      </c>
      <c r="K1398" s="57">
        <v>94.245999999999995</v>
      </c>
      <c r="L1398" s="57" t="s">
        <v>101</v>
      </c>
      <c r="M1398" s="57">
        <v>3.7989999999999999</v>
      </c>
      <c r="N1398" s="57">
        <v>3.7989999999999999</v>
      </c>
      <c r="O1398" s="53" t="s">
        <v>101</v>
      </c>
      <c r="P1398" s="57" t="s">
        <v>448</v>
      </c>
      <c r="Q1398" s="57" t="s">
        <v>469</v>
      </c>
      <c r="R1398" s="59" t="s">
        <v>454</v>
      </c>
    </row>
    <row r="1399" spans="1:18" x14ac:dyDescent="0.5">
      <c r="A1399" s="52" t="str">
        <f>"566030XA5"</f>
        <v>566030XA5</v>
      </c>
      <c r="B1399" s="53" t="s">
        <v>451</v>
      </c>
      <c r="C1399" s="53" t="s">
        <v>1736</v>
      </c>
      <c r="D1399" s="53" t="s">
        <v>447</v>
      </c>
      <c r="E1399" s="53">
        <v>3</v>
      </c>
      <c r="F1399" s="54">
        <v>48806</v>
      </c>
      <c r="G1399" s="54">
        <v>47164</v>
      </c>
      <c r="H1399" s="53" t="s">
        <v>105</v>
      </c>
      <c r="I1399" s="53" t="s">
        <v>104</v>
      </c>
      <c r="J1399" s="53" t="s">
        <v>101</v>
      </c>
      <c r="K1399" s="53">
        <v>94.649000000000001</v>
      </c>
      <c r="L1399" s="53" t="s">
        <v>101</v>
      </c>
      <c r="M1399" s="53">
        <v>3.7410000000000001</v>
      </c>
      <c r="N1399" s="53">
        <v>3.7410000000000001</v>
      </c>
      <c r="O1399" s="53" t="s">
        <v>101</v>
      </c>
      <c r="P1399" s="53" t="s">
        <v>448</v>
      </c>
      <c r="Q1399" s="53" t="s">
        <v>488</v>
      </c>
      <c r="R1399" s="55" t="s">
        <v>454</v>
      </c>
    </row>
    <row r="1400" spans="1:18" x14ac:dyDescent="0.5">
      <c r="A1400" s="56" t="str">
        <f>"611766KS4"</f>
        <v>611766KS4</v>
      </c>
      <c r="B1400" s="57" t="s">
        <v>451</v>
      </c>
      <c r="C1400" s="57" t="s">
        <v>1737</v>
      </c>
      <c r="D1400" s="53" t="s">
        <v>447</v>
      </c>
      <c r="E1400" s="57">
        <v>3</v>
      </c>
      <c r="F1400" s="58">
        <v>48806</v>
      </c>
      <c r="G1400" s="58">
        <v>47345</v>
      </c>
      <c r="H1400" s="57" t="s">
        <v>540</v>
      </c>
      <c r="I1400" s="57" t="s">
        <v>105</v>
      </c>
      <c r="J1400" s="57" t="s">
        <v>101</v>
      </c>
      <c r="K1400" s="57">
        <v>94.171000000000006</v>
      </c>
      <c r="L1400" s="57" t="s">
        <v>101</v>
      </c>
      <c r="M1400" s="57">
        <v>3.81</v>
      </c>
      <c r="N1400" s="57">
        <v>3.81</v>
      </c>
      <c r="O1400" s="53" t="s">
        <v>101</v>
      </c>
      <c r="P1400" s="57" t="s">
        <v>448</v>
      </c>
      <c r="Q1400" s="57" t="s">
        <v>538</v>
      </c>
      <c r="R1400" s="59" t="s">
        <v>504</v>
      </c>
    </row>
    <row r="1401" spans="1:18" x14ac:dyDescent="0.5">
      <c r="A1401" s="52" t="str">
        <f>"615275DU5"</f>
        <v>615275DU5</v>
      </c>
      <c r="B1401" s="53" t="s">
        <v>477</v>
      </c>
      <c r="C1401" s="53" t="s">
        <v>1738</v>
      </c>
      <c r="D1401" s="53" t="s">
        <v>447</v>
      </c>
      <c r="E1401" s="53">
        <v>2.25</v>
      </c>
      <c r="F1401" s="54">
        <v>48806</v>
      </c>
      <c r="G1401" s="54">
        <v>47710</v>
      </c>
      <c r="H1401" s="53" t="s">
        <v>105</v>
      </c>
      <c r="I1401" s="53" t="s">
        <v>628</v>
      </c>
      <c r="J1401" s="53" t="s">
        <v>101</v>
      </c>
      <c r="K1401" s="53">
        <v>85.924000000000007</v>
      </c>
      <c r="L1401" s="53" t="s">
        <v>101</v>
      </c>
      <c r="M1401" s="53">
        <v>4.2409999999999997</v>
      </c>
      <c r="N1401" s="53">
        <v>4.2409999999999997</v>
      </c>
      <c r="O1401" s="53" t="s">
        <v>101</v>
      </c>
      <c r="P1401" s="53" t="s">
        <v>448</v>
      </c>
      <c r="Q1401" s="53" t="s">
        <v>479</v>
      </c>
      <c r="R1401" s="55" t="s">
        <v>454</v>
      </c>
    </row>
    <row r="1402" spans="1:18" x14ac:dyDescent="0.5">
      <c r="A1402" s="56" t="str">
        <f>"624777GK8"</f>
        <v>624777GK8</v>
      </c>
      <c r="B1402" s="57" t="s">
        <v>451</v>
      </c>
      <c r="C1402" s="57" t="s">
        <v>1739</v>
      </c>
      <c r="D1402" s="53" t="s">
        <v>447</v>
      </c>
      <c r="E1402" s="57">
        <v>3.125</v>
      </c>
      <c r="F1402" s="58">
        <v>48806</v>
      </c>
      <c r="G1402" s="58">
        <v>46249</v>
      </c>
      <c r="H1402" s="57" t="s">
        <v>105</v>
      </c>
      <c r="I1402" s="57" t="s">
        <v>104</v>
      </c>
      <c r="J1402" s="57" t="s">
        <v>101</v>
      </c>
      <c r="K1402" s="57">
        <v>95.54</v>
      </c>
      <c r="L1402" s="57" t="s">
        <v>101</v>
      </c>
      <c r="M1402" s="57">
        <v>3.7429999999999999</v>
      </c>
      <c r="N1402" s="57">
        <v>3.7429999999999999</v>
      </c>
      <c r="O1402" s="53" t="s">
        <v>101</v>
      </c>
      <c r="P1402" s="57" t="s">
        <v>448</v>
      </c>
      <c r="Q1402" s="57" t="s">
        <v>488</v>
      </c>
      <c r="R1402" s="59" t="s">
        <v>482</v>
      </c>
    </row>
    <row r="1403" spans="1:18" x14ac:dyDescent="0.5">
      <c r="A1403" s="52" t="str">
        <f>"717180NP4"</f>
        <v>717180NP4</v>
      </c>
      <c r="B1403" s="53" t="s">
        <v>451</v>
      </c>
      <c r="C1403" s="53" t="s">
        <v>1740</v>
      </c>
      <c r="D1403" s="53" t="s">
        <v>447</v>
      </c>
      <c r="E1403" s="53">
        <v>3.25</v>
      </c>
      <c r="F1403" s="54">
        <v>48806</v>
      </c>
      <c r="G1403" s="54">
        <v>46249</v>
      </c>
      <c r="H1403" s="53" t="s">
        <v>105</v>
      </c>
      <c r="I1403" s="53" t="s">
        <v>628</v>
      </c>
      <c r="J1403" s="53" t="s">
        <v>101</v>
      </c>
      <c r="K1403" s="53">
        <v>97.084999999999994</v>
      </c>
      <c r="L1403" s="53" t="s">
        <v>101</v>
      </c>
      <c r="M1403" s="53">
        <v>3.6520000000000001</v>
      </c>
      <c r="N1403" s="53">
        <v>3.6520000000000001</v>
      </c>
      <c r="O1403" s="53" t="s">
        <v>101</v>
      </c>
      <c r="P1403" s="53" t="s">
        <v>448</v>
      </c>
      <c r="Q1403" s="53" t="s">
        <v>663</v>
      </c>
      <c r="R1403" s="55" t="s">
        <v>771</v>
      </c>
    </row>
    <row r="1404" spans="1:18" x14ac:dyDescent="0.5">
      <c r="A1404" s="56" t="str">
        <f>"756843YB8"</f>
        <v>756843YB8</v>
      </c>
      <c r="B1404" s="57" t="s">
        <v>451</v>
      </c>
      <c r="C1404" s="57" t="s">
        <v>1741</v>
      </c>
      <c r="D1404" s="53" t="s">
        <v>447</v>
      </c>
      <c r="E1404" s="57">
        <v>3.25</v>
      </c>
      <c r="F1404" s="58">
        <v>48806</v>
      </c>
      <c r="G1404" s="58">
        <v>46249</v>
      </c>
      <c r="H1404" s="57" t="s">
        <v>104</v>
      </c>
      <c r="I1404" s="57" t="s">
        <v>105</v>
      </c>
      <c r="J1404" s="57" t="s">
        <v>101</v>
      </c>
      <c r="K1404" s="57">
        <v>97.001000000000005</v>
      </c>
      <c r="L1404" s="57" t="s">
        <v>101</v>
      </c>
      <c r="M1404" s="57">
        <v>3.6640000000000001</v>
      </c>
      <c r="N1404" s="57">
        <v>3.6640000000000001</v>
      </c>
      <c r="O1404" s="53" t="s">
        <v>101</v>
      </c>
      <c r="P1404" s="57" t="s">
        <v>448</v>
      </c>
      <c r="Q1404" s="57" t="s">
        <v>488</v>
      </c>
      <c r="R1404" s="59" t="s">
        <v>454</v>
      </c>
    </row>
    <row r="1405" spans="1:18" x14ac:dyDescent="0.5">
      <c r="A1405" s="52" t="str">
        <f>"767057QG0"</f>
        <v>767057QG0</v>
      </c>
      <c r="B1405" s="53" t="s">
        <v>451</v>
      </c>
      <c r="C1405" s="53" t="s">
        <v>1742</v>
      </c>
      <c r="D1405" s="53" t="s">
        <v>447</v>
      </c>
      <c r="E1405" s="53">
        <v>3.25</v>
      </c>
      <c r="F1405" s="54">
        <v>48806</v>
      </c>
      <c r="G1405" s="54">
        <v>45884</v>
      </c>
      <c r="H1405" s="53" t="s">
        <v>105</v>
      </c>
      <c r="I1405" s="53" t="s">
        <v>104</v>
      </c>
      <c r="J1405" s="53" t="s">
        <v>101</v>
      </c>
      <c r="K1405" s="53">
        <v>97.72</v>
      </c>
      <c r="L1405" s="53" t="s">
        <v>101</v>
      </c>
      <c r="M1405" s="53">
        <v>3.5640000000000001</v>
      </c>
      <c r="N1405" s="53">
        <v>3.5640000000000001</v>
      </c>
      <c r="O1405" s="53" t="s">
        <v>101</v>
      </c>
      <c r="P1405" s="53" t="s">
        <v>448</v>
      </c>
      <c r="Q1405" s="53" t="s">
        <v>1743</v>
      </c>
      <c r="R1405" s="55" t="s">
        <v>454</v>
      </c>
    </row>
    <row r="1406" spans="1:18" x14ac:dyDescent="0.5">
      <c r="A1406" s="56" t="str">
        <f>"798765CJ0"</f>
        <v>798765CJ0</v>
      </c>
      <c r="B1406" s="57" t="s">
        <v>451</v>
      </c>
      <c r="C1406" s="57" t="s">
        <v>1744</v>
      </c>
      <c r="D1406" s="53" t="s">
        <v>447</v>
      </c>
      <c r="E1406" s="57">
        <v>3</v>
      </c>
      <c r="F1406" s="58">
        <v>48806</v>
      </c>
      <c r="G1406" s="58">
        <v>45884</v>
      </c>
      <c r="H1406" s="57" t="s">
        <v>105</v>
      </c>
      <c r="I1406" s="57" t="s">
        <v>628</v>
      </c>
      <c r="J1406" s="57" t="s">
        <v>101</v>
      </c>
      <c r="K1406" s="57">
        <v>94.587999999999994</v>
      </c>
      <c r="L1406" s="57" t="s">
        <v>101</v>
      </c>
      <c r="M1406" s="57">
        <v>3.75</v>
      </c>
      <c r="N1406" s="57">
        <v>3.75</v>
      </c>
      <c r="O1406" s="53" t="s">
        <v>101</v>
      </c>
      <c r="P1406" s="57" t="s">
        <v>448</v>
      </c>
      <c r="Q1406" s="57" t="s">
        <v>790</v>
      </c>
      <c r="R1406" s="59" t="s">
        <v>504</v>
      </c>
    </row>
    <row r="1407" spans="1:18" x14ac:dyDescent="0.5">
      <c r="A1407" s="52" t="str">
        <f>"824161RA3"</f>
        <v>824161RA3</v>
      </c>
      <c r="B1407" s="53" t="s">
        <v>451</v>
      </c>
      <c r="C1407" s="53" t="s">
        <v>1745</v>
      </c>
      <c r="D1407" s="53" t="s">
        <v>447</v>
      </c>
      <c r="E1407" s="53">
        <v>3.25</v>
      </c>
      <c r="F1407" s="54">
        <v>48806</v>
      </c>
      <c r="G1407" s="54">
        <v>46614</v>
      </c>
      <c r="H1407" s="53" t="s">
        <v>105</v>
      </c>
      <c r="I1407" s="53" t="s">
        <v>628</v>
      </c>
      <c r="J1407" s="53" t="s">
        <v>101</v>
      </c>
      <c r="K1407" s="53">
        <v>97.622</v>
      </c>
      <c r="L1407" s="53" t="s">
        <v>101</v>
      </c>
      <c r="M1407" s="53">
        <v>3.577</v>
      </c>
      <c r="N1407" s="53">
        <v>3.577</v>
      </c>
      <c r="O1407" s="53" t="s">
        <v>101</v>
      </c>
      <c r="P1407" s="53" t="s">
        <v>448</v>
      </c>
      <c r="Q1407" s="53" t="s">
        <v>485</v>
      </c>
      <c r="R1407" s="55" t="s">
        <v>504</v>
      </c>
    </row>
    <row r="1408" spans="1:18" x14ac:dyDescent="0.5">
      <c r="A1408" s="56" t="str">
        <f>"838810DX4"</f>
        <v>838810DX4</v>
      </c>
      <c r="B1408" s="57" t="s">
        <v>499</v>
      </c>
      <c r="C1408" s="57" t="s">
        <v>1746</v>
      </c>
      <c r="D1408" s="53" t="s">
        <v>447</v>
      </c>
      <c r="E1408" s="57">
        <v>4</v>
      </c>
      <c r="F1408" s="58">
        <v>48806</v>
      </c>
      <c r="G1408" s="58">
        <v>46614</v>
      </c>
      <c r="H1408" s="57" t="s">
        <v>641</v>
      </c>
      <c r="I1408" s="57" t="s">
        <v>616</v>
      </c>
      <c r="J1408" s="57" t="s">
        <v>101</v>
      </c>
      <c r="K1408" s="57">
        <v>100.92100000000001</v>
      </c>
      <c r="L1408" s="57" t="s">
        <v>101</v>
      </c>
      <c r="M1408" s="57">
        <v>3.61</v>
      </c>
      <c r="N1408" s="57">
        <v>3.8719999999999999</v>
      </c>
      <c r="O1408" s="53" t="s">
        <v>101</v>
      </c>
      <c r="P1408" s="57" t="s">
        <v>448</v>
      </c>
      <c r="Q1408" s="57" t="s">
        <v>453</v>
      </c>
      <c r="R1408" s="59" t="s">
        <v>450</v>
      </c>
    </row>
    <row r="1409" spans="1:18" x14ac:dyDescent="0.5">
      <c r="A1409" s="52" t="str">
        <f>"839091QV0"</f>
        <v>839091QV0</v>
      </c>
      <c r="B1409" s="53" t="s">
        <v>477</v>
      </c>
      <c r="C1409" s="53" t="s">
        <v>1747</v>
      </c>
      <c r="D1409" s="53" t="s">
        <v>447</v>
      </c>
      <c r="E1409" s="53">
        <v>2.125</v>
      </c>
      <c r="F1409" s="54">
        <v>48806</v>
      </c>
      <c r="G1409" s="54">
        <v>46249</v>
      </c>
      <c r="H1409" s="53" t="s">
        <v>610</v>
      </c>
      <c r="I1409" s="53" t="s">
        <v>105</v>
      </c>
      <c r="J1409" s="53" t="s">
        <v>101</v>
      </c>
      <c r="K1409" s="53">
        <v>84.519000000000005</v>
      </c>
      <c r="L1409" s="53" t="s">
        <v>101</v>
      </c>
      <c r="M1409" s="53">
        <v>4.3220000000000001</v>
      </c>
      <c r="N1409" s="53">
        <v>4.3220000000000001</v>
      </c>
      <c r="O1409" s="53" t="s">
        <v>101</v>
      </c>
      <c r="P1409" s="53" t="s">
        <v>448</v>
      </c>
      <c r="Q1409" s="53" t="s">
        <v>503</v>
      </c>
      <c r="R1409" s="55" t="s">
        <v>454</v>
      </c>
    </row>
    <row r="1410" spans="1:18" x14ac:dyDescent="0.5">
      <c r="A1410" s="56" t="str">
        <f>"877294TZ1"</f>
        <v>877294TZ1</v>
      </c>
      <c r="B1410" s="57" t="s">
        <v>451</v>
      </c>
      <c r="C1410" s="57" t="s">
        <v>1748</v>
      </c>
      <c r="D1410" s="53" t="s">
        <v>447</v>
      </c>
      <c r="E1410" s="57">
        <v>4</v>
      </c>
      <c r="F1410" s="58">
        <v>48806</v>
      </c>
      <c r="G1410" s="58">
        <v>46980</v>
      </c>
      <c r="H1410" s="57" t="s">
        <v>105</v>
      </c>
      <c r="I1410" s="57" t="s">
        <v>628</v>
      </c>
      <c r="J1410" s="57" t="s">
        <v>101</v>
      </c>
      <c r="K1410" s="57">
        <v>101.56100000000001</v>
      </c>
      <c r="L1410" s="57" t="s">
        <v>101</v>
      </c>
      <c r="M1410" s="57">
        <v>3.5209999999999999</v>
      </c>
      <c r="N1410" s="57">
        <v>3.7829999999999999</v>
      </c>
      <c r="O1410" s="53" t="s">
        <v>101</v>
      </c>
      <c r="P1410" s="57" t="s">
        <v>448</v>
      </c>
      <c r="Q1410" s="57" t="s">
        <v>556</v>
      </c>
      <c r="R1410" s="59" t="s">
        <v>504</v>
      </c>
    </row>
    <row r="1411" spans="1:18" x14ac:dyDescent="0.5">
      <c r="A1411" s="52" t="str">
        <f>"894435DS2"</f>
        <v>894435DS2</v>
      </c>
      <c r="B1411" s="53" t="s">
        <v>451</v>
      </c>
      <c r="C1411" s="53" t="s">
        <v>1749</v>
      </c>
      <c r="D1411" s="53" t="s">
        <v>447</v>
      </c>
      <c r="E1411" s="53">
        <v>3</v>
      </c>
      <c r="F1411" s="54">
        <v>48806</v>
      </c>
      <c r="G1411" s="54">
        <v>45733</v>
      </c>
      <c r="H1411" s="53" t="s">
        <v>105</v>
      </c>
      <c r="I1411" s="53" t="s">
        <v>509</v>
      </c>
      <c r="J1411" s="53" t="s">
        <v>101</v>
      </c>
      <c r="K1411" s="53">
        <v>93.411000000000001</v>
      </c>
      <c r="L1411" s="53" t="s">
        <v>101</v>
      </c>
      <c r="M1411" s="53">
        <v>3.92</v>
      </c>
      <c r="N1411" s="53">
        <v>3.92</v>
      </c>
      <c r="O1411" s="53" t="s">
        <v>101</v>
      </c>
      <c r="P1411" s="53" t="s">
        <v>448</v>
      </c>
      <c r="Q1411" s="53" t="s">
        <v>485</v>
      </c>
      <c r="R1411" s="55" t="s">
        <v>454</v>
      </c>
    </row>
    <row r="1412" spans="1:18" x14ac:dyDescent="0.5">
      <c r="A1412" s="56" t="str">
        <f>"91514AHQ1"</f>
        <v>91514AHQ1</v>
      </c>
      <c r="B1412" s="57" t="s">
        <v>451</v>
      </c>
      <c r="C1412" s="57" t="s">
        <v>1750</v>
      </c>
      <c r="D1412" s="53" t="s">
        <v>447</v>
      </c>
      <c r="E1412" s="57">
        <v>3</v>
      </c>
      <c r="F1412" s="58">
        <v>48806</v>
      </c>
      <c r="G1412" s="58">
        <v>45733</v>
      </c>
      <c r="H1412" s="57" t="s">
        <v>104</v>
      </c>
      <c r="I1412" s="57" t="s">
        <v>104</v>
      </c>
      <c r="J1412" s="57" t="s">
        <v>101</v>
      </c>
      <c r="K1412" s="57">
        <v>95.007999999999996</v>
      </c>
      <c r="L1412" s="57" t="s">
        <v>101</v>
      </c>
      <c r="M1412" s="57">
        <v>3.69</v>
      </c>
      <c r="N1412" s="57">
        <v>3.69</v>
      </c>
      <c r="O1412" s="53" t="s">
        <v>101</v>
      </c>
      <c r="P1412" s="57" t="s">
        <v>448</v>
      </c>
      <c r="Q1412" s="57" t="s">
        <v>457</v>
      </c>
      <c r="R1412" s="59" t="s">
        <v>589</v>
      </c>
    </row>
    <row r="1413" spans="1:18" x14ac:dyDescent="0.5">
      <c r="A1413" s="52" t="str">
        <f>"920496QU3"</f>
        <v>920496QU3</v>
      </c>
      <c r="B1413" s="53" t="s">
        <v>451</v>
      </c>
      <c r="C1413" s="53" t="s">
        <v>1751</v>
      </c>
      <c r="D1413" s="53" t="s">
        <v>447</v>
      </c>
      <c r="E1413" s="53">
        <v>3</v>
      </c>
      <c r="F1413" s="54">
        <v>48806</v>
      </c>
      <c r="G1413" s="54">
        <v>46614</v>
      </c>
      <c r="H1413" s="53" t="s">
        <v>104</v>
      </c>
      <c r="I1413" s="53" t="s">
        <v>105</v>
      </c>
      <c r="J1413" s="53" t="s">
        <v>101</v>
      </c>
      <c r="K1413" s="53">
        <v>94.55</v>
      </c>
      <c r="L1413" s="53" t="s">
        <v>101</v>
      </c>
      <c r="M1413" s="53">
        <v>3.7549999999999999</v>
      </c>
      <c r="N1413" s="53">
        <v>3.7549999999999999</v>
      </c>
      <c r="O1413" s="53" t="s">
        <v>101</v>
      </c>
      <c r="P1413" s="53" t="s">
        <v>448</v>
      </c>
      <c r="Q1413" s="53" t="s">
        <v>1280</v>
      </c>
      <c r="R1413" s="55" t="s">
        <v>454</v>
      </c>
    </row>
    <row r="1414" spans="1:18" x14ac:dyDescent="0.5">
      <c r="A1414" s="56" t="str">
        <f>"926293ZY0"</f>
        <v>926293ZY0</v>
      </c>
      <c r="B1414" s="57" t="s">
        <v>451</v>
      </c>
      <c r="C1414" s="57" t="s">
        <v>1752</v>
      </c>
      <c r="D1414" s="53" t="s">
        <v>447</v>
      </c>
      <c r="E1414" s="57">
        <v>3.5</v>
      </c>
      <c r="F1414" s="58">
        <v>48806</v>
      </c>
      <c r="G1414" s="58">
        <v>45733</v>
      </c>
      <c r="H1414" s="57" t="s">
        <v>105</v>
      </c>
      <c r="I1414" s="57" t="s">
        <v>628</v>
      </c>
      <c r="J1414" s="57" t="s">
        <v>101</v>
      </c>
      <c r="K1414" s="57">
        <v>99.11</v>
      </c>
      <c r="L1414" s="57" t="s">
        <v>101</v>
      </c>
      <c r="M1414" s="57">
        <v>3.6230000000000002</v>
      </c>
      <c r="N1414" s="57">
        <v>3.6230000000000002</v>
      </c>
      <c r="O1414" s="53" t="s">
        <v>101</v>
      </c>
      <c r="P1414" s="57" t="s">
        <v>448</v>
      </c>
      <c r="Q1414" s="57" t="s">
        <v>517</v>
      </c>
      <c r="R1414" s="59" t="s">
        <v>504</v>
      </c>
    </row>
    <row r="1415" spans="1:18" x14ac:dyDescent="0.5">
      <c r="A1415" s="52" t="str">
        <f>"95632CDN6"</f>
        <v>95632CDN6</v>
      </c>
      <c r="B1415" s="53" t="s">
        <v>451</v>
      </c>
      <c r="C1415" s="53" t="s">
        <v>1753</v>
      </c>
      <c r="D1415" s="53" t="s">
        <v>447</v>
      </c>
      <c r="E1415" s="53">
        <v>4</v>
      </c>
      <c r="F1415" s="54">
        <v>48806</v>
      </c>
      <c r="G1415" s="54">
        <v>46614</v>
      </c>
      <c r="H1415" s="53" t="s">
        <v>641</v>
      </c>
      <c r="I1415" s="53" t="s">
        <v>628</v>
      </c>
      <c r="J1415" s="53" t="s">
        <v>101</v>
      </c>
      <c r="K1415" s="53">
        <v>101.08799999999999</v>
      </c>
      <c r="L1415" s="53" t="s">
        <v>101</v>
      </c>
      <c r="M1415" s="53">
        <v>3.54</v>
      </c>
      <c r="N1415" s="53">
        <v>3.8490000000000002</v>
      </c>
      <c r="O1415" s="53" t="s">
        <v>101</v>
      </c>
      <c r="P1415" s="53" t="s">
        <v>448</v>
      </c>
      <c r="Q1415" s="53" t="s">
        <v>538</v>
      </c>
      <c r="R1415" s="55" t="s">
        <v>771</v>
      </c>
    </row>
    <row r="1416" spans="1:18" x14ac:dyDescent="0.5">
      <c r="A1416" s="56" t="str">
        <f>"97712DD86"</f>
        <v>97712DD86</v>
      </c>
      <c r="B1416" s="57" t="s">
        <v>496</v>
      </c>
      <c r="C1416" s="57" t="s">
        <v>1754</v>
      </c>
      <c r="D1416" s="53" t="s">
        <v>447</v>
      </c>
      <c r="E1416" s="57">
        <v>3.25</v>
      </c>
      <c r="F1416" s="58">
        <v>48806</v>
      </c>
      <c r="G1416" s="58">
        <v>46614</v>
      </c>
      <c r="H1416" s="57" t="s">
        <v>624</v>
      </c>
      <c r="I1416" s="57" t="s">
        <v>628</v>
      </c>
      <c r="J1416" s="57" t="s">
        <v>101</v>
      </c>
      <c r="K1416" s="57">
        <v>95.83</v>
      </c>
      <c r="L1416" s="57" t="s">
        <v>101</v>
      </c>
      <c r="M1416" s="57">
        <v>3.83</v>
      </c>
      <c r="N1416" s="57">
        <v>3.83</v>
      </c>
      <c r="O1416" s="53" t="s">
        <v>101</v>
      </c>
      <c r="P1416" s="57" t="s">
        <v>448</v>
      </c>
      <c r="Q1416" s="57" t="s">
        <v>457</v>
      </c>
      <c r="R1416" s="59" t="s">
        <v>506</v>
      </c>
    </row>
    <row r="1417" spans="1:18" x14ac:dyDescent="0.5">
      <c r="A1417" s="52" t="str">
        <f>"97712DM60"</f>
        <v>97712DM60</v>
      </c>
      <c r="B1417" s="53" t="s">
        <v>496</v>
      </c>
      <c r="C1417" s="53" t="s">
        <v>1755</v>
      </c>
      <c r="D1417" s="53" t="s">
        <v>447</v>
      </c>
      <c r="E1417" s="53">
        <v>5</v>
      </c>
      <c r="F1417" s="54">
        <v>48806</v>
      </c>
      <c r="G1417" s="54">
        <v>46980</v>
      </c>
      <c r="H1417" s="53" t="s">
        <v>624</v>
      </c>
      <c r="I1417" s="53" t="s">
        <v>628</v>
      </c>
      <c r="J1417" s="53" t="s">
        <v>101</v>
      </c>
      <c r="K1417" s="53">
        <v>104.39400000000001</v>
      </c>
      <c r="L1417" s="53" t="s">
        <v>101</v>
      </c>
      <c r="M1417" s="53">
        <v>3.6480000000000001</v>
      </c>
      <c r="N1417" s="53">
        <v>4.375</v>
      </c>
      <c r="O1417" s="53" t="s">
        <v>101</v>
      </c>
      <c r="P1417" s="53" t="s">
        <v>448</v>
      </c>
      <c r="Q1417" s="53" t="s">
        <v>488</v>
      </c>
      <c r="R1417" s="55" t="s">
        <v>506</v>
      </c>
    </row>
    <row r="1418" spans="1:18" x14ac:dyDescent="0.5">
      <c r="A1418" s="56" t="str">
        <f>"099671NT2"</f>
        <v>099671NT2</v>
      </c>
      <c r="B1418" s="57" t="s">
        <v>477</v>
      </c>
      <c r="C1418" s="57" t="s">
        <v>1756</v>
      </c>
      <c r="D1418" s="53" t="s">
        <v>447</v>
      </c>
      <c r="E1418" s="57">
        <v>2</v>
      </c>
      <c r="F1418" s="58">
        <v>48823</v>
      </c>
      <c r="G1418" s="58">
        <v>46997</v>
      </c>
      <c r="H1418" s="57" t="s">
        <v>105</v>
      </c>
      <c r="I1418" s="57" t="s">
        <v>628</v>
      </c>
      <c r="J1418" s="57" t="s">
        <v>101</v>
      </c>
      <c r="K1418" s="57">
        <v>82.756</v>
      </c>
      <c r="L1418" s="57" t="s">
        <v>101</v>
      </c>
      <c r="M1418" s="57">
        <v>4.45</v>
      </c>
      <c r="N1418" s="57">
        <v>4.45</v>
      </c>
      <c r="O1418" s="53" t="s">
        <v>101</v>
      </c>
      <c r="P1418" s="57" t="s">
        <v>448</v>
      </c>
      <c r="Q1418" s="57" t="s">
        <v>457</v>
      </c>
      <c r="R1418" s="59" t="s">
        <v>454</v>
      </c>
    </row>
    <row r="1419" spans="1:18" x14ac:dyDescent="0.5">
      <c r="A1419" s="52" t="str">
        <f>"107487AU4"</f>
        <v>107487AU4</v>
      </c>
      <c r="B1419" s="53" t="s">
        <v>499</v>
      </c>
      <c r="C1419" s="53" t="s">
        <v>1757</v>
      </c>
      <c r="D1419" s="53" t="s">
        <v>447</v>
      </c>
      <c r="E1419" s="53">
        <v>3.375</v>
      </c>
      <c r="F1419" s="54">
        <v>48823</v>
      </c>
      <c r="G1419" s="54">
        <v>45733</v>
      </c>
      <c r="H1419" s="53" t="s">
        <v>105</v>
      </c>
      <c r="I1419" s="53" t="s">
        <v>509</v>
      </c>
      <c r="J1419" s="53" t="s">
        <v>101</v>
      </c>
      <c r="K1419" s="53">
        <v>97.79</v>
      </c>
      <c r="L1419" s="53" t="s">
        <v>101</v>
      </c>
      <c r="M1419" s="53">
        <v>3.6789999999999998</v>
      </c>
      <c r="N1419" s="53">
        <v>3.6789999999999998</v>
      </c>
      <c r="O1419" s="53" t="s">
        <v>101</v>
      </c>
      <c r="P1419" s="53" t="s">
        <v>448</v>
      </c>
      <c r="Q1419" s="53" t="s">
        <v>488</v>
      </c>
      <c r="R1419" s="55" t="s">
        <v>504</v>
      </c>
    </row>
    <row r="1420" spans="1:18" x14ac:dyDescent="0.5">
      <c r="A1420" s="56" t="str">
        <f>"218054AX2"</f>
        <v>218054AX2</v>
      </c>
      <c r="B1420" s="57" t="s">
        <v>499</v>
      </c>
      <c r="C1420" s="57" t="s">
        <v>1758</v>
      </c>
      <c r="D1420" s="53" t="s">
        <v>447</v>
      </c>
      <c r="E1420" s="57">
        <v>3</v>
      </c>
      <c r="F1420" s="58">
        <v>48823</v>
      </c>
      <c r="G1420" s="58">
        <v>47727</v>
      </c>
      <c r="H1420" s="57" t="s">
        <v>105</v>
      </c>
      <c r="I1420" s="57" t="s">
        <v>104</v>
      </c>
      <c r="J1420" s="57" t="s">
        <v>101</v>
      </c>
      <c r="K1420" s="57">
        <v>95.683000000000007</v>
      </c>
      <c r="L1420" s="57" t="s">
        <v>101</v>
      </c>
      <c r="M1420" s="57">
        <v>3.5920000000000001</v>
      </c>
      <c r="N1420" s="57">
        <v>3.5920000000000001</v>
      </c>
      <c r="O1420" s="53" t="s">
        <v>101</v>
      </c>
      <c r="P1420" s="57" t="s">
        <v>448</v>
      </c>
      <c r="Q1420" s="57" t="s">
        <v>527</v>
      </c>
      <c r="R1420" s="59" t="s">
        <v>589</v>
      </c>
    </row>
    <row r="1421" spans="1:18" x14ac:dyDescent="0.5">
      <c r="A1421" s="52" t="str">
        <f>"24879TQW7"</f>
        <v>24879TQW7</v>
      </c>
      <c r="B1421" s="53" t="s">
        <v>451</v>
      </c>
      <c r="C1421" s="53" t="s">
        <v>1759</v>
      </c>
      <c r="D1421" s="53" t="s">
        <v>447</v>
      </c>
      <c r="E1421" s="53">
        <v>3.75</v>
      </c>
      <c r="F1421" s="54">
        <v>48823</v>
      </c>
      <c r="G1421" s="54">
        <v>45901</v>
      </c>
      <c r="H1421" s="53" t="s">
        <v>610</v>
      </c>
      <c r="I1421" s="53" t="s">
        <v>628</v>
      </c>
      <c r="J1421" s="53" t="s">
        <v>101</v>
      </c>
      <c r="K1421" s="53">
        <v>99.39</v>
      </c>
      <c r="L1421" s="53" t="s">
        <v>101</v>
      </c>
      <c r="M1421" s="53">
        <v>3.8340000000000001</v>
      </c>
      <c r="N1421" s="53">
        <v>3.8340000000000001</v>
      </c>
      <c r="O1421" s="53" t="s">
        <v>101</v>
      </c>
      <c r="P1421" s="53" t="s">
        <v>448</v>
      </c>
      <c r="Q1421" s="53" t="s">
        <v>488</v>
      </c>
      <c r="R1421" s="55" t="s">
        <v>630</v>
      </c>
    </row>
    <row r="1422" spans="1:18" x14ac:dyDescent="0.5">
      <c r="A1422" s="56" t="str">
        <f>"265777KS0"</f>
        <v>265777KS0</v>
      </c>
      <c r="B1422" s="57" t="s">
        <v>496</v>
      </c>
      <c r="C1422" s="57" t="s">
        <v>1760</v>
      </c>
      <c r="D1422" s="53" t="s">
        <v>447</v>
      </c>
      <c r="E1422" s="57">
        <v>3</v>
      </c>
      <c r="F1422" s="58">
        <v>48823</v>
      </c>
      <c r="G1422" s="58">
        <v>48458</v>
      </c>
      <c r="H1422" s="57" t="s">
        <v>105</v>
      </c>
      <c r="I1422" s="57" t="s">
        <v>628</v>
      </c>
      <c r="J1422" s="57" t="s">
        <v>101</v>
      </c>
      <c r="K1422" s="57">
        <v>94.3</v>
      </c>
      <c r="L1422" s="57" t="s">
        <v>101</v>
      </c>
      <c r="M1422" s="57">
        <v>3.7879999999999998</v>
      </c>
      <c r="N1422" s="57">
        <v>3.7879999999999998</v>
      </c>
      <c r="O1422" s="53" t="s">
        <v>101</v>
      </c>
      <c r="P1422" s="57" t="s">
        <v>448</v>
      </c>
      <c r="Q1422" s="57" t="s">
        <v>453</v>
      </c>
      <c r="R1422" s="59" t="s">
        <v>454</v>
      </c>
    </row>
    <row r="1423" spans="1:18" x14ac:dyDescent="0.5">
      <c r="A1423" s="52" t="str">
        <f>"296804G35"</f>
        <v>296804G35</v>
      </c>
      <c r="B1423" s="53" t="s">
        <v>477</v>
      </c>
      <c r="C1423" s="53" t="s">
        <v>1761</v>
      </c>
      <c r="D1423" s="53" t="s">
        <v>447</v>
      </c>
      <c r="E1423" s="53">
        <v>3</v>
      </c>
      <c r="F1423" s="54">
        <v>48823</v>
      </c>
      <c r="G1423" s="54">
        <v>46266</v>
      </c>
      <c r="H1423" s="53" t="s">
        <v>540</v>
      </c>
      <c r="I1423" s="53" t="s">
        <v>105</v>
      </c>
      <c r="J1423" s="53" t="s">
        <v>101</v>
      </c>
      <c r="K1423" s="53">
        <v>95.980999999999995</v>
      </c>
      <c r="L1423" s="53" t="s">
        <v>101</v>
      </c>
      <c r="M1423" s="53">
        <v>3.55</v>
      </c>
      <c r="N1423" s="53">
        <v>3.55</v>
      </c>
      <c r="O1423" s="53" t="s">
        <v>101</v>
      </c>
      <c r="P1423" s="53" t="s">
        <v>448</v>
      </c>
      <c r="Q1423" s="53" t="s">
        <v>485</v>
      </c>
      <c r="R1423" s="55" t="s">
        <v>454</v>
      </c>
    </row>
    <row r="1424" spans="1:18" x14ac:dyDescent="0.5">
      <c r="A1424" s="56" t="str">
        <f>"296804M53"</f>
        <v>296804M53</v>
      </c>
      <c r="B1424" s="57" t="s">
        <v>477</v>
      </c>
      <c r="C1424" s="57" t="s">
        <v>1762</v>
      </c>
      <c r="D1424" s="53" t="s">
        <v>447</v>
      </c>
      <c r="E1424" s="57">
        <v>2.125</v>
      </c>
      <c r="F1424" s="58">
        <v>48823</v>
      </c>
      <c r="G1424" s="58">
        <v>46631</v>
      </c>
      <c r="H1424" s="57" t="s">
        <v>540</v>
      </c>
      <c r="I1424" s="57" t="s">
        <v>105</v>
      </c>
      <c r="J1424" s="57" t="s">
        <v>101</v>
      </c>
      <c r="K1424" s="57">
        <v>85.91</v>
      </c>
      <c r="L1424" s="57" t="s">
        <v>101</v>
      </c>
      <c r="M1424" s="57">
        <v>4.0979999999999999</v>
      </c>
      <c r="N1424" s="57">
        <v>4.0979999999999999</v>
      </c>
      <c r="O1424" s="53" t="s">
        <v>101</v>
      </c>
      <c r="P1424" s="57" t="s">
        <v>448</v>
      </c>
      <c r="Q1424" s="57" t="s">
        <v>1763</v>
      </c>
      <c r="R1424" s="59" t="s">
        <v>454</v>
      </c>
    </row>
    <row r="1425" spans="1:18" x14ac:dyDescent="0.5">
      <c r="A1425" s="52" t="str">
        <f>"340765HH2"</f>
        <v>340765HH2</v>
      </c>
      <c r="B1425" s="53" t="s">
        <v>499</v>
      </c>
      <c r="C1425" s="53" t="s">
        <v>1764</v>
      </c>
      <c r="D1425" s="53" t="s">
        <v>447</v>
      </c>
      <c r="E1425" s="53">
        <v>3.5</v>
      </c>
      <c r="F1425" s="54">
        <v>48823</v>
      </c>
      <c r="G1425" s="54">
        <v>45717</v>
      </c>
      <c r="H1425" s="53" t="s">
        <v>624</v>
      </c>
      <c r="I1425" s="53" t="s">
        <v>616</v>
      </c>
      <c r="J1425" s="53" t="s">
        <v>101</v>
      </c>
      <c r="K1425" s="53">
        <v>99.510999999999996</v>
      </c>
      <c r="L1425" s="53" t="s">
        <v>101</v>
      </c>
      <c r="M1425" s="53">
        <v>3.5670000000000002</v>
      </c>
      <c r="N1425" s="53">
        <v>3.5670000000000002</v>
      </c>
      <c r="O1425" s="53" t="s">
        <v>101</v>
      </c>
      <c r="P1425" s="53" t="s">
        <v>448</v>
      </c>
      <c r="Q1425" s="53" t="s">
        <v>947</v>
      </c>
      <c r="R1425" s="55" t="s">
        <v>504</v>
      </c>
    </row>
    <row r="1426" spans="1:18" x14ac:dyDescent="0.5">
      <c r="A1426" s="56" t="str">
        <f>"34679CHE5"</f>
        <v>34679CHE5</v>
      </c>
      <c r="B1426" s="57" t="s">
        <v>451</v>
      </c>
      <c r="C1426" s="57" t="s">
        <v>1765</v>
      </c>
      <c r="D1426" s="53" t="s">
        <v>447</v>
      </c>
      <c r="E1426" s="57">
        <v>2.5</v>
      </c>
      <c r="F1426" s="58">
        <v>48823</v>
      </c>
      <c r="G1426" s="58">
        <v>45901</v>
      </c>
      <c r="H1426" s="57" t="s">
        <v>641</v>
      </c>
      <c r="I1426" s="57" t="s">
        <v>628</v>
      </c>
      <c r="J1426" s="57" t="s">
        <v>101</v>
      </c>
      <c r="K1426" s="57">
        <v>87.977999999999994</v>
      </c>
      <c r="L1426" s="57" t="s">
        <v>101</v>
      </c>
      <c r="M1426" s="57">
        <v>4.1900000000000004</v>
      </c>
      <c r="N1426" s="57">
        <v>4.1900000000000004</v>
      </c>
      <c r="O1426" s="53" t="s">
        <v>101</v>
      </c>
      <c r="P1426" s="57" t="s">
        <v>448</v>
      </c>
      <c r="Q1426" s="57" t="s">
        <v>485</v>
      </c>
      <c r="R1426" s="59" t="s">
        <v>630</v>
      </c>
    </row>
    <row r="1427" spans="1:18" x14ac:dyDescent="0.5">
      <c r="A1427" s="52" t="str">
        <f>"34679TQL2"</f>
        <v>34679TQL2</v>
      </c>
      <c r="B1427" s="53" t="s">
        <v>451</v>
      </c>
      <c r="C1427" s="53" t="s">
        <v>1766</v>
      </c>
      <c r="D1427" s="53" t="s">
        <v>447</v>
      </c>
      <c r="E1427" s="53">
        <v>3.5</v>
      </c>
      <c r="F1427" s="54">
        <v>48823</v>
      </c>
      <c r="G1427" s="54">
        <v>45733</v>
      </c>
      <c r="H1427" s="53" t="s">
        <v>624</v>
      </c>
      <c r="I1427" s="53" t="s">
        <v>628</v>
      </c>
      <c r="J1427" s="53" t="s">
        <v>101</v>
      </c>
      <c r="K1427" s="53">
        <v>98.91</v>
      </c>
      <c r="L1427" s="53" t="s">
        <v>101</v>
      </c>
      <c r="M1427" s="53">
        <v>3.65</v>
      </c>
      <c r="N1427" s="53">
        <v>3.65</v>
      </c>
      <c r="O1427" s="53" t="s">
        <v>101</v>
      </c>
      <c r="P1427" s="53" t="s">
        <v>448</v>
      </c>
      <c r="Q1427" s="53" t="s">
        <v>488</v>
      </c>
      <c r="R1427" s="55" t="s">
        <v>630</v>
      </c>
    </row>
    <row r="1428" spans="1:18" x14ac:dyDescent="0.5">
      <c r="A1428" s="56" t="str">
        <f>"34680CDR7"</f>
        <v>34680CDR7</v>
      </c>
      <c r="B1428" s="57" t="s">
        <v>451</v>
      </c>
      <c r="C1428" s="57" t="s">
        <v>1767</v>
      </c>
      <c r="D1428" s="53" t="s">
        <v>447</v>
      </c>
      <c r="E1428" s="57">
        <v>3.75</v>
      </c>
      <c r="F1428" s="58">
        <v>48823</v>
      </c>
      <c r="G1428" s="58">
        <v>45733</v>
      </c>
      <c r="H1428" s="57" t="s">
        <v>641</v>
      </c>
      <c r="I1428" s="57" t="s">
        <v>628</v>
      </c>
      <c r="J1428" s="57" t="s">
        <v>101</v>
      </c>
      <c r="K1428" s="57">
        <v>100</v>
      </c>
      <c r="L1428" s="57" t="s">
        <v>101</v>
      </c>
      <c r="M1428" s="57">
        <v>3.6920000000000002</v>
      </c>
      <c r="N1428" s="57">
        <v>3.75</v>
      </c>
      <c r="O1428" s="53" t="s">
        <v>101</v>
      </c>
      <c r="P1428" s="57" t="s">
        <v>448</v>
      </c>
      <c r="Q1428" s="57" t="s">
        <v>488</v>
      </c>
      <c r="R1428" s="59" t="s">
        <v>630</v>
      </c>
    </row>
    <row r="1429" spans="1:18" x14ac:dyDescent="0.5">
      <c r="A1429" s="52" t="str">
        <f>"34681WPS7"</f>
        <v>34681WPS7</v>
      </c>
      <c r="B1429" s="53" t="s">
        <v>451</v>
      </c>
      <c r="C1429" s="53" t="s">
        <v>1768</v>
      </c>
      <c r="D1429" s="53" t="s">
        <v>447</v>
      </c>
      <c r="E1429" s="53">
        <v>3.625</v>
      </c>
      <c r="F1429" s="54">
        <v>48823</v>
      </c>
      <c r="G1429" s="54">
        <v>45733</v>
      </c>
      <c r="H1429" s="53" t="s">
        <v>105</v>
      </c>
      <c r="I1429" s="53" t="s">
        <v>628</v>
      </c>
      <c r="J1429" s="53" t="s">
        <v>101</v>
      </c>
      <c r="K1429" s="53">
        <v>99.02</v>
      </c>
      <c r="L1429" s="53" t="s">
        <v>101</v>
      </c>
      <c r="M1429" s="53">
        <v>3.76</v>
      </c>
      <c r="N1429" s="53">
        <v>3.76</v>
      </c>
      <c r="O1429" s="53" t="s">
        <v>101</v>
      </c>
      <c r="P1429" s="53" t="s">
        <v>448</v>
      </c>
      <c r="Q1429" s="53" t="s">
        <v>503</v>
      </c>
      <c r="R1429" s="55" t="s">
        <v>630</v>
      </c>
    </row>
    <row r="1430" spans="1:18" x14ac:dyDescent="0.5">
      <c r="A1430" s="56" t="str">
        <f>"34682JLU4"</f>
        <v>34682JLU4</v>
      </c>
      <c r="B1430" s="57" t="s">
        <v>451</v>
      </c>
      <c r="C1430" s="57" t="s">
        <v>1769</v>
      </c>
      <c r="D1430" s="53" t="s">
        <v>447</v>
      </c>
      <c r="E1430" s="57">
        <v>3.25</v>
      </c>
      <c r="F1430" s="58">
        <v>48823</v>
      </c>
      <c r="G1430" s="58">
        <v>45733</v>
      </c>
      <c r="H1430" s="57" t="s">
        <v>610</v>
      </c>
      <c r="I1430" s="57" t="s">
        <v>628</v>
      </c>
      <c r="J1430" s="57" t="s">
        <v>101</v>
      </c>
      <c r="K1430" s="57">
        <v>95.385999999999996</v>
      </c>
      <c r="L1430" s="57" t="s">
        <v>101</v>
      </c>
      <c r="M1430" s="57">
        <v>3.89</v>
      </c>
      <c r="N1430" s="57">
        <v>3.89</v>
      </c>
      <c r="O1430" s="53" t="s">
        <v>101</v>
      </c>
      <c r="P1430" s="57" t="s">
        <v>448</v>
      </c>
      <c r="Q1430" s="57" t="s">
        <v>527</v>
      </c>
      <c r="R1430" s="59" t="s">
        <v>630</v>
      </c>
    </row>
    <row r="1431" spans="1:18" x14ac:dyDescent="0.5">
      <c r="A1431" s="52" t="str">
        <f>"34683CXU5"</f>
        <v>34683CXU5</v>
      </c>
      <c r="B1431" s="53" t="s">
        <v>451</v>
      </c>
      <c r="C1431" s="53" t="s">
        <v>1770</v>
      </c>
      <c r="D1431" s="53" t="s">
        <v>447</v>
      </c>
      <c r="E1431" s="53">
        <v>4</v>
      </c>
      <c r="F1431" s="54">
        <v>48823</v>
      </c>
      <c r="G1431" s="54">
        <v>47727</v>
      </c>
      <c r="H1431" s="53" t="s">
        <v>627</v>
      </c>
      <c r="I1431" s="53" t="s">
        <v>628</v>
      </c>
      <c r="J1431" s="53" t="s">
        <v>101</v>
      </c>
      <c r="K1431" s="53">
        <v>101.488</v>
      </c>
      <c r="L1431" s="53" t="s">
        <v>101</v>
      </c>
      <c r="M1431" s="53">
        <v>3.7</v>
      </c>
      <c r="N1431" s="53">
        <v>3.794</v>
      </c>
      <c r="O1431" s="53" t="s">
        <v>101</v>
      </c>
      <c r="P1431" s="53" t="s">
        <v>448</v>
      </c>
      <c r="Q1431" s="53" t="s">
        <v>722</v>
      </c>
      <c r="R1431" s="55" t="s">
        <v>630</v>
      </c>
    </row>
    <row r="1432" spans="1:18" x14ac:dyDescent="0.5">
      <c r="A1432" s="56" t="str">
        <f>"34683JHM6"</f>
        <v>34683JHM6</v>
      </c>
      <c r="B1432" s="57" t="s">
        <v>451</v>
      </c>
      <c r="C1432" s="57" t="s">
        <v>1771</v>
      </c>
      <c r="D1432" s="53" t="s">
        <v>447</v>
      </c>
      <c r="E1432" s="57">
        <v>4</v>
      </c>
      <c r="F1432" s="58">
        <v>48823</v>
      </c>
      <c r="G1432" s="58">
        <v>47727</v>
      </c>
      <c r="H1432" s="57" t="s">
        <v>641</v>
      </c>
      <c r="I1432" s="57" t="s">
        <v>628</v>
      </c>
      <c r="J1432" s="57" t="s">
        <v>101</v>
      </c>
      <c r="K1432" s="57">
        <v>101.89</v>
      </c>
      <c r="L1432" s="57" t="s">
        <v>101</v>
      </c>
      <c r="M1432" s="57">
        <v>3.62</v>
      </c>
      <c r="N1432" s="57">
        <v>3.7389999999999999</v>
      </c>
      <c r="O1432" s="53" t="s">
        <v>101</v>
      </c>
      <c r="P1432" s="57" t="s">
        <v>448</v>
      </c>
      <c r="Q1432" s="57" t="s">
        <v>503</v>
      </c>
      <c r="R1432" s="59" t="s">
        <v>630</v>
      </c>
    </row>
    <row r="1433" spans="1:18" x14ac:dyDescent="0.5">
      <c r="A1433" s="52" t="str">
        <f>"34683LJM9"</f>
        <v>34683LJM9</v>
      </c>
      <c r="B1433" s="53" t="s">
        <v>451</v>
      </c>
      <c r="C1433" s="53" t="s">
        <v>1772</v>
      </c>
      <c r="D1433" s="53" t="s">
        <v>447</v>
      </c>
      <c r="E1433" s="53">
        <v>2.5</v>
      </c>
      <c r="F1433" s="54">
        <v>48823</v>
      </c>
      <c r="G1433" s="54">
        <v>45733</v>
      </c>
      <c r="H1433" s="53" t="s">
        <v>641</v>
      </c>
      <c r="I1433" s="53" t="s">
        <v>628</v>
      </c>
      <c r="J1433" s="53" t="s">
        <v>101</v>
      </c>
      <c r="K1433" s="53">
        <v>86.275000000000006</v>
      </c>
      <c r="L1433" s="53" t="s">
        <v>101</v>
      </c>
      <c r="M1433" s="53">
        <v>4.45</v>
      </c>
      <c r="N1433" s="53">
        <v>4.45</v>
      </c>
      <c r="O1433" s="53" t="s">
        <v>101</v>
      </c>
      <c r="P1433" s="53" t="s">
        <v>448</v>
      </c>
      <c r="Q1433" s="53" t="s">
        <v>479</v>
      </c>
      <c r="R1433" s="55" t="s">
        <v>630</v>
      </c>
    </row>
    <row r="1434" spans="1:18" x14ac:dyDescent="0.5">
      <c r="A1434" s="56" t="str">
        <f>"34683LMM5"</f>
        <v>34683LMM5</v>
      </c>
      <c r="B1434" s="57" t="s">
        <v>451</v>
      </c>
      <c r="C1434" s="57" t="s">
        <v>1773</v>
      </c>
      <c r="D1434" s="53" t="s">
        <v>447</v>
      </c>
      <c r="E1434" s="57">
        <v>2</v>
      </c>
      <c r="F1434" s="58">
        <v>48823</v>
      </c>
      <c r="G1434" s="58">
        <v>45901</v>
      </c>
      <c r="H1434" s="57" t="s">
        <v>610</v>
      </c>
      <c r="I1434" s="57" t="s">
        <v>628</v>
      </c>
      <c r="J1434" s="57" t="s">
        <v>101</v>
      </c>
      <c r="K1434" s="57">
        <v>82.441000000000003</v>
      </c>
      <c r="L1434" s="57" t="s">
        <v>101</v>
      </c>
      <c r="M1434" s="57">
        <v>4.5</v>
      </c>
      <c r="N1434" s="57">
        <v>4.5</v>
      </c>
      <c r="O1434" s="53" t="s">
        <v>101</v>
      </c>
      <c r="P1434" s="57" t="s">
        <v>448</v>
      </c>
      <c r="Q1434" s="57" t="s">
        <v>503</v>
      </c>
      <c r="R1434" s="59" t="s">
        <v>630</v>
      </c>
    </row>
    <row r="1435" spans="1:18" x14ac:dyDescent="0.5">
      <c r="A1435" s="52" t="str">
        <f>"34685LGK4"</f>
        <v>34685LGK4</v>
      </c>
      <c r="B1435" s="53" t="s">
        <v>451</v>
      </c>
      <c r="C1435" s="53" t="s">
        <v>1774</v>
      </c>
      <c r="D1435" s="53" t="s">
        <v>447</v>
      </c>
      <c r="E1435" s="53">
        <v>4</v>
      </c>
      <c r="F1435" s="54">
        <v>48823</v>
      </c>
      <c r="G1435" s="54">
        <v>47362</v>
      </c>
      <c r="H1435" s="53" t="s">
        <v>641</v>
      </c>
      <c r="I1435" s="53" t="s">
        <v>628</v>
      </c>
      <c r="J1435" s="53" t="s">
        <v>101</v>
      </c>
      <c r="K1435" s="53">
        <v>101.446</v>
      </c>
      <c r="L1435" s="53" t="s">
        <v>101</v>
      </c>
      <c r="M1435" s="53">
        <v>3.6509999999999998</v>
      </c>
      <c r="N1435" s="53">
        <v>3.8</v>
      </c>
      <c r="O1435" s="53" t="s">
        <v>101</v>
      </c>
      <c r="P1435" s="53" t="s">
        <v>448</v>
      </c>
      <c r="Q1435" s="53" t="s">
        <v>457</v>
      </c>
      <c r="R1435" s="55" t="s">
        <v>630</v>
      </c>
    </row>
    <row r="1436" spans="1:18" x14ac:dyDescent="0.5">
      <c r="A1436" s="56" t="str">
        <f>"35986CLT2"</f>
        <v>35986CLT2</v>
      </c>
      <c r="B1436" s="57" t="s">
        <v>451</v>
      </c>
      <c r="C1436" s="57" t="s">
        <v>1775</v>
      </c>
      <c r="D1436" s="53" t="s">
        <v>447</v>
      </c>
      <c r="E1436" s="57">
        <v>4</v>
      </c>
      <c r="F1436" s="58">
        <v>48823</v>
      </c>
      <c r="G1436" s="58">
        <v>47362</v>
      </c>
      <c r="H1436" s="57" t="s">
        <v>641</v>
      </c>
      <c r="I1436" s="57" t="s">
        <v>628</v>
      </c>
      <c r="J1436" s="57" t="s">
        <v>101</v>
      </c>
      <c r="K1436" s="57">
        <v>101.27500000000001</v>
      </c>
      <c r="L1436" s="57" t="s">
        <v>101</v>
      </c>
      <c r="M1436" s="57">
        <v>3.6920000000000002</v>
      </c>
      <c r="N1436" s="57">
        <v>3.823</v>
      </c>
      <c r="O1436" s="53" t="s">
        <v>101</v>
      </c>
      <c r="P1436" s="57" t="s">
        <v>448</v>
      </c>
      <c r="Q1436" s="57" t="s">
        <v>488</v>
      </c>
      <c r="R1436" s="59" t="s">
        <v>630</v>
      </c>
    </row>
    <row r="1437" spans="1:18" x14ac:dyDescent="0.5">
      <c r="A1437" s="52" t="str">
        <f>"404540UT1"</f>
        <v>404540UT1</v>
      </c>
      <c r="B1437" s="53" t="s">
        <v>477</v>
      </c>
      <c r="C1437" s="53" t="s">
        <v>1776</v>
      </c>
      <c r="D1437" s="53" t="s">
        <v>447</v>
      </c>
      <c r="E1437" s="53">
        <v>2</v>
      </c>
      <c r="F1437" s="54">
        <v>48823</v>
      </c>
      <c r="G1437" s="54">
        <v>46997</v>
      </c>
      <c r="H1437" s="53" t="s">
        <v>105</v>
      </c>
      <c r="I1437" s="53" t="s">
        <v>509</v>
      </c>
      <c r="J1437" s="53" t="s">
        <v>101</v>
      </c>
      <c r="K1437" s="53">
        <v>83.391000000000005</v>
      </c>
      <c r="L1437" s="53" t="s">
        <v>101</v>
      </c>
      <c r="M1437" s="53">
        <v>4.3499999999999996</v>
      </c>
      <c r="N1437" s="53">
        <v>4.3499999999999996</v>
      </c>
      <c r="O1437" s="53" t="s">
        <v>101</v>
      </c>
      <c r="P1437" s="53" t="s">
        <v>448</v>
      </c>
      <c r="Q1437" s="53" t="s">
        <v>457</v>
      </c>
      <c r="R1437" s="55" t="s">
        <v>454</v>
      </c>
    </row>
    <row r="1438" spans="1:18" x14ac:dyDescent="0.5">
      <c r="A1438" s="56" t="str">
        <f>"414183BT9"</f>
        <v>414183BT9</v>
      </c>
      <c r="B1438" s="57" t="s">
        <v>451</v>
      </c>
      <c r="C1438" s="57" t="s">
        <v>1777</v>
      </c>
      <c r="D1438" s="53" t="s">
        <v>447</v>
      </c>
      <c r="E1438" s="57">
        <v>3.625</v>
      </c>
      <c r="F1438" s="58">
        <v>48823</v>
      </c>
      <c r="G1438" s="58">
        <v>45733</v>
      </c>
      <c r="H1438" s="57" t="s">
        <v>641</v>
      </c>
      <c r="I1438" s="57" t="s">
        <v>628</v>
      </c>
      <c r="J1438" s="57" t="s">
        <v>101</v>
      </c>
      <c r="K1438" s="57">
        <v>98.87</v>
      </c>
      <c r="L1438" s="57" t="s">
        <v>101</v>
      </c>
      <c r="M1438" s="57">
        <v>3.7810000000000001</v>
      </c>
      <c r="N1438" s="57">
        <v>3.7810000000000001</v>
      </c>
      <c r="O1438" s="53" t="s">
        <v>101</v>
      </c>
      <c r="P1438" s="57" t="s">
        <v>448</v>
      </c>
      <c r="Q1438" s="57" t="s">
        <v>457</v>
      </c>
      <c r="R1438" s="59" t="s">
        <v>630</v>
      </c>
    </row>
    <row r="1439" spans="1:18" x14ac:dyDescent="0.5">
      <c r="A1439" s="52" t="str">
        <f>"414183CS0"</f>
        <v>414183CS0</v>
      </c>
      <c r="B1439" s="53" t="s">
        <v>451</v>
      </c>
      <c r="C1439" s="53" t="s">
        <v>1778</v>
      </c>
      <c r="D1439" s="53" t="s">
        <v>447</v>
      </c>
      <c r="E1439" s="53">
        <v>3.375</v>
      </c>
      <c r="F1439" s="54">
        <v>48823</v>
      </c>
      <c r="G1439" s="54">
        <v>45733</v>
      </c>
      <c r="H1439" s="53" t="s">
        <v>641</v>
      </c>
      <c r="I1439" s="53" t="s">
        <v>628</v>
      </c>
      <c r="J1439" s="53" t="s">
        <v>101</v>
      </c>
      <c r="K1439" s="53">
        <v>98.19</v>
      </c>
      <c r="L1439" s="53" t="s">
        <v>101</v>
      </c>
      <c r="M1439" s="53">
        <v>3.6230000000000002</v>
      </c>
      <c r="N1439" s="53">
        <v>3.6230000000000002</v>
      </c>
      <c r="O1439" s="53" t="s">
        <v>101</v>
      </c>
      <c r="P1439" s="53" t="s">
        <v>448</v>
      </c>
      <c r="Q1439" s="53" t="s">
        <v>457</v>
      </c>
      <c r="R1439" s="55" t="s">
        <v>630</v>
      </c>
    </row>
    <row r="1440" spans="1:18" x14ac:dyDescent="0.5">
      <c r="A1440" s="56" t="str">
        <f>"414183FT5"</f>
        <v>414183FT5</v>
      </c>
      <c r="B1440" s="57" t="s">
        <v>451</v>
      </c>
      <c r="C1440" s="57" t="s">
        <v>1779</v>
      </c>
      <c r="D1440" s="53" t="s">
        <v>447</v>
      </c>
      <c r="E1440" s="57">
        <v>3.125</v>
      </c>
      <c r="F1440" s="58">
        <v>48823</v>
      </c>
      <c r="G1440" s="58">
        <v>45733</v>
      </c>
      <c r="H1440" s="57" t="s">
        <v>641</v>
      </c>
      <c r="I1440" s="57" t="s">
        <v>105</v>
      </c>
      <c r="J1440" s="57" t="s">
        <v>101</v>
      </c>
      <c r="K1440" s="57">
        <v>93.35</v>
      </c>
      <c r="L1440" s="57" t="s">
        <v>101</v>
      </c>
      <c r="M1440" s="57">
        <v>4.0540000000000003</v>
      </c>
      <c r="N1440" s="57">
        <v>4.0540000000000003</v>
      </c>
      <c r="O1440" s="53" t="s">
        <v>101</v>
      </c>
      <c r="P1440" s="57" t="s">
        <v>448</v>
      </c>
      <c r="Q1440" s="57" t="s">
        <v>485</v>
      </c>
      <c r="R1440" s="59" t="s">
        <v>454</v>
      </c>
    </row>
    <row r="1441" spans="1:18" x14ac:dyDescent="0.5">
      <c r="A1441" s="52" t="str">
        <f>"41423EBR2"</f>
        <v>41423EBR2</v>
      </c>
      <c r="B1441" s="53" t="s">
        <v>451</v>
      </c>
      <c r="C1441" s="53" t="s">
        <v>1780</v>
      </c>
      <c r="D1441" s="53" t="s">
        <v>447</v>
      </c>
      <c r="E1441" s="53">
        <v>2.75</v>
      </c>
      <c r="F1441" s="54">
        <v>48823</v>
      </c>
      <c r="G1441" s="54">
        <v>45733</v>
      </c>
      <c r="H1441" s="53" t="s">
        <v>105</v>
      </c>
      <c r="I1441" s="53" t="s">
        <v>628</v>
      </c>
      <c r="J1441" s="53" t="s">
        <v>101</v>
      </c>
      <c r="K1441" s="53">
        <v>89.352999999999994</v>
      </c>
      <c r="L1441" s="53" t="s">
        <v>101</v>
      </c>
      <c r="M1441" s="53">
        <v>4.25</v>
      </c>
      <c r="N1441" s="53">
        <v>4.25</v>
      </c>
      <c r="O1441" s="53" t="s">
        <v>101</v>
      </c>
      <c r="P1441" s="53" t="s">
        <v>448</v>
      </c>
      <c r="Q1441" s="53" t="s">
        <v>1604</v>
      </c>
      <c r="R1441" s="55" t="s">
        <v>630</v>
      </c>
    </row>
    <row r="1442" spans="1:18" x14ac:dyDescent="0.5">
      <c r="A1442" s="56" t="str">
        <f>"41424EGG0"</f>
        <v>41424EGG0</v>
      </c>
      <c r="B1442" s="57" t="s">
        <v>451</v>
      </c>
      <c r="C1442" s="57" t="s">
        <v>1781</v>
      </c>
      <c r="D1442" s="53" t="s">
        <v>447</v>
      </c>
      <c r="E1442" s="57">
        <v>4</v>
      </c>
      <c r="F1442" s="58">
        <v>48823</v>
      </c>
      <c r="G1442" s="58">
        <v>47727</v>
      </c>
      <c r="H1442" s="57" t="s">
        <v>641</v>
      </c>
      <c r="I1442" s="57" t="s">
        <v>628</v>
      </c>
      <c r="J1442" s="57" t="s">
        <v>101</v>
      </c>
      <c r="K1442" s="57">
        <v>102.111</v>
      </c>
      <c r="L1442" s="57" t="s">
        <v>101</v>
      </c>
      <c r="M1442" s="57">
        <v>3.5760000000000001</v>
      </c>
      <c r="N1442" s="57">
        <v>3.7090000000000001</v>
      </c>
      <c r="O1442" s="53" t="s">
        <v>101</v>
      </c>
      <c r="P1442" s="57" t="s">
        <v>448</v>
      </c>
      <c r="Q1442" s="57" t="s">
        <v>457</v>
      </c>
      <c r="R1442" s="59" t="s">
        <v>680</v>
      </c>
    </row>
    <row r="1443" spans="1:18" x14ac:dyDescent="0.5">
      <c r="A1443" s="52" t="str">
        <f>"413844CU3"</f>
        <v>413844CU3</v>
      </c>
      <c r="B1443" s="53" t="s">
        <v>451</v>
      </c>
      <c r="C1443" s="53" t="s">
        <v>1782</v>
      </c>
      <c r="D1443" s="53" t="s">
        <v>447</v>
      </c>
      <c r="E1443" s="53">
        <v>3.5</v>
      </c>
      <c r="F1443" s="54">
        <v>48823</v>
      </c>
      <c r="G1443" s="54">
        <v>45733</v>
      </c>
      <c r="H1443" s="53" t="s">
        <v>627</v>
      </c>
      <c r="I1443" s="53" t="s">
        <v>628</v>
      </c>
      <c r="J1443" s="53" t="s">
        <v>101</v>
      </c>
      <c r="K1443" s="53">
        <v>97.180999999999997</v>
      </c>
      <c r="L1443" s="53" t="s">
        <v>101</v>
      </c>
      <c r="M1443" s="53">
        <v>3.891</v>
      </c>
      <c r="N1443" s="53">
        <v>3.891</v>
      </c>
      <c r="O1443" s="53" t="s">
        <v>101</v>
      </c>
      <c r="P1443" s="53" t="s">
        <v>448</v>
      </c>
      <c r="Q1443" s="53" t="s">
        <v>460</v>
      </c>
      <c r="R1443" s="55" t="s">
        <v>630</v>
      </c>
    </row>
    <row r="1444" spans="1:18" x14ac:dyDescent="0.5">
      <c r="A1444" s="56" t="str">
        <f>"41456PFQ5"</f>
        <v>41456PFQ5</v>
      </c>
      <c r="B1444" s="57" t="s">
        <v>451</v>
      </c>
      <c r="C1444" s="57" t="s">
        <v>1783</v>
      </c>
      <c r="D1444" s="53" t="s">
        <v>447</v>
      </c>
      <c r="E1444" s="57">
        <v>3.5</v>
      </c>
      <c r="F1444" s="58">
        <v>48823</v>
      </c>
      <c r="G1444" s="58">
        <v>45733</v>
      </c>
      <c r="H1444" s="57" t="s">
        <v>624</v>
      </c>
      <c r="I1444" s="57" t="s">
        <v>105</v>
      </c>
      <c r="J1444" s="57" t="s">
        <v>101</v>
      </c>
      <c r="K1444" s="57">
        <v>98.4</v>
      </c>
      <c r="L1444" s="57" t="s">
        <v>101</v>
      </c>
      <c r="M1444" s="57">
        <v>3.72</v>
      </c>
      <c r="N1444" s="57">
        <v>3.72</v>
      </c>
      <c r="O1444" s="53" t="s">
        <v>101</v>
      </c>
      <c r="P1444" s="57" t="s">
        <v>448</v>
      </c>
      <c r="Q1444" s="57" t="s">
        <v>457</v>
      </c>
      <c r="R1444" s="59" t="s">
        <v>454</v>
      </c>
    </row>
    <row r="1445" spans="1:18" x14ac:dyDescent="0.5">
      <c r="A1445" s="52" t="str">
        <f>"41456PKC0"</f>
        <v>41456PKC0</v>
      </c>
      <c r="B1445" s="53" t="s">
        <v>451</v>
      </c>
      <c r="C1445" s="53" t="s">
        <v>1784</v>
      </c>
      <c r="D1445" s="53" t="s">
        <v>447</v>
      </c>
      <c r="E1445" s="53">
        <v>3</v>
      </c>
      <c r="F1445" s="54">
        <v>48823</v>
      </c>
      <c r="G1445" s="54">
        <v>45901</v>
      </c>
      <c r="H1445" s="53" t="s">
        <v>624</v>
      </c>
      <c r="I1445" s="53" t="s">
        <v>628</v>
      </c>
      <c r="J1445" s="53" t="s">
        <v>101</v>
      </c>
      <c r="K1445" s="53">
        <v>92.546999999999997</v>
      </c>
      <c r="L1445" s="53" t="s">
        <v>101</v>
      </c>
      <c r="M1445" s="53">
        <v>4.0410000000000004</v>
      </c>
      <c r="N1445" s="53">
        <v>4.0410000000000004</v>
      </c>
      <c r="O1445" s="53" t="s">
        <v>101</v>
      </c>
      <c r="P1445" s="53" t="s">
        <v>448</v>
      </c>
      <c r="Q1445" s="53" t="s">
        <v>485</v>
      </c>
      <c r="R1445" s="55" t="s">
        <v>630</v>
      </c>
    </row>
    <row r="1446" spans="1:18" x14ac:dyDescent="0.5">
      <c r="A1446" s="56" t="str">
        <f>"510192EY9"</f>
        <v>510192EY9</v>
      </c>
      <c r="B1446" s="57" t="s">
        <v>496</v>
      </c>
      <c r="C1446" s="57" t="s">
        <v>1785</v>
      </c>
      <c r="D1446" s="53" t="s">
        <v>447</v>
      </c>
      <c r="E1446" s="57">
        <v>3.375</v>
      </c>
      <c r="F1446" s="58">
        <v>48823</v>
      </c>
      <c r="G1446" s="58">
        <v>45733</v>
      </c>
      <c r="H1446" s="57" t="s">
        <v>105</v>
      </c>
      <c r="I1446" s="57" t="s">
        <v>616</v>
      </c>
      <c r="J1446" s="57" t="s">
        <v>101</v>
      </c>
      <c r="K1446" s="57">
        <v>96.04</v>
      </c>
      <c r="L1446" s="57" t="s">
        <v>101</v>
      </c>
      <c r="M1446" s="57">
        <v>3.9249999999999998</v>
      </c>
      <c r="N1446" s="57">
        <v>3.9249999999999998</v>
      </c>
      <c r="O1446" s="53" t="s">
        <v>101</v>
      </c>
      <c r="P1446" s="57" t="s">
        <v>448</v>
      </c>
      <c r="Q1446" s="57" t="s">
        <v>488</v>
      </c>
      <c r="R1446" s="59" t="s">
        <v>454</v>
      </c>
    </row>
    <row r="1447" spans="1:18" x14ac:dyDescent="0.5">
      <c r="A1447" s="52" t="str">
        <f>"59324PDA4"</f>
        <v>59324PDA4</v>
      </c>
      <c r="B1447" s="53" t="s">
        <v>499</v>
      </c>
      <c r="C1447" s="53" t="s">
        <v>1786</v>
      </c>
      <c r="D1447" s="53" t="s">
        <v>447</v>
      </c>
      <c r="E1447" s="53">
        <v>3.625</v>
      </c>
      <c r="F1447" s="54">
        <v>48823</v>
      </c>
      <c r="G1447" s="54">
        <v>45901</v>
      </c>
      <c r="H1447" s="53" t="s">
        <v>624</v>
      </c>
      <c r="I1447" s="53" t="s">
        <v>616</v>
      </c>
      <c r="J1447" s="53" t="s">
        <v>101</v>
      </c>
      <c r="K1447" s="53">
        <v>99.14</v>
      </c>
      <c r="L1447" s="53" t="s">
        <v>101</v>
      </c>
      <c r="M1447" s="53">
        <v>3.7429999999999999</v>
      </c>
      <c r="N1447" s="53">
        <v>3.7429999999999999</v>
      </c>
      <c r="O1447" s="53" t="s">
        <v>101</v>
      </c>
      <c r="P1447" s="53" t="s">
        <v>448</v>
      </c>
      <c r="Q1447" s="53" t="s">
        <v>479</v>
      </c>
      <c r="R1447" s="55" t="s">
        <v>504</v>
      </c>
    </row>
    <row r="1448" spans="1:18" x14ac:dyDescent="0.5">
      <c r="A1448" s="56" t="str">
        <f>"61370NHR7"</f>
        <v>61370NHR7</v>
      </c>
      <c r="B1448" s="57" t="s">
        <v>451</v>
      </c>
      <c r="C1448" s="57" t="s">
        <v>1787</v>
      </c>
      <c r="D1448" s="53" t="s">
        <v>447</v>
      </c>
      <c r="E1448" s="57">
        <v>2.5</v>
      </c>
      <c r="F1448" s="58">
        <v>48823</v>
      </c>
      <c r="G1448" s="58">
        <v>45733</v>
      </c>
      <c r="H1448" s="57" t="s">
        <v>641</v>
      </c>
      <c r="I1448" s="57" t="s">
        <v>628</v>
      </c>
      <c r="J1448" s="57" t="s">
        <v>101</v>
      </c>
      <c r="K1448" s="57">
        <v>86.599000000000004</v>
      </c>
      <c r="L1448" s="57" t="s">
        <v>101</v>
      </c>
      <c r="M1448" s="57">
        <v>4.4000000000000004</v>
      </c>
      <c r="N1448" s="57">
        <v>4.4000000000000004</v>
      </c>
      <c r="O1448" s="53" t="s">
        <v>101</v>
      </c>
      <c r="P1448" s="57" t="s">
        <v>448</v>
      </c>
      <c r="Q1448" s="57" t="s">
        <v>538</v>
      </c>
      <c r="R1448" s="59" t="s">
        <v>630</v>
      </c>
    </row>
    <row r="1449" spans="1:18" x14ac:dyDescent="0.5">
      <c r="A1449" s="52" t="str">
        <f>"61371EEH1"</f>
        <v>61371EEH1</v>
      </c>
      <c r="B1449" s="53" t="s">
        <v>451</v>
      </c>
      <c r="C1449" s="53" t="s">
        <v>1788</v>
      </c>
      <c r="D1449" s="53" t="s">
        <v>447</v>
      </c>
      <c r="E1449" s="53">
        <v>4</v>
      </c>
      <c r="F1449" s="54">
        <v>48823</v>
      </c>
      <c r="G1449" s="54">
        <v>47362</v>
      </c>
      <c r="H1449" s="53" t="s">
        <v>641</v>
      </c>
      <c r="I1449" s="53" t="s">
        <v>628</v>
      </c>
      <c r="J1449" s="53" t="s">
        <v>101</v>
      </c>
      <c r="K1449" s="53">
        <v>101.63200000000001</v>
      </c>
      <c r="L1449" s="53" t="s">
        <v>101</v>
      </c>
      <c r="M1449" s="53">
        <v>3.6059999999999999</v>
      </c>
      <c r="N1449" s="53">
        <v>3.774</v>
      </c>
      <c r="O1449" s="53" t="s">
        <v>101</v>
      </c>
      <c r="P1449" s="53" t="s">
        <v>448</v>
      </c>
      <c r="Q1449" s="53" t="s">
        <v>1789</v>
      </c>
      <c r="R1449" s="55" t="s">
        <v>630</v>
      </c>
    </row>
    <row r="1450" spans="1:18" x14ac:dyDescent="0.5">
      <c r="A1450" s="56" t="str">
        <f>"61371GKM8"</f>
        <v>61371GKM8</v>
      </c>
      <c r="B1450" s="57" t="s">
        <v>451</v>
      </c>
      <c r="C1450" s="57" t="s">
        <v>1790</v>
      </c>
      <c r="D1450" s="53" t="s">
        <v>447</v>
      </c>
      <c r="E1450" s="57">
        <v>5</v>
      </c>
      <c r="F1450" s="58">
        <v>48823</v>
      </c>
      <c r="G1450" s="58">
        <v>47362</v>
      </c>
      <c r="H1450" s="57" t="s">
        <v>677</v>
      </c>
      <c r="I1450" s="57" t="s">
        <v>628</v>
      </c>
      <c r="J1450" s="57" t="s">
        <v>101</v>
      </c>
      <c r="K1450" s="57">
        <v>104.991</v>
      </c>
      <c r="L1450" s="57" t="s">
        <v>101</v>
      </c>
      <c r="M1450" s="57">
        <v>3.7919999999999998</v>
      </c>
      <c r="N1450" s="57">
        <v>4.2949999999999999</v>
      </c>
      <c r="O1450" s="53" t="s">
        <v>101</v>
      </c>
      <c r="P1450" s="57" t="s">
        <v>448</v>
      </c>
      <c r="Q1450" s="57" t="s">
        <v>457</v>
      </c>
      <c r="R1450" s="59" t="s">
        <v>630</v>
      </c>
    </row>
    <row r="1451" spans="1:18" x14ac:dyDescent="0.5">
      <c r="A1451" s="52" t="str">
        <f>"662832GZ1"</f>
        <v>662832GZ1</v>
      </c>
      <c r="B1451" s="53" t="s">
        <v>451</v>
      </c>
      <c r="C1451" s="53" t="s">
        <v>1791</v>
      </c>
      <c r="D1451" s="53" t="s">
        <v>447</v>
      </c>
      <c r="E1451" s="53">
        <v>3.25</v>
      </c>
      <c r="F1451" s="54">
        <v>48823</v>
      </c>
      <c r="G1451" s="54">
        <v>45901</v>
      </c>
      <c r="H1451" s="53" t="s">
        <v>613</v>
      </c>
      <c r="I1451" s="53" t="s">
        <v>509</v>
      </c>
      <c r="J1451" s="53" t="s">
        <v>101</v>
      </c>
      <c r="K1451" s="53">
        <v>95.037000000000006</v>
      </c>
      <c r="L1451" s="53" t="s">
        <v>101</v>
      </c>
      <c r="M1451" s="53">
        <v>3.94</v>
      </c>
      <c r="N1451" s="53">
        <v>3.94</v>
      </c>
      <c r="O1451" s="53" t="s">
        <v>101</v>
      </c>
      <c r="P1451" s="53" t="s">
        <v>448</v>
      </c>
      <c r="Q1451" s="53" t="s">
        <v>485</v>
      </c>
      <c r="R1451" s="55" t="s">
        <v>504</v>
      </c>
    </row>
    <row r="1452" spans="1:18" x14ac:dyDescent="0.5">
      <c r="A1452" s="56" t="str">
        <f>"704883NH6"</f>
        <v>704883NH6</v>
      </c>
      <c r="B1452" s="57" t="s">
        <v>451</v>
      </c>
      <c r="C1452" s="57" t="s">
        <v>1792</v>
      </c>
      <c r="D1452" s="53" t="s">
        <v>447</v>
      </c>
      <c r="E1452" s="57">
        <v>3.375</v>
      </c>
      <c r="F1452" s="58">
        <v>48823</v>
      </c>
      <c r="G1452" s="58">
        <v>45733</v>
      </c>
      <c r="H1452" s="57" t="s">
        <v>627</v>
      </c>
      <c r="I1452" s="57" t="s">
        <v>105</v>
      </c>
      <c r="J1452" s="57" t="s">
        <v>101</v>
      </c>
      <c r="K1452" s="57">
        <v>96.320999999999998</v>
      </c>
      <c r="L1452" s="57" t="s">
        <v>101</v>
      </c>
      <c r="M1452" s="57">
        <v>3.8849999999999998</v>
      </c>
      <c r="N1452" s="57">
        <v>3.8849999999999998</v>
      </c>
      <c r="O1452" s="53" t="s">
        <v>101</v>
      </c>
      <c r="P1452" s="57" t="s">
        <v>448</v>
      </c>
      <c r="Q1452" s="57" t="s">
        <v>527</v>
      </c>
      <c r="R1452" s="59" t="s">
        <v>504</v>
      </c>
    </row>
    <row r="1453" spans="1:18" x14ac:dyDescent="0.5">
      <c r="A1453" s="52" t="str">
        <f>"727177TD9"</f>
        <v>727177TD9</v>
      </c>
      <c r="B1453" s="53" t="s">
        <v>451</v>
      </c>
      <c r="C1453" s="53" t="s">
        <v>1793</v>
      </c>
      <c r="D1453" s="53" t="s">
        <v>447</v>
      </c>
      <c r="E1453" s="53">
        <v>3.25</v>
      </c>
      <c r="F1453" s="54">
        <v>48823</v>
      </c>
      <c r="G1453" s="54">
        <v>46447</v>
      </c>
      <c r="H1453" s="53" t="s">
        <v>104</v>
      </c>
      <c r="I1453" s="53" t="s">
        <v>104</v>
      </c>
      <c r="J1453" s="53" t="s">
        <v>101</v>
      </c>
      <c r="K1453" s="53">
        <v>97.546999999999997</v>
      </c>
      <c r="L1453" s="53" t="s">
        <v>101</v>
      </c>
      <c r="M1453" s="53">
        <v>3.5859999999999999</v>
      </c>
      <c r="N1453" s="53">
        <v>3.5859999999999999</v>
      </c>
      <c r="O1453" s="53" t="s">
        <v>101</v>
      </c>
      <c r="P1453" s="53" t="s">
        <v>448</v>
      </c>
      <c r="Q1453" s="53" t="s">
        <v>457</v>
      </c>
      <c r="R1453" s="55" t="s">
        <v>454</v>
      </c>
    </row>
    <row r="1454" spans="1:18" x14ac:dyDescent="0.5">
      <c r="A1454" s="56" t="str">
        <f>"727177WG8"</f>
        <v>727177WG8</v>
      </c>
      <c r="B1454" s="57" t="s">
        <v>451</v>
      </c>
      <c r="C1454" s="57" t="s">
        <v>1794</v>
      </c>
      <c r="D1454" s="53" t="s">
        <v>447</v>
      </c>
      <c r="E1454" s="57">
        <v>3.1</v>
      </c>
      <c r="F1454" s="58">
        <v>48823</v>
      </c>
      <c r="G1454" s="58">
        <v>46447</v>
      </c>
      <c r="H1454" s="57" t="s">
        <v>105</v>
      </c>
      <c r="I1454" s="57" t="s">
        <v>104</v>
      </c>
      <c r="J1454" s="57" t="s">
        <v>101</v>
      </c>
      <c r="K1454" s="57">
        <v>95.56</v>
      </c>
      <c r="L1454" s="57" t="s">
        <v>101</v>
      </c>
      <c r="M1454" s="57">
        <v>3.7120000000000002</v>
      </c>
      <c r="N1454" s="57">
        <v>3.7120000000000002</v>
      </c>
      <c r="O1454" s="53" t="s">
        <v>101</v>
      </c>
      <c r="P1454" s="57" t="s">
        <v>448</v>
      </c>
      <c r="Q1454" s="57" t="s">
        <v>682</v>
      </c>
      <c r="R1454" s="59" t="s">
        <v>454</v>
      </c>
    </row>
    <row r="1455" spans="1:18" x14ac:dyDescent="0.5">
      <c r="A1455" s="52" t="str">
        <f>"750055NC5"</f>
        <v>750055NC5</v>
      </c>
      <c r="B1455" s="53" t="s">
        <v>496</v>
      </c>
      <c r="C1455" s="53" t="s">
        <v>1795</v>
      </c>
      <c r="D1455" s="53" t="s">
        <v>447</v>
      </c>
      <c r="E1455" s="53">
        <v>2</v>
      </c>
      <c r="F1455" s="54">
        <v>48823</v>
      </c>
      <c r="G1455" s="54">
        <v>46997</v>
      </c>
      <c r="H1455" s="53" t="s">
        <v>105</v>
      </c>
      <c r="I1455" s="53" t="s">
        <v>628</v>
      </c>
      <c r="J1455" s="53" t="s">
        <v>101</v>
      </c>
      <c r="K1455" s="53">
        <v>82.945999999999998</v>
      </c>
      <c r="L1455" s="53" t="s">
        <v>101</v>
      </c>
      <c r="M1455" s="53">
        <v>4.42</v>
      </c>
      <c r="N1455" s="53">
        <v>4.42</v>
      </c>
      <c r="O1455" s="53" t="s">
        <v>101</v>
      </c>
      <c r="P1455" s="53" t="s">
        <v>448</v>
      </c>
      <c r="Q1455" s="53" t="s">
        <v>457</v>
      </c>
      <c r="R1455" s="55" t="s">
        <v>771</v>
      </c>
    </row>
    <row r="1456" spans="1:18" x14ac:dyDescent="0.5">
      <c r="A1456" s="56" t="str">
        <f>"867343MC6"</f>
        <v>867343MC6</v>
      </c>
      <c r="B1456" s="57" t="s">
        <v>451</v>
      </c>
      <c r="C1456" s="57" t="s">
        <v>1796</v>
      </c>
      <c r="D1456" s="53" t="s">
        <v>447</v>
      </c>
      <c r="E1456" s="57">
        <v>2.5</v>
      </c>
      <c r="F1456" s="58">
        <v>48823</v>
      </c>
      <c r="G1456" s="58">
        <v>45901</v>
      </c>
      <c r="H1456" s="57" t="s">
        <v>641</v>
      </c>
      <c r="I1456" s="57" t="s">
        <v>628</v>
      </c>
      <c r="J1456" s="57" t="s">
        <v>101</v>
      </c>
      <c r="K1456" s="57">
        <v>87.055000000000007</v>
      </c>
      <c r="L1456" s="57" t="s">
        <v>101</v>
      </c>
      <c r="M1456" s="57">
        <v>4.33</v>
      </c>
      <c r="N1456" s="57">
        <v>4.33</v>
      </c>
      <c r="O1456" s="53" t="s">
        <v>101</v>
      </c>
      <c r="P1456" s="57" t="s">
        <v>448</v>
      </c>
      <c r="Q1456" s="57" t="s">
        <v>1797</v>
      </c>
      <c r="R1456" s="59" t="s">
        <v>630</v>
      </c>
    </row>
    <row r="1457" spans="1:18" x14ac:dyDescent="0.5">
      <c r="A1457" s="52" t="str">
        <f>"875146AR3"</f>
        <v>875146AR3</v>
      </c>
      <c r="B1457" s="53" t="s">
        <v>499</v>
      </c>
      <c r="C1457" s="53" t="s">
        <v>1798</v>
      </c>
      <c r="D1457" s="53" t="s">
        <v>447</v>
      </c>
      <c r="E1457" s="53">
        <v>0</v>
      </c>
      <c r="F1457" s="54">
        <v>48823</v>
      </c>
      <c r="G1457" s="54">
        <v>47727</v>
      </c>
      <c r="H1457" s="53" t="s">
        <v>641</v>
      </c>
      <c r="I1457" s="53" t="s">
        <v>611</v>
      </c>
      <c r="J1457" s="53" t="s">
        <v>101</v>
      </c>
      <c r="K1457" s="53">
        <v>70.873999999999995</v>
      </c>
      <c r="L1457" s="53" t="s">
        <v>101</v>
      </c>
      <c r="M1457" s="53">
        <v>4.0739999999999998</v>
      </c>
      <c r="N1457" s="53">
        <v>4.0739999999999998</v>
      </c>
      <c r="O1457" s="53" t="s">
        <v>101</v>
      </c>
      <c r="P1457" s="53" t="s">
        <v>448</v>
      </c>
      <c r="Q1457" s="53" t="s">
        <v>485</v>
      </c>
      <c r="R1457" s="55" t="s">
        <v>450</v>
      </c>
    </row>
    <row r="1458" spans="1:18" x14ac:dyDescent="0.5">
      <c r="A1458" s="56" t="str">
        <f>"139501RP7"</f>
        <v>139501RP7</v>
      </c>
      <c r="B1458" s="57" t="s">
        <v>477</v>
      </c>
      <c r="C1458" s="57" t="s">
        <v>1799</v>
      </c>
      <c r="D1458" s="53" t="s">
        <v>447</v>
      </c>
      <c r="E1458" s="57">
        <v>2</v>
      </c>
      <c r="F1458" s="58">
        <v>48837</v>
      </c>
      <c r="G1458" s="58">
        <v>47011</v>
      </c>
      <c r="H1458" s="57" t="s">
        <v>540</v>
      </c>
      <c r="I1458" s="57" t="s">
        <v>105</v>
      </c>
      <c r="J1458" s="57" t="s">
        <v>101</v>
      </c>
      <c r="K1458" s="57">
        <v>85.14</v>
      </c>
      <c r="L1458" s="57" t="s">
        <v>101</v>
      </c>
      <c r="M1458" s="57">
        <v>4.07</v>
      </c>
      <c r="N1458" s="57">
        <v>4.07</v>
      </c>
      <c r="O1458" s="53" t="s">
        <v>101</v>
      </c>
      <c r="P1458" s="57" t="s">
        <v>448</v>
      </c>
      <c r="Q1458" s="57" t="s">
        <v>1800</v>
      </c>
      <c r="R1458" s="59" t="s">
        <v>454</v>
      </c>
    </row>
    <row r="1459" spans="1:18" x14ac:dyDescent="0.5">
      <c r="A1459" s="52" t="str">
        <f>"463777V82"</f>
        <v>463777V82</v>
      </c>
      <c r="B1459" s="53" t="s">
        <v>451</v>
      </c>
      <c r="C1459" s="53" t="s">
        <v>1801</v>
      </c>
      <c r="D1459" s="53" t="s">
        <v>447</v>
      </c>
      <c r="E1459" s="53">
        <v>3.125</v>
      </c>
      <c r="F1459" s="54">
        <v>48837</v>
      </c>
      <c r="G1459" s="54">
        <v>46645</v>
      </c>
      <c r="H1459" s="53" t="s">
        <v>104</v>
      </c>
      <c r="I1459" s="53" t="s">
        <v>104</v>
      </c>
      <c r="J1459" s="53" t="s">
        <v>101</v>
      </c>
      <c r="K1459" s="53">
        <v>95.278999999999996</v>
      </c>
      <c r="L1459" s="53" t="s">
        <v>101</v>
      </c>
      <c r="M1459" s="53">
        <v>3.774</v>
      </c>
      <c r="N1459" s="53">
        <v>3.774</v>
      </c>
      <c r="O1459" s="53" t="s">
        <v>101</v>
      </c>
      <c r="P1459" s="53" t="s">
        <v>448</v>
      </c>
      <c r="Q1459" s="53" t="s">
        <v>503</v>
      </c>
      <c r="R1459" s="55" t="s">
        <v>454</v>
      </c>
    </row>
    <row r="1460" spans="1:18" x14ac:dyDescent="0.5">
      <c r="A1460" s="56" t="str">
        <f>"658034ND1"</f>
        <v>658034ND1</v>
      </c>
      <c r="B1460" s="57" t="s">
        <v>477</v>
      </c>
      <c r="C1460" s="57" t="s">
        <v>1802</v>
      </c>
      <c r="D1460" s="53" t="s">
        <v>447</v>
      </c>
      <c r="E1460" s="57">
        <v>3</v>
      </c>
      <c r="F1460" s="58">
        <v>48837</v>
      </c>
      <c r="G1460" s="58">
        <v>46645</v>
      </c>
      <c r="H1460" s="57" t="s">
        <v>105</v>
      </c>
      <c r="I1460" s="57" t="s">
        <v>628</v>
      </c>
      <c r="J1460" s="57" t="s">
        <v>101</v>
      </c>
      <c r="K1460" s="57">
        <v>95.866</v>
      </c>
      <c r="L1460" s="57" t="s">
        <v>101</v>
      </c>
      <c r="M1460" s="57">
        <v>3.5640000000000001</v>
      </c>
      <c r="N1460" s="57">
        <v>3.5640000000000001</v>
      </c>
      <c r="O1460" s="53" t="s">
        <v>101</v>
      </c>
      <c r="P1460" s="57" t="s">
        <v>448</v>
      </c>
      <c r="Q1460" s="57" t="s">
        <v>453</v>
      </c>
      <c r="R1460" s="59" t="s">
        <v>454</v>
      </c>
    </row>
    <row r="1461" spans="1:18" x14ac:dyDescent="0.5">
      <c r="A1461" s="52" t="str">
        <f>"674684SB2"</f>
        <v>674684SB2</v>
      </c>
      <c r="B1461" s="53" t="s">
        <v>477</v>
      </c>
      <c r="C1461" s="53" t="s">
        <v>1803</v>
      </c>
      <c r="D1461" s="53" t="s">
        <v>447</v>
      </c>
      <c r="E1461" s="53">
        <v>2.25</v>
      </c>
      <c r="F1461" s="54">
        <v>48837</v>
      </c>
      <c r="G1461" s="54">
        <v>46280</v>
      </c>
      <c r="H1461" s="53" t="s">
        <v>105</v>
      </c>
      <c r="I1461" s="53" t="s">
        <v>628</v>
      </c>
      <c r="J1461" s="53" t="s">
        <v>101</v>
      </c>
      <c r="K1461" s="53">
        <v>87.2</v>
      </c>
      <c r="L1461" s="53" t="s">
        <v>101</v>
      </c>
      <c r="M1461" s="53">
        <v>4.03</v>
      </c>
      <c r="N1461" s="53">
        <v>4.03</v>
      </c>
      <c r="O1461" s="53" t="s">
        <v>101</v>
      </c>
      <c r="P1461" s="53" t="s">
        <v>448</v>
      </c>
      <c r="Q1461" s="53" t="s">
        <v>1804</v>
      </c>
      <c r="R1461" s="55" t="s">
        <v>454</v>
      </c>
    </row>
    <row r="1462" spans="1:18" x14ac:dyDescent="0.5">
      <c r="A1462" s="56" t="str">
        <f>"01071NBM2"</f>
        <v>01071NBM2</v>
      </c>
      <c r="B1462" s="57" t="s">
        <v>499</v>
      </c>
      <c r="C1462" s="57" t="s">
        <v>1805</v>
      </c>
      <c r="D1462" s="53" t="s">
        <v>447</v>
      </c>
      <c r="E1462" s="57">
        <v>3</v>
      </c>
      <c r="F1462" s="58">
        <v>48853</v>
      </c>
      <c r="G1462" s="58">
        <v>45931</v>
      </c>
      <c r="H1462" s="57" t="s">
        <v>613</v>
      </c>
      <c r="I1462" s="57" t="s">
        <v>628</v>
      </c>
      <c r="J1462" s="57" t="s">
        <v>101</v>
      </c>
      <c r="K1462" s="57">
        <v>94.590999999999994</v>
      </c>
      <c r="L1462" s="57" t="s">
        <v>101</v>
      </c>
      <c r="M1462" s="57">
        <v>3.74</v>
      </c>
      <c r="N1462" s="57">
        <v>3.74</v>
      </c>
      <c r="O1462" s="53" t="s">
        <v>101</v>
      </c>
      <c r="P1462" s="57" t="s">
        <v>448</v>
      </c>
      <c r="Q1462" s="57" t="s">
        <v>571</v>
      </c>
      <c r="R1462" s="59" t="s">
        <v>771</v>
      </c>
    </row>
    <row r="1463" spans="1:18" x14ac:dyDescent="0.5">
      <c r="A1463" s="52" t="str">
        <f>"07219PFB7"</f>
        <v>07219PFB7</v>
      </c>
      <c r="B1463" s="53" t="s">
        <v>451</v>
      </c>
      <c r="C1463" s="53" t="s">
        <v>1806</v>
      </c>
      <c r="D1463" s="53" t="s">
        <v>447</v>
      </c>
      <c r="E1463" s="53">
        <v>2.5</v>
      </c>
      <c r="F1463" s="54">
        <v>48853</v>
      </c>
      <c r="G1463" s="54">
        <v>45733</v>
      </c>
      <c r="H1463" s="53" t="s">
        <v>670</v>
      </c>
      <c r="I1463" s="53" t="s">
        <v>182</v>
      </c>
      <c r="J1463" s="53" t="s">
        <v>101</v>
      </c>
      <c r="K1463" s="53">
        <v>86.097999999999999</v>
      </c>
      <c r="L1463" s="53" t="s">
        <v>101</v>
      </c>
      <c r="M1463" s="53">
        <v>4.46</v>
      </c>
      <c r="N1463" s="53">
        <v>4.46</v>
      </c>
      <c r="O1463" s="53" t="s">
        <v>101</v>
      </c>
      <c r="P1463" s="53" t="s">
        <v>448</v>
      </c>
      <c r="Q1463" s="53" t="s">
        <v>573</v>
      </c>
      <c r="R1463" s="55" t="s">
        <v>630</v>
      </c>
    </row>
    <row r="1464" spans="1:18" x14ac:dyDescent="0.5">
      <c r="A1464" s="56" t="str">
        <f>"13937KFX9"</f>
        <v>13937KFX9</v>
      </c>
      <c r="B1464" s="57" t="s">
        <v>499</v>
      </c>
      <c r="C1464" s="57" t="s">
        <v>1807</v>
      </c>
      <c r="D1464" s="53" t="s">
        <v>447</v>
      </c>
      <c r="E1464" s="57">
        <v>3.625</v>
      </c>
      <c r="F1464" s="58">
        <v>48853</v>
      </c>
      <c r="G1464" s="58">
        <v>45931</v>
      </c>
      <c r="H1464" s="57" t="s">
        <v>613</v>
      </c>
      <c r="I1464" s="57" t="s">
        <v>628</v>
      </c>
      <c r="J1464" s="57" t="s">
        <v>101</v>
      </c>
      <c r="K1464" s="57">
        <v>99.25</v>
      </c>
      <c r="L1464" s="57" t="s">
        <v>101</v>
      </c>
      <c r="M1464" s="57">
        <v>3.7269999999999999</v>
      </c>
      <c r="N1464" s="57">
        <v>3.7269999999999999</v>
      </c>
      <c r="O1464" s="53" t="s">
        <v>101</v>
      </c>
      <c r="P1464" s="57" t="s">
        <v>448</v>
      </c>
      <c r="Q1464" s="57" t="s">
        <v>567</v>
      </c>
      <c r="R1464" s="59" t="s">
        <v>504</v>
      </c>
    </row>
    <row r="1465" spans="1:18" x14ac:dyDescent="0.5">
      <c r="A1465" s="52" t="str">
        <f>"342816R98"</f>
        <v>342816R98</v>
      </c>
      <c r="B1465" s="53" t="s">
        <v>499</v>
      </c>
      <c r="C1465" s="53" t="s">
        <v>1808</v>
      </c>
      <c r="D1465" s="53" t="s">
        <v>447</v>
      </c>
      <c r="E1465" s="53">
        <v>3</v>
      </c>
      <c r="F1465" s="54">
        <v>48853</v>
      </c>
      <c r="G1465" s="54">
        <v>47027</v>
      </c>
      <c r="H1465" s="53" t="s">
        <v>610</v>
      </c>
      <c r="I1465" s="53" t="s">
        <v>105</v>
      </c>
      <c r="J1465" s="53" t="s">
        <v>101</v>
      </c>
      <c r="K1465" s="53">
        <v>92.869</v>
      </c>
      <c r="L1465" s="53" t="s">
        <v>101</v>
      </c>
      <c r="M1465" s="53">
        <v>3.9849999999999999</v>
      </c>
      <c r="N1465" s="53">
        <v>3.9849999999999999</v>
      </c>
      <c r="O1465" s="53" t="s">
        <v>101</v>
      </c>
      <c r="P1465" s="53" t="s">
        <v>448</v>
      </c>
      <c r="Q1465" s="53" t="s">
        <v>538</v>
      </c>
      <c r="R1465" s="55" t="s">
        <v>589</v>
      </c>
    </row>
    <row r="1466" spans="1:18" x14ac:dyDescent="0.5">
      <c r="A1466" s="56" t="str">
        <f>"362848SL8"</f>
        <v>362848SL8</v>
      </c>
      <c r="B1466" s="57" t="s">
        <v>499</v>
      </c>
      <c r="C1466" s="57" t="s">
        <v>1809</v>
      </c>
      <c r="D1466" s="53" t="s">
        <v>447</v>
      </c>
      <c r="E1466" s="57">
        <v>3.375</v>
      </c>
      <c r="F1466" s="58">
        <v>48853</v>
      </c>
      <c r="G1466" s="58">
        <v>45733</v>
      </c>
      <c r="H1466" s="57" t="s">
        <v>624</v>
      </c>
      <c r="I1466" s="57" t="s">
        <v>611</v>
      </c>
      <c r="J1466" s="57" t="s">
        <v>101</v>
      </c>
      <c r="K1466" s="57">
        <v>98.046000000000006</v>
      </c>
      <c r="L1466" s="57" t="s">
        <v>101</v>
      </c>
      <c r="M1466" s="57">
        <v>3.641</v>
      </c>
      <c r="N1466" s="57">
        <v>3.641</v>
      </c>
      <c r="O1466" s="53" t="s">
        <v>101</v>
      </c>
      <c r="P1466" s="57" t="s">
        <v>448</v>
      </c>
      <c r="Q1466" s="57" t="s">
        <v>757</v>
      </c>
      <c r="R1466" s="59" t="s">
        <v>504</v>
      </c>
    </row>
    <row r="1467" spans="1:18" x14ac:dyDescent="0.5">
      <c r="A1467" s="52" t="str">
        <f>"39239HXE8"</f>
        <v>39239HXE8</v>
      </c>
      <c r="B1467" s="53" t="s">
        <v>451</v>
      </c>
      <c r="C1467" s="53" t="s">
        <v>1810</v>
      </c>
      <c r="D1467" s="53" t="s">
        <v>447</v>
      </c>
      <c r="E1467" s="53">
        <v>3</v>
      </c>
      <c r="F1467" s="54">
        <v>48853</v>
      </c>
      <c r="G1467" s="54">
        <v>47757</v>
      </c>
      <c r="H1467" s="53" t="s">
        <v>105</v>
      </c>
      <c r="I1467" s="53" t="s">
        <v>628</v>
      </c>
      <c r="J1467" s="53" t="s">
        <v>101</v>
      </c>
      <c r="K1467" s="53">
        <v>95.116</v>
      </c>
      <c r="L1467" s="53" t="s">
        <v>101</v>
      </c>
      <c r="M1467" s="53">
        <v>3.6659999999999999</v>
      </c>
      <c r="N1467" s="53">
        <v>3.6659999999999999</v>
      </c>
      <c r="O1467" s="53" t="s">
        <v>101</v>
      </c>
      <c r="P1467" s="53" t="s">
        <v>448</v>
      </c>
      <c r="Q1467" s="53" t="s">
        <v>485</v>
      </c>
      <c r="R1467" s="55" t="s">
        <v>771</v>
      </c>
    </row>
    <row r="1468" spans="1:18" x14ac:dyDescent="0.5">
      <c r="A1468" s="56" t="str">
        <f>"414888HL4"</f>
        <v>414888HL4</v>
      </c>
      <c r="B1468" s="57" t="s">
        <v>451</v>
      </c>
      <c r="C1468" s="57" t="s">
        <v>1811</v>
      </c>
      <c r="D1468" s="53" t="s">
        <v>447</v>
      </c>
      <c r="E1468" s="57">
        <v>3.25</v>
      </c>
      <c r="F1468" s="58">
        <v>48853</v>
      </c>
      <c r="G1468" s="58">
        <v>45733</v>
      </c>
      <c r="H1468" s="57" t="s">
        <v>105</v>
      </c>
      <c r="I1468" s="57" t="s">
        <v>628</v>
      </c>
      <c r="J1468" s="57" t="s">
        <v>101</v>
      </c>
      <c r="K1468" s="57">
        <v>95.843999999999994</v>
      </c>
      <c r="L1468" s="57" t="s">
        <v>101</v>
      </c>
      <c r="M1468" s="57">
        <v>3.82</v>
      </c>
      <c r="N1468" s="57">
        <v>3.82</v>
      </c>
      <c r="O1468" s="53" t="s">
        <v>101</v>
      </c>
      <c r="P1468" s="57" t="s">
        <v>448</v>
      </c>
      <c r="Q1468" s="57" t="s">
        <v>479</v>
      </c>
      <c r="R1468" s="59" t="s">
        <v>630</v>
      </c>
    </row>
    <row r="1469" spans="1:18" x14ac:dyDescent="0.5">
      <c r="A1469" s="52" t="str">
        <f>"43232BCN3"</f>
        <v>43232BCN3</v>
      </c>
      <c r="B1469" s="53" t="s">
        <v>499</v>
      </c>
      <c r="C1469" s="53" t="s">
        <v>1812</v>
      </c>
      <c r="D1469" s="53" t="s">
        <v>447</v>
      </c>
      <c r="E1469" s="53">
        <v>3.25</v>
      </c>
      <c r="F1469" s="54">
        <v>48853</v>
      </c>
      <c r="G1469" s="54">
        <v>46296</v>
      </c>
      <c r="H1469" s="53" t="s">
        <v>105</v>
      </c>
      <c r="I1469" s="53" t="s">
        <v>616</v>
      </c>
      <c r="J1469" s="53" t="s">
        <v>101</v>
      </c>
      <c r="K1469" s="53">
        <v>97.492999999999995</v>
      </c>
      <c r="L1469" s="53" t="s">
        <v>101</v>
      </c>
      <c r="M1469" s="53">
        <v>3.59</v>
      </c>
      <c r="N1469" s="53">
        <v>3.59</v>
      </c>
      <c r="O1469" s="53" t="s">
        <v>101</v>
      </c>
      <c r="P1469" s="53" t="s">
        <v>448</v>
      </c>
      <c r="Q1469" s="53" t="s">
        <v>571</v>
      </c>
      <c r="R1469" s="55" t="s">
        <v>504</v>
      </c>
    </row>
    <row r="1470" spans="1:18" x14ac:dyDescent="0.5">
      <c r="A1470" s="56" t="str">
        <f>"4521526X4"</f>
        <v>4521526X4</v>
      </c>
      <c r="B1470" s="57" t="s">
        <v>491</v>
      </c>
      <c r="C1470" s="57" t="s">
        <v>1813</v>
      </c>
      <c r="D1470" s="53" t="s">
        <v>447</v>
      </c>
      <c r="E1470" s="57">
        <v>4</v>
      </c>
      <c r="F1470" s="58">
        <v>48853</v>
      </c>
      <c r="G1470" s="58">
        <v>47757</v>
      </c>
      <c r="H1470" s="57" t="s">
        <v>627</v>
      </c>
      <c r="I1470" s="57" t="s">
        <v>713</v>
      </c>
      <c r="J1470" s="57" t="s">
        <v>101</v>
      </c>
      <c r="K1470" s="57">
        <v>101.46</v>
      </c>
      <c r="L1470" s="57" t="s">
        <v>101</v>
      </c>
      <c r="M1470" s="57">
        <v>3.7090000000000001</v>
      </c>
      <c r="N1470" s="57">
        <v>3.7989999999999999</v>
      </c>
      <c r="O1470" s="53" t="s">
        <v>101</v>
      </c>
      <c r="P1470" s="57" t="s">
        <v>448</v>
      </c>
      <c r="Q1470" s="57" t="s">
        <v>1280</v>
      </c>
      <c r="R1470" s="59" t="s">
        <v>454</v>
      </c>
    </row>
    <row r="1471" spans="1:18" x14ac:dyDescent="0.5">
      <c r="A1471" s="52" t="str">
        <f>"4521523F6"</f>
        <v>4521523F6</v>
      </c>
      <c r="B1471" s="53" t="s">
        <v>491</v>
      </c>
      <c r="C1471" s="53" t="s">
        <v>1814</v>
      </c>
      <c r="D1471" s="53" t="s">
        <v>447</v>
      </c>
      <c r="E1471" s="53">
        <v>5</v>
      </c>
      <c r="F1471" s="54">
        <v>48853</v>
      </c>
      <c r="G1471" s="54">
        <v>47027</v>
      </c>
      <c r="H1471" s="53" t="s">
        <v>627</v>
      </c>
      <c r="I1471" s="53" t="s">
        <v>713</v>
      </c>
      <c r="J1471" s="53" t="s">
        <v>101</v>
      </c>
      <c r="K1471" s="53">
        <v>104.76</v>
      </c>
      <c r="L1471" s="53" t="s">
        <v>101</v>
      </c>
      <c r="M1471" s="53">
        <v>3.585</v>
      </c>
      <c r="N1471" s="53">
        <v>4.3319999999999999</v>
      </c>
      <c r="O1471" s="53" t="s">
        <v>101</v>
      </c>
      <c r="P1471" s="53" t="s">
        <v>448</v>
      </c>
      <c r="Q1471" s="53" t="s">
        <v>488</v>
      </c>
      <c r="R1471" s="55" t="s">
        <v>482</v>
      </c>
    </row>
    <row r="1472" spans="1:18" x14ac:dyDescent="0.5">
      <c r="A1472" s="56" t="str">
        <f>"523560AR1"</f>
        <v>523560AR1</v>
      </c>
      <c r="B1472" s="57" t="s">
        <v>491</v>
      </c>
      <c r="C1472" s="57" t="s">
        <v>1815</v>
      </c>
      <c r="D1472" s="53" t="s">
        <v>447</v>
      </c>
      <c r="E1472" s="57">
        <v>3.25</v>
      </c>
      <c r="F1472" s="58">
        <v>48853</v>
      </c>
      <c r="G1472" s="58">
        <v>46661</v>
      </c>
      <c r="H1472" s="57" t="s">
        <v>613</v>
      </c>
      <c r="I1472" s="57" t="s">
        <v>105</v>
      </c>
      <c r="J1472" s="57" t="s">
        <v>101</v>
      </c>
      <c r="K1472" s="57">
        <v>94.63</v>
      </c>
      <c r="L1472" s="57" t="s">
        <v>101</v>
      </c>
      <c r="M1472" s="57">
        <v>3.992</v>
      </c>
      <c r="N1472" s="57">
        <v>3.992</v>
      </c>
      <c r="O1472" s="53" t="s">
        <v>101</v>
      </c>
      <c r="P1472" s="57" t="s">
        <v>448</v>
      </c>
      <c r="Q1472" s="57" t="s">
        <v>1816</v>
      </c>
      <c r="R1472" s="59" t="s">
        <v>1817</v>
      </c>
    </row>
    <row r="1473" spans="1:18" x14ac:dyDescent="0.5">
      <c r="A1473" s="52" t="str">
        <f>"55844RSV7"</f>
        <v>55844RSV7</v>
      </c>
      <c r="B1473" s="53" t="s">
        <v>496</v>
      </c>
      <c r="C1473" s="53" t="s">
        <v>1818</v>
      </c>
      <c r="D1473" s="53" t="s">
        <v>447</v>
      </c>
      <c r="E1473" s="53">
        <v>3</v>
      </c>
      <c r="F1473" s="54">
        <v>48853</v>
      </c>
      <c r="G1473" s="54">
        <v>47392</v>
      </c>
      <c r="H1473" s="53" t="s">
        <v>104</v>
      </c>
      <c r="I1473" s="53" t="s">
        <v>105</v>
      </c>
      <c r="J1473" s="53" t="s">
        <v>101</v>
      </c>
      <c r="K1473" s="53">
        <v>95.363</v>
      </c>
      <c r="L1473" s="53" t="s">
        <v>101</v>
      </c>
      <c r="M1473" s="53">
        <v>3.6309999999999998</v>
      </c>
      <c r="N1473" s="53">
        <v>3.6309999999999998</v>
      </c>
      <c r="O1473" s="53" t="s">
        <v>101</v>
      </c>
      <c r="P1473" s="53" t="s">
        <v>448</v>
      </c>
      <c r="Q1473" s="53" t="s">
        <v>479</v>
      </c>
      <c r="R1473" s="55" t="s">
        <v>454</v>
      </c>
    </row>
    <row r="1474" spans="1:18" x14ac:dyDescent="0.5">
      <c r="A1474" s="56" t="str">
        <f>"59333NE74"</f>
        <v>59333NE74</v>
      </c>
      <c r="B1474" s="57" t="s">
        <v>499</v>
      </c>
      <c r="C1474" s="57" t="s">
        <v>1819</v>
      </c>
      <c r="D1474" s="53" t="s">
        <v>447</v>
      </c>
      <c r="E1474" s="57">
        <v>0</v>
      </c>
      <c r="F1474" s="58">
        <v>48853</v>
      </c>
      <c r="G1474" s="58">
        <v>46296</v>
      </c>
      <c r="H1474" s="57" t="s">
        <v>105</v>
      </c>
      <c r="I1474" s="57" t="s">
        <v>628</v>
      </c>
      <c r="J1474" s="57" t="s">
        <v>101</v>
      </c>
      <c r="K1474" s="57">
        <v>70.082999999999998</v>
      </c>
      <c r="L1474" s="57" t="s">
        <v>101</v>
      </c>
      <c r="M1474" s="57">
        <v>4.1669999999999998</v>
      </c>
      <c r="N1474" s="57">
        <v>4.1669999999999998</v>
      </c>
      <c r="O1474" s="53" t="s">
        <v>101</v>
      </c>
      <c r="P1474" s="57" t="s">
        <v>448</v>
      </c>
      <c r="Q1474" s="57" t="s">
        <v>874</v>
      </c>
      <c r="R1474" s="59" t="s">
        <v>771</v>
      </c>
    </row>
    <row r="1475" spans="1:18" x14ac:dyDescent="0.5">
      <c r="A1475" s="52" t="str">
        <f>"602409LH5"</f>
        <v>602409LH5</v>
      </c>
      <c r="B1475" s="53" t="s">
        <v>496</v>
      </c>
      <c r="C1475" s="53" t="s">
        <v>1820</v>
      </c>
      <c r="D1475" s="53" t="s">
        <v>447</v>
      </c>
      <c r="E1475" s="53">
        <v>3</v>
      </c>
      <c r="F1475" s="54">
        <v>48853</v>
      </c>
      <c r="G1475" s="54">
        <v>47392</v>
      </c>
      <c r="H1475" s="53" t="s">
        <v>540</v>
      </c>
      <c r="I1475" s="53" t="s">
        <v>509</v>
      </c>
      <c r="J1475" s="53" t="s">
        <v>101</v>
      </c>
      <c r="K1475" s="53">
        <v>94.74</v>
      </c>
      <c r="L1475" s="53" t="s">
        <v>101</v>
      </c>
      <c r="M1475" s="53">
        <v>3.7189999999999999</v>
      </c>
      <c r="N1475" s="53">
        <v>3.7189999999999999</v>
      </c>
      <c r="O1475" s="53" t="s">
        <v>101</v>
      </c>
      <c r="P1475" s="53" t="s">
        <v>448</v>
      </c>
      <c r="Q1475" s="53" t="s">
        <v>457</v>
      </c>
      <c r="R1475" s="55" t="s">
        <v>482</v>
      </c>
    </row>
    <row r="1476" spans="1:18" x14ac:dyDescent="0.5">
      <c r="A1476" s="56" t="str">
        <f>"667907MP1"</f>
        <v>667907MP1</v>
      </c>
      <c r="B1476" s="57" t="s">
        <v>451</v>
      </c>
      <c r="C1476" s="57" t="s">
        <v>1821</v>
      </c>
      <c r="D1476" s="53" t="s">
        <v>447</v>
      </c>
      <c r="E1476" s="57">
        <v>3.375</v>
      </c>
      <c r="F1476" s="58">
        <v>48853</v>
      </c>
      <c r="G1476" s="58">
        <v>45733</v>
      </c>
      <c r="H1476" s="57" t="s">
        <v>105</v>
      </c>
      <c r="I1476" s="57" t="s">
        <v>628</v>
      </c>
      <c r="J1476" s="57" t="s">
        <v>101</v>
      </c>
      <c r="K1476" s="57">
        <v>95.284999999999997</v>
      </c>
      <c r="L1476" s="57" t="s">
        <v>101</v>
      </c>
      <c r="M1476" s="57">
        <v>4.0270000000000001</v>
      </c>
      <c r="N1476" s="57">
        <v>4.0270000000000001</v>
      </c>
      <c r="O1476" s="53" t="s">
        <v>101</v>
      </c>
      <c r="P1476" s="57" t="s">
        <v>448</v>
      </c>
      <c r="Q1476" s="57" t="s">
        <v>488</v>
      </c>
      <c r="R1476" s="59" t="s">
        <v>630</v>
      </c>
    </row>
    <row r="1477" spans="1:18" x14ac:dyDescent="0.5">
      <c r="A1477" s="52" t="str">
        <f>"67823RCF9"</f>
        <v>67823RCF9</v>
      </c>
      <c r="B1477" s="53" t="s">
        <v>499</v>
      </c>
      <c r="C1477" s="53" t="s">
        <v>1822</v>
      </c>
      <c r="D1477" s="53" t="s">
        <v>447</v>
      </c>
      <c r="E1477" s="53">
        <v>3</v>
      </c>
      <c r="F1477" s="54">
        <v>48853</v>
      </c>
      <c r="G1477" s="54">
        <v>46113</v>
      </c>
      <c r="H1477" s="53" t="s">
        <v>105</v>
      </c>
      <c r="I1477" s="53" t="s">
        <v>628</v>
      </c>
      <c r="J1477" s="53" t="s">
        <v>101</v>
      </c>
      <c r="K1477" s="53">
        <v>93.691000000000003</v>
      </c>
      <c r="L1477" s="53" t="s">
        <v>101</v>
      </c>
      <c r="M1477" s="53">
        <v>3.867</v>
      </c>
      <c r="N1477" s="53">
        <v>3.867</v>
      </c>
      <c r="O1477" s="53" t="s">
        <v>101</v>
      </c>
      <c r="P1477" s="53" t="s">
        <v>448</v>
      </c>
      <c r="Q1477" s="53" t="s">
        <v>527</v>
      </c>
      <c r="R1477" s="55" t="s">
        <v>504</v>
      </c>
    </row>
    <row r="1478" spans="1:18" x14ac:dyDescent="0.5">
      <c r="A1478" s="56" t="str">
        <f>"69647NBN2"</f>
        <v>69647NBN2</v>
      </c>
      <c r="B1478" s="57" t="s">
        <v>499</v>
      </c>
      <c r="C1478" s="57" t="s">
        <v>1823</v>
      </c>
      <c r="D1478" s="53" t="s">
        <v>447</v>
      </c>
      <c r="E1478" s="57">
        <v>3.5</v>
      </c>
      <c r="F1478" s="58">
        <v>48853</v>
      </c>
      <c r="G1478" s="58">
        <v>45931</v>
      </c>
      <c r="H1478" s="57" t="s">
        <v>105</v>
      </c>
      <c r="I1478" s="57" t="s">
        <v>628</v>
      </c>
      <c r="J1478" s="57" t="s">
        <v>101</v>
      </c>
      <c r="K1478" s="57">
        <v>99.32</v>
      </c>
      <c r="L1478" s="57" t="s">
        <v>101</v>
      </c>
      <c r="M1478" s="57">
        <v>3.5920000000000001</v>
      </c>
      <c r="N1478" s="57">
        <v>3.5920000000000001</v>
      </c>
      <c r="O1478" s="53" t="s">
        <v>101</v>
      </c>
      <c r="P1478" s="57" t="s">
        <v>448</v>
      </c>
      <c r="Q1478" s="57" t="s">
        <v>488</v>
      </c>
      <c r="R1478" s="59" t="s">
        <v>771</v>
      </c>
    </row>
    <row r="1479" spans="1:18" x14ac:dyDescent="0.5">
      <c r="A1479" s="52" t="str">
        <f>"734260Z54"</f>
        <v>734260Z54</v>
      </c>
      <c r="B1479" s="53" t="s">
        <v>451</v>
      </c>
      <c r="C1479" s="53" t="s">
        <v>1824</v>
      </c>
      <c r="D1479" s="53" t="s">
        <v>447</v>
      </c>
      <c r="E1479" s="53">
        <v>0</v>
      </c>
      <c r="F1479" s="54">
        <v>48853</v>
      </c>
      <c r="G1479" s="54" t="s">
        <v>105</v>
      </c>
      <c r="H1479" s="53" t="s">
        <v>105</v>
      </c>
      <c r="I1479" s="53" t="s">
        <v>509</v>
      </c>
      <c r="J1479" s="53" t="s">
        <v>101</v>
      </c>
      <c r="K1479" s="53">
        <v>73.057000000000002</v>
      </c>
      <c r="L1479" s="53" t="s">
        <v>101</v>
      </c>
      <c r="M1479" s="53">
        <v>3.6749999999999998</v>
      </c>
      <c r="N1479" s="53">
        <v>3.6749999999999998</v>
      </c>
      <c r="O1479" s="53" t="s">
        <v>101</v>
      </c>
      <c r="P1479" s="53" t="s">
        <v>448</v>
      </c>
      <c r="Q1479" s="53" t="s">
        <v>460</v>
      </c>
      <c r="R1479" s="55" t="s">
        <v>614</v>
      </c>
    </row>
    <row r="1480" spans="1:18" x14ac:dyDescent="0.5">
      <c r="A1480" s="56" t="str">
        <f>"74444KCL6"</f>
        <v>74444KCL6</v>
      </c>
      <c r="B1480" s="57" t="s">
        <v>496</v>
      </c>
      <c r="C1480" s="57" t="s">
        <v>1825</v>
      </c>
      <c r="D1480" s="53" t="s">
        <v>447</v>
      </c>
      <c r="E1480" s="57">
        <v>5</v>
      </c>
      <c r="F1480" s="58">
        <v>48853</v>
      </c>
      <c r="G1480" s="58">
        <v>48122</v>
      </c>
      <c r="H1480" s="57" t="s">
        <v>105</v>
      </c>
      <c r="I1480" s="57" t="s">
        <v>611</v>
      </c>
      <c r="J1480" s="57" t="s">
        <v>101</v>
      </c>
      <c r="K1480" s="57">
        <v>108.245</v>
      </c>
      <c r="L1480" s="57" t="s">
        <v>101</v>
      </c>
      <c r="M1480" s="57">
        <v>3.589</v>
      </c>
      <c r="N1480" s="57">
        <v>3.8660000000000001</v>
      </c>
      <c r="O1480" s="53" t="s">
        <v>101</v>
      </c>
      <c r="P1480" s="57" t="s">
        <v>448</v>
      </c>
      <c r="Q1480" s="57" t="s">
        <v>475</v>
      </c>
      <c r="R1480" s="59" t="s">
        <v>450</v>
      </c>
    </row>
    <row r="1481" spans="1:18" x14ac:dyDescent="0.5">
      <c r="A1481" s="52" t="str">
        <f>"769584CU5"</f>
        <v>769584CU5</v>
      </c>
      <c r="B1481" s="53" t="s">
        <v>499</v>
      </c>
      <c r="C1481" s="53" t="s">
        <v>1826</v>
      </c>
      <c r="D1481" s="53" t="s">
        <v>447</v>
      </c>
      <c r="E1481" s="53">
        <v>3.5</v>
      </c>
      <c r="F1481" s="54">
        <v>48853</v>
      </c>
      <c r="G1481" s="54">
        <v>45733</v>
      </c>
      <c r="H1481" s="53" t="s">
        <v>105</v>
      </c>
      <c r="I1481" s="53" t="s">
        <v>628</v>
      </c>
      <c r="J1481" s="53" t="s">
        <v>101</v>
      </c>
      <c r="K1481" s="53">
        <v>99.015000000000001</v>
      </c>
      <c r="L1481" s="53" t="s">
        <v>101</v>
      </c>
      <c r="M1481" s="53">
        <v>3.6339999999999999</v>
      </c>
      <c r="N1481" s="53">
        <v>3.6339999999999999</v>
      </c>
      <c r="O1481" s="53" t="s">
        <v>101</v>
      </c>
      <c r="P1481" s="53" t="s">
        <v>448</v>
      </c>
      <c r="Q1481" s="53" t="s">
        <v>663</v>
      </c>
      <c r="R1481" s="55" t="s">
        <v>771</v>
      </c>
    </row>
    <row r="1482" spans="1:18" x14ac:dyDescent="0.5">
      <c r="A1482" s="56" t="str">
        <f>"803399AQ7"</f>
        <v>803399AQ7</v>
      </c>
      <c r="B1482" s="57" t="s">
        <v>499</v>
      </c>
      <c r="C1482" s="57" t="s">
        <v>1827</v>
      </c>
      <c r="D1482" s="53" t="s">
        <v>447</v>
      </c>
      <c r="E1482" s="57">
        <v>3</v>
      </c>
      <c r="F1482" s="58">
        <v>48853</v>
      </c>
      <c r="G1482" s="58">
        <v>46661</v>
      </c>
      <c r="H1482" s="57" t="s">
        <v>540</v>
      </c>
      <c r="I1482" s="57" t="s">
        <v>105</v>
      </c>
      <c r="J1482" s="57" t="s">
        <v>101</v>
      </c>
      <c r="K1482" s="57">
        <v>96.212000000000003</v>
      </c>
      <c r="L1482" s="57" t="s">
        <v>101</v>
      </c>
      <c r="M1482" s="57">
        <v>3.5129999999999999</v>
      </c>
      <c r="N1482" s="57">
        <v>3.5129999999999999</v>
      </c>
      <c r="O1482" s="53" t="s">
        <v>101</v>
      </c>
      <c r="P1482" s="57" t="s">
        <v>448</v>
      </c>
      <c r="Q1482" s="57" t="s">
        <v>666</v>
      </c>
      <c r="R1482" s="59" t="s">
        <v>504</v>
      </c>
    </row>
    <row r="1483" spans="1:18" x14ac:dyDescent="0.5">
      <c r="A1483" s="52" t="str">
        <f>"845040JZ8"</f>
        <v>845040JZ8</v>
      </c>
      <c r="B1483" s="53" t="s">
        <v>451</v>
      </c>
      <c r="C1483" s="53" t="s">
        <v>1828</v>
      </c>
      <c r="D1483" s="53" t="s">
        <v>447</v>
      </c>
      <c r="E1483" s="53">
        <v>3.5</v>
      </c>
      <c r="F1483" s="54">
        <v>48853</v>
      </c>
      <c r="G1483" s="54">
        <v>45733</v>
      </c>
      <c r="H1483" s="53" t="s">
        <v>624</v>
      </c>
      <c r="I1483" s="53" t="s">
        <v>616</v>
      </c>
      <c r="J1483" s="53" t="s">
        <v>101</v>
      </c>
      <c r="K1483" s="53">
        <v>97.11</v>
      </c>
      <c r="L1483" s="53" t="s">
        <v>101</v>
      </c>
      <c r="M1483" s="53">
        <v>3.8980000000000001</v>
      </c>
      <c r="N1483" s="53">
        <v>3.8980000000000001</v>
      </c>
      <c r="O1483" s="53" t="s">
        <v>101</v>
      </c>
      <c r="P1483" s="53" t="s">
        <v>448</v>
      </c>
      <c r="Q1483" s="53" t="s">
        <v>503</v>
      </c>
      <c r="R1483" s="55" t="s">
        <v>504</v>
      </c>
    </row>
    <row r="1484" spans="1:18" x14ac:dyDescent="0.5">
      <c r="A1484" s="56" t="str">
        <f>"845040KS2"</f>
        <v>845040KS2</v>
      </c>
      <c r="B1484" s="57" t="s">
        <v>451</v>
      </c>
      <c r="C1484" s="57" t="s">
        <v>1829</v>
      </c>
      <c r="D1484" s="53" t="s">
        <v>447</v>
      </c>
      <c r="E1484" s="57">
        <v>3</v>
      </c>
      <c r="F1484" s="58">
        <v>48853</v>
      </c>
      <c r="G1484" s="58">
        <v>46296</v>
      </c>
      <c r="H1484" s="57" t="s">
        <v>624</v>
      </c>
      <c r="I1484" s="57" t="s">
        <v>105</v>
      </c>
      <c r="J1484" s="57" t="s">
        <v>101</v>
      </c>
      <c r="K1484" s="57">
        <v>91.53</v>
      </c>
      <c r="L1484" s="57" t="s">
        <v>101</v>
      </c>
      <c r="M1484" s="57">
        <v>4.18</v>
      </c>
      <c r="N1484" s="57">
        <v>4.18</v>
      </c>
      <c r="O1484" s="53" t="s">
        <v>101</v>
      </c>
      <c r="P1484" s="57" t="s">
        <v>448</v>
      </c>
      <c r="Q1484" s="57" t="s">
        <v>488</v>
      </c>
      <c r="R1484" s="59" t="s">
        <v>504</v>
      </c>
    </row>
    <row r="1485" spans="1:18" x14ac:dyDescent="0.5">
      <c r="A1485" s="52" t="str">
        <f>"845040LW2"</f>
        <v>845040LW2</v>
      </c>
      <c r="B1485" s="53" t="s">
        <v>451</v>
      </c>
      <c r="C1485" s="53" t="s">
        <v>1830</v>
      </c>
      <c r="D1485" s="53" t="s">
        <v>447</v>
      </c>
      <c r="E1485" s="53">
        <v>3.25</v>
      </c>
      <c r="F1485" s="54">
        <v>48853</v>
      </c>
      <c r="G1485" s="54">
        <v>46661</v>
      </c>
      <c r="H1485" s="53" t="s">
        <v>105</v>
      </c>
      <c r="I1485" s="53" t="s">
        <v>616</v>
      </c>
      <c r="J1485" s="53" t="s">
        <v>101</v>
      </c>
      <c r="K1485" s="53">
        <v>96.055999999999997</v>
      </c>
      <c r="L1485" s="53" t="s">
        <v>101</v>
      </c>
      <c r="M1485" s="53">
        <v>3.79</v>
      </c>
      <c r="N1485" s="53">
        <v>3.79</v>
      </c>
      <c r="O1485" s="53" t="s">
        <v>101</v>
      </c>
      <c r="P1485" s="53" t="s">
        <v>448</v>
      </c>
      <c r="Q1485" s="53" t="s">
        <v>1064</v>
      </c>
      <c r="R1485" s="55" t="s">
        <v>504</v>
      </c>
    </row>
    <row r="1486" spans="1:18" x14ac:dyDescent="0.5">
      <c r="A1486" s="56" t="str">
        <f>"793323QK5"</f>
        <v>793323QK5</v>
      </c>
      <c r="B1486" s="57" t="s">
        <v>499</v>
      </c>
      <c r="C1486" s="57" t="s">
        <v>1831</v>
      </c>
      <c r="D1486" s="53" t="s">
        <v>447</v>
      </c>
      <c r="E1486" s="57">
        <v>3.3</v>
      </c>
      <c r="F1486" s="58">
        <v>48853</v>
      </c>
      <c r="G1486" s="58">
        <v>45733</v>
      </c>
      <c r="H1486" s="57" t="s">
        <v>613</v>
      </c>
      <c r="I1486" s="57" t="s">
        <v>105</v>
      </c>
      <c r="J1486" s="57" t="s">
        <v>101</v>
      </c>
      <c r="K1486" s="57">
        <v>97.861000000000004</v>
      </c>
      <c r="L1486" s="57" t="s">
        <v>101</v>
      </c>
      <c r="M1486" s="57">
        <v>3.59</v>
      </c>
      <c r="N1486" s="57">
        <v>3.59</v>
      </c>
      <c r="O1486" s="53" t="s">
        <v>101</v>
      </c>
      <c r="P1486" s="57" t="s">
        <v>448</v>
      </c>
      <c r="Q1486" s="57" t="s">
        <v>527</v>
      </c>
      <c r="R1486" s="59" t="s">
        <v>504</v>
      </c>
    </row>
    <row r="1487" spans="1:18" x14ac:dyDescent="0.5">
      <c r="A1487" s="52" t="str">
        <f>"793323RP3"</f>
        <v>793323RP3</v>
      </c>
      <c r="B1487" s="53" t="s">
        <v>499</v>
      </c>
      <c r="C1487" s="53" t="s">
        <v>1832</v>
      </c>
      <c r="D1487" s="53" t="s">
        <v>447</v>
      </c>
      <c r="E1487" s="53">
        <v>3.25</v>
      </c>
      <c r="F1487" s="54">
        <v>48853</v>
      </c>
      <c r="G1487" s="54">
        <v>45733</v>
      </c>
      <c r="H1487" s="53" t="s">
        <v>613</v>
      </c>
      <c r="I1487" s="53" t="s">
        <v>105</v>
      </c>
      <c r="J1487" s="53" t="s">
        <v>101</v>
      </c>
      <c r="K1487" s="53">
        <v>97.492999999999995</v>
      </c>
      <c r="L1487" s="53" t="s">
        <v>101</v>
      </c>
      <c r="M1487" s="53">
        <v>3.59</v>
      </c>
      <c r="N1487" s="53">
        <v>3.59</v>
      </c>
      <c r="O1487" s="53" t="s">
        <v>101</v>
      </c>
      <c r="P1487" s="53" t="s">
        <v>448</v>
      </c>
      <c r="Q1487" s="53" t="s">
        <v>556</v>
      </c>
      <c r="R1487" s="55" t="s">
        <v>504</v>
      </c>
    </row>
    <row r="1488" spans="1:18" x14ac:dyDescent="0.5">
      <c r="A1488" s="56" t="str">
        <f>"87504RDC9"</f>
        <v>87504RDC9</v>
      </c>
      <c r="B1488" s="57" t="s">
        <v>499</v>
      </c>
      <c r="C1488" s="57" t="s">
        <v>1833</v>
      </c>
      <c r="D1488" s="53" t="s">
        <v>447</v>
      </c>
      <c r="E1488" s="57">
        <v>3.375</v>
      </c>
      <c r="F1488" s="58">
        <v>48853</v>
      </c>
      <c r="G1488" s="58">
        <v>47027</v>
      </c>
      <c r="H1488" s="57" t="s">
        <v>613</v>
      </c>
      <c r="I1488" s="57" t="s">
        <v>628</v>
      </c>
      <c r="J1488" s="57" t="s">
        <v>101</v>
      </c>
      <c r="K1488" s="57">
        <v>99.02</v>
      </c>
      <c r="L1488" s="57" t="s">
        <v>101</v>
      </c>
      <c r="M1488" s="57">
        <v>3.5070000000000001</v>
      </c>
      <c r="N1488" s="57">
        <v>3.5070000000000001</v>
      </c>
      <c r="O1488" s="53" t="s">
        <v>101</v>
      </c>
      <c r="P1488" s="57" t="s">
        <v>448</v>
      </c>
      <c r="Q1488" s="57" t="s">
        <v>479</v>
      </c>
      <c r="R1488" s="59" t="s">
        <v>504</v>
      </c>
    </row>
    <row r="1489" spans="1:18" x14ac:dyDescent="0.5">
      <c r="A1489" s="52" t="str">
        <f>"90348SAH3"</f>
        <v>90348SAH3</v>
      </c>
      <c r="B1489" s="53" t="s">
        <v>499</v>
      </c>
      <c r="C1489" s="53" t="s">
        <v>1834</v>
      </c>
      <c r="D1489" s="53" t="s">
        <v>447</v>
      </c>
      <c r="E1489" s="53">
        <v>4</v>
      </c>
      <c r="F1489" s="54">
        <v>48853</v>
      </c>
      <c r="G1489" s="54">
        <v>45931</v>
      </c>
      <c r="H1489" s="53" t="s">
        <v>105</v>
      </c>
      <c r="I1489" s="53" t="s">
        <v>658</v>
      </c>
      <c r="J1489" s="53" t="s">
        <v>101</v>
      </c>
      <c r="K1489" s="53">
        <v>100.001</v>
      </c>
      <c r="L1489" s="53" t="s">
        <v>101</v>
      </c>
      <c r="M1489" s="53">
        <v>3.992</v>
      </c>
      <c r="N1489" s="53">
        <v>3.9990000000000001</v>
      </c>
      <c r="O1489" s="53" t="s">
        <v>101</v>
      </c>
      <c r="P1489" s="53" t="s">
        <v>448</v>
      </c>
      <c r="Q1489" s="53" t="s">
        <v>485</v>
      </c>
      <c r="R1489" s="55" t="s">
        <v>504</v>
      </c>
    </row>
    <row r="1490" spans="1:18" x14ac:dyDescent="0.5">
      <c r="A1490" s="56" t="str">
        <f>"938688WT1"</f>
        <v>938688WT1</v>
      </c>
      <c r="B1490" s="57" t="s">
        <v>451</v>
      </c>
      <c r="C1490" s="57" t="s">
        <v>1835</v>
      </c>
      <c r="D1490" s="53" t="s">
        <v>447</v>
      </c>
      <c r="E1490" s="57">
        <v>3</v>
      </c>
      <c r="F1490" s="58">
        <v>48853</v>
      </c>
      <c r="G1490" s="58">
        <v>46113</v>
      </c>
      <c r="H1490" s="57" t="s">
        <v>641</v>
      </c>
      <c r="I1490" s="57" t="s">
        <v>628</v>
      </c>
      <c r="J1490" s="57" t="s">
        <v>101</v>
      </c>
      <c r="K1490" s="57">
        <v>92.260999999999996</v>
      </c>
      <c r="L1490" s="57" t="s">
        <v>101</v>
      </c>
      <c r="M1490" s="57">
        <v>4.0730000000000004</v>
      </c>
      <c r="N1490" s="57">
        <v>4.0730000000000004</v>
      </c>
      <c r="O1490" s="53" t="s">
        <v>101</v>
      </c>
      <c r="P1490" s="57" t="s">
        <v>448</v>
      </c>
      <c r="Q1490" s="57" t="s">
        <v>591</v>
      </c>
      <c r="R1490" s="59" t="s">
        <v>771</v>
      </c>
    </row>
    <row r="1491" spans="1:18" x14ac:dyDescent="0.5">
      <c r="A1491" s="52" t="str">
        <f>"943080WB3"</f>
        <v>943080WB3</v>
      </c>
      <c r="B1491" s="53" t="s">
        <v>496</v>
      </c>
      <c r="C1491" s="53" t="s">
        <v>1836</v>
      </c>
      <c r="D1491" s="53" t="s">
        <v>447</v>
      </c>
      <c r="E1491" s="53">
        <v>2</v>
      </c>
      <c r="F1491" s="54">
        <v>48853</v>
      </c>
      <c r="G1491" s="54">
        <v>47027</v>
      </c>
      <c r="H1491" s="53" t="s">
        <v>613</v>
      </c>
      <c r="I1491" s="53" t="s">
        <v>105</v>
      </c>
      <c r="J1491" s="53" t="s">
        <v>101</v>
      </c>
      <c r="K1491" s="53">
        <v>83.332999999999998</v>
      </c>
      <c r="L1491" s="53" t="s">
        <v>101</v>
      </c>
      <c r="M1491" s="53">
        <v>4.3380000000000001</v>
      </c>
      <c r="N1491" s="53">
        <v>4.3380000000000001</v>
      </c>
      <c r="O1491" s="53" t="s">
        <v>101</v>
      </c>
      <c r="P1491" s="53" t="s">
        <v>448</v>
      </c>
      <c r="Q1491" s="53" t="s">
        <v>488</v>
      </c>
      <c r="R1491" s="55" t="s">
        <v>454</v>
      </c>
    </row>
    <row r="1492" spans="1:18" x14ac:dyDescent="0.5">
      <c r="A1492" s="56" t="str">
        <f>"975840BS7"</f>
        <v>975840BS7</v>
      </c>
      <c r="B1492" s="57" t="s">
        <v>499</v>
      </c>
      <c r="C1492" s="57" t="s">
        <v>1837</v>
      </c>
      <c r="D1492" s="53" t="s">
        <v>447</v>
      </c>
      <c r="E1492" s="57">
        <v>3</v>
      </c>
      <c r="F1492" s="58">
        <v>48853</v>
      </c>
      <c r="G1492" s="58">
        <v>45733</v>
      </c>
      <c r="H1492" s="57" t="s">
        <v>105</v>
      </c>
      <c r="I1492" s="57" t="s">
        <v>628</v>
      </c>
      <c r="J1492" s="57" t="s">
        <v>101</v>
      </c>
      <c r="K1492" s="57">
        <v>95.061999999999998</v>
      </c>
      <c r="L1492" s="57" t="s">
        <v>101</v>
      </c>
      <c r="M1492" s="57">
        <v>3.673</v>
      </c>
      <c r="N1492" s="57">
        <v>3.673</v>
      </c>
      <c r="O1492" s="53" t="s">
        <v>101</v>
      </c>
      <c r="P1492" s="57" t="s">
        <v>448</v>
      </c>
      <c r="Q1492" s="57" t="s">
        <v>1838</v>
      </c>
      <c r="R1492" s="59" t="s">
        <v>771</v>
      </c>
    </row>
    <row r="1493" spans="1:18" x14ac:dyDescent="0.5">
      <c r="A1493" s="52" t="str">
        <f>"724292XN2"</f>
        <v>724292XN2</v>
      </c>
      <c r="B1493" s="53" t="s">
        <v>477</v>
      </c>
      <c r="C1493" s="53" t="s">
        <v>1839</v>
      </c>
      <c r="D1493" s="53" t="s">
        <v>447</v>
      </c>
      <c r="E1493" s="53">
        <v>2</v>
      </c>
      <c r="F1493" s="54">
        <v>48867</v>
      </c>
      <c r="G1493" s="54">
        <v>47771</v>
      </c>
      <c r="H1493" s="53" t="s">
        <v>105</v>
      </c>
      <c r="I1493" s="53" t="s">
        <v>509</v>
      </c>
      <c r="J1493" s="53" t="s">
        <v>101</v>
      </c>
      <c r="K1493" s="53">
        <v>83.424000000000007</v>
      </c>
      <c r="L1493" s="53" t="s">
        <v>101</v>
      </c>
      <c r="M1493" s="53">
        <v>4.3140000000000001</v>
      </c>
      <c r="N1493" s="53">
        <v>4.3140000000000001</v>
      </c>
      <c r="O1493" s="53" t="s">
        <v>101</v>
      </c>
      <c r="P1493" s="53" t="s">
        <v>448</v>
      </c>
      <c r="Q1493" s="53" t="s">
        <v>488</v>
      </c>
      <c r="R1493" s="55" t="s">
        <v>454</v>
      </c>
    </row>
    <row r="1494" spans="1:18" x14ac:dyDescent="0.5">
      <c r="A1494" s="56" t="str">
        <f>"978862Y79"</f>
        <v>978862Y79</v>
      </c>
      <c r="B1494" s="57" t="s">
        <v>477</v>
      </c>
      <c r="C1494" s="57" t="s">
        <v>1840</v>
      </c>
      <c r="D1494" s="53" t="s">
        <v>447</v>
      </c>
      <c r="E1494" s="57">
        <v>2.375</v>
      </c>
      <c r="F1494" s="58">
        <v>48867</v>
      </c>
      <c r="G1494" s="58">
        <v>46310</v>
      </c>
      <c r="H1494" s="57" t="s">
        <v>540</v>
      </c>
      <c r="I1494" s="57" t="s">
        <v>509</v>
      </c>
      <c r="J1494" s="57" t="s">
        <v>101</v>
      </c>
      <c r="K1494" s="57">
        <v>86.695999999999998</v>
      </c>
      <c r="L1494" s="57" t="s">
        <v>101</v>
      </c>
      <c r="M1494" s="57">
        <v>4.2249999999999996</v>
      </c>
      <c r="N1494" s="57">
        <v>4.2249999999999996</v>
      </c>
      <c r="O1494" s="53" t="s">
        <v>101</v>
      </c>
      <c r="P1494" s="57" t="s">
        <v>448</v>
      </c>
      <c r="Q1494" s="57" t="s">
        <v>571</v>
      </c>
      <c r="R1494" s="59" t="s">
        <v>454</v>
      </c>
    </row>
    <row r="1495" spans="1:18" x14ac:dyDescent="0.5">
      <c r="A1495" s="52" t="str">
        <f>"022429WC4"</f>
        <v>022429WC4</v>
      </c>
      <c r="B1495" s="53" t="s">
        <v>451</v>
      </c>
      <c r="C1495" s="53" t="s">
        <v>1841</v>
      </c>
      <c r="D1495" s="53" t="s">
        <v>447</v>
      </c>
      <c r="E1495" s="53">
        <v>3.125</v>
      </c>
      <c r="F1495" s="54">
        <v>48884</v>
      </c>
      <c r="G1495" s="54">
        <v>45733</v>
      </c>
      <c r="H1495" s="53" t="s">
        <v>105</v>
      </c>
      <c r="I1495" s="53" t="s">
        <v>628</v>
      </c>
      <c r="J1495" s="53" t="s">
        <v>101</v>
      </c>
      <c r="K1495" s="53">
        <v>94.942999999999998</v>
      </c>
      <c r="L1495" s="53" t="s">
        <v>101</v>
      </c>
      <c r="M1495" s="53">
        <v>3.8130000000000002</v>
      </c>
      <c r="N1495" s="53">
        <v>3.8130000000000002</v>
      </c>
      <c r="O1495" s="53" t="s">
        <v>101</v>
      </c>
      <c r="P1495" s="53" t="s">
        <v>448</v>
      </c>
      <c r="Q1495" s="53" t="s">
        <v>460</v>
      </c>
      <c r="R1495" s="55" t="s">
        <v>504</v>
      </c>
    </row>
    <row r="1496" spans="1:18" x14ac:dyDescent="0.5">
      <c r="A1496" s="56" t="str">
        <f>"080692FC5"</f>
        <v>080692FC5</v>
      </c>
      <c r="B1496" s="57" t="s">
        <v>496</v>
      </c>
      <c r="C1496" s="57" t="s">
        <v>1842</v>
      </c>
      <c r="D1496" s="53" t="s">
        <v>447</v>
      </c>
      <c r="E1496" s="57">
        <v>3.375</v>
      </c>
      <c r="F1496" s="58">
        <v>48884</v>
      </c>
      <c r="G1496" s="58">
        <v>46327</v>
      </c>
      <c r="H1496" s="57" t="s">
        <v>105</v>
      </c>
      <c r="I1496" s="57" t="s">
        <v>628</v>
      </c>
      <c r="J1496" s="57" t="s">
        <v>101</v>
      </c>
      <c r="K1496" s="57">
        <v>96.48</v>
      </c>
      <c r="L1496" s="57" t="s">
        <v>101</v>
      </c>
      <c r="M1496" s="57">
        <v>3.8540000000000001</v>
      </c>
      <c r="N1496" s="57">
        <v>3.8540000000000001</v>
      </c>
      <c r="O1496" s="53" t="s">
        <v>101</v>
      </c>
      <c r="P1496" s="57" t="s">
        <v>448</v>
      </c>
      <c r="Q1496" s="57" t="s">
        <v>488</v>
      </c>
      <c r="R1496" s="59" t="s">
        <v>771</v>
      </c>
    </row>
    <row r="1497" spans="1:18" x14ac:dyDescent="0.5">
      <c r="A1497" s="52" t="str">
        <f>"408630NH0"</f>
        <v>408630NH0</v>
      </c>
      <c r="B1497" s="53" t="s">
        <v>477</v>
      </c>
      <c r="C1497" s="53" t="s">
        <v>1843</v>
      </c>
      <c r="D1497" s="53" t="s">
        <v>447</v>
      </c>
      <c r="E1497" s="53">
        <v>2.125</v>
      </c>
      <c r="F1497" s="54">
        <v>48884</v>
      </c>
      <c r="G1497" s="54">
        <v>46327</v>
      </c>
      <c r="H1497" s="53" t="s">
        <v>105</v>
      </c>
      <c r="I1497" s="53" t="s">
        <v>628</v>
      </c>
      <c r="J1497" s="53" t="s">
        <v>101</v>
      </c>
      <c r="K1497" s="53">
        <v>85.945999999999998</v>
      </c>
      <c r="L1497" s="53" t="s">
        <v>101</v>
      </c>
      <c r="M1497" s="53">
        <v>4.0579999999999998</v>
      </c>
      <c r="N1497" s="53">
        <v>4.0579999999999998</v>
      </c>
      <c r="O1497" s="53" t="s">
        <v>101</v>
      </c>
      <c r="P1497" s="53" t="s">
        <v>448</v>
      </c>
      <c r="Q1497" s="53" t="s">
        <v>457</v>
      </c>
      <c r="R1497" s="55" t="s">
        <v>630</v>
      </c>
    </row>
    <row r="1498" spans="1:18" x14ac:dyDescent="0.5">
      <c r="A1498" s="56" t="str">
        <f>"452152M81"</f>
        <v>452152M81</v>
      </c>
      <c r="B1498" s="57" t="s">
        <v>491</v>
      </c>
      <c r="C1498" s="57" t="s">
        <v>1844</v>
      </c>
      <c r="D1498" s="53" t="s">
        <v>447</v>
      </c>
      <c r="E1498" s="57">
        <v>5</v>
      </c>
      <c r="F1498" s="58">
        <v>48884</v>
      </c>
      <c r="G1498" s="58">
        <v>46327</v>
      </c>
      <c r="H1498" s="57" t="s">
        <v>627</v>
      </c>
      <c r="I1498" s="57" t="s">
        <v>713</v>
      </c>
      <c r="J1498" s="57" t="s">
        <v>101</v>
      </c>
      <c r="K1498" s="57">
        <v>102.23</v>
      </c>
      <c r="L1498" s="57" t="s">
        <v>101</v>
      </c>
      <c r="M1498" s="57">
        <v>3.6339999999999999</v>
      </c>
      <c r="N1498" s="57">
        <v>4.6840000000000002</v>
      </c>
      <c r="O1498" s="53" t="s">
        <v>101</v>
      </c>
      <c r="P1498" s="57" t="s">
        <v>448</v>
      </c>
      <c r="Q1498" s="57" t="s">
        <v>488</v>
      </c>
      <c r="R1498" s="59" t="s">
        <v>454</v>
      </c>
    </row>
    <row r="1499" spans="1:18" x14ac:dyDescent="0.5">
      <c r="A1499" s="52" t="str">
        <f>"4521525N7"</f>
        <v>4521525N7</v>
      </c>
      <c r="B1499" s="53" t="s">
        <v>491</v>
      </c>
      <c r="C1499" s="53" t="s">
        <v>1845</v>
      </c>
      <c r="D1499" s="53" t="s">
        <v>447</v>
      </c>
      <c r="E1499" s="53">
        <v>4</v>
      </c>
      <c r="F1499" s="54">
        <v>48884</v>
      </c>
      <c r="G1499" s="54">
        <v>47423</v>
      </c>
      <c r="H1499" s="53" t="s">
        <v>627</v>
      </c>
      <c r="I1499" s="53" t="s">
        <v>713</v>
      </c>
      <c r="J1499" s="53" t="s">
        <v>101</v>
      </c>
      <c r="K1499" s="53">
        <v>101.34</v>
      </c>
      <c r="L1499" s="53" t="s">
        <v>101</v>
      </c>
      <c r="M1499" s="53">
        <v>3.6859999999999999</v>
      </c>
      <c r="N1499" s="53">
        <v>3.8170000000000002</v>
      </c>
      <c r="O1499" s="53" t="s">
        <v>101</v>
      </c>
      <c r="P1499" s="53" t="s">
        <v>448</v>
      </c>
      <c r="Q1499" s="53" t="s">
        <v>457</v>
      </c>
      <c r="R1499" s="55" t="s">
        <v>454</v>
      </c>
    </row>
    <row r="1500" spans="1:18" x14ac:dyDescent="0.5">
      <c r="A1500" s="56" t="str">
        <f>"509102HE2"</f>
        <v>509102HE2</v>
      </c>
      <c r="B1500" s="57" t="s">
        <v>491</v>
      </c>
      <c r="C1500" s="57" t="s">
        <v>1846</v>
      </c>
      <c r="D1500" s="53" t="s">
        <v>447</v>
      </c>
      <c r="E1500" s="57">
        <v>3</v>
      </c>
      <c r="F1500" s="58">
        <v>48884</v>
      </c>
      <c r="G1500" s="58">
        <v>47423</v>
      </c>
      <c r="H1500" s="57" t="s">
        <v>104</v>
      </c>
      <c r="I1500" s="57" t="s">
        <v>105</v>
      </c>
      <c r="J1500" s="57" t="s">
        <v>101</v>
      </c>
      <c r="K1500" s="57">
        <v>95.837000000000003</v>
      </c>
      <c r="L1500" s="57" t="s">
        <v>101</v>
      </c>
      <c r="M1500" s="57">
        <v>3.56</v>
      </c>
      <c r="N1500" s="57">
        <v>3.56</v>
      </c>
      <c r="O1500" s="53" t="s">
        <v>101</v>
      </c>
      <c r="P1500" s="57" t="s">
        <v>448</v>
      </c>
      <c r="Q1500" s="57" t="s">
        <v>457</v>
      </c>
      <c r="R1500" s="59" t="s">
        <v>454</v>
      </c>
    </row>
    <row r="1501" spans="1:18" x14ac:dyDescent="0.5">
      <c r="A1501" s="52" t="str">
        <f>"539141WK3"</f>
        <v>539141WK3</v>
      </c>
      <c r="B1501" s="53" t="s">
        <v>477</v>
      </c>
      <c r="C1501" s="53" t="s">
        <v>1847</v>
      </c>
      <c r="D1501" s="53" t="s">
        <v>447</v>
      </c>
      <c r="E1501" s="53">
        <v>2</v>
      </c>
      <c r="F1501" s="54">
        <v>48884</v>
      </c>
      <c r="G1501" s="54">
        <v>46692</v>
      </c>
      <c r="H1501" s="53" t="s">
        <v>613</v>
      </c>
      <c r="I1501" s="53" t="s">
        <v>105</v>
      </c>
      <c r="J1501" s="53" t="s">
        <v>101</v>
      </c>
      <c r="K1501" s="53">
        <v>83.17</v>
      </c>
      <c r="L1501" s="53" t="s">
        <v>101</v>
      </c>
      <c r="M1501" s="53">
        <v>4.343</v>
      </c>
      <c r="N1501" s="53">
        <v>4.343</v>
      </c>
      <c r="O1501" s="53" t="s">
        <v>101</v>
      </c>
      <c r="P1501" s="53" t="s">
        <v>448</v>
      </c>
      <c r="Q1501" s="53" t="s">
        <v>573</v>
      </c>
      <c r="R1501" s="55" t="s">
        <v>454</v>
      </c>
    </row>
    <row r="1502" spans="1:18" x14ac:dyDescent="0.5">
      <c r="A1502" s="56" t="str">
        <f>"568548EQ0"</f>
        <v>568548EQ0</v>
      </c>
      <c r="B1502" s="57" t="s">
        <v>491</v>
      </c>
      <c r="C1502" s="57" t="s">
        <v>1848</v>
      </c>
      <c r="D1502" s="53" t="s">
        <v>447</v>
      </c>
      <c r="E1502" s="57">
        <v>3</v>
      </c>
      <c r="F1502" s="58">
        <v>48884</v>
      </c>
      <c r="G1502" s="58">
        <v>47423</v>
      </c>
      <c r="H1502" s="57" t="s">
        <v>105</v>
      </c>
      <c r="I1502" s="57" t="s">
        <v>628</v>
      </c>
      <c r="J1502" s="57" t="s">
        <v>101</v>
      </c>
      <c r="K1502" s="57">
        <v>93.1</v>
      </c>
      <c r="L1502" s="57" t="s">
        <v>101</v>
      </c>
      <c r="M1502" s="57">
        <v>3.944</v>
      </c>
      <c r="N1502" s="57">
        <v>3.944</v>
      </c>
      <c r="O1502" s="53" t="s">
        <v>101</v>
      </c>
      <c r="P1502" s="57" t="s">
        <v>448</v>
      </c>
      <c r="Q1502" s="57" t="s">
        <v>453</v>
      </c>
      <c r="R1502" s="59" t="s">
        <v>680</v>
      </c>
    </row>
    <row r="1503" spans="1:18" x14ac:dyDescent="0.5">
      <c r="A1503" s="52" t="str">
        <f>"671579K25"</f>
        <v>671579K25</v>
      </c>
      <c r="B1503" s="53" t="s">
        <v>491</v>
      </c>
      <c r="C1503" s="53" t="s">
        <v>1849</v>
      </c>
      <c r="D1503" s="53" t="s">
        <v>447</v>
      </c>
      <c r="E1503" s="53">
        <v>3.125</v>
      </c>
      <c r="F1503" s="54">
        <v>48884</v>
      </c>
      <c r="G1503" s="54">
        <v>45962</v>
      </c>
      <c r="H1503" s="53" t="s">
        <v>624</v>
      </c>
      <c r="I1503" s="53" t="s">
        <v>628</v>
      </c>
      <c r="J1503" s="53" t="s">
        <v>101</v>
      </c>
      <c r="K1503" s="53">
        <v>96.17</v>
      </c>
      <c r="L1503" s="53" t="s">
        <v>101</v>
      </c>
      <c r="M1503" s="53">
        <v>3.6419999999999999</v>
      </c>
      <c r="N1503" s="53">
        <v>3.6419999999999999</v>
      </c>
      <c r="O1503" s="53" t="s">
        <v>101</v>
      </c>
      <c r="P1503" s="53" t="s">
        <v>448</v>
      </c>
      <c r="Q1503" s="53" t="s">
        <v>453</v>
      </c>
      <c r="R1503" s="55" t="s">
        <v>454</v>
      </c>
    </row>
    <row r="1504" spans="1:18" x14ac:dyDescent="0.5">
      <c r="A1504" s="56" t="str">
        <f>"69651ABT0"</f>
        <v>69651ABT0</v>
      </c>
      <c r="B1504" s="57" t="s">
        <v>499</v>
      </c>
      <c r="C1504" s="57" t="s">
        <v>1850</v>
      </c>
      <c r="D1504" s="53" t="s">
        <v>447</v>
      </c>
      <c r="E1504" s="57">
        <v>5</v>
      </c>
      <c r="F1504" s="58">
        <v>48884</v>
      </c>
      <c r="G1504" s="58">
        <v>48519</v>
      </c>
      <c r="H1504" s="57" t="s">
        <v>105</v>
      </c>
      <c r="I1504" s="57" t="s">
        <v>695</v>
      </c>
      <c r="J1504" s="57" t="s">
        <v>101</v>
      </c>
      <c r="K1504" s="57">
        <v>108.54</v>
      </c>
      <c r="L1504" s="57" t="s">
        <v>101</v>
      </c>
      <c r="M1504" s="57">
        <v>3.714</v>
      </c>
      <c r="N1504" s="57">
        <v>3.8359999999999999</v>
      </c>
      <c r="O1504" s="53" t="s">
        <v>101</v>
      </c>
      <c r="P1504" s="57" t="s">
        <v>448</v>
      </c>
      <c r="Q1504" s="57" t="s">
        <v>1851</v>
      </c>
      <c r="R1504" s="59" t="s">
        <v>450</v>
      </c>
    </row>
    <row r="1505" spans="1:18" x14ac:dyDescent="0.5">
      <c r="A1505" s="52" t="str">
        <f>"702725P71"</f>
        <v>702725P71</v>
      </c>
      <c r="B1505" s="53" t="s">
        <v>477</v>
      </c>
      <c r="C1505" s="53" t="s">
        <v>1852</v>
      </c>
      <c r="D1505" s="53" t="s">
        <v>447</v>
      </c>
      <c r="E1505" s="53">
        <v>2</v>
      </c>
      <c r="F1505" s="54">
        <v>48884</v>
      </c>
      <c r="G1505" s="54">
        <v>47058</v>
      </c>
      <c r="H1505" s="53" t="s">
        <v>540</v>
      </c>
      <c r="I1505" s="53" t="s">
        <v>105</v>
      </c>
      <c r="J1505" s="53" t="s">
        <v>101</v>
      </c>
      <c r="K1505" s="53">
        <v>83.435000000000002</v>
      </c>
      <c r="L1505" s="53" t="s">
        <v>101</v>
      </c>
      <c r="M1505" s="53">
        <v>4.3019999999999996</v>
      </c>
      <c r="N1505" s="53">
        <v>4.3019999999999996</v>
      </c>
      <c r="O1505" s="53" t="s">
        <v>101</v>
      </c>
      <c r="P1505" s="53" t="s">
        <v>448</v>
      </c>
      <c r="Q1505" s="53" t="s">
        <v>573</v>
      </c>
      <c r="R1505" s="55" t="s">
        <v>482</v>
      </c>
    </row>
    <row r="1506" spans="1:18" x14ac:dyDescent="0.5">
      <c r="A1506" s="56" t="str">
        <f>"702725V41"</f>
        <v>702725V41</v>
      </c>
      <c r="B1506" s="57" t="s">
        <v>477</v>
      </c>
      <c r="C1506" s="57" t="s">
        <v>1853</v>
      </c>
      <c r="D1506" s="53" t="s">
        <v>447</v>
      </c>
      <c r="E1506" s="57">
        <v>2</v>
      </c>
      <c r="F1506" s="58">
        <v>48884</v>
      </c>
      <c r="G1506" s="58">
        <v>47423</v>
      </c>
      <c r="H1506" s="57" t="s">
        <v>540</v>
      </c>
      <c r="I1506" s="57" t="s">
        <v>105</v>
      </c>
      <c r="J1506" s="57" t="s">
        <v>101</v>
      </c>
      <c r="K1506" s="57">
        <v>84.888000000000005</v>
      </c>
      <c r="L1506" s="57" t="s">
        <v>101</v>
      </c>
      <c r="M1506" s="57">
        <v>4.08</v>
      </c>
      <c r="N1506" s="57">
        <v>4.08</v>
      </c>
      <c r="O1506" s="53" t="s">
        <v>101</v>
      </c>
      <c r="P1506" s="57" t="s">
        <v>448</v>
      </c>
      <c r="Q1506" s="57" t="s">
        <v>1854</v>
      </c>
      <c r="R1506" s="59" t="s">
        <v>454</v>
      </c>
    </row>
    <row r="1507" spans="1:18" x14ac:dyDescent="0.5">
      <c r="A1507" s="52" t="str">
        <f>"783294FW6"</f>
        <v>783294FW6</v>
      </c>
      <c r="B1507" s="53" t="s">
        <v>477</v>
      </c>
      <c r="C1507" s="53" t="s">
        <v>1855</v>
      </c>
      <c r="D1507" s="53" t="s">
        <v>447</v>
      </c>
      <c r="E1507" s="53">
        <v>2</v>
      </c>
      <c r="F1507" s="54">
        <v>48884</v>
      </c>
      <c r="G1507" s="54">
        <v>47788</v>
      </c>
      <c r="H1507" s="53" t="s">
        <v>105</v>
      </c>
      <c r="I1507" s="53" t="s">
        <v>509</v>
      </c>
      <c r="J1507" s="53" t="s">
        <v>101</v>
      </c>
      <c r="K1507" s="53">
        <v>83.55</v>
      </c>
      <c r="L1507" s="53" t="s">
        <v>101</v>
      </c>
      <c r="M1507" s="53">
        <v>4.2839999999999998</v>
      </c>
      <c r="N1507" s="53">
        <v>4.2839999999999998</v>
      </c>
      <c r="O1507" s="53" t="s">
        <v>101</v>
      </c>
      <c r="P1507" s="53" t="s">
        <v>448</v>
      </c>
      <c r="Q1507" s="53" t="s">
        <v>488</v>
      </c>
      <c r="R1507" s="55" t="s">
        <v>454</v>
      </c>
    </row>
    <row r="1508" spans="1:18" x14ac:dyDescent="0.5">
      <c r="A1508" s="56" t="str">
        <f>"82621VEQ7"</f>
        <v>82621VEQ7</v>
      </c>
      <c r="B1508" s="57" t="s">
        <v>451</v>
      </c>
      <c r="C1508" s="57" t="s">
        <v>1856</v>
      </c>
      <c r="D1508" s="53" t="s">
        <v>447</v>
      </c>
      <c r="E1508" s="57">
        <v>2.25</v>
      </c>
      <c r="F1508" s="58">
        <v>48884</v>
      </c>
      <c r="G1508" s="58">
        <v>45733</v>
      </c>
      <c r="H1508" s="57" t="s">
        <v>105</v>
      </c>
      <c r="I1508" s="57" t="s">
        <v>628</v>
      </c>
      <c r="J1508" s="57" t="s">
        <v>101</v>
      </c>
      <c r="K1508" s="57">
        <v>86.155000000000001</v>
      </c>
      <c r="L1508" s="57" t="s">
        <v>101</v>
      </c>
      <c r="M1508" s="57">
        <v>4.1619999999999999</v>
      </c>
      <c r="N1508" s="57">
        <v>4.1619999999999999</v>
      </c>
      <c r="O1508" s="53" t="s">
        <v>101</v>
      </c>
      <c r="P1508" s="57" t="s">
        <v>448</v>
      </c>
      <c r="Q1508" s="57" t="s">
        <v>1857</v>
      </c>
      <c r="R1508" s="59" t="s">
        <v>771</v>
      </c>
    </row>
    <row r="1509" spans="1:18" x14ac:dyDescent="0.5">
      <c r="A1509" s="52" t="str">
        <f>"167615D26"</f>
        <v>167615D26</v>
      </c>
      <c r="B1509" s="53" t="s">
        <v>491</v>
      </c>
      <c r="C1509" s="53" t="s">
        <v>1858</v>
      </c>
      <c r="D1509" s="53" t="s">
        <v>447</v>
      </c>
      <c r="E1509" s="53">
        <v>4</v>
      </c>
      <c r="F1509" s="54">
        <v>48898</v>
      </c>
      <c r="G1509" s="54">
        <v>47437</v>
      </c>
      <c r="H1509" s="53" t="s">
        <v>105</v>
      </c>
      <c r="I1509" s="53" t="s">
        <v>628</v>
      </c>
      <c r="J1509" s="53" t="s">
        <v>101</v>
      </c>
      <c r="K1509" s="53">
        <v>101.498</v>
      </c>
      <c r="L1509" s="53" t="s">
        <v>101</v>
      </c>
      <c r="M1509" s="53">
        <v>3.6520000000000001</v>
      </c>
      <c r="N1509" s="53">
        <v>3.7959999999999998</v>
      </c>
      <c r="O1509" s="53" t="s">
        <v>101</v>
      </c>
      <c r="P1509" s="53" t="s">
        <v>448</v>
      </c>
      <c r="Q1509" s="53" t="s">
        <v>479</v>
      </c>
      <c r="R1509" s="55" t="s">
        <v>820</v>
      </c>
    </row>
    <row r="1510" spans="1:18" x14ac:dyDescent="0.5">
      <c r="A1510" s="56" t="str">
        <f>"34061QAZ0"</f>
        <v>34061QAZ0</v>
      </c>
      <c r="B1510" s="57" t="s">
        <v>499</v>
      </c>
      <c r="C1510" s="57" t="s">
        <v>1859</v>
      </c>
      <c r="D1510" s="53" t="s">
        <v>447</v>
      </c>
      <c r="E1510" s="57">
        <v>4</v>
      </c>
      <c r="F1510" s="58">
        <v>48898</v>
      </c>
      <c r="G1510" s="58">
        <v>48167</v>
      </c>
      <c r="H1510" s="57" t="s">
        <v>610</v>
      </c>
      <c r="I1510" s="57" t="s">
        <v>105</v>
      </c>
      <c r="J1510" s="57" t="s">
        <v>101</v>
      </c>
      <c r="K1510" s="57">
        <v>102.956</v>
      </c>
      <c r="L1510" s="57" t="s">
        <v>101</v>
      </c>
      <c r="M1510" s="57">
        <v>3.5030000000000001</v>
      </c>
      <c r="N1510" s="57">
        <v>3.6019999999999999</v>
      </c>
      <c r="O1510" s="53" t="s">
        <v>101</v>
      </c>
      <c r="P1510" s="57" t="s">
        <v>448</v>
      </c>
      <c r="Q1510" s="57" t="s">
        <v>527</v>
      </c>
      <c r="R1510" s="59" t="s">
        <v>506</v>
      </c>
    </row>
    <row r="1511" spans="1:18" x14ac:dyDescent="0.5">
      <c r="A1511" s="52" t="str">
        <f>"59656NJ78"</f>
        <v>59656NJ78</v>
      </c>
      <c r="B1511" s="53" t="s">
        <v>477</v>
      </c>
      <c r="C1511" s="53" t="s">
        <v>578</v>
      </c>
      <c r="D1511" s="53" t="s">
        <v>447</v>
      </c>
      <c r="E1511" s="53">
        <v>2.25</v>
      </c>
      <c r="F1511" s="54">
        <v>48898</v>
      </c>
      <c r="G1511" s="54">
        <v>46341</v>
      </c>
      <c r="H1511" s="53" t="s">
        <v>105</v>
      </c>
      <c r="I1511" s="53" t="s">
        <v>104</v>
      </c>
      <c r="J1511" s="53" t="s">
        <v>101</v>
      </c>
      <c r="K1511" s="53">
        <v>85.725999999999999</v>
      </c>
      <c r="L1511" s="53" t="s">
        <v>101</v>
      </c>
      <c r="M1511" s="53">
        <v>4.2190000000000003</v>
      </c>
      <c r="N1511" s="53">
        <v>4.2190000000000003</v>
      </c>
      <c r="O1511" s="53" t="s">
        <v>101</v>
      </c>
      <c r="P1511" s="53" t="s">
        <v>691</v>
      </c>
      <c r="Q1511" s="53" t="s">
        <v>556</v>
      </c>
      <c r="R1511" s="55" t="s">
        <v>454</v>
      </c>
    </row>
    <row r="1512" spans="1:18" x14ac:dyDescent="0.5">
      <c r="A1512" s="56" t="str">
        <f>"87638QPK9"</f>
        <v>87638QPK9</v>
      </c>
      <c r="B1512" s="57" t="s">
        <v>451</v>
      </c>
      <c r="C1512" s="57" t="s">
        <v>1860</v>
      </c>
      <c r="D1512" s="53" t="s">
        <v>447</v>
      </c>
      <c r="E1512" s="57">
        <v>3</v>
      </c>
      <c r="F1512" s="58">
        <v>48898</v>
      </c>
      <c r="G1512" s="58">
        <v>46157</v>
      </c>
      <c r="H1512" s="57" t="s">
        <v>613</v>
      </c>
      <c r="I1512" s="57" t="s">
        <v>616</v>
      </c>
      <c r="J1512" s="57" t="s">
        <v>101</v>
      </c>
      <c r="K1512" s="57">
        <v>93.04</v>
      </c>
      <c r="L1512" s="57" t="s">
        <v>101</v>
      </c>
      <c r="M1512" s="57">
        <v>3.9489999999999998</v>
      </c>
      <c r="N1512" s="57">
        <v>3.9489999999999998</v>
      </c>
      <c r="O1512" s="53" t="s">
        <v>101</v>
      </c>
      <c r="P1512" s="57" t="s">
        <v>448</v>
      </c>
      <c r="Q1512" s="57" t="s">
        <v>538</v>
      </c>
      <c r="R1512" s="59" t="s">
        <v>450</v>
      </c>
    </row>
    <row r="1513" spans="1:18" x14ac:dyDescent="0.5">
      <c r="A1513" s="52" t="str">
        <f>"89012REX3"</f>
        <v>89012REX3</v>
      </c>
      <c r="B1513" s="53" t="s">
        <v>477</v>
      </c>
      <c r="C1513" s="53" t="s">
        <v>1861</v>
      </c>
      <c r="D1513" s="53" t="s">
        <v>447</v>
      </c>
      <c r="E1513" s="53">
        <v>3.125</v>
      </c>
      <c r="F1513" s="54">
        <v>48898</v>
      </c>
      <c r="G1513" s="54">
        <v>46341</v>
      </c>
      <c r="H1513" s="53" t="s">
        <v>105</v>
      </c>
      <c r="I1513" s="53" t="s">
        <v>628</v>
      </c>
      <c r="J1513" s="53" t="s">
        <v>101</v>
      </c>
      <c r="K1513" s="53">
        <v>95.75</v>
      </c>
      <c r="L1513" s="53" t="s">
        <v>101</v>
      </c>
      <c r="M1513" s="53">
        <v>3.698</v>
      </c>
      <c r="N1513" s="53">
        <v>3.698</v>
      </c>
      <c r="O1513" s="53" t="s">
        <v>101</v>
      </c>
      <c r="P1513" s="53" t="s">
        <v>448</v>
      </c>
      <c r="Q1513" s="53" t="s">
        <v>488</v>
      </c>
      <c r="R1513" s="55" t="s">
        <v>482</v>
      </c>
    </row>
    <row r="1514" spans="1:18" x14ac:dyDescent="0.5">
      <c r="A1514" s="56" t="str">
        <f>"508336ER1"</f>
        <v>508336ER1</v>
      </c>
      <c r="B1514" s="57" t="s">
        <v>491</v>
      </c>
      <c r="C1514" s="57" t="s">
        <v>1862</v>
      </c>
      <c r="D1514" s="53" t="s">
        <v>447</v>
      </c>
      <c r="E1514" s="57">
        <v>3.5</v>
      </c>
      <c r="F1514" s="58">
        <v>48913</v>
      </c>
      <c r="G1514" s="58">
        <v>45733</v>
      </c>
      <c r="H1514" s="57" t="s">
        <v>104</v>
      </c>
      <c r="I1514" s="57" t="s">
        <v>104</v>
      </c>
      <c r="J1514" s="57" t="s">
        <v>101</v>
      </c>
      <c r="K1514" s="57">
        <v>99.65</v>
      </c>
      <c r="L1514" s="57" t="s">
        <v>101</v>
      </c>
      <c r="M1514" s="57">
        <v>3.5459999999999998</v>
      </c>
      <c r="N1514" s="57">
        <v>3.5459999999999998</v>
      </c>
      <c r="O1514" s="53" t="s">
        <v>101</v>
      </c>
      <c r="P1514" s="57" t="s">
        <v>448</v>
      </c>
      <c r="Q1514" s="57" t="s">
        <v>655</v>
      </c>
      <c r="R1514" s="59" t="s">
        <v>504</v>
      </c>
    </row>
    <row r="1515" spans="1:18" x14ac:dyDescent="0.5">
      <c r="A1515" s="52" t="str">
        <f>"069338PM7"</f>
        <v>069338PM7</v>
      </c>
      <c r="B1515" s="53" t="s">
        <v>491</v>
      </c>
      <c r="C1515" s="53" t="s">
        <v>1863</v>
      </c>
      <c r="D1515" s="53" t="s">
        <v>447</v>
      </c>
      <c r="E1515" s="53">
        <v>3</v>
      </c>
      <c r="F1515" s="54">
        <v>48914</v>
      </c>
      <c r="G1515" s="54">
        <v>47088</v>
      </c>
      <c r="H1515" s="53" t="s">
        <v>540</v>
      </c>
      <c r="I1515" s="53" t="s">
        <v>105</v>
      </c>
      <c r="J1515" s="53" t="s">
        <v>101</v>
      </c>
      <c r="K1515" s="53">
        <v>93.8</v>
      </c>
      <c r="L1515" s="53" t="s">
        <v>101</v>
      </c>
      <c r="M1515" s="53">
        <v>3.8380000000000001</v>
      </c>
      <c r="N1515" s="53">
        <v>3.8380000000000001</v>
      </c>
      <c r="O1515" s="53" t="s">
        <v>101</v>
      </c>
      <c r="P1515" s="53" t="s">
        <v>448</v>
      </c>
      <c r="Q1515" s="53" t="s">
        <v>565</v>
      </c>
      <c r="R1515" s="55" t="s">
        <v>454</v>
      </c>
    </row>
    <row r="1516" spans="1:18" x14ac:dyDescent="0.5">
      <c r="A1516" s="56" t="str">
        <f>"083763UQ3"</f>
        <v>083763UQ3</v>
      </c>
      <c r="B1516" s="57" t="s">
        <v>477</v>
      </c>
      <c r="C1516" s="57" t="s">
        <v>1864</v>
      </c>
      <c r="D1516" s="53" t="s">
        <v>447</v>
      </c>
      <c r="E1516" s="57">
        <v>3</v>
      </c>
      <c r="F1516" s="58">
        <v>48914</v>
      </c>
      <c r="G1516" s="58">
        <v>46722</v>
      </c>
      <c r="H1516" s="57" t="s">
        <v>104</v>
      </c>
      <c r="I1516" s="57" t="s">
        <v>105</v>
      </c>
      <c r="J1516" s="57" t="s">
        <v>101</v>
      </c>
      <c r="K1516" s="57">
        <v>95.97</v>
      </c>
      <c r="L1516" s="57" t="s">
        <v>101</v>
      </c>
      <c r="M1516" s="57">
        <v>3.5369999999999999</v>
      </c>
      <c r="N1516" s="57">
        <v>3.5369999999999999</v>
      </c>
      <c r="O1516" s="53" t="s">
        <v>101</v>
      </c>
      <c r="P1516" s="57" t="s">
        <v>448</v>
      </c>
      <c r="Q1516" s="57" t="s">
        <v>453</v>
      </c>
      <c r="R1516" s="59" t="s">
        <v>454</v>
      </c>
    </row>
    <row r="1517" spans="1:18" x14ac:dyDescent="0.5">
      <c r="A1517" s="52" t="str">
        <f>"158159CE1"</f>
        <v>158159CE1</v>
      </c>
      <c r="B1517" s="53" t="s">
        <v>491</v>
      </c>
      <c r="C1517" s="53" t="s">
        <v>1865</v>
      </c>
      <c r="D1517" s="53" t="s">
        <v>447</v>
      </c>
      <c r="E1517" s="53">
        <v>3</v>
      </c>
      <c r="F1517" s="54">
        <v>48914</v>
      </c>
      <c r="G1517" s="54">
        <v>46357</v>
      </c>
      <c r="H1517" s="53" t="s">
        <v>105</v>
      </c>
      <c r="I1517" s="53" t="s">
        <v>628</v>
      </c>
      <c r="J1517" s="53" t="s">
        <v>101</v>
      </c>
      <c r="K1517" s="53">
        <v>94.35</v>
      </c>
      <c r="L1517" s="53" t="s">
        <v>101</v>
      </c>
      <c r="M1517" s="53">
        <v>3.7610000000000001</v>
      </c>
      <c r="N1517" s="53">
        <v>3.7610000000000001</v>
      </c>
      <c r="O1517" s="53" t="s">
        <v>101</v>
      </c>
      <c r="P1517" s="53" t="s">
        <v>448</v>
      </c>
      <c r="Q1517" s="53" t="s">
        <v>682</v>
      </c>
      <c r="R1517" s="55" t="s">
        <v>454</v>
      </c>
    </row>
    <row r="1518" spans="1:18" x14ac:dyDescent="0.5">
      <c r="A1518" s="56" t="str">
        <f>"213187DY0"</f>
        <v>213187DY0</v>
      </c>
      <c r="B1518" s="57" t="s">
        <v>491</v>
      </c>
      <c r="C1518" s="57" t="s">
        <v>1866</v>
      </c>
      <c r="D1518" s="53" t="s">
        <v>447</v>
      </c>
      <c r="E1518" s="57">
        <v>5</v>
      </c>
      <c r="F1518" s="58">
        <v>48914</v>
      </c>
      <c r="G1518" s="58" t="s">
        <v>105</v>
      </c>
      <c r="H1518" s="57" t="s">
        <v>105</v>
      </c>
      <c r="I1518" s="57" t="s">
        <v>628</v>
      </c>
      <c r="J1518" s="57" t="s">
        <v>101</v>
      </c>
      <c r="K1518" s="57">
        <v>110.98</v>
      </c>
      <c r="L1518" s="57" t="s">
        <v>101</v>
      </c>
      <c r="M1518" s="57">
        <v>3.5350000000000001</v>
      </c>
      <c r="N1518" s="57">
        <v>3.5350000000000001</v>
      </c>
      <c r="O1518" s="53" t="s">
        <v>101</v>
      </c>
      <c r="P1518" s="57" t="s">
        <v>448</v>
      </c>
      <c r="Q1518" s="57" t="s">
        <v>503</v>
      </c>
      <c r="R1518" s="59" t="s">
        <v>1867</v>
      </c>
    </row>
    <row r="1519" spans="1:18" x14ac:dyDescent="0.5">
      <c r="A1519" s="52" t="str">
        <f>"213309PH4"</f>
        <v>213309PH4</v>
      </c>
      <c r="B1519" s="53" t="s">
        <v>491</v>
      </c>
      <c r="C1519" s="53" t="s">
        <v>1868</v>
      </c>
      <c r="D1519" s="53" t="s">
        <v>447</v>
      </c>
      <c r="E1519" s="53">
        <v>4</v>
      </c>
      <c r="F1519" s="54">
        <v>48914</v>
      </c>
      <c r="G1519" s="54">
        <v>47088</v>
      </c>
      <c r="H1519" s="53" t="s">
        <v>624</v>
      </c>
      <c r="I1519" s="53" t="s">
        <v>628</v>
      </c>
      <c r="J1519" s="53" t="s">
        <v>101</v>
      </c>
      <c r="K1519" s="53">
        <v>101.68300000000001</v>
      </c>
      <c r="L1519" s="53" t="s">
        <v>101</v>
      </c>
      <c r="M1519" s="53">
        <v>3.52</v>
      </c>
      <c r="N1519" s="53">
        <v>3.7730000000000001</v>
      </c>
      <c r="O1519" s="53" t="s">
        <v>101</v>
      </c>
      <c r="P1519" s="53" t="s">
        <v>448</v>
      </c>
      <c r="Q1519" s="53" t="s">
        <v>488</v>
      </c>
      <c r="R1519" s="55" t="s">
        <v>630</v>
      </c>
    </row>
    <row r="1520" spans="1:18" x14ac:dyDescent="0.5">
      <c r="A1520" s="56" t="str">
        <f>"215705HN7"</f>
        <v>215705HN7</v>
      </c>
      <c r="B1520" s="57" t="s">
        <v>491</v>
      </c>
      <c r="C1520" s="57" t="s">
        <v>1869</v>
      </c>
      <c r="D1520" s="53" t="s">
        <v>447</v>
      </c>
      <c r="E1520" s="57">
        <v>3.125</v>
      </c>
      <c r="F1520" s="58">
        <v>48914</v>
      </c>
      <c r="G1520" s="58">
        <v>45992</v>
      </c>
      <c r="H1520" s="57" t="s">
        <v>105</v>
      </c>
      <c r="I1520" s="57" t="s">
        <v>628</v>
      </c>
      <c r="J1520" s="57" t="s">
        <v>101</v>
      </c>
      <c r="K1520" s="57">
        <v>94.41</v>
      </c>
      <c r="L1520" s="57" t="s">
        <v>101</v>
      </c>
      <c r="M1520" s="57">
        <v>3.8809999999999998</v>
      </c>
      <c r="N1520" s="57">
        <v>3.8809999999999998</v>
      </c>
      <c r="O1520" s="53" t="s">
        <v>101</v>
      </c>
      <c r="P1520" s="57" t="s">
        <v>448</v>
      </c>
      <c r="Q1520" s="57" t="s">
        <v>618</v>
      </c>
      <c r="R1520" s="59" t="s">
        <v>482</v>
      </c>
    </row>
    <row r="1521" spans="1:18" x14ac:dyDescent="0.5">
      <c r="A1521" s="52" t="str">
        <f>"216048FZ6"</f>
        <v>216048FZ6</v>
      </c>
      <c r="B1521" s="53" t="s">
        <v>491</v>
      </c>
      <c r="C1521" s="53" t="s">
        <v>1870</v>
      </c>
      <c r="D1521" s="53" t="s">
        <v>447</v>
      </c>
      <c r="E1521" s="53">
        <v>3.25</v>
      </c>
      <c r="F1521" s="54">
        <v>48914</v>
      </c>
      <c r="G1521" s="54">
        <v>46357</v>
      </c>
      <c r="H1521" s="53" t="s">
        <v>624</v>
      </c>
      <c r="I1521" s="53" t="s">
        <v>628</v>
      </c>
      <c r="J1521" s="53" t="s">
        <v>101</v>
      </c>
      <c r="K1521" s="53">
        <v>96.137</v>
      </c>
      <c r="L1521" s="53" t="s">
        <v>101</v>
      </c>
      <c r="M1521" s="53">
        <v>3.77</v>
      </c>
      <c r="N1521" s="53">
        <v>3.77</v>
      </c>
      <c r="O1521" s="53" t="s">
        <v>101</v>
      </c>
      <c r="P1521" s="53" t="s">
        <v>448</v>
      </c>
      <c r="Q1521" s="53" t="s">
        <v>475</v>
      </c>
      <c r="R1521" s="55" t="s">
        <v>630</v>
      </c>
    </row>
    <row r="1522" spans="1:18" x14ac:dyDescent="0.5">
      <c r="A1522" s="56" t="str">
        <f>"214057HA2"</f>
        <v>214057HA2</v>
      </c>
      <c r="B1522" s="57" t="s">
        <v>491</v>
      </c>
      <c r="C1522" s="57" t="s">
        <v>1871</v>
      </c>
      <c r="D1522" s="53" t="s">
        <v>447</v>
      </c>
      <c r="E1522" s="57">
        <v>3</v>
      </c>
      <c r="F1522" s="58">
        <v>48914</v>
      </c>
      <c r="G1522" s="58">
        <v>47453</v>
      </c>
      <c r="H1522" s="57" t="s">
        <v>105</v>
      </c>
      <c r="I1522" s="57" t="s">
        <v>628</v>
      </c>
      <c r="J1522" s="57" t="s">
        <v>101</v>
      </c>
      <c r="K1522" s="57">
        <v>92.55</v>
      </c>
      <c r="L1522" s="57" t="s">
        <v>101</v>
      </c>
      <c r="M1522" s="57">
        <v>4.0140000000000002</v>
      </c>
      <c r="N1522" s="57">
        <v>4.0140000000000002</v>
      </c>
      <c r="O1522" s="53" t="s">
        <v>101</v>
      </c>
      <c r="P1522" s="57" t="s">
        <v>448</v>
      </c>
      <c r="Q1522" s="57" t="s">
        <v>573</v>
      </c>
      <c r="R1522" s="59" t="s">
        <v>630</v>
      </c>
    </row>
    <row r="1523" spans="1:18" x14ac:dyDescent="0.5">
      <c r="A1523" s="52" t="str">
        <f>"214165MC3"</f>
        <v>214165MC3</v>
      </c>
      <c r="B1523" s="53" t="s">
        <v>491</v>
      </c>
      <c r="C1523" s="53" t="s">
        <v>1872</v>
      </c>
      <c r="D1523" s="53" t="s">
        <v>447</v>
      </c>
      <c r="E1523" s="53">
        <v>3</v>
      </c>
      <c r="F1523" s="54">
        <v>48914</v>
      </c>
      <c r="G1523" s="54">
        <v>47818</v>
      </c>
      <c r="H1523" s="53" t="s">
        <v>105</v>
      </c>
      <c r="I1523" s="53" t="s">
        <v>628</v>
      </c>
      <c r="J1523" s="53" t="s">
        <v>101</v>
      </c>
      <c r="K1523" s="53">
        <v>92.08</v>
      </c>
      <c r="L1523" s="53" t="s">
        <v>101</v>
      </c>
      <c r="M1523" s="53">
        <v>4.0810000000000004</v>
      </c>
      <c r="N1523" s="53">
        <v>4.0810000000000004</v>
      </c>
      <c r="O1523" s="53" t="s">
        <v>101</v>
      </c>
      <c r="P1523" s="53" t="s">
        <v>448</v>
      </c>
      <c r="Q1523" s="53" t="s">
        <v>488</v>
      </c>
      <c r="R1523" s="55" t="s">
        <v>680</v>
      </c>
    </row>
    <row r="1524" spans="1:18" x14ac:dyDescent="0.5">
      <c r="A1524" s="56" t="str">
        <f>"214885DS1"</f>
        <v>214885DS1</v>
      </c>
      <c r="B1524" s="57" t="s">
        <v>491</v>
      </c>
      <c r="C1524" s="57" t="s">
        <v>1873</v>
      </c>
      <c r="D1524" s="53" t="s">
        <v>447</v>
      </c>
      <c r="E1524" s="57">
        <v>5</v>
      </c>
      <c r="F1524" s="58">
        <v>48914</v>
      </c>
      <c r="G1524" s="58" t="s">
        <v>105</v>
      </c>
      <c r="H1524" s="57" t="s">
        <v>105</v>
      </c>
      <c r="I1524" s="57" t="s">
        <v>628</v>
      </c>
      <c r="J1524" s="57" t="s">
        <v>101</v>
      </c>
      <c r="K1524" s="57">
        <v>110.71</v>
      </c>
      <c r="L1524" s="57" t="s">
        <v>101</v>
      </c>
      <c r="M1524" s="57">
        <v>3.5680000000000001</v>
      </c>
      <c r="N1524" s="57">
        <v>3.5680000000000001</v>
      </c>
      <c r="O1524" s="53" t="s">
        <v>101</v>
      </c>
      <c r="P1524" s="57" t="s">
        <v>448</v>
      </c>
      <c r="Q1524" s="57" t="s">
        <v>479</v>
      </c>
      <c r="R1524" s="59" t="s">
        <v>647</v>
      </c>
    </row>
    <row r="1525" spans="1:18" x14ac:dyDescent="0.5">
      <c r="A1525" s="52" t="str">
        <f>"343334HC5"</f>
        <v>343334HC5</v>
      </c>
      <c r="B1525" s="53" t="s">
        <v>491</v>
      </c>
      <c r="C1525" s="53" t="s">
        <v>1874</v>
      </c>
      <c r="D1525" s="53" t="s">
        <v>447</v>
      </c>
      <c r="E1525" s="53">
        <v>2</v>
      </c>
      <c r="F1525" s="54">
        <v>48914</v>
      </c>
      <c r="G1525" s="54">
        <v>47453</v>
      </c>
      <c r="H1525" s="53" t="s">
        <v>105</v>
      </c>
      <c r="I1525" s="53" t="s">
        <v>509</v>
      </c>
      <c r="J1525" s="53" t="s">
        <v>101</v>
      </c>
      <c r="K1525" s="53">
        <v>82.537000000000006</v>
      </c>
      <c r="L1525" s="53" t="s">
        <v>101</v>
      </c>
      <c r="M1525" s="53">
        <v>4.42</v>
      </c>
      <c r="N1525" s="53">
        <v>4.42</v>
      </c>
      <c r="O1525" s="53" t="s">
        <v>101</v>
      </c>
      <c r="P1525" s="53" t="s">
        <v>448</v>
      </c>
      <c r="Q1525" s="53" t="s">
        <v>475</v>
      </c>
      <c r="R1525" s="55" t="s">
        <v>454</v>
      </c>
    </row>
    <row r="1526" spans="1:18" x14ac:dyDescent="0.5">
      <c r="A1526" s="56" t="str">
        <f>"34682HJE7"</f>
        <v>34682HJE7</v>
      </c>
      <c r="B1526" s="57" t="s">
        <v>451</v>
      </c>
      <c r="C1526" s="57" t="s">
        <v>1875</v>
      </c>
      <c r="D1526" s="53" t="s">
        <v>447</v>
      </c>
      <c r="E1526" s="57">
        <v>3</v>
      </c>
      <c r="F1526" s="58">
        <v>48914</v>
      </c>
      <c r="G1526" s="58">
        <v>45733</v>
      </c>
      <c r="H1526" s="57" t="s">
        <v>105</v>
      </c>
      <c r="I1526" s="57" t="s">
        <v>628</v>
      </c>
      <c r="J1526" s="57" t="s">
        <v>101</v>
      </c>
      <c r="K1526" s="57">
        <v>93.373999999999995</v>
      </c>
      <c r="L1526" s="57" t="s">
        <v>101</v>
      </c>
      <c r="M1526" s="57">
        <v>3.8969999999999998</v>
      </c>
      <c r="N1526" s="57">
        <v>3.8969999999999998</v>
      </c>
      <c r="O1526" s="53" t="s">
        <v>101</v>
      </c>
      <c r="P1526" s="57" t="s">
        <v>448</v>
      </c>
      <c r="Q1526" s="57" t="s">
        <v>556</v>
      </c>
      <c r="R1526" s="59" t="s">
        <v>771</v>
      </c>
    </row>
    <row r="1527" spans="1:18" x14ac:dyDescent="0.5">
      <c r="A1527" s="52" t="str">
        <f>"34682HKF2"</f>
        <v>34682HKF2</v>
      </c>
      <c r="B1527" s="53" t="s">
        <v>451</v>
      </c>
      <c r="C1527" s="53" t="s">
        <v>1876</v>
      </c>
      <c r="D1527" s="53" t="s">
        <v>447</v>
      </c>
      <c r="E1527" s="53">
        <v>2.5</v>
      </c>
      <c r="F1527" s="54">
        <v>48914</v>
      </c>
      <c r="G1527" s="54">
        <v>45733</v>
      </c>
      <c r="H1527" s="53" t="s">
        <v>105</v>
      </c>
      <c r="I1527" s="53" t="s">
        <v>628</v>
      </c>
      <c r="J1527" s="53" t="s">
        <v>101</v>
      </c>
      <c r="K1527" s="53">
        <v>85.789000000000001</v>
      </c>
      <c r="L1527" s="53" t="s">
        <v>101</v>
      </c>
      <c r="M1527" s="53">
        <v>4.4729999999999999</v>
      </c>
      <c r="N1527" s="53">
        <v>4.4729999999999999</v>
      </c>
      <c r="O1527" s="53" t="s">
        <v>101</v>
      </c>
      <c r="P1527" s="53" t="s">
        <v>448</v>
      </c>
      <c r="Q1527" s="53" t="s">
        <v>571</v>
      </c>
      <c r="R1527" s="55" t="s">
        <v>771</v>
      </c>
    </row>
    <row r="1528" spans="1:18" x14ac:dyDescent="0.5">
      <c r="A1528" s="56" t="str">
        <f>"34682HRC2"</f>
        <v>34682HRC2</v>
      </c>
      <c r="B1528" s="57" t="s">
        <v>451</v>
      </c>
      <c r="C1528" s="57" t="s">
        <v>1877</v>
      </c>
      <c r="D1528" s="53" t="s">
        <v>447</v>
      </c>
      <c r="E1528" s="57">
        <v>2.5</v>
      </c>
      <c r="F1528" s="58">
        <v>48914</v>
      </c>
      <c r="G1528" s="58">
        <v>45992</v>
      </c>
      <c r="H1528" s="57" t="s">
        <v>105</v>
      </c>
      <c r="I1528" s="57" t="s">
        <v>628</v>
      </c>
      <c r="J1528" s="57" t="s">
        <v>101</v>
      </c>
      <c r="K1528" s="57">
        <v>85.713999999999999</v>
      </c>
      <c r="L1528" s="57" t="s">
        <v>101</v>
      </c>
      <c r="M1528" s="57">
        <v>4.4850000000000003</v>
      </c>
      <c r="N1528" s="57">
        <v>4.4850000000000003</v>
      </c>
      <c r="O1528" s="53" t="s">
        <v>101</v>
      </c>
      <c r="P1528" s="57" t="s">
        <v>448</v>
      </c>
      <c r="Q1528" s="57" t="s">
        <v>488</v>
      </c>
      <c r="R1528" s="59" t="s">
        <v>771</v>
      </c>
    </row>
    <row r="1529" spans="1:18" x14ac:dyDescent="0.5">
      <c r="A1529" s="52" t="str">
        <f>"34682HSV9"</f>
        <v>34682HSV9</v>
      </c>
      <c r="B1529" s="53" t="s">
        <v>451</v>
      </c>
      <c r="C1529" s="53" t="s">
        <v>1878</v>
      </c>
      <c r="D1529" s="53" t="s">
        <v>447</v>
      </c>
      <c r="E1529" s="53">
        <v>2</v>
      </c>
      <c r="F1529" s="54">
        <v>48914</v>
      </c>
      <c r="G1529" s="54">
        <v>46357</v>
      </c>
      <c r="H1529" s="53" t="s">
        <v>105</v>
      </c>
      <c r="I1529" s="53" t="s">
        <v>628</v>
      </c>
      <c r="J1529" s="53" t="s">
        <v>101</v>
      </c>
      <c r="K1529" s="53">
        <v>81.03</v>
      </c>
      <c r="L1529" s="53" t="s">
        <v>101</v>
      </c>
      <c r="M1529" s="53">
        <v>4.6550000000000002</v>
      </c>
      <c r="N1529" s="53">
        <v>4.6550000000000002</v>
      </c>
      <c r="O1529" s="53" t="s">
        <v>101</v>
      </c>
      <c r="P1529" s="53" t="s">
        <v>448</v>
      </c>
      <c r="Q1529" s="53" t="s">
        <v>488</v>
      </c>
      <c r="R1529" s="55" t="s">
        <v>771</v>
      </c>
    </row>
    <row r="1530" spans="1:18" x14ac:dyDescent="0.5">
      <c r="A1530" s="56" t="str">
        <f>"45204EG85"</f>
        <v>45204EG85</v>
      </c>
      <c r="B1530" s="57" t="s">
        <v>491</v>
      </c>
      <c r="C1530" s="57" t="s">
        <v>1879</v>
      </c>
      <c r="D1530" s="53" t="s">
        <v>447</v>
      </c>
      <c r="E1530" s="57">
        <v>3.375</v>
      </c>
      <c r="F1530" s="58">
        <v>48914</v>
      </c>
      <c r="G1530" s="58">
        <v>46722</v>
      </c>
      <c r="H1530" s="57" t="s">
        <v>641</v>
      </c>
      <c r="I1530" s="57" t="s">
        <v>628</v>
      </c>
      <c r="J1530" s="57" t="s">
        <v>101</v>
      </c>
      <c r="K1530" s="57">
        <v>98.59</v>
      </c>
      <c r="L1530" s="57" t="s">
        <v>101</v>
      </c>
      <c r="M1530" s="57">
        <v>3.5630000000000002</v>
      </c>
      <c r="N1530" s="57">
        <v>3.5630000000000002</v>
      </c>
      <c r="O1530" s="53" t="s">
        <v>101</v>
      </c>
      <c r="P1530" s="57" t="s">
        <v>448</v>
      </c>
      <c r="Q1530" s="57" t="s">
        <v>503</v>
      </c>
      <c r="R1530" s="59" t="s">
        <v>771</v>
      </c>
    </row>
    <row r="1531" spans="1:18" x14ac:dyDescent="0.5">
      <c r="A1531" s="52" t="str">
        <f>"452153HD4"</f>
        <v>452153HD4</v>
      </c>
      <c r="B1531" s="53" t="s">
        <v>491</v>
      </c>
      <c r="C1531" s="53" t="s">
        <v>1880</v>
      </c>
      <c r="D1531" s="53" t="s">
        <v>447</v>
      </c>
      <c r="E1531" s="53">
        <v>5</v>
      </c>
      <c r="F1531" s="54">
        <v>48914</v>
      </c>
      <c r="G1531" s="54" t="s">
        <v>105</v>
      </c>
      <c r="H1531" s="53" t="s">
        <v>627</v>
      </c>
      <c r="I1531" s="53" t="s">
        <v>713</v>
      </c>
      <c r="J1531" s="53">
        <v>108.176</v>
      </c>
      <c r="K1531" s="53">
        <v>111.16</v>
      </c>
      <c r="L1531" s="53">
        <v>3.8919999999999999</v>
      </c>
      <c r="M1531" s="53">
        <v>3.512</v>
      </c>
      <c r="N1531" s="53">
        <v>3.512</v>
      </c>
      <c r="O1531" s="53" t="s">
        <v>101</v>
      </c>
      <c r="P1531" s="53" t="s">
        <v>735</v>
      </c>
      <c r="Q1531" s="53" t="s">
        <v>488</v>
      </c>
      <c r="R1531" s="55" t="s">
        <v>603</v>
      </c>
    </row>
    <row r="1532" spans="1:18" x14ac:dyDescent="0.5">
      <c r="A1532" s="56" t="str">
        <f>"535097ER6"</f>
        <v>535097ER6</v>
      </c>
      <c r="B1532" s="57" t="s">
        <v>491</v>
      </c>
      <c r="C1532" s="57" t="s">
        <v>1881</v>
      </c>
      <c r="D1532" s="53" t="s">
        <v>447</v>
      </c>
      <c r="E1532" s="57">
        <v>3</v>
      </c>
      <c r="F1532" s="58">
        <v>48914</v>
      </c>
      <c r="G1532" s="58">
        <v>47088</v>
      </c>
      <c r="H1532" s="57" t="s">
        <v>613</v>
      </c>
      <c r="I1532" s="57" t="s">
        <v>105</v>
      </c>
      <c r="J1532" s="57" t="s">
        <v>101</v>
      </c>
      <c r="K1532" s="57">
        <v>94.162999999999997</v>
      </c>
      <c r="L1532" s="57" t="s">
        <v>101</v>
      </c>
      <c r="M1532" s="57">
        <v>3.7869999999999999</v>
      </c>
      <c r="N1532" s="57">
        <v>3.7869999999999999</v>
      </c>
      <c r="O1532" s="53" t="s">
        <v>101</v>
      </c>
      <c r="P1532" s="57" t="s">
        <v>448</v>
      </c>
      <c r="Q1532" s="57" t="s">
        <v>1702</v>
      </c>
      <c r="R1532" s="59" t="s">
        <v>482</v>
      </c>
    </row>
    <row r="1533" spans="1:18" x14ac:dyDescent="0.5">
      <c r="A1533" s="52" t="str">
        <f>"541100CD3"</f>
        <v>541100CD3</v>
      </c>
      <c r="B1533" s="53" t="s">
        <v>491</v>
      </c>
      <c r="C1533" s="53" t="s">
        <v>1882</v>
      </c>
      <c r="D1533" s="53" t="s">
        <v>447</v>
      </c>
      <c r="E1533" s="53">
        <v>3.25</v>
      </c>
      <c r="F1533" s="54">
        <v>48914</v>
      </c>
      <c r="G1533" s="54">
        <v>45733</v>
      </c>
      <c r="H1533" s="53" t="s">
        <v>105</v>
      </c>
      <c r="I1533" s="53" t="s">
        <v>628</v>
      </c>
      <c r="J1533" s="53" t="s">
        <v>101</v>
      </c>
      <c r="K1533" s="53">
        <v>94.99</v>
      </c>
      <c r="L1533" s="53" t="s">
        <v>101</v>
      </c>
      <c r="M1533" s="53">
        <v>3.9289999999999998</v>
      </c>
      <c r="N1533" s="53">
        <v>3.9289999999999998</v>
      </c>
      <c r="O1533" s="53" t="s">
        <v>101</v>
      </c>
      <c r="P1533" s="53" t="s">
        <v>448</v>
      </c>
      <c r="Q1533" s="53" t="s">
        <v>488</v>
      </c>
      <c r="R1533" s="55" t="s">
        <v>630</v>
      </c>
    </row>
    <row r="1534" spans="1:18" x14ac:dyDescent="0.5">
      <c r="A1534" s="56" t="str">
        <f>"61374GBG8"</f>
        <v>61374GBG8</v>
      </c>
      <c r="B1534" s="57" t="s">
        <v>451</v>
      </c>
      <c r="C1534" s="57" t="s">
        <v>1883</v>
      </c>
      <c r="D1534" s="53" t="s">
        <v>447</v>
      </c>
      <c r="E1534" s="57">
        <v>6.625</v>
      </c>
      <c r="F1534" s="58">
        <v>48914</v>
      </c>
      <c r="G1534" s="58">
        <v>48183</v>
      </c>
      <c r="H1534" s="57" t="s">
        <v>105</v>
      </c>
      <c r="I1534" s="57" t="s">
        <v>628</v>
      </c>
      <c r="J1534" s="57" t="s">
        <v>101</v>
      </c>
      <c r="K1534" s="57">
        <v>118.724</v>
      </c>
      <c r="L1534" s="57" t="s">
        <v>101</v>
      </c>
      <c r="M1534" s="57">
        <v>3.5</v>
      </c>
      <c r="N1534" s="57">
        <v>4.0679999999999996</v>
      </c>
      <c r="O1534" s="53" t="s">
        <v>101</v>
      </c>
      <c r="P1534" s="57" t="s">
        <v>448</v>
      </c>
      <c r="Q1534" s="57" t="s">
        <v>715</v>
      </c>
      <c r="R1534" s="59" t="s">
        <v>630</v>
      </c>
    </row>
    <row r="1535" spans="1:18" x14ac:dyDescent="0.5">
      <c r="A1535" s="52" t="str">
        <f>"622826YN9"</f>
        <v>622826YN9</v>
      </c>
      <c r="B1535" s="53" t="s">
        <v>491</v>
      </c>
      <c r="C1535" s="53" t="s">
        <v>1884</v>
      </c>
      <c r="D1535" s="53" t="s">
        <v>447</v>
      </c>
      <c r="E1535" s="53">
        <v>3</v>
      </c>
      <c r="F1535" s="54">
        <v>48914</v>
      </c>
      <c r="G1535" s="54">
        <v>46357</v>
      </c>
      <c r="H1535" s="53" t="s">
        <v>105</v>
      </c>
      <c r="I1535" s="53" t="s">
        <v>509</v>
      </c>
      <c r="J1535" s="53" t="s">
        <v>101</v>
      </c>
      <c r="K1535" s="53">
        <v>94.6</v>
      </c>
      <c r="L1535" s="53" t="s">
        <v>101</v>
      </c>
      <c r="M1535" s="53">
        <v>3.726</v>
      </c>
      <c r="N1535" s="53">
        <v>3.726</v>
      </c>
      <c r="O1535" s="53" t="s">
        <v>101</v>
      </c>
      <c r="P1535" s="53" t="s">
        <v>448</v>
      </c>
      <c r="Q1535" s="53" t="s">
        <v>565</v>
      </c>
      <c r="R1535" s="55" t="s">
        <v>454</v>
      </c>
    </row>
    <row r="1536" spans="1:18" x14ac:dyDescent="0.5">
      <c r="A1536" s="56" t="str">
        <f>"622826ZG3"</f>
        <v>622826ZG3</v>
      </c>
      <c r="B1536" s="57" t="s">
        <v>491</v>
      </c>
      <c r="C1536" s="57" t="s">
        <v>1885</v>
      </c>
      <c r="D1536" s="53" t="s">
        <v>447</v>
      </c>
      <c r="E1536" s="57">
        <v>3</v>
      </c>
      <c r="F1536" s="58">
        <v>48914</v>
      </c>
      <c r="G1536" s="58">
        <v>48183</v>
      </c>
      <c r="H1536" s="57" t="s">
        <v>105</v>
      </c>
      <c r="I1536" s="57" t="s">
        <v>509</v>
      </c>
      <c r="J1536" s="57" t="s">
        <v>101</v>
      </c>
      <c r="K1536" s="57">
        <v>95.040999999999997</v>
      </c>
      <c r="L1536" s="57" t="s">
        <v>101</v>
      </c>
      <c r="M1536" s="57">
        <v>3.665</v>
      </c>
      <c r="N1536" s="57">
        <v>3.665</v>
      </c>
      <c r="O1536" s="53" t="s">
        <v>101</v>
      </c>
      <c r="P1536" s="57" t="s">
        <v>448</v>
      </c>
      <c r="Q1536" s="57" t="s">
        <v>790</v>
      </c>
      <c r="R1536" s="59" t="s">
        <v>482</v>
      </c>
    </row>
    <row r="1537" spans="1:18" x14ac:dyDescent="0.5">
      <c r="A1537" s="52" t="str">
        <f>"654200ME1"</f>
        <v>654200ME1</v>
      </c>
      <c r="B1537" s="53" t="s">
        <v>491</v>
      </c>
      <c r="C1537" s="53" t="s">
        <v>1886</v>
      </c>
      <c r="D1537" s="53" t="s">
        <v>447</v>
      </c>
      <c r="E1537" s="53">
        <v>3.625</v>
      </c>
      <c r="F1537" s="54">
        <v>48914</v>
      </c>
      <c r="G1537" s="54">
        <v>46357</v>
      </c>
      <c r="H1537" s="53" t="s">
        <v>105</v>
      </c>
      <c r="I1537" s="53" t="s">
        <v>628</v>
      </c>
      <c r="J1537" s="53" t="s">
        <v>101</v>
      </c>
      <c r="K1537" s="53">
        <v>100.04</v>
      </c>
      <c r="L1537" s="53" t="s">
        <v>101</v>
      </c>
      <c r="M1537" s="53">
        <v>3.5990000000000002</v>
      </c>
      <c r="N1537" s="53">
        <v>3.6190000000000002</v>
      </c>
      <c r="O1537" s="53" t="s">
        <v>101</v>
      </c>
      <c r="P1537" s="53" t="s">
        <v>448</v>
      </c>
      <c r="Q1537" s="53" t="s">
        <v>503</v>
      </c>
      <c r="R1537" s="55" t="s">
        <v>454</v>
      </c>
    </row>
    <row r="1538" spans="1:18" x14ac:dyDescent="0.5">
      <c r="A1538" s="56" t="str">
        <f>"663821WL6"</f>
        <v>663821WL6</v>
      </c>
      <c r="B1538" s="57" t="s">
        <v>491</v>
      </c>
      <c r="C1538" s="57" t="s">
        <v>1887</v>
      </c>
      <c r="D1538" s="53" t="s">
        <v>447</v>
      </c>
      <c r="E1538" s="57">
        <v>3.375</v>
      </c>
      <c r="F1538" s="58">
        <v>48914</v>
      </c>
      <c r="G1538" s="58">
        <v>45992</v>
      </c>
      <c r="H1538" s="57" t="s">
        <v>104</v>
      </c>
      <c r="I1538" s="57" t="s">
        <v>104</v>
      </c>
      <c r="J1538" s="57" t="s">
        <v>101</v>
      </c>
      <c r="K1538" s="57">
        <v>98.7</v>
      </c>
      <c r="L1538" s="57" t="s">
        <v>101</v>
      </c>
      <c r="M1538" s="57">
        <v>3.548</v>
      </c>
      <c r="N1538" s="57">
        <v>3.548</v>
      </c>
      <c r="O1538" s="53" t="s">
        <v>101</v>
      </c>
      <c r="P1538" s="57" t="s">
        <v>448</v>
      </c>
      <c r="Q1538" s="57" t="s">
        <v>488</v>
      </c>
      <c r="R1538" s="59" t="s">
        <v>454</v>
      </c>
    </row>
    <row r="1539" spans="1:18" x14ac:dyDescent="0.5">
      <c r="A1539" s="52" t="str">
        <f>"68825E7Z6"</f>
        <v>68825E7Z6</v>
      </c>
      <c r="B1539" s="53" t="s">
        <v>496</v>
      </c>
      <c r="C1539" s="53" t="s">
        <v>1888</v>
      </c>
      <c r="D1539" s="53" t="s">
        <v>447</v>
      </c>
      <c r="E1539" s="53">
        <v>3</v>
      </c>
      <c r="F1539" s="54">
        <v>48914</v>
      </c>
      <c r="G1539" s="54">
        <v>45733</v>
      </c>
      <c r="H1539" s="53" t="s">
        <v>624</v>
      </c>
      <c r="I1539" s="53" t="s">
        <v>105</v>
      </c>
      <c r="J1539" s="53" t="s">
        <v>101</v>
      </c>
      <c r="K1539" s="53">
        <v>92.706999999999994</v>
      </c>
      <c r="L1539" s="53" t="s">
        <v>101</v>
      </c>
      <c r="M1539" s="53">
        <v>3.992</v>
      </c>
      <c r="N1539" s="53">
        <v>3.992</v>
      </c>
      <c r="O1539" s="53" t="s">
        <v>101</v>
      </c>
      <c r="P1539" s="53" t="s">
        <v>448</v>
      </c>
      <c r="Q1539" s="53" t="s">
        <v>485</v>
      </c>
      <c r="R1539" s="55" t="s">
        <v>454</v>
      </c>
    </row>
    <row r="1540" spans="1:18" x14ac:dyDescent="0.5">
      <c r="A1540" s="56" t="str">
        <f>"702725J94"</f>
        <v>702725J94</v>
      </c>
      <c r="B1540" s="57" t="s">
        <v>477</v>
      </c>
      <c r="C1540" s="57" t="s">
        <v>1889</v>
      </c>
      <c r="D1540" s="53" t="s">
        <v>447</v>
      </c>
      <c r="E1540" s="57">
        <v>2.5</v>
      </c>
      <c r="F1540" s="58">
        <v>48914</v>
      </c>
      <c r="G1540" s="58">
        <v>46722</v>
      </c>
      <c r="H1540" s="57" t="s">
        <v>540</v>
      </c>
      <c r="I1540" s="57" t="s">
        <v>628</v>
      </c>
      <c r="J1540" s="57" t="s">
        <v>101</v>
      </c>
      <c r="K1540" s="57">
        <v>89.32</v>
      </c>
      <c r="L1540" s="57" t="s">
        <v>101</v>
      </c>
      <c r="M1540" s="57">
        <v>3.95</v>
      </c>
      <c r="N1540" s="57">
        <v>3.95</v>
      </c>
      <c r="O1540" s="53" t="s">
        <v>101</v>
      </c>
      <c r="P1540" s="57" t="s">
        <v>448</v>
      </c>
      <c r="Q1540" s="57" t="s">
        <v>1890</v>
      </c>
      <c r="R1540" s="59" t="s">
        <v>482</v>
      </c>
    </row>
    <row r="1541" spans="1:18" x14ac:dyDescent="0.5">
      <c r="A1541" s="52" t="str">
        <f>"702826KE7"</f>
        <v>702826KE7</v>
      </c>
      <c r="B1541" s="53" t="s">
        <v>477</v>
      </c>
      <c r="C1541" s="53" t="s">
        <v>1891</v>
      </c>
      <c r="D1541" s="53" t="s">
        <v>447</v>
      </c>
      <c r="E1541" s="53">
        <v>3</v>
      </c>
      <c r="F1541" s="54">
        <v>48914</v>
      </c>
      <c r="G1541" s="54">
        <v>46357</v>
      </c>
      <c r="H1541" s="53" t="s">
        <v>641</v>
      </c>
      <c r="I1541" s="53" t="s">
        <v>628</v>
      </c>
      <c r="J1541" s="53" t="s">
        <v>101</v>
      </c>
      <c r="K1541" s="53">
        <v>94.281999999999996</v>
      </c>
      <c r="L1541" s="53" t="s">
        <v>101</v>
      </c>
      <c r="M1541" s="53">
        <v>3.77</v>
      </c>
      <c r="N1541" s="53">
        <v>3.77</v>
      </c>
      <c r="O1541" s="53" t="s">
        <v>101</v>
      </c>
      <c r="P1541" s="53" t="s">
        <v>448</v>
      </c>
      <c r="Q1541" s="53" t="s">
        <v>479</v>
      </c>
      <c r="R1541" s="55" t="s">
        <v>771</v>
      </c>
    </row>
    <row r="1542" spans="1:18" x14ac:dyDescent="0.5">
      <c r="A1542" s="56" t="str">
        <f>"731554BS9"</f>
        <v>731554BS9</v>
      </c>
      <c r="B1542" s="57" t="s">
        <v>491</v>
      </c>
      <c r="C1542" s="57" t="s">
        <v>1892</v>
      </c>
      <c r="D1542" s="53" t="s">
        <v>447</v>
      </c>
      <c r="E1542" s="57">
        <v>5</v>
      </c>
      <c r="F1542" s="58">
        <v>48914</v>
      </c>
      <c r="G1542" s="58" t="s">
        <v>105</v>
      </c>
      <c r="H1542" s="57" t="s">
        <v>105</v>
      </c>
      <c r="I1542" s="57" t="s">
        <v>628</v>
      </c>
      <c r="J1542" s="57" t="s">
        <v>101</v>
      </c>
      <c r="K1542" s="57">
        <v>110.13500000000001</v>
      </c>
      <c r="L1542" s="57" t="s">
        <v>101</v>
      </c>
      <c r="M1542" s="57">
        <v>3.641</v>
      </c>
      <c r="N1542" s="57">
        <v>3.641</v>
      </c>
      <c r="O1542" s="53" t="s">
        <v>101</v>
      </c>
      <c r="P1542" s="57" t="s">
        <v>448</v>
      </c>
      <c r="Q1542" s="57" t="s">
        <v>485</v>
      </c>
      <c r="R1542" s="59" t="s">
        <v>896</v>
      </c>
    </row>
    <row r="1543" spans="1:18" x14ac:dyDescent="0.5">
      <c r="A1543" s="52" t="str">
        <f>"839669PE2"</f>
        <v>839669PE2</v>
      </c>
      <c r="B1543" s="53" t="s">
        <v>477</v>
      </c>
      <c r="C1543" s="53" t="s">
        <v>1893</v>
      </c>
      <c r="D1543" s="53" t="s">
        <v>447</v>
      </c>
      <c r="E1543" s="53">
        <v>2.375</v>
      </c>
      <c r="F1543" s="54">
        <v>48914</v>
      </c>
      <c r="G1543" s="54">
        <v>46357</v>
      </c>
      <c r="H1543" s="53" t="s">
        <v>105</v>
      </c>
      <c r="I1543" s="53" t="s">
        <v>628</v>
      </c>
      <c r="J1543" s="53" t="s">
        <v>101</v>
      </c>
      <c r="K1543" s="53">
        <v>86.013000000000005</v>
      </c>
      <c r="L1543" s="53" t="s">
        <v>101</v>
      </c>
      <c r="M1543" s="53">
        <v>4.3029999999999999</v>
      </c>
      <c r="N1543" s="53">
        <v>4.3029999999999999</v>
      </c>
      <c r="O1543" s="53" t="s">
        <v>101</v>
      </c>
      <c r="P1543" s="53" t="s">
        <v>448</v>
      </c>
      <c r="Q1543" s="53" t="s">
        <v>460</v>
      </c>
      <c r="R1543" s="55" t="s">
        <v>454</v>
      </c>
    </row>
    <row r="1544" spans="1:18" x14ac:dyDescent="0.5">
      <c r="A1544" s="56" t="str">
        <f>"97712DPQ3"</f>
        <v>97712DPQ3</v>
      </c>
      <c r="B1544" s="57" t="s">
        <v>496</v>
      </c>
      <c r="C1544" s="57" t="s">
        <v>1894</v>
      </c>
      <c r="D1544" s="53" t="s">
        <v>447</v>
      </c>
      <c r="E1544" s="57">
        <v>3</v>
      </c>
      <c r="F1544" s="58">
        <v>48914</v>
      </c>
      <c r="G1544" s="58">
        <v>46327</v>
      </c>
      <c r="H1544" s="57" t="s">
        <v>624</v>
      </c>
      <c r="I1544" s="57" t="s">
        <v>616</v>
      </c>
      <c r="J1544" s="57" t="s">
        <v>101</v>
      </c>
      <c r="K1544" s="57">
        <v>93.688999999999993</v>
      </c>
      <c r="L1544" s="57" t="s">
        <v>101</v>
      </c>
      <c r="M1544" s="57">
        <v>3.8530000000000002</v>
      </c>
      <c r="N1544" s="57">
        <v>3.8530000000000002</v>
      </c>
      <c r="O1544" s="53" t="s">
        <v>101</v>
      </c>
      <c r="P1544" s="57" t="s">
        <v>448</v>
      </c>
      <c r="Q1544" s="57" t="s">
        <v>485</v>
      </c>
      <c r="R1544" s="59" t="s">
        <v>506</v>
      </c>
    </row>
    <row r="1545" spans="1:18" x14ac:dyDescent="0.5">
      <c r="A1545" s="52" t="str">
        <f>"483862NH7"</f>
        <v>483862NH7</v>
      </c>
      <c r="B1545" s="53" t="s">
        <v>491</v>
      </c>
      <c r="C1545" s="53" t="s">
        <v>1895</v>
      </c>
      <c r="D1545" s="53" t="s">
        <v>447</v>
      </c>
      <c r="E1545" s="53">
        <v>3.375</v>
      </c>
      <c r="F1545" s="54">
        <v>48928</v>
      </c>
      <c r="G1545" s="54">
        <v>46006</v>
      </c>
      <c r="H1545" s="53" t="s">
        <v>105</v>
      </c>
      <c r="I1545" s="53" t="s">
        <v>509</v>
      </c>
      <c r="J1545" s="53" t="s">
        <v>101</v>
      </c>
      <c r="K1545" s="53">
        <v>98.55</v>
      </c>
      <c r="L1545" s="53" t="s">
        <v>101</v>
      </c>
      <c r="M1545" s="53">
        <v>3.5680000000000001</v>
      </c>
      <c r="N1545" s="53">
        <v>3.5680000000000001</v>
      </c>
      <c r="O1545" s="53" t="s">
        <v>101</v>
      </c>
      <c r="P1545" s="53" t="s">
        <v>448</v>
      </c>
      <c r="Q1545" s="53" t="s">
        <v>503</v>
      </c>
      <c r="R1545" s="55" t="s">
        <v>454</v>
      </c>
    </row>
    <row r="1546" spans="1:18" x14ac:dyDescent="0.5">
      <c r="A1546" s="56" t="str">
        <f>"592247K33"</f>
        <v>592247K33</v>
      </c>
      <c r="B1546" s="57" t="s">
        <v>491</v>
      </c>
      <c r="C1546" s="57" t="s">
        <v>1896</v>
      </c>
      <c r="D1546" s="53" t="s">
        <v>447</v>
      </c>
      <c r="E1546" s="57">
        <v>0</v>
      </c>
      <c r="F1546" s="58">
        <v>48928</v>
      </c>
      <c r="G1546" s="58" t="s">
        <v>105</v>
      </c>
      <c r="H1546" s="57" t="s">
        <v>677</v>
      </c>
      <c r="I1546" s="57" t="s">
        <v>611</v>
      </c>
      <c r="J1546" s="57">
        <v>67.504000000000005</v>
      </c>
      <c r="K1546" s="57">
        <v>72.067999999999998</v>
      </c>
      <c r="L1546" s="57">
        <v>4.5030000000000001</v>
      </c>
      <c r="M1546" s="57">
        <v>3.746</v>
      </c>
      <c r="N1546" s="57">
        <v>3.746</v>
      </c>
      <c r="O1546" s="53" t="s">
        <v>101</v>
      </c>
      <c r="P1546" s="57" t="s">
        <v>735</v>
      </c>
      <c r="Q1546" s="57" t="s">
        <v>556</v>
      </c>
      <c r="R1546" s="59" t="s">
        <v>896</v>
      </c>
    </row>
    <row r="1547" spans="1:18" x14ac:dyDescent="0.5">
      <c r="A1547" s="52" t="str">
        <f>"626082JC6"</f>
        <v>626082JC6</v>
      </c>
      <c r="B1547" s="53" t="s">
        <v>491</v>
      </c>
      <c r="C1547" s="53" t="s">
        <v>1897</v>
      </c>
      <c r="D1547" s="53" t="s">
        <v>447</v>
      </c>
      <c r="E1547" s="53">
        <v>4</v>
      </c>
      <c r="F1547" s="54">
        <v>48928</v>
      </c>
      <c r="G1547" s="54">
        <v>47102</v>
      </c>
      <c r="H1547" s="53" t="s">
        <v>105</v>
      </c>
      <c r="I1547" s="53" t="s">
        <v>628</v>
      </c>
      <c r="J1547" s="53" t="s">
        <v>101</v>
      </c>
      <c r="K1547" s="53">
        <v>101.55200000000001</v>
      </c>
      <c r="L1547" s="53" t="s">
        <v>101</v>
      </c>
      <c r="M1547" s="53">
        <v>3.5609999999999999</v>
      </c>
      <c r="N1547" s="53">
        <v>3.7909999999999999</v>
      </c>
      <c r="O1547" s="53" t="s">
        <v>101</v>
      </c>
      <c r="P1547" s="53" t="s">
        <v>448</v>
      </c>
      <c r="Q1547" s="53" t="s">
        <v>485</v>
      </c>
      <c r="R1547" s="55" t="s">
        <v>680</v>
      </c>
    </row>
    <row r="1548" spans="1:18" x14ac:dyDescent="0.5">
      <c r="A1548" s="56" t="str">
        <f>"646136WQ0"</f>
        <v>646136WQ0</v>
      </c>
      <c r="B1548" s="57" t="s">
        <v>477</v>
      </c>
      <c r="C1548" s="57" t="s">
        <v>1898</v>
      </c>
      <c r="D1548" s="53" t="s">
        <v>447</v>
      </c>
      <c r="E1548" s="57">
        <v>0</v>
      </c>
      <c r="F1548" s="58">
        <v>48928</v>
      </c>
      <c r="G1548" s="58" t="s">
        <v>101</v>
      </c>
      <c r="H1548" s="57" t="s">
        <v>610</v>
      </c>
      <c r="I1548" s="57" t="s">
        <v>713</v>
      </c>
      <c r="J1548" s="57" t="s">
        <v>101</v>
      </c>
      <c r="K1548" s="57">
        <v>71.694999999999993</v>
      </c>
      <c r="L1548" s="57" t="s">
        <v>101</v>
      </c>
      <c r="M1548" s="57">
        <v>3.806</v>
      </c>
      <c r="N1548" s="57">
        <v>3.806</v>
      </c>
      <c r="O1548" s="53" t="s">
        <v>101</v>
      </c>
      <c r="P1548" s="57" t="s">
        <v>448</v>
      </c>
      <c r="Q1548" s="57" t="s">
        <v>591</v>
      </c>
      <c r="R1548" s="59" t="s">
        <v>450</v>
      </c>
    </row>
    <row r="1549" spans="1:18" x14ac:dyDescent="0.5">
      <c r="A1549" s="52" t="str">
        <f>"646136XL0"</f>
        <v>646136XL0</v>
      </c>
      <c r="B1549" s="53" t="s">
        <v>477</v>
      </c>
      <c r="C1549" s="53" t="s">
        <v>1899</v>
      </c>
      <c r="D1549" s="53" t="s">
        <v>447</v>
      </c>
      <c r="E1549" s="53">
        <v>0</v>
      </c>
      <c r="F1549" s="54">
        <v>48928</v>
      </c>
      <c r="G1549" s="54" t="s">
        <v>101</v>
      </c>
      <c r="H1549" s="53" t="s">
        <v>610</v>
      </c>
      <c r="I1549" s="53" t="s">
        <v>713</v>
      </c>
      <c r="J1549" s="53" t="s">
        <v>101</v>
      </c>
      <c r="K1549" s="53">
        <v>71.694999999999993</v>
      </c>
      <c r="L1549" s="53" t="s">
        <v>101</v>
      </c>
      <c r="M1549" s="53">
        <v>3.806</v>
      </c>
      <c r="N1549" s="53">
        <v>3.806</v>
      </c>
      <c r="O1549" s="53" t="s">
        <v>101</v>
      </c>
      <c r="P1549" s="53" t="s">
        <v>448</v>
      </c>
      <c r="Q1549" s="53" t="s">
        <v>556</v>
      </c>
      <c r="R1549" s="55" t="s">
        <v>450</v>
      </c>
    </row>
    <row r="1550" spans="1:18" x14ac:dyDescent="0.5">
      <c r="A1550" s="56" t="str">
        <f>"65956NGW0"</f>
        <v>65956NGW0</v>
      </c>
      <c r="B1550" s="57" t="s">
        <v>451</v>
      </c>
      <c r="C1550" s="57" t="s">
        <v>1900</v>
      </c>
      <c r="D1550" s="53" t="s">
        <v>447</v>
      </c>
      <c r="E1550" s="57">
        <v>5</v>
      </c>
      <c r="F1550" s="58">
        <v>48928</v>
      </c>
      <c r="G1550" s="58">
        <v>46371</v>
      </c>
      <c r="H1550" s="57" t="s">
        <v>105</v>
      </c>
      <c r="I1550" s="57" t="s">
        <v>616</v>
      </c>
      <c r="J1550" s="57" t="s">
        <v>101</v>
      </c>
      <c r="K1550" s="57">
        <v>102.476</v>
      </c>
      <c r="L1550" s="57" t="s">
        <v>101</v>
      </c>
      <c r="M1550" s="57">
        <v>3.5830000000000002</v>
      </c>
      <c r="N1550" s="57">
        <v>4.6539999999999999</v>
      </c>
      <c r="O1550" s="53" t="s">
        <v>101</v>
      </c>
      <c r="P1550" s="57" t="s">
        <v>448</v>
      </c>
      <c r="Q1550" s="57" t="s">
        <v>488</v>
      </c>
      <c r="R1550" s="59" t="s">
        <v>589</v>
      </c>
    </row>
    <row r="1551" spans="1:18" x14ac:dyDescent="0.5">
      <c r="A1551" s="52" t="str">
        <f>"769290FJ1"</f>
        <v>769290FJ1</v>
      </c>
      <c r="B1551" s="53" t="s">
        <v>477</v>
      </c>
      <c r="C1551" s="53" t="s">
        <v>1901</v>
      </c>
      <c r="D1551" s="53" t="s">
        <v>447</v>
      </c>
      <c r="E1551" s="53">
        <v>2.25</v>
      </c>
      <c r="F1551" s="54">
        <v>48928</v>
      </c>
      <c r="G1551" s="54">
        <v>46371</v>
      </c>
      <c r="H1551" s="53" t="s">
        <v>641</v>
      </c>
      <c r="I1551" s="53" t="s">
        <v>628</v>
      </c>
      <c r="J1551" s="53" t="s">
        <v>101</v>
      </c>
      <c r="K1551" s="53">
        <v>84.858000000000004</v>
      </c>
      <c r="L1551" s="53" t="s">
        <v>101</v>
      </c>
      <c r="M1551" s="53">
        <v>4.3330000000000002</v>
      </c>
      <c r="N1551" s="53">
        <v>4.3330000000000002</v>
      </c>
      <c r="O1551" s="53" t="s">
        <v>101</v>
      </c>
      <c r="P1551" s="53" t="s">
        <v>448</v>
      </c>
      <c r="Q1551" s="53" t="s">
        <v>488</v>
      </c>
      <c r="R1551" s="55" t="s">
        <v>630</v>
      </c>
    </row>
    <row r="1552" spans="1:18" x14ac:dyDescent="0.5">
      <c r="A1552" s="56" t="str">
        <f>"800711CX9"</f>
        <v>800711CX9</v>
      </c>
      <c r="B1552" s="57" t="s">
        <v>491</v>
      </c>
      <c r="C1552" s="57" t="s">
        <v>1902</v>
      </c>
      <c r="D1552" s="53" t="s">
        <v>447</v>
      </c>
      <c r="E1552" s="57">
        <v>3</v>
      </c>
      <c r="F1552" s="58">
        <v>48928</v>
      </c>
      <c r="G1552" s="58">
        <v>47467</v>
      </c>
      <c r="H1552" s="57" t="s">
        <v>105</v>
      </c>
      <c r="I1552" s="57" t="s">
        <v>628</v>
      </c>
      <c r="J1552" s="57" t="s">
        <v>101</v>
      </c>
      <c r="K1552" s="57">
        <v>95.876999999999995</v>
      </c>
      <c r="L1552" s="57" t="s">
        <v>101</v>
      </c>
      <c r="M1552" s="57">
        <v>3.548</v>
      </c>
      <c r="N1552" s="57">
        <v>3.548</v>
      </c>
      <c r="O1552" s="53" t="s">
        <v>101</v>
      </c>
      <c r="P1552" s="57" t="s">
        <v>448</v>
      </c>
      <c r="Q1552" s="57" t="s">
        <v>1903</v>
      </c>
      <c r="R1552" s="59" t="s">
        <v>630</v>
      </c>
    </row>
    <row r="1553" spans="1:18" x14ac:dyDescent="0.5">
      <c r="A1553" s="52" t="str">
        <f>"973899GA9"</f>
        <v>973899GA9</v>
      </c>
      <c r="B1553" s="53" t="s">
        <v>491</v>
      </c>
      <c r="C1553" s="53" t="s">
        <v>1904</v>
      </c>
      <c r="D1553" s="53" t="s">
        <v>447</v>
      </c>
      <c r="E1553" s="53">
        <v>3</v>
      </c>
      <c r="F1553" s="54">
        <v>48928</v>
      </c>
      <c r="G1553" s="54">
        <v>47102</v>
      </c>
      <c r="H1553" s="53" t="s">
        <v>105</v>
      </c>
      <c r="I1553" s="53" t="s">
        <v>616</v>
      </c>
      <c r="J1553" s="53" t="s">
        <v>101</v>
      </c>
      <c r="K1553" s="53">
        <v>91.6</v>
      </c>
      <c r="L1553" s="53" t="s">
        <v>101</v>
      </c>
      <c r="M1553" s="53">
        <v>4.1459999999999999</v>
      </c>
      <c r="N1553" s="53">
        <v>4.1459999999999999</v>
      </c>
      <c r="O1553" s="53" t="s">
        <v>101</v>
      </c>
      <c r="P1553" s="53" t="s">
        <v>448</v>
      </c>
      <c r="Q1553" s="53" t="s">
        <v>488</v>
      </c>
      <c r="R1553" s="55" t="s">
        <v>454</v>
      </c>
    </row>
    <row r="1554" spans="1:18" x14ac:dyDescent="0.5">
      <c r="A1554" s="56" t="str">
        <f>"051645Q51"</f>
        <v>051645Q51</v>
      </c>
      <c r="B1554" s="57" t="s">
        <v>491</v>
      </c>
      <c r="C1554" s="57" t="s">
        <v>1905</v>
      </c>
      <c r="D1554" s="53" t="s">
        <v>447</v>
      </c>
      <c r="E1554" s="57">
        <v>3.125</v>
      </c>
      <c r="F1554" s="58">
        <v>48943</v>
      </c>
      <c r="G1554" s="58">
        <v>46021</v>
      </c>
      <c r="H1554" s="57" t="s">
        <v>105</v>
      </c>
      <c r="I1554" s="57" t="s">
        <v>628</v>
      </c>
      <c r="J1554" s="57" t="s">
        <v>101</v>
      </c>
      <c r="K1554" s="57">
        <v>94.552000000000007</v>
      </c>
      <c r="L1554" s="57" t="s">
        <v>101</v>
      </c>
      <c r="M1554" s="57">
        <v>3.8559999999999999</v>
      </c>
      <c r="N1554" s="57">
        <v>3.8559999999999999</v>
      </c>
      <c r="O1554" s="53" t="s">
        <v>101</v>
      </c>
      <c r="P1554" s="57" t="s">
        <v>448</v>
      </c>
      <c r="Q1554" s="57" t="s">
        <v>666</v>
      </c>
      <c r="R1554" s="59" t="s">
        <v>454</v>
      </c>
    </row>
    <row r="1555" spans="1:18" x14ac:dyDescent="0.5">
      <c r="A1555" s="52" t="str">
        <f>"051645K32"</f>
        <v>051645K32</v>
      </c>
      <c r="B1555" s="53" t="s">
        <v>491</v>
      </c>
      <c r="C1555" s="53" t="s">
        <v>1906</v>
      </c>
      <c r="D1555" s="53" t="s">
        <v>447</v>
      </c>
      <c r="E1555" s="53">
        <v>3.375</v>
      </c>
      <c r="F1555" s="54">
        <v>48943</v>
      </c>
      <c r="G1555" s="54">
        <v>45733</v>
      </c>
      <c r="H1555" s="53" t="s">
        <v>105</v>
      </c>
      <c r="I1555" s="53" t="s">
        <v>628</v>
      </c>
      <c r="J1555" s="53" t="s">
        <v>101</v>
      </c>
      <c r="K1555" s="53">
        <v>95.671000000000006</v>
      </c>
      <c r="L1555" s="53" t="s">
        <v>101</v>
      </c>
      <c r="M1555" s="53">
        <v>3.9580000000000002</v>
      </c>
      <c r="N1555" s="53">
        <v>3.9580000000000002</v>
      </c>
      <c r="O1555" s="53" t="s">
        <v>101</v>
      </c>
      <c r="P1555" s="53" t="s">
        <v>448</v>
      </c>
      <c r="Q1555" s="53" t="s">
        <v>591</v>
      </c>
      <c r="R1555" s="55" t="s">
        <v>482</v>
      </c>
    </row>
    <row r="1556" spans="1:18" x14ac:dyDescent="0.5">
      <c r="A1556" s="56" t="str">
        <f>"051645M89"</f>
        <v>051645M89</v>
      </c>
      <c r="B1556" s="57" t="s">
        <v>491</v>
      </c>
      <c r="C1556" s="57" t="s">
        <v>1907</v>
      </c>
      <c r="D1556" s="53" t="s">
        <v>447</v>
      </c>
      <c r="E1556" s="57">
        <v>3.75</v>
      </c>
      <c r="F1556" s="58">
        <v>48943</v>
      </c>
      <c r="G1556" s="58">
        <v>45733</v>
      </c>
      <c r="H1556" s="57" t="s">
        <v>105</v>
      </c>
      <c r="I1556" s="57" t="s">
        <v>628</v>
      </c>
      <c r="J1556" s="57" t="s">
        <v>101</v>
      </c>
      <c r="K1556" s="57">
        <v>99.04</v>
      </c>
      <c r="L1556" s="57" t="s">
        <v>101</v>
      </c>
      <c r="M1556" s="57">
        <v>3.879</v>
      </c>
      <c r="N1556" s="57">
        <v>3.879</v>
      </c>
      <c r="O1556" s="53" t="s">
        <v>101</v>
      </c>
      <c r="P1556" s="57" t="s">
        <v>448</v>
      </c>
      <c r="Q1556" s="57" t="s">
        <v>457</v>
      </c>
      <c r="R1556" s="59" t="s">
        <v>454</v>
      </c>
    </row>
    <row r="1557" spans="1:18" x14ac:dyDescent="0.5">
      <c r="A1557" s="52" t="str">
        <f>"47977EEM7"</f>
        <v>47977EEM7</v>
      </c>
      <c r="B1557" s="53" t="s">
        <v>491</v>
      </c>
      <c r="C1557" s="53" t="s">
        <v>1908</v>
      </c>
      <c r="D1557" s="53" t="s">
        <v>447</v>
      </c>
      <c r="E1557" s="53">
        <v>3</v>
      </c>
      <c r="F1557" s="54">
        <v>48943</v>
      </c>
      <c r="G1557" s="54">
        <v>47117</v>
      </c>
      <c r="H1557" s="53" t="s">
        <v>105</v>
      </c>
      <c r="I1557" s="53" t="s">
        <v>628</v>
      </c>
      <c r="J1557" s="53" t="s">
        <v>101</v>
      </c>
      <c r="K1557" s="53">
        <v>94.387</v>
      </c>
      <c r="L1557" s="53" t="s">
        <v>101</v>
      </c>
      <c r="M1557" s="53">
        <v>3.75</v>
      </c>
      <c r="N1557" s="53">
        <v>3.75</v>
      </c>
      <c r="O1557" s="53" t="s">
        <v>101</v>
      </c>
      <c r="P1557" s="53" t="s">
        <v>448</v>
      </c>
      <c r="Q1557" s="53" t="s">
        <v>573</v>
      </c>
      <c r="R1557" s="55" t="s">
        <v>771</v>
      </c>
    </row>
    <row r="1558" spans="1:18" x14ac:dyDescent="0.5">
      <c r="A1558" s="56" t="str">
        <f>"070372NN3"</f>
        <v>070372NN3</v>
      </c>
      <c r="B1558" s="57" t="s">
        <v>491</v>
      </c>
      <c r="C1558" s="57" t="s">
        <v>1909</v>
      </c>
      <c r="D1558" s="53" t="s">
        <v>447</v>
      </c>
      <c r="E1558" s="57">
        <v>3.25</v>
      </c>
      <c r="F1558" s="58">
        <v>48945</v>
      </c>
      <c r="G1558" s="58">
        <v>45733</v>
      </c>
      <c r="H1558" s="57" t="s">
        <v>540</v>
      </c>
      <c r="I1558" s="57" t="s">
        <v>105</v>
      </c>
      <c r="J1558" s="57" t="s">
        <v>101</v>
      </c>
      <c r="K1558" s="57">
        <v>97.665999999999997</v>
      </c>
      <c r="L1558" s="57" t="s">
        <v>101</v>
      </c>
      <c r="M1558" s="57">
        <v>3.5590000000000002</v>
      </c>
      <c r="N1558" s="57">
        <v>3.5590000000000002</v>
      </c>
      <c r="O1558" s="53" t="s">
        <v>101</v>
      </c>
      <c r="P1558" s="57" t="s">
        <v>448</v>
      </c>
      <c r="Q1558" s="57" t="s">
        <v>485</v>
      </c>
      <c r="R1558" s="59" t="s">
        <v>482</v>
      </c>
    </row>
    <row r="1559" spans="1:18" x14ac:dyDescent="0.5">
      <c r="A1559" s="52" t="str">
        <f>"167593VR0"</f>
        <v>167593VR0</v>
      </c>
      <c r="B1559" s="53" t="s">
        <v>491</v>
      </c>
      <c r="C1559" s="53" t="s">
        <v>1910</v>
      </c>
      <c r="D1559" s="53" t="s">
        <v>447</v>
      </c>
      <c r="E1559" s="53">
        <v>5</v>
      </c>
      <c r="F1559" s="54">
        <v>48945</v>
      </c>
      <c r="G1559" s="54">
        <v>46023</v>
      </c>
      <c r="H1559" s="53" t="s">
        <v>105</v>
      </c>
      <c r="I1559" s="53" t="s">
        <v>658</v>
      </c>
      <c r="J1559" s="53" t="s">
        <v>101</v>
      </c>
      <c r="K1559" s="53">
        <v>101.21599999999999</v>
      </c>
      <c r="L1559" s="53" t="s">
        <v>101</v>
      </c>
      <c r="M1559" s="53">
        <v>3.5619999999999998</v>
      </c>
      <c r="N1559" s="53">
        <v>4.8289999999999997</v>
      </c>
      <c r="O1559" s="53" t="s">
        <v>101</v>
      </c>
      <c r="P1559" s="53" t="s">
        <v>448</v>
      </c>
      <c r="Q1559" s="53" t="s">
        <v>485</v>
      </c>
      <c r="R1559" s="55" t="s">
        <v>504</v>
      </c>
    </row>
    <row r="1560" spans="1:18" x14ac:dyDescent="0.5">
      <c r="A1560" s="56" t="str">
        <f>"1676153S0"</f>
        <v>1676153S0</v>
      </c>
      <c r="B1560" s="57" t="s">
        <v>491</v>
      </c>
      <c r="C1560" s="57" t="s">
        <v>1911</v>
      </c>
      <c r="D1560" s="53" t="s">
        <v>447</v>
      </c>
      <c r="E1560" s="57">
        <v>5</v>
      </c>
      <c r="F1560" s="58">
        <v>48945</v>
      </c>
      <c r="G1560" s="58">
        <v>48214</v>
      </c>
      <c r="H1560" s="57" t="s">
        <v>105</v>
      </c>
      <c r="I1560" s="57" t="s">
        <v>616</v>
      </c>
      <c r="J1560" s="57" t="s">
        <v>101</v>
      </c>
      <c r="K1560" s="57">
        <v>108.931</v>
      </c>
      <c r="L1560" s="57" t="s">
        <v>101</v>
      </c>
      <c r="M1560" s="57">
        <v>3.524</v>
      </c>
      <c r="N1560" s="57">
        <v>3.8039999999999998</v>
      </c>
      <c r="O1560" s="53" t="s">
        <v>101</v>
      </c>
      <c r="P1560" s="57" t="s">
        <v>448</v>
      </c>
      <c r="Q1560" s="57" t="s">
        <v>485</v>
      </c>
      <c r="R1560" s="59" t="s">
        <v>482</v>
      </c>
    </row>
    <row r="1561" spans="1:18" x14ac:dyDescent="0.5">
      <c r="A1561" s="52" t="str">
        <f>"222367FG4"</f>
        <v>222367FG4</v>
      </c>
      <c r="B1561" s="53" t="s">
        <v>491</v>
      </c>
      <c r="C1561" s="53" t="s">
        <v>1912</v>
      </c>
      <c r="D1561" s="53" t="s">
        <v>447</v>
      </c>
      <c r="E1561" s="53">
        <v>3</v>
      </c>
      <c r="F1561" s="54">
        <v>48945</v>
      </c>
      <c r="G1561" s="54">
        <v>47484</v>
      </c>
      <c r="H1561" s="53" t="s">
        <v>613</v>
      </c>
      <c r="I1561" s="53" t="s">
        <v>105</v>
      </c>
      <c r="J1561" s="53" t="s">
        <v>101</v>
      </c>
      <c r="K1561" s="53">
        <v>95.91</v>
      </c>
      <c r="L1561" s="53" t="s">
        <v>101</v>
      </c>
      <c r="M1561" s="53">
        <v>3.5409999999999999</v>
      </c>
      <c r="N1561" s="53">
        <v>3.5409999999999999</v>
      </c>
      <c r="O1561" s="53" t="s">
        <v>101</v>
      </c>
      <c r="P1561" s="53" t="s">
        <v>448</v>
      </c>
      <c r="Q1561" s="53" t="s">
        <v>475</v>
      </c>
      <c r="R1561" s="55" t="s">
        <v>454</v>
      </c>
    </row>
    <row r="1562" spans="1:18" x14ac:dyDescent="0.5">
      <c r="A1562" s="56" t="str">
        <f>"240685KS5"</f>
        <v>240685KS5</v>
      </c>
      <c r="B1562" s="57" t="s">
        <v>491</v>
      </c>
      <c r="C1562" s="57" t="s">
        <v>1913</v>
      </c>
      <c r="D1562" s="53" t="s">
        <v>447</v>
      </c>
      <c r="E1562" s="57">
        <v>3</v>
      </c>
      <c r="F1562" s="58">
        <v>48945</v>
      </c>
      <c r="G1562" s="58">
        <v>46753</v>
      </c>
      <c r="H1562" s="57" t="s">
        <v>613</v>
      </c>
      <c r="I1562" s="57" t="s">
        <v>105</v>
      </c>
      <c r="J1562" s="57" t="s">
        <v>101</v>
      </c>
      <c r="K1562" s="57">
        <v>94.111000000000004</v>
      </c>
      <c r="L1562" s="57" t="s">
        <v>101</v>
      </c>
      <c r="M1562" s="57">
        <v>3.7879999999999998</v>
      </c>
      <c r="N1562" s="57">
        <v>3.7879999999999998</v>
      </c>
      <c r="O1562" s="53" t="s">
        <v>101</v>
      </c>
      <c r="P1562" s="57" t="s">
        <v>448</v>
      </c>
      <c r="Q1562" s="57" t="s">
        <v>843</v>
      </c>
      <c r="R1562" s="59" t="s">
        <v>482</v>
      </c>
    </row>
    <row r="1563" spans="1:18" x14ac:dyDescent="0.5">
      <c r="A1563" s="52" t="str">
        <f>"240685LK1"</f>
        <v>240685LK1</v>
      </c>
      <c r="B1563" s="53" t="s">
        <v>491</v>
      </c>
      <c r="C1563" s="53" t="s">
        <v>1914</v>
      </c>
      <c r="D1563" s="53" t="s">
        <v>447</v>
      </c>
      <c r="E1563" s="53">
        <v>4</v>
      </c>
      <c r="F1563" s="54">
        <v>48945</v>
      </c>
      <c r="G1563" s="54">
        <v>46753</v>
      </c>
      <c r="H1563" s="53" t="s">
        <v>613</v>
      </c>
      <c r="I1563" s="53" t="s">
        <v>105</v>
      </c>
      <c r="J1563" s="53" t="s">
        <v>101</v>
      </c>
      <c r="K1563" s="53">
        <v>100.89</v>
      </c>
      <c r="L1563" s="53" t="s">
        <v>101</v>
      </c>
      <c r="M1563" s="53">
        <v>3.669</v>
      </c>
      <c r="N1563" s="53">
        <v>3.88</v>
      </c>
      <c r="O1563" s="53" t="s">
        <v>101</v>
      </c>
      <c r="P1563" s="53" t="s">
        <v>448</v>
      </c>
      <c r="Q1563" s="53" t="s">
        <v>457</v>
      </c>
      <c r="R1563" s="55" t="s">
        <v>454</v>
      </c>
    </row>
    <row r="1564" spans="1:18" x14ac:dyDescent="0.5">
      <c r="A1564" s="56" t="str">
        <f>"262588KY1"</f>
        <v>262588KY1</v>
      </c>
      <c r="B1564" s="57" t="s">
        <v>491</v>
      </c>
      <c r="C1564" s="57" t="s">
        <v>1915</v>
      </c>
      <c r="D1564" s="53" t="s">
        <v>447</v>
      </c>
      <c r="E1564" s="57">
        <v>3</v>
      </c>
      <c r="F1564" s="58">
        <v>48945</v>
      </c>
      <c r="G1564" s="58">
        <v>47849</v>
      </c>
      <c r="H1564" s="57" t="s">
        <v>105</v>
      </c>
      <c r="I1564" s="57" t="s">
        <v>509</v>
      </c>
      <c r="J1564" s="57" t="s">
        <v>101</v>
      </c>
      <c r="K1564" s="57">
        <v>92.945999999999998</v>
      </c>
      <c r="L1564" s="57" t="s">
        <v>101</v>
      </c>
      <c r="M1564" s="57">
        <v>3.95</v>
      </c>
      <c r="N1564" s="57">
        <v>3.95</v>
      </c>
      <c r="O1564" s="53" t="s">
        <v>101</v>
      </c>
      <c r="P1564" s="57" t="s">
        <v>448</v>
      </c>
      <c r="Q1564" s="57" t="s">
        <v>457</v>
      </c>
      <c r="R1564" s="59" t="s">
        <v>482</v>
      </c>
    </row>
    <row r="1565" spans="1:18" x14ac:dyDescent="0.5">
      <c r="A1565" s="52" t="str">
        <f>"263021EW3"</f>
        <v>263021EW3</v>
      </c>
      <c r="B1565" s="53" t="s">
        <v>491</v>
      </c>
      <c r="C1565" s="53" t="s">
        <v>1916</v>
      </c>
      <c r="D1565" s="53" t="s">
        <v>447</v>
      </c>
      <c r="E1565" s="53">
        <v>3.375</v>
      </c>
      <c r="F1565" s="54">
        <v>48945</v>
      </c>
      <c r="G1565" s="54">
        <v>46388</v>
      </c>
      <c r="H1565" s="53" t="s">
        <v>540</v>
      </c>
      <c r="I1565" s="53" t="s">
        <v>105</v>
      </c>
      <c r="J1565" s="53" t="s">
        <v>101</v>
      </c>
      <c r="K1565" s="53">
        <v>99</v>
      </c>
      <c r="L1565" s="53" t="s">
        <v>101</v>
      </c>
      <c r="M1565" s="53">
        <v>3.5070000000000001</v>
      </c>
      <c r="N1565" s="53">
        <v>3.5070000000000001</v>
      </c>
      <c r="O1565" s="53" t="s">
        <v>101</v>
      </c>
      <c r="P1565" s="53" t="s">
        <v>448</v>
      </c>
      <c r="Q1565" s="53" t="s">
        <v>790</v>
      </c>
      <c r="R1565" s="55" t="s">
        <v>482</v>
      </c>
    </row>
    <row r="1566" spans="1:18" x14ac:dyDescent="0.5">
      <c r="A1566" s="56" t="str">
        <f>"263381DY8"</f>
        <v>263381DY8</v>
      </c>
      <c r="B1566" s="57" t="s">
        <v>491</v>
      </c>
      <c r="C1566" s="57" t="s">
        <v>1917</v>
      </c>
      <c r="D1566" s="53" t="s">
        <v>447</v>
      </c>
      <c r="E1566" s="57">
        <v>3.375</v>
      </c>
      <c r="F1566" s="58">
        <v>48945</v>
      </c>
      <c r="G1566" s="58">
        <v>46388</v>
      </c>
      <c r="H1566" s="57" t="s">
        <v>624</v>
      </c>
      <c r="I1566" s="57" t="s">
        <v>105</v>
      </c>
      <c r="J1566" s="57" t="s">
        <v>101</v>
      </c>
      <c r="K1566" s="57">
        <v>97.338999999999999</v>
      </c>
      <c r="L1566" s="57" t="s">
        <v>101</v>
      </c>
      <c r="M1566" s="57">
        <v>3.73</v>
      </c>
      <c r="N1566" s="57">
        <v>3.73</v>
      </c>
      <c r="O1566" s="53" t="s">
        <v>101</v>
      </c>
      <c r="P1566" s="57" t="s">
        <v>448</v>
      </c>
      <c r="Q1566" s="57" t="s">
        <v>460</v>
      </c>
      <c r="R1566" s="59" t="s">
        <v>482</v>
      </c>
    </row>
    <row r="1567" spans="1:18" x14ac:dyDescent="0.5">
      <c r="A1567" s="52" t="str">
        <f>"338366BL0"</f>
        <v>338366BL0</v>
      </c>
      <c r="B1567" s="53" t="s">
        <v>491</v>
      </c>
      <c r="C1567" s="53" t="s">
        <v>1918</v>
      </c>
      <c r="D1567" s="53" t="s">
        <v>447</v>
      </c>
      <c r="E1567" s="53">
        <v>3</v>
      </c>
      <c r="F1567" s="54">
        <v>48945</v>
      </c>
      <c r="G1567" s="54">
        <v>46388</v>
      </c>
      <c r="H1567" s="53" t="s">
        <v>105</v>
      </c>
      <c r="I1567" s="53" t="s">
        <v>628</v>
      </c>
      <c r="J1567" s="53" t="s">
        <v>101</v>
      </c>
      <c r="K1567" s="53">
        <v>92.62</v>
      </c>
      <c r="L1567" s="53" t="s">
        <v>101</v>
      </c>
      <c r="M1567" s="53">
        <v>3.996</v>
      </c>
      <c r="N1567" s="53">
        <v>3.996</v>
      </c>
      <c r="O1567" s="53" t="s">
        <v>101</v>
      </c>
      <c r="P1567" s="53" t="s">
        <v>448</v>
      </c>
      <c r="Q1567" s="53" t="s">
        <v>457</v>
      </c>
      <c r="R1567" s="55" t="s">
        <v>630</v>
      </c>
    </row>
    <row r="1568" spans="1:18" x14ac:dyDescent="0.5">
      <c r="A1568" s="56" t="str">
        <f>"45204EKL1"</f>
        <v>45204EKL1</v>
      </c>
      <c r="B1568" s="57" t="s">
        <v>491</v>
      </c>
      <c r="C1568" s="57" t="s">
        <v>1919</v>
      </c>
      <c r="D1568" s="53" t="s">
        <v>447</v>
      </c>
      <c r="E1568" s="57">
        <v>4</v>
      </c>
      <c r="F1568" s="58">
        <v>48945</v>
      </c>
      <c r="G1568" s="58">
        <v>46023</v>
      </c>
      <c r="H1568" s="57" t="s">
        <v>105</v>
      </c>
      <c r="I1568" s="57" t="s">
        <v>104</v>
      </c>
      <c r="J1568" s="57" t="s">
        <v>101</v>
      </c>
      <c r="K1568" s="57">
        <v>100.27</v>
      </c>
      <c r="L1568" s="57" t="s">
        <v>101</v>
      </c>
      <c r="M1568" s="57">
        <v>3.677</v>
      </c>
      <c r="N1568" s="57">
        <v>3.9630000000000001</v>
      </c>
      <c r="O1568" s="53" t="s">
        <v>101</v>
      </c>
      <c r="P1568" s="57" t="s">
        <v>448</v>
      </c>
      <c r="Q1568" s="57" t="s">
        <v>503</v>
      </c>
      <c r="R1568" s="59" t="s">
        <v>450</v>
      </c>
    </row>
    <row r="1569" spans="1:18" x14ac:dyDescent="0.5">
      <c r="A1569" s="52" t="str">
        <f>"452152B34"</f>
        <v>452152B34</v>
      </c>
      <c r="B1569" s="53" t="s">
        <v>491</v>
      </c>
      <c r="C1569" s="53" t="s">
        <v>1920</v>
      </c>
      <c r="D1569" s="53" t="s">
        <v>447</v>
      </c>
      <c r="E1569" s="53">
        <v>3.75</v>
      </c>
      <c r="F1569" s="54">
        <v>48945</v>
      </c>
      <c r="G1569" s="54">
        <v>46023</v>
      </c>
      <c r="H1569" s="53" t="s">
        <v>641</v>
      </c>
      <c r="I1569" s="53" t="s">
        <v>628</v>
      </c>
      <c r="J1569" s="53" t="s">
        <v>101</v>
      </c>
      <c r="K1569" s="53">
        <v>99.4</v>
      </c>
      <c r="L1569" s="53" t="s">
        <v>101</v>
      </c>
      <c r="M1569" s="53">
        <v>3.83</v>
      </c>
      <c r="N1569" s="53">
        <v>3.83</v>
      </c>
      <c r="O1569" s="53" t="s">
        <v>101</v>
      </c>
      <c r="P1569" s="53" t="s">
        <v>448</v>
      </c>
      <c r="Q1569" s="53" t="s">
        <v>479</v>
      </c>
      <c r="R1569" s="55" t="s">
        <v>630</v>
      </c>
    </row>
    <row r="1570" spans="1:18" x14ac:dyDescent="0.5">
      <c r="A1570" s="56" t="str">
        <f>"484080UT1"</f>
        <v>484080UT1</v>
      </c>
      <c r="B1570" s="57" t="s">
        <v>491</v>
      </c>
      <c r="C1570" s="57" t="s">
        <v>1921</v>
      </c>
      <c r="D1570" s="53" t="s">
        <v>447</v>
      </c>
      <c r="E1570" s="57">
        <v>3</v>
      </c>
      <c r="F1570" s="58">
        <v>48945</v>
      </c>
      <c r="G1570" s="58">
        <v>47484</v>
      </c>
      <c r="H1570" s="57" t="s">
        <v>105</v>
      </c>
      <c r="I1570" s="57" t="s">
        <v>628</v>
      </c>
      <c r="J1570" s="57" t="s">
        <v>101</v>
      </c>
      <c r="K1570" s="57">
        <v>93.582999999999998</v>
      </c>
      <c r="L1570" s="57" t="s">
        <v>101</v>
      </c>
      <c r="M1570" s="57">
        <v>3.8610000000000002</v>
      </c>
      <c r="N1570" s="57">
        <v>3.8610000000000002</v>
      </c>
      <c r="O1570" s="53" t="s">
        <v>101</v>
      </c>
      <c r="P1570" s="57" t="s">
        <v>448</v>
      </c>
      <c r="Q1570" s="57" t="s">
        <v>453</v>
      </c>
      <c r="R1570" s="59" t="s">
        <v>454</v>
      </c>
    </row>
    <row r="1571" spans="1:18" x14ac:dyDescent="0.5">
      <c r="A1571" s="52" t="str">
        <f>"508759LX3"</f>
        <v>508759LX3</v>
      </c>
      <c r="B1571" s="53" t="s">
        <v>491</v>
      </c>
      <c r="C1571" s="53" t="s">
        <v>1922</v>
      </c>
      <c r="D1571" s="53" t="s">
        <v>447</v>
      </c>
      <c r="E1571" s="53">
        <v>4</v>
      </c>
      <c r="F1571" s="54">
        <v>48945</v>
      </c>
      <c r="G1571" s="54">
        <v>46753</v>
      </c>
      <c r="H1571" s="53" t="s">
        <v>105</v>
      </c>
      <c r="I1571" s="53" t="s">
        <v>509</v>
      </c>
      <c r="J1571" s="53" t="s">
        <v>101</v>
      </c>
      <c r="K1571" s="53">
        <v>100.996</v>
      </c>
      <c r="L1571" s="53" t="s">
        <v>101</v>
      </c>
      <c r="M1571" s="53">
        <v>3.63</v>
      </c>
      <c r="N1571" s="53">
        <v>3.8660000000000001</v>
      </c>
      <c r="O1571" s="53" t="s">
        <v>101</v>
      </c>
      <c r="P1571" s="53" t="s">
        <v>448</v>
      </c>
      <c r="Q1571" s="53" t="s">
        <v>457</v>
      </c>
      <c r="R1571" s="55" t="s">
        <v>482</v>
      </c>
    </row>
    <row r="1572" spans="1:18" x14ac:dyDescent="0.5">
      <c r="A1572" s="56" t="str">
        <f>"509262FP1"</f>
        <v>509262FP1</v>
      </c>
      <c r="B1572" s="57" t="s">
        <v>491</v>
      </c>
      <c r="C1572" s="57" t="s">
        <v>1923</v>
      </c>
      <c r="D1572" s="53" t="s">
        <v>447</v>
      </c>
      <c r="E1572" s="57">
        <v>4</v>
      </c>
      <c r="F1572" s="58">
        <v>48945</v>
      </c>
      <c r="G1572" s="58">
        <v>46388</v>
      </c>
      <c r="H1572" s="57" t="s">
        <v>105</v>
      </c>
      <c r="I1572" s="57" t="s">
        <v>628</v>
      </c>
      <c r="J1572" s="57" t="s">
        <v>101</v>
      </c>
      <c r="K1572" s="57">
        <v>100.767</v>
      </c>
      <c r="L1572" s="57" t="s">
        <v>101</v>
      </c>
      <c r="M1572" s="57">
        <v>3.57</v>
      </c>
      <c r="N1572" s="57">
        <v>3.8959999999999999</v>
      </c>
      <c r="O1572" s="53" t="s">
        <v>101</v>
      </c>
      <c r="P1572" s="57" t="s">
        <v>448</v>
      </c>
      <c r="Q1572" s="57" t="s">
        <v>663</v>
      </c>
      <c r="R1572" s="59" t="s">
        <v>630</v>
      </c>
    </row>
    <row r="1573" spans="1:18" x14ac:dyDescent="0.5">
      <c r="A1573" s="52" t="str">
        <f>"51856ACM5"</f>
        <v>51856ACM5</v>
      </c>
      <c r="B1573" s="53" t="s">
        <v>499</v>
      </c>
      <c r="C1573" s="53" t="s">
        <v>1924</v>
      </c>
      <c r="D1573" s="53" t="s">
        <v>447</v>
      </c>
      <c r="E1573" s="53">
        <v>3.375</v>
      </c>
      <c r="F1573" s="54">
        <v>48945</v>
      </c>
      <c r="G1573" s="54">
        <v>46388</v>
      </c>
      <c r="H1573" s="53" t="s">
        <v>641</v>
      </c>
      <c r="I1573" s="53" t="s">
        <v>658</v>
      </c>
      <c r="J1573" s="53" t="s">
        <v>101</v>
      </c>
      <c r="K1573" s="53">
        <v>97.87</v>
      </c>
      <c r="L1573" s="53" t="s">
        <v>101</v>
      </c>
      <c r="M1573" s="53">
        <v>3.6579999999999999</v>
      </c>
      <c r="N1573" s="53">
        <v>3.6579999999999999</v>
      </c>
      <c r="O1573" s="53" t="s">
        <v>101</v>
      </c>
      <c r="P1573" s="53" t="s">
        <v>448</v>
      </c>
      <c r="Q1573" s="53" t="s">
        <v>453</v>
      </c>
      <c r="R1573" s="55" t="s">
        <v>454</v>
      </c>
    </row>
    <row r="1574" spans="1:18" x14ac:dyDescent="0.5">
      <c r="A1574" s="56" t="str">
        <f>"558614FY4"</f>
        <v>558614FY4</v>
      </c>
      <c r="B1574" s="57" t="s">
        <v>496</v>
      </c>
      <c r="C1574" s="57" t="s">
        <v>1925</v>
      </c>
      <c r="D1574" s="53" t="s">
        <v>447</v>
      </c>
      <c r="E1574" s="57">
        <v>3.125</v>
      </c>
      <c r="F1574" s="58">
        <v>48945</v>
      </c>
      <c r="G1574" s="58">
        <v>45733</v>
      </c>
      <c r="H1574" s="57" t="s">
        <v>540</v>
      </c>
      <c r="I1574" s="57" t="s">
        <v>105</v>
      </c>
      <c r="J1574" s="57" t="s">
        <v>101</v>
      </c>
      <c r="K1574" s="57">
        <v>94.286000000000001</v>
      </c>
      <c r="L1574" s="57" t="s">
        <v>101</v>
      </c>
      <c r="M1574" s="57">
        <v>3.8929999999999998</v>
      </c>
      <c r="N1574" s="57">
        <v>3.8929999999999998</v>
      </c>
      <c r="O1574" s="53" t="s">
        <v>101</v>
      </c>
      <c r="P1574" s="57" t="s">
        <v>448</v>
      </c>
      <c r="Q1574" s="57" t="s">
        <v>1349</v>
      </c>
      <c r="R1574" s="59" t="s">
        <v>504</v>
      </c>
    </row>
    <row r="1575" spans="1:18" x14ac:dyDescent="0.5">
      <c r="A1575" s="52" t="str">
        <f>"580773KX6"</f>
        <v>580773KX6</v>
      </c>
      <c r="B1575" s="53" t="s">
        <v>491</v>
      </c>
      <c r="C1575" s="53" t="s">
        <v>1926</v>
      </c>
      <c r="D1575" s="53" t="s">
        <v>447</v>
      </c>
      <c r="E1575" s="53">
        <v>3.25</v>
      </c>
      <c r="F1575" s="54">
        <v>48945</v>
      </c>
      <c r="G1575" s="54">
        <v>46023</v>
      </c>
      <c r="H1575" s="53" t="s">
        <v>105</v>
      </c>
      <c r="I1575" s="53" t="s">
        <v>628</v>
      </c>
      <c r="J1575" s="53" t="s">
        <v>101</v>
      </c>
      <c r="K1575" s="53">
        <v>95.34</v>
      </c>
      <c r="L1575" s="53" t="s">
        <v>101</v>
      </c>
      <c r="M1575" s="53">
        <v>3.875</v>
      </c>
      <c r="N1575" s="53">
        <v>3.875</v>
      </c>
      <c r="O1575" s="53" t="s">
        <v>101</v>
      </c>
      <c r="P1575" s="53" t="s">
        <v>448</v>
      </c>
      <c r="Q1575" s="53" t="s">
        <v>488</v>
      </c>
      <c r="R1575" s="55" t="s">
        <v>454</v>
      </c>
    </row>
    <row r="1576" spans="1:18" x14ac:dyDescent="0.5">
      <c r="A1576" s="56" t="str">
        <f>"66285WF76"</f>
        <v>66285WF76</v>
      </c>
      <c r="B1576" s="57" t="s">
        <v>451</v>
      </c>
      <c r="C1576" s="57" t="s">
        <v>1927</v>
      </c>
      <c r="D1576" s="53" t="s">
        <v>447</v>
      </c>
      <c r="E1576" s="57">
        <v>4</v>
      </c>
      <c r="F1576" s="58">
        <v>48945</v>
      </c>
      <c r="G1576" s="58">
        <v>47849</v>
      </c>
      <c r="H1576" s="57" t="s">
        <v>641</v>
      </c>
      <c r="I1576" s="57" t="s">
        <v>658</v>
      </c>
      <c r="J1576" s="57" t="s">
        <v>101</v>
      </c>
      <c r="K1576" s="57">
        <v>102.393</v>
      </c>
      <c r="L1576" s="57" t="s">
        <v>101</v>
      </c>
      <c r="M1576" s="57">
        <v>3.544</v>
      </c>
      <c r="N1576" s="57">
        <v>3.681</v>
      </c>
      <c r="O1576" s="53" t="s">
        <v>101</v>
      </c>
      <c r="P1576" s="57" t="s">
        <v>448</v>
      </c>
      <c r="Q1576" s="57" t="s">
        <v>457</v>
      </c>
      <c r="R1576" s="59" t="s">
        <v>589</v>
      </c>
    </row>
    <row r="1577" spans="1:18" x14ac:dyDescent="0.5">
      <c r="A1577" s="52" t="str">
        <f>"66285WYW0"</f>
        <v>66285WYW0</v>
      </c>
      <c r="B1577" s="53" t="s">
        <v>451</v>
      </c>
      <c r="C1577" s="53" t="s">
        <v>1928</v>
      </c>
      <c r="D1577" s="53" t="s">
        <v>447</v>
      </c>
      <c r="E1577" s="53">
        <v>4</v>
      </c>
      <c r="F1577" s="54">
        <v>48945</v>
      </c>
      <c r="G1577" s="54">
        <v>47119</v>
      </c>
      <c r="H1577" s="53" t="s">
        <v>624</v>
      </c>
      <c r="I1577" s="53" t="s">
        <v>616</v>
      </c>
      <c r="J1577" s="53" t="s">
        <v>101</v>
      </c>
      <c r="K1577" s="53">
        <v>101.65</v>
      </c>
      <c r="L1577" s="53" t="s">
        <v>101</v>
      </c>
      <c r="M1577" s="53">
        <v>3.5390000000000001</v>
      </c>
      <c r="N1577" s="53">
        <v>3.7789999999999999</v>
      </c>
      <c r="O1577" s="53" t="s">
        <v>101</v>
      </c>
      <c r="P1577" s="53" t="s">
        <v>448</v>
      </c>
      <c r="Q1577" s="53" t="s">
        <v>488</v>
      </c>
      <c r="R1577" s="55" t="s">
        <v>589</v>
      </c>
    </row>
    <row r="1578" spans="1:18" x14ac:dyDescent="0.5">
      <c r="A1578" s="56" t="str">
        <f>"713178BP5"</f>
        <v>713178BP5</v>
      </c>
      <c r="B1578" s="57" t="s">
        <v>491</v>
      </c>
      <c r="C1578" s="57" t="s">
        <v>1929</v>
      </c>
      <c r="D1578" s="53" t="s">
        <v>447</v>
      </c>
      <c r="E1578" s="57">
        <v>3.375</v>
      </c>
      <c r="F1578" s="58">
        <v>48945</v>
      </c>
      <c r="G1578" s="58">
        <v>46388</v>
      </c>
      <c r="H1578" s="57" t="s">
        <v>610</v>
      </c>
      <c r="I1578" s="57" t="s">
        <v>628</v>
      </c>
      <c r="J1578" s="57" t="s">
        <v>101</v>
      </c>
      <c r="K1578" s="57">
        <v>97.144000000000005</v>
      </c>
      <c r="L1578" s="57" t="s">
        <v>101</v>
      </c>
      <c r="M1578" s="57">
        <v>3.7559999999999998</v>
      </c>
      <c r="N1578" s="57">
        <v>3.7559999999999998</v>
      </c>
      <c r="O1578" s="53" t="s">
        <v>101</v>
      </c>
      <c r="P1578" s="57" t="s">
        <v>448</v>
      </c>
      <c r="Q1578" s="57" t="s">
        <v>488</v>
      </c>
      <c r="R1578" s="59" t="s">
        <v>680</v>
      </c>
    </row>
    <row r="1579" spans="1:18" x14ac:dyDescent="0.5">
      <c r="A1579" s="52" t="str">
        <f>"713178FX4"</f>
        <v>713178FX4</v>
      </c>
      <c r="B1579" s="53" t="s">
        <v>491</v>
      </c>
      <c r="C1579" s="53" t="s">
        <v>1930</v>
      </c>
      <c r="D1579" s="53" t="s">
        <v>447</v>
      </c>
      <c r="E1579" s="53">
        <v>5</v>
      </c>
      <c r="F1579" s="54">
        <v>48945</v>
      </c>
      <c r="G1579" s="54">
        <v>48580</v>
      </c>
      <c r="H1579" s="53" t="s">
        <v>105</v>
      </c>
      <c r="I1579" s="53" t="s">
        <v>628</v>
      </c>
      <c r="J1579" s="53" t="s">
        <v>101</v>
      </c>
      <c r="K1579" s="53">
        <v>110.236</v>
      </c>
      <c r="L1579" s="53" t="s">
        <v>101</v>
      </c>
      <c r="M1579" s="53">
        <v>3.5</v>
      </c>
      <c r="N1579" s="53">
        <v>3.6389999999999998</v>
      </c>
      <c r="O1579" s="53" t="s">
        <v>101</v>
      </c>
      <c r="P1579" s="53" t="s">
        <v>448</v>
      </c>
      <c r="Q1579" s="53" t="s">
        <v>874</v>
      </c>
      <c r="R1579" s="55" t="s">
        <v>680</v>
      </c>
    </row>
    <row r="1580" spans="1:18" x14ac:dyDescent="0.5">
      <c r="A1580" s="56" t="str">
        <f>"969073MT9"</f>
        <v>969073MT9</v>
      </c>
      <c r="B1580" s="57" t="s">
        <v>491</v>
      </c>
      <c r="C1580" s="57" t="s">
        <v>1931</v>
      </c>
      <c r="D1580" s="53" t="s">
        <v>447</v>
      </c>
      <c r="E1580" s="57">
        <v>4</v>
      </c>
      <c r="F1580" s="58">
        <v>48945</v>
      </c>
      <c r="G1580" s="58">
        <v>47119</v>
      </c>
      <c r="H1580" s="57" t="s">
        <v>641</v>
      </c>
      <c r="I1580" s="57" t="s">
        <v>628</v>
      </c>
      <c r="J1580" s="57" t="s">
        <v>101</v>
      </c>
      <c r="K1580" s="57">
        <v>100.87</v>
      </c>
      <c r="L1580" s="57" t="s">
        <v>101</v>
      </c>
      <c r="M1580" s="57">
        <v>3.7549999999999999</v>
      </c>
      <c r="N1580" s="57">
        <v>3.883</v>
      </c>
      <c r="O1580" s="53" t="s">
        <v>101</v>
      </c>
      <c r="P1580" s="57" t="s">
        <v>448</v>
      </c>
      <c r="Q1580" s="57" t="s">
        <v>479</v>
      </c>
      <c r="R1580" s="59" t="s">
        <v>680</v>
      </c>
    </row>
    <row r="1581" spans="1:18" x14ac:dyDescent="0.5">
      <c r="A1581" s="52" t="str">
        <f>"240559CR3"</f>
        <v>240559CR3</v>
      </c>
      <c r="B1581" s="53" t="s">
        <v>491</v>
      </c>
      <c r="C1581" s="53" t="s">
        <v>1932</v>
      </c>
      <c r="D1581" s="53" t="s">
        <v>447</v>
      </c>
      <c r="E1581" s="53">
        <v>3.25</v>
      </c>
      <c r="F1581" s="54">
        <v>48959</v>
      </c>
      <c r="G1581" s="54">
        <v>46037</v>
      </c>
      <c r="H1581" s="53" t="s">
        <v>540</v>
      </c>
      <c r="I1581" s="53" t="s">
        <v>105</v>
      </c>
      <c r="J1581" s="53" t="s">
        <v>101</v>
      </c>
      <c r="K1581" s="53">
        <v>97.56</v>
      </c>
      <c r="L1581" s="53" t="s">
        <v>101</v>
      </c>
      <c r="M1581" s="53">
        <v>3.5720000000000001</v>
      </c>
      <c r="N1581" s="53">
        <v>3.5720000000000001</v>
      </c>
      <c r="O1581" s="53" t="s">
        <v>101</v>
      </c>
      <c r="P1581" s="53" t="s">
        <v>448</v>
      </c>
      <c r="Q1581" s="53" t="s">
        <v>485</v>
      </c>
      <c r="R1581" s="55" t="s">
        <v>589</v>
      </c>
    </row>
    <row r="1582" spans="1:18" x14ac:dyDescent="0.5">
      <c r="A1582" s="56" t="str">
        <f>"073186NS3"</f>
        <v>073186NS3</v>
      </c>
      <c r="B1582" s="57" t="s">
        <v>451</v>
      </c>
      <c r="C1582" s="57" t="s">
        <v>1933</v>
      </c>
      <c r="D1582" s="53" t="s">
        <v>447</v>
      </c>
      <c r="E1582" s="57">
        <v>3</v>
      </c>
      <c r="F1582" s="58">
        <v>48976</v>
      </c>
      <c r="G1582" s="58">
        <v>46784</v>
      </c>
      <c r="H1582" s="57" t="s">
        <v>613</v>
      </c>
      <c r="I1582" s="57" t="s">
        <v>628</v>
      </c>
      <c r="J1582" s="57" t="s">
        <v>101</v>
      </c>
      <c r="K1582" s="57">
        <v>94.263999999999996</v>
      </c>
      <c r="L1582" s="57" t="s">
        <v>101</v>
      </c>
      <c r="M1582" s="57">
        <v>3.76</v>
      </c>
      <c r="N1582" s="57">
        <v>3.76</v>
      </c>
      <c r="O1582" s="53" t="s">
        <v>101</v>
      </c>
      <c r="P1582" s="57" t="s">
        <v>448</v>
      </c>
      <c r="Q1582" s="57" t="s">
        <v>874</v>
      </c>
      <c r="R1582" s="59" t="s">
        <v>504</v>
      </c>
    </row>
    <row r="1583" spans="1:18" x14ac:dyDescent="0.5">
      <c r="A1583" s="52" t="str">
        <f>"197270QR5"</f>
        <v>197270QR5</v>
      </c>
      <c r="B1583" s="53" t="s">
        <v>451</v>
      </c>
      <c r="C1583" s="53" t="s">
        <v>1934</v>
      </c>
      <c r="D1583" s="53" t="s">
        <v>447</v>
      </c>
      <c r="E1583" s="53">
        <v>3</v>
      </c>
      <c r="F1583" s="54">
        <v>48976</v>
      </c>
      <c r="G1583" s="54">
        <v>47515</v>
      </c>
      <c r="H1583" s="53" t="s">
        <v>105</v>
      </c>
      <c r="I1583" s="53" t="s">
        <v>104</v>
      </c>
      <c r="J1583" s="53" t="s">
        <v>101</v>
      </c>
      <c r="K1583" s="53">
        <v>94.403000000000006</v>
      </c>
      <c r="L1583" s="53" t="s">
        <v>101</v>
      </c>
      <c r="M1583" s="53">
        <v>3.7410000000000001</v>
      </c>
      <c r="N1583" s="53">
        <v>3.7410000000000001</v>
      </c>
      <c r="O1583" s="53" t="s">
        <v>101</v>
      </c>
      <c r="P1583" s="53" t="s">
        <v>448</v>
      </c>
      <c r="Q1583" s="53" t="s">
        <v>790</v>
      </c>
      <c r="R1583" s="55" t="s">
        <v>454</v>
      </c>
    </row>
    <row r="1584" spans="1:18" x14ac:dyDescent="0.5">
      <c r="A1584" s="56" t="str">
        <f>"364195FH5"</f>
        <v>364195FH5</v>
      </c>
      <c r="B1584" s="57" t="s">
        <v>451</v>
      </c>
      <c r="C1584" s="57" t="s">
        <v>1935</v>
      </c>
      <c r="D1584" s="53" t="s">
        <v>447</v>
      </c>
      <c r="E1584" s="57">
        <v>3</v>
      </c>
      <c r="F1584" s="58">
        <v>48976</v>
      </c>
      <c r="G1584" s="58">
        <v>46419</v>
      </c>
      <c r="H1584" s="57" t="s">
        <v>104</v>
      </c>
      <c r="I1584" s="57" t="s">
        <v>105</v>
      </c>
      <c r="J1584" s="57" t="s">
        <v>101</v>
      </c>
      <c r="K1584" s="57">
        <v>93.629000000000005</v>
      </c>
      <c r="L1584" s="57" t="s">
        <v>101</v>
      </c>
      <c r="M1584" s="57">
        <v>3.8479999999999999</v>
      </c>
      <c r="N1584" s="57">
        <v>3.8479999999999999</v>
      </c>
      <c r="O1584" s="53" t="s">
        <v>101</v>
      </c>
      <c r="P1584" s="57" t="s">
        <v>448</v>
      </c>
      <c r="Q1584" s="57" t="s">
        <v>485</v>
      </c>
      <c r="R1584" s="59" t="s">
        <v>454</v>
      </c>
    </row>
    <row r="1585" spans="1:18" x14ac:dyDescent="0.5">
      <c r="A1585" s="52" t="str">
        <f>"400208EV2"</f>
        <v>400208EV2</v>
      </c>
      <c r="B1585" s="53" t="s">
        <v>491</v>
      </c>
      <c r="C1585" s="53" t="s">
        <v>1936</v>
      </c>
      <c r="D1585" s="53" t="s">
        <v>447</v>
      </c>
      <c r="E1585" s="53">
        <v>3.5</v>
      </c>
      <c r="F1585" s="54">
        <v>48976</v>
      </c>
      <c r="G1585" s="54">
        <v>46054</v>
      </c>
      <c r="H1585" s="53" t="s">
        <v>105</v>
      </c>
      <c r="I1585" s="53" t="s">
        <v>658</v>
      </c>
      <c r="J1585" s="53" t="s">
        <v>101</v>
      </c>
      <c r="K1585" s="53">
        <v>97.13</v>
      </c>
      <c r="L1585" s="53" t="s">
        <v>101</v>
      </c>
      <c r="M1585" s="53">
        <v>3.8820000000000001</v>
      </c>
      <c r="N1585" s="53">
        <v>3.8820000000000001</v>
      </c>
      <c r="O1585" s="53" t="s">
        <v>101</v>
      </c>
      <c r="P1585" s="53" t="s">
        <v>448</v>
      </c>
      <c r="Q1585" s="53" t="s">
        <v>503</v>
      </c>
      <c r="R1585" s="55" t="s">
        <v>454</v>
      </c>
    </row>
    <row r="1586" spans="1:18" x14ac:dyDescent="0.5">
      <c r="A1586" s="56" t="str">
        <f>"462488HM2"</f>
        <v>462488HM2</v>
      </c>
      <c r="B1586" s="57" t="s">
        <v>451</v>
      </c>
      <c r="C1586" s="57" t="s">
        <v>1937</v>
      </c>
      <c r="D1586" s="53" t="s">
        <v>447</v>
      </c>
      <c r="E1586" s="57">
        <v>3</v>
      </c>
      <c r="F1586" s="58">
        <v>48976</v>
      </c>
      <c r="G1586" s="58">
        <v>46966</v>
      </c>
      <c r="H1586" s="57" t="s">
        <v>104</v>
      </c>
      <c r="I1586" s="57" t="s">
        <v>105</v>
      </c>
      <c r="J1586" s="57" t="s">
        <v>101</v>
      </c>
      <c r="K1586" s="57">
        <v>93.126000000000005</v>
      </c>
      <c r="L1586" s="57" t="s">
        <v>101</v>
      </c>
      <c r="M1586" s="57">
        <v>3.9180000000000001</v>
      </c>
      <c r="N1586" s="57">
        <v>3.9180000000000001</v>
      </c>
      <c r="O1586" s="53" t="s">
        <v>101</v>
      </c>
      <c r="P1586" s="57" t="s">
        <v>448</v>
      </c>
      <c r="Q1586" s="57" t="s">
        <v>460</v>
      </c>
      <c r="R1586" s="59" t="s">
        <v>454</v>
      </c>
    </row>
    <row r="1587" spans="1:18" x14ac:dyDescent="0.5">
      <c r="A1587" s="52" t="str">
        <f>"46940XAJ2"</f>
        <v>46940XAJ2</v>
      </c>
      <c r="B1587" s="53" t="s">
        <v>499</v>
      </c>
      <c r="C1587" s="53" t="s">
        <v>1938</v>
      </c>
      <c r="D1587" s="53" t="s">
        <v>447</v>
      </c>
      <c r="E1587" s="53">
        <v>5</v>
      </c>
      <c r="F1587" s="54">
        <v>48976</v>
      </c>
      <c r="G1587" s="54">
        <v>48611</v>
      </c>
      <c r="H1587" s="53" t="s">
        <v>105</v>
      </c>
      <c r="I1587" s="53" t="s">
        <v>658</v>
      </c>
      <c r="J1587" s="53" t="s">
        <v>101</v>
      </c>
      <c r="K1587" s="53">
        <v>107.95399999999999</v>
      </c>
      <c r="L1587" s="53" t="s">
        <v>101</v>
      </c>
      <c r="M1587" s="53">
        <v>3.83</v>
      </c>
      <c r="N1587" s="53">
        <v>3.9369999999999998</v>
      </c>
      <c r="O1587" s="53" t="s">
        <v>101</v>
      </c>
      <c r="P1587" s="53" t="s">
        <v>448</v>
      </c>
      <c r="Q1587" s="53" t="s">
        <v>488</v>
      </c>
      <c r="R1587" s="55" t="s">
        <v>589</v>
      </c>
    </row>
    <row r="1588" spans="1:18" x14ac:dyDescent="0.5">
      <c r="A1588" s="56" t="str">
        <f>"488683KP7"</f>
        <v>488683KP7</v>
      </c>
      <c r="B1588" s="57" t="s">
        <v>491</v>
      </c>
      <c r="C1588" s="57" t="s">
        <v>1939</v>
      </c>
      <c r="D1588" s="53" t="s">
        <v>447</v>
      </c>
      <c r="E1588" s="57">
        <v>3</v>
      </c>
      <c r="F1588" s="58">
        <v>48976</v>
      </c>
      <c r="G1588" s="58">
        <v>47150</v>
      </c>
      <c r="H1588" s="57" t="s">
        <v>105</v>
      </c>
      <c r="I1588" s="57" t="s">
        <v>628</v>
      </c>
      <c r="J1588" s="57" t="s">
        <v>101</v>
      </c>
      <c r="K1588" s="57">
        <v>94.658000000000001</v>
      </c>
      <c r="L1588" s="57" t="s">
        <v>101</v>
      </c>
      <c r="M1588" s="57">
        <v>3.706</v>
      </c>
      <c r="N1588" s="57">
        <v>3.706</v>
      </c>
      <c r="O1588" s="53" t="s">
        <v>101</v>
      </c>
      <c r="P1588" s="57" t="s">
        <v>448</v>
      </c>
      <c r="Q1588" s="57" t="s">
        <v>457</v>
      </c>
      <c r="R1588" s="59" t="s">
        <v>680</v>
      </c>
    </row>
    <row r="1589" spans="1:18" x14ac:dyDescent="0.5">
      <c r="A1589" s="52" t="str">
        <f>"498531LF7"</f>
        <v>498531LF7</v>
      </c>
      <c r="B1589" s="53" t="s">
        <v>451</v>
      </c>
      <c r="C1589" s="53" t="s">
        <v>1940</v>
      </c>
      <c r="D1589" s="53" t="s">
        <v>447</v>
      </c>
      <c r="E1589" s="53">
        <v>3</v>
      </c>
      <c r="F1589" s="54">
        <v>48976</v>
      </c>
      <c r="G1589" s="54">
        <v>46784</v>
      </c>
      <c r="H1589" s="53" t="s">
        <v>104</v>
      </c>
      <c r="I1589" s="53" t="s">
        <v>104</v>
      </c>
      <c r="J1589" s="53" t="s">
        <v>101</v>
      </c>
      <c r="K1589" s="53">
        <v>94.870999999999995</v>
      </c>
      <c r="L1589" s="53" t="s">
        <v>101</v>
      </c>
      <c r="M1589" s="53">
        <v>3.677</v>
      </c>
      <c r="N1589" s="53">
        <v>3.677</v>
      </c>
      <c r="O1589" s="53" t="s">
        <v>101</v>
      </c>
      <c r="P1589" s="53" t="s">
        <v>448</v>
      </c>
      <c r="Q1589" s="53" t="s">
        <v>790</v>
      </c>
      <c r="R1589" s="55" t="s">
        <v>454</v>
      </c>
    </row>
    <row r="1590" spans="1:18" x14ac:dyDescent="0.5">
      <c r="A1590" s="56" t="str">
        <f>"508426CK7"</f>
        <v>508426CK7</v>
      </c>
      <c r="B1590" s="57" t="s">
        <v>491</v>
      </c>
      <c r="C1590" s="57" t="s">
        <v>1941</v>
      </c>
      <c r="D1590" s="53" t="s">
        <v>447</v>
      </c>
      <c r="E1590" s="57">
        <v>3</v>
      </c>
      <c r="F1590" s="58">
        <v>48976</v>
      </c>
      <c r="G1590" s="58">
        <v>46054</v>
      </c>
      <c r="H1590" s="57" t="s">
        <v>624</v>
      </c>
      <c r="I1590" s="57" t="s">
        <v>105</v>
      </c>
      <c r="J1590" s="57" t="s">
        <v>101</v>
      </c>
      <c r="K1590" s="57">
        <v>92</v>
      </c>
      <c r="L1590" s="57" t="s">
        <v>101</v>
      </c>
      <c r="M1590" s="57">
        <v>4.0750000000000002</v>
      </c>
      <c r="N1590" s="57">
        <v>4.0750000000000002</v>
      </c>
      <c r="O1590" s="53" t="s">
        <v>101</v>
      </c>
      <c r="P1590" s="57" t="s">
        <v>448</v>
      </c>
      <c r="Q1590" s="57" t="s">
        <v>457</v>
      </c>
      <c r="R1590" s="59" t="s">
        <v>454</v>
      </c>
    </row>
    <row r="1591" spans="1:18" x14ac:dyDescent="0.5">
      <c r="A1591" s="52" t="str">
        <f>"537095RA1"</f>
        <v>537095RA1</v>
      </c>
      <c r="B1591" s="53" t="s">
        <v>451</v>
      </c>
      <c r="C1591" s="53" t="s">
        <v>1942</v>
      </c>
      <c r="D1591" s="53" t="s">
        <v>447</v>
      </c>
      <c r="E1591" s="53">
        <v>3.25</v>
      </c>
      <c r="F1591" s="54">
        <v>48976</v>
      </c>
      <c r="G1591" s="54">
        <v>45733</v>
      </c>
      <c r="H1591" s="53" t="s">
        <v>105</v>
      </c>
      <c r="I1591" s="53" t="s">
        <v>509</v>
      </c>
      <c r="J1591" s="53" t="s">
        <v>101</v>
      </c>
      <c r="K1591" s="53">
        <v>93.66</v>
      </c>
      <c r="L1591" s="53" t="s">
        <v>101</v>
      </c>
      <c r="M1591" s="53">
        <v>4.1029999999999998</v>
      </c>
      <c r="N1591" s="53">
        <v>4.1029999999999998</v>
      </c>
      <c r="O1591" s="53" t="s">
        <v>101</v>
      </c>
      <c r="P1591" s="53" t="s">
        <v>448</v>
      </c>
      <c r="Q1591" s="53" t="s">
        <v>488</v>
      </c>
      <c r="R1591" s="55" t="s">
        <v>504</v>
      </c>
    </row>
    <row r="1592" spans="1:18" x14ac:dyDescent="0.5">
      <c r="A1592" s="56" t="str">
        <f>"580811CT2"</f>
        <v>580811CT2</v>
      </c>
      <c r="B1592" s="57" t="s">
        <v>491</v>
      </c>
      <c r="C1592" s="57" t="s">
        <v>1943</v>
      </c>
      <c r="D1592" s="53" t="s">
        <v>447</v>
      </c>
      <c r="E1592" s="57">
        <v>3.25</v>
      </c>
      <c r="F1592" s="58">
        <v>48976</v>
      </c>
      <c r="G1592" s="58">
        <v>46784</v>
      </c>
      <c r="H1592" s="57" t="s">
        <v>624</v>
      </c>
      <c r="I1592" s="57" t="s">
        <v>105</v>
      </c>
      <c r="J1592" s="57" t="s">
        <v>101</v>
      </c>
      <c r="K1592" s="57">
        <v>95.856999999999999</v>
      </c>
      <c r="L1592" s="57" t="s">
        <v>101</v>
      </c>
      <c r="M1592" s="57">
        <v>3.8</v>
      </c>
      <c r="N1592" s="57">
        <v>3.8</v>
      </c>
      <c r="O1592" s="53" t="s">
        <v>101</v>
      </c>
      <c r="P1592" s="57" t="s">
        <v>448</v>
      </c>
      <c r="Q1592" s="57" t="s">
        <v>488</v>
      </c>
      <c r="R1592" s="59" t="s">
        <v>454</v>
      </c>
    </row>
    <row r="1593" spans="1:18" x14ac:dyDescent="0.5">
      <c r="A1593" s="52" t="str">
        <f>"581000QS8"</f>
        <v>581000QS8</v>
      </c>
      <c r="B1593" s="53" t="s">
        <v>491</v>
      </c>
      <c r="C1593" s="53" t="s">
        <v>1944</v>
      </c>
      <c r="D1593" s="53" t="s">
        <v>447</v>
      </c>
      <c r="E1593" s="53">
        <v>3</v>
      </c>
      <c r="F1593" s="54">
        <v>48976</v>
      </c>
      <c r="G1593" s="54">
        <v>46784</v>
      </c>
      <c r="H1593" s="53" t="s">
        <v>540</v>
      </c>
      <c r="I1593" s="53" t="s">
        <v>105</v>
      </c>
      <c r="J1593" s="53" t="s">
        <v>101</v>
      </c>
      <c r="K1593" s="53">
        <v>93.02</v>
      </c>
      <c r="L1593" s="53" t="s">
        <v>101</v>
      </c>
      <c r="M1593" s="53">
        <v>3.9319999999999999</v>
      </c>
      <c r="N1593" s="53">
        <v>3.9319999999999999</v>
      </c>
      <c r="O1593" s="53" t="s">
        <v>101</v>
      </c>
      <c r="P1593" s="53" t="s">
        <v>448</v>
      </c>
      <c r="Q1593" s="53" t="s">
        <v>453</v>
      </c>
      <c r="R1593" s="55" t="s">
        <v>454</v>
      </c>
    </row>
    <row r="1594" spans="1:18" x14ac:dyDescent="0.5">
      <c r="A1594" s="56" t="str">
        <f>"642543XQ0"</f>
        <v>642543XQ0</v>
      </c>
      <c r="B1594" s="57" t="s">
        <v>451</v>
      </c>
      <c r="C1594" s="57" t="s">
        <v>1945</v>
      </c>
      <c r="D1594" s="53" t="s">
        <v>447</v>
      </c>
      <c r="E1594" s="57">
        <v>3.25</v>
      </c>
      <c r="F1594" s="58">
        <v>48976</v>
      </c>
      <c r="G1594" s="58">
        <v>46054</v>
      </c>
      <c r="H1594" s="57" t="s">
        <v>105</v>
      </c>
      <c r="I1594" s="57" t="s">
        <v>104</v>
      </c>
      <c r="J1594" s="57" t="s">
        <v>101</v>
      </c>
      <c r="K1594" s="57">
        <v>97.06</v>
      </c>
      <c r="L1594" s="57" t="s">
        <v>101</v>
      </c>
      <c r="M1594" s="57">
        <v>3.6379999999999999</v>
      </c>
      <c r="N1594" s="57">
        <v>3.6379999999999999</v>
      </c>
      <c r="O1594" s="53" t="s">
        <v>101</v>
      </c>
      <c r="P1594" s="57" t="s">
        <v>448</v>
      </c>
      <c r="Q1594" s="57" t="s">
        <v>453</v>
      </c>
      <c r="R1594" s="59" t="s">
        <v>454</v>
      </c>
    </row>
    <row r="1595" spans="1:18" x14ac:dyDescent="0.5">
      <c r="A1595" s="52" t="str">
        <f>"845267ZC0"</f>
        <v>845267ZC0</v>
      </c>
      <c r="B1595" s="53" t="s">
        <v>451</v>
      </c>
      <c r="C1595" s="53" t="s">
        <v>1946</v>
      </c>
      <c r="D1595" s="53" t="s">
        <v>447</v>
      </c>
      <c r="E1595" s="53">
        <v>3</v>
      </c>
      <c r="F1595" s="54">
        <v>48976</v>
      </c>
      <c r="G1595" s="54">
        <v>46784</v>
      </c>
      <c r="H1595" s="53" t="s">
        <v>105</v>
      </c>
      <c r="I1595" s="53" t="s">
        <v>104</v>
      </c>
      <c r="J1595" s="53" t="s">
        <v>101</v>
      </c>
      <c r="K1595" s="53">
        <v>94.706000000000003</v>
      </c>
      <c r="L1595" s="53" t="s">
        <v>101</v>
      </c>
      <c r="M1595" s="53">
        <v>3.7</v>
      </c>
      <c r="N1595" s="53">
        <v>3.7</v>
      </c>
      <c r="O1595" s="53" t="s">
        <v>101</v>
      </c>
      <c r="P1595" s="53" t="s">
        <v>448</v>
      </c>
      <c r="Q1595" s="53" t="s">
        <v>790</v>
      </c>
      <c r="R1595" s="55" t="s">
        <v>454</v>
      </c>
    </row>
    <row r="1596" spans="1:18" x14ac:dyDescent="0.5">
      <c r="A1596" s="56" t="str">
        <f>"849476TK2"</f>
        <v>849476TK2</v>
      </c>
      <c r="B1596" s="57" t="s">
        <v>451</v>
      </c>
      <c r="C1596" s="57" t="s">
        <v>1947</v>
      </c>
      <c r="D1596" s="53" t="s">
        <v>447</v>
      </c>
      <c r="E1596" s="57">
        <v>3</v>
      </c>
      <c r="F1596" s="58">
        <v>48976</v>
      </c>
      <c r="G1596" s="58">
        <v>47150</v>
      </c>
      <c r="H1596" s="57" t="s">
        <v>104</v>
      </c>
      <c r="I1596" s="57" t="s">
        <v>104</v>
      </c>
      <c r="J1596" s="57" t="s">
        <v>101</v>
      </c>
      <c r="K1596" s="57">
        <v>94.14</v>
      </c>
      <c r="L1596" s="57" t="s">
        <v>101</v>
      </c>
      <c r="M1596" s="57">
        <v>3.7770000000000001</v>
      </c>
      <c r="N1596" s="57">
        <v>3.7770000000000001</v>
      </c>
      <c r="O1596" s="53" t="s">
        <v>101</v>
      </c>
      <c r="P1596" s="57" t="s">
        <v>448</v>
      </c>
      <c r="Q1596" s="57" t="s">
        <v>591</v>
      </c>
      <c r="R1596" s="59" t="s">
        <v>482</v>
      </c>
    </row>
    <row r="1597" spans="1:18" x14ac:dyDescent="0.5">
      <c r="A1597" s="52" t="str">
        <f>"880081RQ9"</f>
        <v>880081RQ9</v>
      </c>
      <c r="B1597" s="53" t="s">
        <v>451</v>
      </c>
      <c r="C1597" s="53" t="s">
        <v>1948</v>
      </c>
      <c r="D1597" s="53" t="s">
        <v>447</v>
      </c>
      <c r="E1597" s="53">
        <v>3</v>
      </c>
      <c r="F1597" s="54">
        <v>48976</v>
      </c>
      <c r="G1597" s="54">
        <v>47515</v>
      </c>
      <c r="H1597" s="53" t="s">
        <v>105</v>
      </c>
      <c r="I1597" s="53" t="s">
        <v>104</v>
      </c>
      <c r="J1597" s="53" t="s">
        <v>101</v>
      </c>
      <c r="K1597" s="53">
        <v>94.07</v>
      </c>
      <c r="L1597" s="53" t="s">
        <v>101</v>
      </c>
      <c r="M1597" s="53">
        <v>3.7869999999999999</v>
      </c>
      <c r="N1597" s="53">
        <v>3.7869999999999999</v>
      </c>
      <c r="O1597" s="53" t="s">
        <v>101</v>
      </c>
      <c r="P1597" s="53" t="s">
        <v>448</v>
      </c>
      <c r="Q1597" s="53" t="s">
        <v>538</v>
      </c>
      <c r="R1597" s="55" t="s">
        <v>454</v>
      </c>
    </row>
    <row r="1598" spans="1:18" x14ac:dyDescent="0.5">
      <c r="A1598" s="56" t="str">
        <f>"896575HN0"</f>
        <v>896575HN0</v>
      </c>
      <c r="B1598" s="57" t="s">
        <v>451</v>
      </c>
      <c r="C1598" s="57" t="s">
        <v>1949</v>
      </c>
      <c r="D1598" s="53" t="s">
        <v>447</v>
      </c>
      <c r="E1598" s="57">
        <v>4</v>
      </c>
      <c r="F1598" s="58">
        <v>48976</v>
      </c>
      <c r="G1598" s="58">
        <v>46784</v>
      </c>
      <c r="H1598" s="57" t="s">
        <v>105</v>
      </c>
      <c r="I1598" s="57" t="s">
        <v>616</v>
      </c>
      <c r="J1598" s="57" t="s">
        <v>101</v>
      </c>
      <c r="K1598" s="57">
        <v>101.247</v>
      </c>
      <c r="L1598" s="57" t="s">
        <v>101</v>
      </c>
      <c r="M1598" s="57">
        <v>3.5510000000000002</v>
      </c>
      <c r="N1598" s="57">
        <v>3.8340000000000001</v>
      </c>
      <c r="O1598" s="53" t="s">
        <v>101</v>
      </c>
      <c r="P1598" s="57" t="s">
        <v>585</v>
      </c>
      <c r="Q1598" s="57" t="s">
        <v>460</v>
      </c>
      <c r="R1598" s="59" t="s">
        <v>504</v>
      </c>
    </row>
    <row r="1599" spans="1:18" x14ac:dyDescent="0.5">
      <c r="A1599" s="52" t="str">
        <f>"929831KS3"</f>
        <v>929831KS3</v>
      </c>
      <c r="B1599" s="53" t="s">
        <v>451</v>
      </c>
      <c r="C1599" s="53" t="s">
        <v>1950</v>
      </c>
      <c r="D1599" s="53" t="s">
        <v>447</v>
      </c>
      <c r="E1599" s="53">
        <v>3</v>
      </c>
      <c r="F1599" s="54">
        <v>48976</v>
      </c>
      <c r="G1599" s="54">
        <v>45733</v>
      </c>
      <c r="H1599" s="53" t="s">
        <v>540</v>
      </c>
      <c r="I1599" s="53" t="s">
        <v>509</v>
      </c>
      <c r="J1599" s="53" t="s">
        <v>101</v>
      </c>
      <c r="K1599" s="53">
        <v>94.338999999999999</v>
      </c>
      <c r="L1599" s="53" t="s">
        <v>101</v>
      </c>
      <c r="M1599" s="53">
        <v>3.75</v>
      </c>
      <c r="N1599" s="53">
        <v>3.75</v>
      </c>
      <c r="O1599" s="53" t="s">
        <v>101</v>
      </c>
      <c r="P1599" s="53" t="s">
        <v>448</v>
      </c>
      <c r="Q1599" s="53" t="s">
        <v>1280</v>
      </c>
      <c r="R1599" s="55" t="s">
        <v>504</v>
      </c>
    </row>
    <row r="1600" spans="1:18" x14ac:dyDescent="0.5">
      <c r="A1600" s="56" t="str">
        <f>"967171QY8"</f>
        <v>967171QY8</v>
      </c>
      <c r="B1600" s="57" t="s">
        <v>451</v>
      </c>
      <c r="C1600" s="57" t="s">
        <v>584</v>
      </c>
      <c r="D1600" s="53" t="s">
        <v>447</v>
      </c>
      <c r="E1600" s="57">
        <v>2</v>
      </c>
      <c r="F1600" s="58">
        <v>48976</v>
      </c>
      <c r="G1600" s="58">
        <v>47515</v>
      </c>
      <c r="H1600" s="57" t="s">
        <v>105</v>
      </c>
      <c r="I1600" s="57" t="s">
        <v>104</v>
      </c>
      <c r="J1600" s="57" t="s">
        <v>101</v>
      </c>
      <c r="K1600" s="57">
        <v>84.326999999999998</v>
      </c>
      <c r="L1600" s="57" t="s">
        <v>101</v>
      </c>
      <c r="M1600" s="57">
        <v>4.1100000000000003</v>
      </c>
      <c r="N1600" s="57">
        <v>4.1100000000000003</v>
      </c>
      <c r="O1600" s="53" t="s">
        <v>101</v>
      </c>
      <c r="P1600" s="57" t="s">
        <v>448</v>
      </c>
      <c r="Q1600" s="57" t="s">
        <v>488</v>
      </c>
      <c r="R1600" s="59" t="s">
        <v>454</v>
      </c>
    </row>
    <row r="1601" spans="1:18" x14ac:dyDescent="0.5">
      <c r="A1601" s="52" t="str">
        <f>"975480QR8"</f>
        <v>975480QR8</v>
      </c>
      <c r="B1601" s="53" t="s">
        <v>477</v>
      </c>
      <c r="C1601" s="53" t="s">
        <v>1951</v>
      </c>
      <c r="D1601" s="53" t="s">
        <v>447</v>
      </c>
      <c r="E1601" s="53">
        <v>3.25</v>
      </c>
      <c r="F1601" s="54">
        <v>48976</v>
      </c>
      <c r="G1601" s="54">
        <v>45733</v>
      </c>
      <c r="H1601" s="53" t="s">
        <v>105</v>
      </c>
      <c r="I1601" s="53" t="s">
        <v>616</v>
      </c>
      <c r="J1601" s="53" t="s">
        <v>101</v>
      </c>
      <c r="K1601" s="53">
        <v>96.869</v>
      </c>
      <c r="L1601" s="53" t="s">
        <v>101</v>
      </c>
      <c r="M1601" s="53">
        <v>3.6629999999999998</v>
      </c>
      <c r="N1601" s="53">
        <v>3.6629999999999998</v>
      </c>
      <c r="O1601" s="53" t="s">
        <v>101</v>
      </c>
      <c r="P1601" s="53" t="s">
        <v>448</v>
      </c>
      <c r="Q1601" s="53" t="s">
        <v>556</v>
      </c>
      <c r="R1601" s="55" t="s">
        <v>454</v>
      </c>
    </row>
    <row r="1602" spans="1:18" x14ac:dyDescent="0.5">
      <c r="A1602" s="56" t="str">
        <f>"014393UR1"</f>
        <v>014393UR1</v>
      </c>
      <c r="B1602" s="57" t="s">
        <v>451</v>
      </c>
      <c r="C1602" s="57" t="s">
        <v>1952</v>
      </c>
      <c r="D1602" s="53" t="s">
        <v>447</v>
      </c>
      <c r="E1602" s="57">
        <v>3.125</v>
      </c>
      <c r="F1602" s="58">
        <v>48990</v>
      </c>
      <c r="G1602" s="58">
        <v>45703</v>
      </c>
      <c r="H1602" s="57" t="s">
        <v>104</v>
      </c>
      <c r="I1602" s="57" t="s">
        <v>104</v>
      </c>
      <c r="J1602" s="57" t="s">
        <v>101</v>
      </c>
      <c r="K1602" s="57">
        <v>94.465999999999994</v>
      </c>
      <c r="L1602" s="57" t="s">
        <v>101</v>
      </c>
      <c r="M1602" s="57">
        <v>3.859</v>
      </c>
      <c r="N1602" s="57">
        <v>3.859</v>
      </c>
      <c r="O1602" s="53" t="s">
        <v>101</v>
      </c>
      <c r="P1602" s="57" t="s">
        <v>448</v>
      </c>
      <c r="Q1602" s="57" t="s">
        <v>485</v>
      </c>
      <c r="R1602" s="59" t="s">
        <v>454</v>
      </c>
    </row>
    <row r="1603" spans="1:18" x14ac:dyDescent="0.5">
      <c r="A1603" s="52" t="str">
        <f>"034825B57"</f>
        <v>034825B57</v>
      </c>
      <c r="B1603" s="53" t="s">
        <v>451</v>
      </c>
      <c r="C1603" s="53" t="s">
        <v>1953</v>
      </c>
      <c r="D1603" s="53" t="s">
        <v>447</v>
      </c>
      <c r="E1603" s="53">
        <v>3</v>
      </c>
      <c r="F1603" s="54">
        <v>48990</v>
      </c>
      <c r="G1603" s="54">
        <v>46433</v>
      </c>
      <c r="H1603" s="53" t="s">
        <v>104</v>
      </c>
      <c r="I1603" s="53" t="s">
        <v>105</v>
      </c>
      <c r="J1603" s="53" t="s">
        <v>101</v>
      </c>
      <c r="K1603" s="53">
        <v>93.466999999999999</v>
      </c>
      <c r="L1603" s="53" t="s">
        <v>101</v>
      </c>
      <c r="M1603" s="53">
        <v>3.867</v>
      </c>
      <c r="N1603" s="53">
        <v>3.867</v>
      </c>
      <c r="O1603" s="53" t="s">
        <v>101</v>
      </c>
      <c r="P1603" s="53" t="s">
        <v>448</v>
      </c>
      <c r="Q1603" s="53" t="s">
        <v>485</v>
      </c>
      <c r="R1603" s="55" t="s">
        <v>454</v>
      </c>
    </row>
    <row r="1604" spans="1:18" x14ac:dyDescent="0.5">
      <c r="A1604" s="56" t="str">
        <f>"072149JA6"</f>
        <v>072149JA6</v>
      </c>
      <c r="B1604" s="57" t="s">
        <v>451</v>
      </c>
      <c r="C1604" s="57" t="s">
        <v>1954</v>
      </c>
      <c r="D1604" s="53" t="s">
        <v>447</v>
      </c>
      <c r="E1604" s="57">
        <v>3</v>
      </c>
      <c r="F1604" s="58">
        <v>48990</v>
      </c>
      <c r="G1604" s="58">
        <v>46433</v>
      </c>
      <c r="H1604" s="57" t="s">
        <v>105</v>
      </c>
      <c r="I1604" s="57" t="s">
        <v>104</v>
      </c>
      <c r="J1604" s="57" t="s">
        <v>101</v>
      </c>
      <c r="K1604" s="57">
        <v>95.233000000000004</v>
      </c>
      <c r="L1604" s="57" t="s">
        <v>101</v>
      </c>
      <c r="M1604" s="57">
        <v>3.6259999999999999</v>
      </c>
      <c r="N1604" s="57">
        <v>3.6259999999999999</v>
      </c>
      <c r="O1604" s="53" t="s">
        <v>101</v>
      </c>
      <c r="P1604" s="57" t="s">
        <v>448</v>
      </c>
      <c r="Q1604" s="57" t="s">
        <v>479</v>
      </c>
      <c r="R1604" s="59" t="s">
        <v>454</v>
      </c>
    </row>
    <row r="1605" spans="1:18" x14ac:dyDescent="0.5">
      <c r="A1605" s="52" t="str">
        <f>"074527SB9"</f>
        <v>074527SB9</v>
      </c>
      <c r="B1605" s="53" t="s">
        <v>451</v>
      </c>
      <c r="C1605" s="53" t="s">
        <v>1955</v>
      </c>
      <c r="D1605" s="53" t="s">
        <v>447</v>
      </c>
      <c r="E1605" s="53">
        <v>3</v>
      </c>
      <c r="F1605" s="54">
        <v>48990</v>
      </c>
      <c r="G1605" s="54">
        <v>46433</v>
      </c>
      <c r="H1605" s="53" t="s">
        <v>105</v>
      </c>
      <c r="I1605" s="53" t="s">
        <v>104</v>
      </c>
      <c r="J1605" s="53" t="s">
        <v>101</v>
      </c>
      <c r="K1605" s="53">
        <v>93.57</v>
      </c>
      <c r="L1605" s="53" t="s">
        <v>101</v>
      </c>
      <c r="M1605" s="53">
        <v>3.8530000000000002</v>
      </c>
      <c r="N1605" s="53">
        <v>3.8530000000000002</v>
      </c>
      <c r="O1605" s="53" t="s">
        <v>101</v>
      </c>
      <c r="P1605" s="53" t="s">
        <v>448</v>
      </c>
      <c r="Q1605" s="53" t="s">
        <v>488</v>
      </c>
      <c r="R1605" s="55" t="s">
        <v>482</v>
      </c>
    </row>
    <row r="1606" spans="1:18" x14ac:dyDescent="0.5">
      <c r="A1606" s="56" t="str">
        <f>"074527ST0"</f>
        <v>074527ST0</v>
      </c>
      <c r="B1606" s="57" t="s">
        <v>451</v>
      </c>
      <c r="C1606" s="57" t="s">
        <v>1956</v>
      </c>
      <c r="D1606" s="53" t="s">
        <v>447</v>
      </c>
      <c r="E1606" s="57">
        <v>3</v>
      </c>
      <c r="F1606" s="58">
        <v>48990</v>
      </c>
      <c r="G1606" s="58">
        <v>46068</v>
      </c>
      <c r="H1606" s="57" t="s">
        <v>105</v>
      </c>
      <c r="I1606" s="57" t="s">
        <v>104</v>
      </c>
      <c r="J1606" s="57" t="s">
        <v>101</v>
      </c>
      <c r="K1606" s="57">
        <v>93.069000000000003</v>
      </c>
      <c r="L1606" s="57" t="s">
        <v>101</v>
      </c>
      <c r="M1606" s="57">
        <v>3.9220000000000002</v>
      </c>
      <c r="N1606" s="57">
        <v>3.9220000000000002</v>
      </c>
      <c r="O1606" s="53" t="s">
        <v>101</v>
      </c>
      <c r="P1606" s="57" t="s">
        <v>448</v>
      </c>
      <c r="Q1606" s="57" t="s">
        <v>666</v>
      </c>
      <c r="R1606" s="59" t="s">
        <v>454</v>
      </c>
    </row>
    <row r="1607" spans="1:18" x14ac:dyDescent="0.5">
      <c r="A1607" s="52" t="str">
        <f>"0782755Y6"</f>
        <v>0782755Y6</v>
      </c>
      <c r="B1607" s="53" t="s">
        <v>451</v>
      </c>
      <c r="C1607" s="53" t="s">
        <v>1957</v>
      </c>
      <c r="D1607" s="53" t="s">
        <v>447</v>
      </c>
      <c r="E1607" s="53">
        <v>3.125</v>
      </c>
      <c r="F1607" s="54">
        <v>48990</v>
      </c>
      <c r="G1607" s="54">
        <v>46068</v>
      </c>
      <c r="H1607" s="53" t="s">
        <v>105</v>
      </c>
      <c r="I1607" s="53" t="s">
        <v>104</v>
      </c>
      <c r="J1607" s="53" t="s">
        <v>101</v>
      </c>
      <c r="K1607" s="53">
        <v>95.058000000000007</v>
      </c>
      <c r="L1607" s="53" t="s">
        <v>101</v>
      </c>
      <c r="M1607" s="53">
        <v>3.778</v>
      </c>
      <c r="N1607" s="53">
        <v>3.778</v>
      </c>
      <c r="O1607" s="53" t="s">
        <v>101</v>
      </c>
      <c r="P1607" s="53" t="s">
        <v>448</v>
      </c>
      <c r="Q1607" s="53" t="s">
        <v>556</v>
      </c>
      <c r="R1607" s="55" t="s">
        <v>454</v>
      </c>
    </row>
    <row r="1608" spans="1:18" x14ac:dyDescent="0.5">
      <c r="A1608" s="56" t="str">
        <f>"081077J26"</f>
        <v>081077J26</v>
      </c>
      <c r="B1608" s="57" t="s">
        <v>451</v>
      </c>
      <c r="C1608" s="57" t="s">
        <v>1958</v>
      </c>
      <c r="D1608" s="53" t="s">
        <v>447</v>
      </c>
      <c r="E1608" s="57">
        <v>4</v>
      </c>
      <c r="F1608" s="58">
        <v>48990</v>
      </c>
      <c r="G1608" s="58">
        <v>46433</v>
      </c>
      <c r="H1608" s="57" t="s">
        <v>105</v>
      </c>
      <c r="I1608" s="57" t="s">
        <v>104</v>
      </c>
      <c r="J1608" s="57" t="s">
        <v>101</v>
      </c>
      <c r="K1608" s="57">
        <v>100.762</v>
      </c>
      <c r="L1608" s="57" t="s">
        <v>101</v>
      </c>
      <c r="M1608" s="57">
        <v>3.6</v>
      </c>
      <c r="N1608" s="57">
        <v>3.899</v>
      </c>
      <c r="O1608" s="53" t="s">
        <v>101</v>
      </c>
      <c r="P1608" s="57" t="s">
        <v>448</v>
      </c>
      <c r="Q1608" s="57" t="s">
        <v>488</v>
      </c>
      <c r="R1608" s="59" t="s">
        <v>454</v>
      </c>
    </row>
    <row r="1609" spans="1:18" x14ac:dyDescent="0.5">
      <c r="A1609" s="52" t="str">
        <f>"088365JD4"</f>
        <v>088365JD4</v>
      </c>
      <c r="B1609" s="53" t="s">
        <v>451</v>
      </c>
      <c r="C1609" s="53" t="s">
        <v>1959</v>
      </c>
      <c r="D1609" s="53" t="s">
        <v>447</v>
      </c>
      <c r="E1609" s="53">
        <v>3</v>
      </c>
      <c r="F1609" s="54">
        <v>48990</v>
      </c>
      <c r="G1609" s="54">
        <v>47164</v>
      </c>
      <c r="H1609" s="53" t="s">
        <v>540</v>
      </c>
      <c r="I1609" s="53" t="s">
        <v>105</v>
      </c>
      <c r="J1609" s="53" t="s">
        <v>101</v>
      </c>
      <c r="K1609" s="53">
        <v>93.870999999999995</v>
      </c>
      <c r="L1609" s="53" t="s">
        <v>101</v>
      </c>
      <c r="M1609" s="53">
        <v>3.8109999999999999</v>
      </c>
      <c r="N1609" s="53">
        <v>3.8109999999999999</v>
      </c>
      <c r="O1609" s="53" t="s">
        <v>101</v>
      </c>
      <c r="P1609" s="53" t="s">
        <v>448</v>
      </c>
      <c r="Q1609" s="53" t="s">
        <v>790</v>
      </c>
      <c r="R1609" s="55" t="s">
        <v>454</v>
      </c>
    </row>
    <row r="1610" spans="1:18" x14ac:dyDescent="0.5">
      <c r="A1610" s="56" t="str">
        <f>"106241A51"</f>
        <v>106241A51</v>
      </c>
      <c r="B1610" s="57" t="s">
        <v>451</v>
      </c>
      <c r="C1610" s="57" t="s">
        <v>1960</v>
      </c>
      <c r="D1610" s="53" t="s">
        <v>447</v>
      </c>
      <c r="E1610" s="57">
        <v>3</v>
      </c>
      <c r="F1610" s="58">
        <v>48990</v>
      </c>
      <c r="G1610" s="58">
        <v>46433</v>
      </c>
      <c r="H1610" s="57" t="s">
        <v>104</v>
      </c>
      <c r="I1610" s="57" t="s">
        <v>105</v>
      </c>
      <c r="J1610" s="57" t="s">
        <v>101</v>
      </c>
      <c r="K1610" s="57">
        <v>93.55</v>
      </c>
      <c r="L1610" s="57" t="s">
        <v>101</v>
      </c>
      <c r="M1610" s="57">
        <v>3.8559999999999999</v>
      </c>
      <c r="N1610" s="57">
        <v>3.8559999999999999</v>
      </c>
      <c r="O1610" s="53" t="s">
        <v>101</v>
      </c>
      <c r="P1610" s="57" t="s">
        <v>448</v>
      </c>
      <c r="Q1610" s="57" t="s">
        <v>503</v>
      </c>
      <c r="R1610" s="59" t="s">
        <v>454</v>
      </c>
    </row>
    <row r="1611" spans="1:18" x14ac:dyDescent="0.5">
      <c r="A1611" s="52" t="str">
        <f>"117583ZP2"</f>
        <v>117583ZP2</v>
      </c>
      <c r="B1611" s="53" t="s">
        <v>451</v>
      </c>
      <c r="C1611" s="53" t="s">
        <v>1961</v>
      </c>
      <c r="D1611" s="53" t="s">
        <v>447</v>
      </c>
      <c r="E1611" s="53">
        <v>3.125</v>
      </c>
      <c r="F1611" s="54">
        <v>48990</v>
      </c>
      <c r="G1611" s="54">
        <v>45703</v>
      </c>
      <c r="H1611" s="53" t="s">
        <v>105</v>
      </c>
      <c r="I1611" s="53" t="s">
        <v>104</v>
      </c>
      <c r="J1611" s="53" t="s">
        <v>101</v>
      </c>
      <c r="K1611" s="53">
        <v>95.561000000000007</v>
      </c>
      <c r="L1611" s="53" t="s">
        <v>101</v>
      </c>
      <c r="M1611" s="53">
        <v>3.71</v>
      </c>
      <c r="N1611" s="53">
        <v>3.71</v>
      </c>
      <c r="O1611" s="53" t="s">
        <v>101</v>
      </c>
      <c r="P1611" s="53" t="s">
        <v>448</v>
      </c>
      <c r="Q1611" s="53" t="s">
        <v>488</v>
      </c>
      <c r="R1611" s="55" t="s">
        <v>454</v>
      </c>
    </row>
    <row r="1612" spans="1:18" x14ac:dyDescent="0.5">
      <c r="A1612" s="56" t="str">
        <f>"1333032T3"</f>
        <v>1333032T3</v>
      </c>
      <c r="B1612" s="57" t="s">
        <v>451</v>
      </c>
      <c r="C1612" s="57" t="s">
        <v>1962</v>
      </c>
      <c r="D1612" s="53" t="s">
        <v>447</v>
      </c>
      <c r="E1612" s="57">
        <v>3</v>
      </c>
      <c r="F1612" s="58">
        <v>48990</v>
      </c>
      <c r="G1612" s="58">
        <v>47529</v>
      </c>
      <c r="H1612" s="57" t="s">
        <v>624</v>
      </c>
      <c r="I1612" s="57" t="s">
        <v>105</v>
      </c>
      <c r="J1612" s="57" t="s">
        <v>101</v>
      </c>
      <c r="K1612" s="57">
        <v>95.045000000000002</v>
      </c>
      <c r="L1612" s="57" t="s">
        <v>101</v>
      </c>
      <c r="M1612" s="57">
        <v>3.6509999999999998</v>
      </c>
      <c r="N1612" s="57">
        <v>3.6509999999999998</v>
      </c>
      <c r="O1612" s="53" t="s">
        <v>101</v>
      </c>
      <c r="P1612" s="57" t="s">
        <v>448</v>
      </c>
      <c r="Q1612" s="57" t="s">
        <v>457</v>
      </c>
      <c r="R1612" s="59" t="s">
        <v>504</v>
      </c>
    </row>
    <row r="1613" spans="1:18" x14ac:dyDescent="0.5">
      <c r="A1613" s="52" t="str">
        <f>"145628H48"</f>
        <v>145628H48</v>
      </c>
      <c r="B1613" s="53" t="s">
        <v>451</v>
      </c>
      <c r="C1613" s="53" t="s">
        <v>1963</v>
      </c>
      <c r="D1613" s="53" t="s">
        <v>447</v>
      </c>
      <c r="E1613" s="53">
        <v>3</v>
      </c>
      <c r="F1613" s="54">
        <v>48990</v>
      </c>
      <c r="G1613" s="54">
        <v>46798</v>
      </c>
      <c r="H1613" s="53" t="s">
        <v>104</v>
      </c>
      <c r="I1613" s="53" t="s">
        <v>104</v>
      </c>
      <c r="J1613" s="53" t="s">
        <v>101</v>
      </c>
      <c r="K1613" s="53">
        <v>94.781000000000006</v>
      </c>
      <c r="L1613" s="53" t="s">
        <v>101</v>
      </c>
      <c r="M1613" s="53">
        <v>3.6869999999999998</v>
      </c>
      <c r="N1613" s="53">
        <v>3.6869999999999998</v>
      </c>
      <c r="O1613" s="53" t="s">
        <v>101</v>
      </c>
      <c r="P1613" s="53" t="s">
        <v>448</v>
      </c>
      <c r="Q1613" s="53" t="s">
        <v>457</v>
      </c>
      <c r="R1613" s="55" t="s">
        <v>454</v>
      </c>
    </row>
    <row r="1614" spans="1:18" x14ac:dyDescent="0.5">
      <c r="A1614" s="56" t="str">
        <f>"184541CH1"</f>
        <v>184541CH1</v>
      </c>
      <c r="B1614" s="57" t="s">
        <v>451</v>
      </c>
      <c r="C1614" s="57" t="s">
        <v>1964</v>
      </c>
      <c r="D1614" s="53" t="s">
        <v>447</v>
      </c>
      <c r="E1614" s="57">
        <v>3</v>
      </c>
      <c r="F1614" s="58">
        <v>48990</v>
      </c>
      <c r="G1614" s="58">
        <v>46798</v>
      </c>
      <c r="H1614" s="57" t="s">
        <v>104</v>
      </c>
      <c r="I1614" s="57" t="s">
        <v>105</v>
      </c>
      <c r="J1614" s="57" t="s">
        <v>101</v>
      </c>
      <c r="K1614" s="57">
        <v>93.932000000000002</v>
      </c>
      <c r="L1614" s="57" t="s">
        <v>101</v>
      </c>
      <c r="M1614" s="57">
        <v>3.8029999999999999</v>
      </c>
      <c r="N1614" s="57">
        <v>3.8029999999999999</v>
      </c>
      <c r="O1614" s="53" t="s">
        <v>101</v>
      </c>
      <c r="P1614" s="57" t="s">
        <v>448</v>
      </c>
      <c r="Q1614" s="57" t="s">
        <v>735</v>
      </c>
      <c r="R1614" s="59" t="s">
        <v>454</v>
      </c>
    </row>
    <row r="1615" spans="1:18" x14ac:dyDescent="0.5">
      <c r="A1615" s="52" t="str">
        <f>"193057CB0"</f>
        <v>193057CB0</v>
      </c>
      <c r="B1615" s="53" t="s">
        <v>451</v>
      </c>
      <c r="C1615" s="53" t="s">
        <v>1965</v>
      </c>
      <c r="D1615" s="53" t="s">
        <v>447</v>
      </c>
      <c r="E1615" s="53">
        <v>3</v>
      </c>
      <c r="F1615" s="54">
        <v>48990</v>
      </c>
      <c r="G1615" s="54">
        <v>46068</v>
      </c>
      <c r="H1615" s="53" t="s">
        <v>104</v>
      </c>
      <c r="I1615" s="53" t="s">
        <v>105</v>
      </c>
      <c r="J1615" s="53" t="s">
        <v>101</v>
      </c>
      <c r="K1615" s="53">
        <v>94.27</v>
      </c>
      <c r="L1615" s="53" t="s">
        <v>101</v>
      </c>
      <c r="M1615" s="53">
        <v>3.7570000000000001</v>
      </c>
      <c r="N1615" s="53">
        <v>3.7570000000000001</v>
      </c>
      <c r="O1615" s="53" t="s">
        <v>101</v>
      </c>
      <c r="P1615" s="53" t="s">
        <v>448</v>
      </c>
      <c r="Q1615" s="53" t="s">
        <v>453</v>
      </c>
      <c r="R1615" s="55" t="s">
        <v>454</v>
      </c>
    </row>
    <row r="1616" spans="1:18" x14ac:dyDescent="0.5">
      <c r="A1616" s="56" t="str">
        <f>"194469GP1"</f>
        <v>194469GP1</v>
      </c>
      <c r="B1616" s="57" t="s">
        <v>451</v>
      </c>
      <c r="C1616" s="57" t="s">
        <v>1966</v>
      </c>
      <c r="D1616" s="53" t="s">
        <v>447</v>
      </c>
      <c r="E1616" s="57">
        <v>3</v>
      </c>
      <c r="F1616" s="58">
        <v>48990</v>
      </c>
      <c r="G1616" s="58">
        <v>46433</v>
      </c>
      <c r="H1616" s="57" t="s">
        <v>540</v>
      </c>
      <c r="I1616" s="57" t="s">
        <v>509</v>
      </c>
      <c r="J1616" s="57" t="s">
        <v>101</v>
      </c>
      <c r="K1616" s="57">
        <v>93.495999999999995</v>
      </c>
      <c r="L1616" s="57" t="s">
        <v>101</v>
      </c>
      <c r="M1616" s="57">
        <v>3.863</v>
      </c>
      <c r="N1616" s="57">
        <v>3.863</v>
      </c>
      <c r="O1616" s="53" t="s">
        <v>101</v>
      </c>
      <c r="P1616" s="57" t="s">
        <v>448</v>
      </c>
      <c r="Q1616" s="57" t="s">
        <v>479</v>
      </c>
      <c r="R1616" s="59" t="s">
        <v>504</v>
      </c>
    </row>
    <row r="1617" spans="1:18" x14ac:dyDescent="0.5">
      <c r="A1617" s="52" t="str">
        <f>"19624KNU1"</f>
        <v>19624KNU1</v>
      </c>
      <c r="B1617" s="53" t="s">
        <v>451</v>
      </c>
      <c r="C1617" s="53" t="s">
        <v>1967</v>
      </c>
      <c r="D1617" s="53" t="s">
        <v>447</v>
      </c>
      <c r="E1617" s="53">
        <v>3.5</v>
      </c>
      <c r="F1617" s="54">
        <v>48990</v>
      </c>
      <c r="G1617" s="54">
        <v>45703</v>
      </c>
      <c r="H1617" s="53" t="s">
        <v>613</v>
      </c>
      <c r="I1617" s="53" t="s">
        <v>509</v>
      </c>
      <c r="J1617" s="53" t="s">
        <v>101</v>
      </c>
      <c r="K1617" s="53">
        <v>98.39</v>
      </c>
      <c r="L1617" s="53" t="s">
        <v>101</v>
      </c>
      <c r="M1617" s="53">
        <v>3.7120000000000002</v>
      </c>
      <c r="N1617" s="53">
        <v>3.7120000000000002</v>
      </c>
      <c r="O1617" s="53" t="s">
        <v>101</v>
      </c>
      <c r="P1617" s="53" t="s">
        <v>448</v>
      </c>
      <c r="Q1617" s="53" t="s">
        <v>488</v>
      </c>
      <c r="R1617" s="55" t="s">
        <v>504</v>
      </c>
    </row>
    <row r="1618" spans="1:18" x14ac:dyDescent="0.5">
      <c r="A1618" s="56" t="str">
        <f>"208418U27"</f>
        <v>208418U27</v>
      </c>
      <c r="B1618" s="57" t="s">
        <v>451</v>
      </c>
      <c r="C1618" s="57" t="s">
        <v>1968</v>
      </c>
      <c r="D1618" s="53" t="s">
        <v>447</v>
      </c>
      <c r="E1618" s="57">
        <v>3</v>
      </c>
      <c r="F1618" s="58">
        <v>48990</v>
      </c>
      <c r="G1618" s="58">
        <v>47529</v>
      </c>
      <c r="H1618" s="57" t="s">
        <v>104</v>
      </c>
      <c r="I1618" s="57" t="s">
        <v>104</v>
      </c>
      <c r="J1618" s="57" t="s">
        <v>101</v>
      </c>
      <c r="K1618" s="57">
        <v>93.51</v>
      </c>
      <c r="L1618" s="57" t="s">
        <v>101</v>
      </c>
      <c r="M1618" s="57">
        <v>3.8610000000000002</v>
      </c>
      <c r="N1618" s="57">
        <v>3.8610000000000002</v>
      </c>
      <c r="O1618" s="53" t="s">
        <v>101</v>
      </c>
      <c r="P1618" s="57" t="s">
        <v>448</v>
      </c>
      <c r="Q1618" s="57" t="s">
        <v>453</v>
      </c>
      <c r="R1618" s="59" t="s">
        <v>454</v>
      </c>
    </row>
    <row r="1619" spans="1:18" x14ac:dyDescent="0.5">
      <c r="A1619" s="52" t="str">
        <f>"220417U31"</f>
        <v>220417U31</v>
      </c>
      <c r="B1619" s="53" t="s">
        <v>451</v>
      </c>
      <c r="C1619" s="53" t="s">
        <v>1969</v>
      </c>
      <c r="D1619" s="53" t="s">
        <v>447</v>
      </c>
      <c r="E1619" s="53">
        <v>3</v>
      </c>
      <c r="F1619" s="54">
        <v>48990</v>
      </c>
      <c r="G1619" s="54">
        <v>47529</v>
      </c>
      <c r="H1619" s="53" t="s">
        <v>105</v>
      </c>
      <c r="I1619" s="53" t="s">
        <v>616</v>
      </c>
      <c r="J1619" s="53" t="s">
        <v>101</v>
      </c>
      <c r="K1619" s="53">
        <v>92.921000000000006</v>
      </c>
      <c r="L1619" s="53" t="s">
        <v>101</v>
      </c>
      <c r="M1619" s="53">
        <v>3.9430000000000001</v>
      </c>
      <c r="N1619" s="53">
        <v>3.9430000000000001</v>
      </c>
      <c r="O1619" s="53" t="s">
        <v>101</v>
      </c>
      <c r="P1619" s="53" t="s">
        <v>448</v>
      </c>
      <c r="Q1619" s="53" t="s">
        <v>503</v>
      </c>
      <c r="R1619" s="55" t="s">
        <v>504</v>
      </c>
    </row>
    <row r="1620" spans="1:18" x14ac:dyDescent="0.5">
      <c r="A1620" s="56" t="str">
        <f>"235219NX6"</f>
        <v>235219NX6</v>
      </c>
      <c r="B1620" s="57" t="s">
        <v>451</v>
      </c>
      <c r="C1620" s="57" t="s">
        <v>1970</v>
      </c>
      <c r="D1620" s="53" t="s">
        <v>447</v>
      </c>
      <c r="E1620" s="57">
        <v>3.25</v>
      </c>
      <c r="F1620" s="58">
        <v>48990</v>
      </c>
      <c r="G1620" s="58">
        <v>46798</v>
      </c>
      <c r="H1620" s="57" t="s">
        <v>105</v>
      </c>
      <c r="I1620" s="57" t="s">
        <v>616</v>
      </c>
      <c r="J1620" s="57" t="s">
        <v>101</v>
      </c>
      <c r="K1620" s="57">
        <v>97.975999999999999</v>
      </c>
      <c r="L1620" s="57" t="s">
        <v>101</v>
      </c>
      <c r="M1620" s="57">
        <v>3.5139999999999998</v>
      </c>
      <c r="N1620" s="57">
        <v>3.5139999999999998</v>
      </c>
      <c r="O1620" s="53" t="s">
        <v>101</v>
      </c>
      <c r="P1620" s="57" t="s">
        <v>448</v>
      </c>
      <c r="Q1620" s="57" t="s">
        <v>488</v>
      </c>
      <c r="R1620" s="59" t="s">
        <v>454</v>
      </c>
    </row>
    <row r="1621" spans="1:18" x14ac:dyDescent="0.5">
      <c r="A1621" s="52" t="str">
        <f>"235308YC1"</f>
        <v>235308YC1</v>
      </c>
      <c r="B1621" s="53" t="s">
        <v>451</v>
      </c>
      <c r="C1621" s="53" t="s">
        <v>1971</v>
      </c>
      <c r="D1621" s="53" t="s">
        <v>447</v>
      </c>
      <c r="E1621" s="53">
        <v>3</v>
      </c>
      <c r="F1621" s="54">
        <v>48990</v>
      </c>
      <c r="G1621" s="54">
        <v>47164</v>
      </c>
      <c r="H1621" s="53" t="s">
        <v>104</v>
      </c>
      <c r="I1621" s="53" t="s">
        <v>104</v>
      </c>
      <c r="J1621" s="53" t="s">
        <v>101</v>
      </c>
      <c r="K1621" s="53">
        <v>95.090999999999994</v>
      </c>
      <c r="L1621" s="53" t="s">
        <v>101</v>
      </c>
      <c r="M1621" s="53">
        <v>3.645</v>
      </c>
      <c r="N1621" s="53">
        <v>3.645</v>
      </c>
      <c r="O1621" s="53" t="s">
        <v>101</v>
      </c>
      <c r="P1621" s="53" t="s">
        <v>448</v>
      </c>
      <c r="Q1621" s="53" t="s">
        <v>517</v>
      </c>
      <c r="R1621" s="55" t="s">
        <v>454</v>
      </c>
    </row>
    <row r="1622" spans="1:18" x14ac:dyDescent="0.5">
      <c r="A1622" s="56" t="str">
        <f>"24170PUB2"</f>
        <v>24170PUB2</v>
      </c>
      <c r="B1622" s="57" t="s">
        <v>451</v>
      </c>
      <c r="C1622" s="57" t="s">
        <v>1972</v>
      </c>
      <c r="D1622" s="53" t="s">
        <v>447</v>
      </c>
      <c r="E1622" s="57">
        <v>3</v>
      </c>
      <c r="F1622" s="58">
        <v>48990</v>
      </c>
      <c r="G1622" s="58">
        <v>47529</v>
      </c>
      <c r="H1622" s="57" t="s">
        <v>105</v>
      </c>
      <c r="I1622" s="57" t="s">
        <v>628</v>
      </c>
      <c r="J1622" s="57" t="s">
        <v>101</v>
      </c>
      <c r="K1622" s="57">
        <v>95.451999999999998</v>
      </c>
      <c r="L1622" s="57" t="s">
        <v>101</v>
      </c>
      <c r="M1622" s="57">
        <v>3.5960000000000001</v>
      </c>
      <c r="N1622" s="57">
        <v>3.5960000000000001</v>
      </c>
      <c r="O1622" s="53" t="s">
        <v>101</v>
      </c>
      <c r="P1622" s="57" t="s">
        <v>448</v>
      </c>
      <c r="Q1622" s="57" t="s">
        <v>479</v>
      </c>
      <c r="R1622" s="59" t="s">
        <v>504</v>
      </c>
    </row>
    <row r="1623" spans="1:18" x14ac:dyDescent="0.5">
      <c r="A1623" s="52" t="str">
        <f>"257849SE0"</f>
        <v>257849SE0</v>
      </c>
      <c r="B1623" s="53" t="s">
        <v>451</v>
      </c>
      <c r="C1623" s="53" t="s">
        <v>1973</v>
      </c>
      <c r="D1623" s="53" t="s">
        <v>447</v>
      </c>
      <c r="E1623" s="53">
        <v>4</v>
      </c>
      <c r="F1623" s="54">
        <v>48990</v>
      </c>
      <c r="G1623" s="54">
        <v>47164</v>
      </c>
      <c r="H1623" s="53" t="s">
        <v>104</v>
      </c>
      <c r="I1623" s="53" t="s">
        <v>104</v>
      </c>
      <c r="J1623" s="53" t="s">
        <v>101</v>
      </c>
      <c r="K1623" s="53">
        <v>101.76</v>
      </c>
      <c r="L1623" s="53" t="s">
        <v>101</v>
      </c>
      <c r="M1623" s="53">
        <v>3.5230000000000001</v>
      </c>
      <c r="N1623" s="53">
        <v>3.7669999999999999</v>
      </c>
      <c r="O1623" s="53" t="s">
        <v>101</v>
      </c>
      <c r="P1623" s="53" t="s">
        <v>448</v>
      </c>
      <c r="Q1623" s="53" t="s">
        <v>488</v>
      </c>
      <c r="R1623" s="55" t="s">
        <v>454</v>
      </c>
    </row>
    <row r="1624" spans="1:18" x14ac:dyDescent="0.5">
      <c r="A1624" s="56" t="str">
        <f>"271281ZM2"</f>
        <v>271281ZM2</v>
      </c>
      <c r="B1624" s="57" t="s">
        <v>477</v>
      </c>
      <c r="C1624" s="57" t="s">
        <v>1974</v>
      </c>
      <c r="D1624" s="53" t="s">
        <v>447</v>
      </c>
      <c r="E1624" s="57">
        <v>2</v>
      </c>
      <c r="F1624" s="58">
        <v>48990</v>
      </c>
      <c r="G1624" s="58">
        <v>47164</v>
      </c>
      <c r="H1624" s="57" t="s">
        <v>540</v>
      </c>
      <c r="I1624" s="57" t="s">
        <v>105</v>
      </c>
      <c r="J1624" s="57" t="s">
        <v>101</v>
      </c>
      <c r="K1624" s="57">
        <v>82.796999999999997</v>
      </c>
      <c r="L1624" s="57" t="s">
        <v>101</v>
      </c>
      <c r="M1624" s="57">
        <v>4.33</v>
      </c>
      <c r="N1624" s="57">
        <v>4.33</v>
      </c>
      <c r="O1624" s="53" t="s">
        <v>101</v>
      </c>
      <c r="P1624" s="57" t="s">
        <v>448</v>
      </c>
      <c r="Q1624" s="57" t="s">
        <v>479</v>
      </c>
      <c r="R1624" s="59" t="s">
        <v>454</v>
      </c>
    </row>
    <row r="1625" spans="1:18" x14ac:dyDescent="0.5">
      <c r="A1625" s="52" t="str">
        <f>"280335KR0"</f>
        <v>280335KR0</v>
      </c>
      <c r="B1625" s="53" t="s">
        <v>477</v>
      </c>
      <c r="C1625" s="53" t="s">
        <v>1975</v>
      </c>
      <c r="D1625" s="53" t="s">
        <v>447</v>
      </c>
      <c r="E1625" s="53">
        <v>1</v>
      </c>
      <c r="F1625" s="54">
        <v>48990</v>
      </c>
      <c r="G1625" s="54">
        <v>46433</v>
      </c>
      <c r="H1625" s="53" t="s">
        <v>613</v>
      </c>
      <c r="I1625" s="53" t="s">
        <v>105</v>
      </c>
      <c r="J1625" s="53" t="s">
        <v>101</v>
      </c>
      <c r="K1625" s="53">
        <v>76.108000000000004</v>
      </c>
      <c r="L1625" s="53" t="s">
        <v>101</v>
      </c>
      <c r="M1625" s="53">
        <v>4.2210000000000001</v>
      </c>
      <c r="N1625" s="53">
        <v>4.2210000000000001</v>
      </c>
      <c r="O1625" s="53" t="s">
        <v>101</v>
      </c>
      <c r="P1625" s="53" t="s">
        <v>448</v>
      </c>
      <c r="Q1625" s="53" t="s">
        <v>874</v>
      </c>
      <c r="R1625" s="55" t="s">
        <v>454</v>
      </c>
    </row>
    <row r="1626" spans="1:18" x14ac:dyDescent="0.5">
      <c r="A1626" s="56" t="str">
        <f>"281335HV4"</f>
        <v>281335HV4</v>
      </c>
      <c r="B1626" s="57" t="s">
        <v>451</v>
      </c>
      <c r="C1626" s="57" t="s">
        <v>1976</v>
      </c>
      <c r="D1626" s="53" t="s">
        <v>447</v>
      </c>
      <c r="E1626" s="57">
        <v>4</v>
      </c>
      <c r="F1626" s="58">
        <v>48990</v>
      </c>
      <c r="G1626" s="58">
        <v>46433</v>
      </c>
      <c r="H1626" s="57" t="s">
        <v>105</v>
      </c>
      <c r="I1626" s="57" t="s">
        <v>104</v>
      </c>
      <c r="J1626" s="57" t="s">
        <v>101</v>
      </c>
      <c r="K1626" s="57">
        <v>100.623</v>
      </c>
      <c r="L1626" s="57" t="s">
        <v>101</v>
      </c>
      <c r="M1626" s="57">
        <v>3.673</v>
      </c>
      <c r="N1626" s="57">
        <v>3.9169999999999998</v>
      </c>
      <c r="O1626" s="53" t="s">
        <v>101</v>
      </c>
      <c r="P1626" s="57" t="s">
        <v>448</v>
      </c>
      <c r="Q1626" s="57" t="s">
        <v>457</v>
      </c>
      <c r="R1626" s="59" t="s">
        <v>454</v>
      </c>
    </row>
    <row r="1627" spans="1:18" x14ac:dyDescent="0.5">
      <c r="A1627" s="52" t="str">
        <f>"346425FR7"</f>
        <v>346425FR7</v>
      </c>
      <c r="B1627" s="53" t="s">
        <v>451</v>
      </c>
      <c r="C1627" s="53" t="s">
        <v>1977</v>
      </c>
      <c r="D1627" s="53" t="s">
        <v>447</v>
      </c>
      <c r="E1627" s="53">
        <v>3</v>
      </c>
      <c r="F1627" s="54">
        <v>48990</v>
      </c>
      <c r="G1627" s="54">
        <v>47529</v>
      </c>
      <c r="H1627" s="53" t="s">
        <v>105</v>
      </c>
      <c r="I1627" s="53" t="s">
        <v>104</v>
      </c>
      <c r="J1627" s="53" t="s">
        <v>101</v>
      </c>
      <c r="K1627" s="53">
        <v>94.686000000000007</v>
      </c>
      <c r="L1627" s="53" t="s">
        <v>101</v>
      </c>
      <c r="M1627" s="53">
        <v>3.7</v>
      </c>
      <c r="N1627" s="53">
        <v>3.7</v>
      </c>
      <c r="O1627" s="53" t="s">
        <v>101</v>
      </c>
      <c r="P1627" s="53" t="s">
        <v>448</v>
      </c>
      <c r="Q1627" s="53" t="s">
        <v>1469</v>
      </c>
      <c r="R1627" s="55" t="s">
        <v>454</v>
      </c>
    </row>
    <row r="1628" spans="1:18" x14ac:dyDescent="0.5">
      <c r="A1628" s="56" t="str">
        <f>"349515M78"</f>
        <v>349515M78</v>
      </c>
      <c r="B1628" s="57" t="s">
        <v>451</v>
      </c>
      <c r="C1628" s="57" t="s">
        <v>1978</v>
      </c>
      <c r="D1628" s="53" t="s">
        <v>447</v>
      </c>
      <c r="E1628" s="57">
        <v>3</v>
      </c>
      <c r="F1628" s="58">
        <v>48990</v>
      </c>
      <c r="G1628" s="58">
        <v>47529</v>
      </c>
      <c r="H1628" s="57" t="s">
        <v>105</v>
      </c>
      <c r="I1628" s="57" t="s">
        <v>509</v>
      </c>
      <c r="J1628" s="57" t="s">
        <v>101</v>
      </c>
      <c r="K1628" s="57">
        <v>94.349000000000004</v>
      </c>
      <c r="L1628" s="57" t="s">
        <v>101</v>
      </c>
      <c r="M1628" s="57">
        <v>3.746</v>
      </c>
      <c r="N1628" s="57">
        <v>3.746</v>
      </c>
      <c r="O1628" s="53" t="s">
        <v>101</v>
      </c>
      <c r="P1628" s="57" t="s">
        <v>448</v>
      </c>
      <c r="Q1628" s="57" t="s">
        <v>460</v>
      </c>
      <c r="R1628" s="59" t="s">
        <v>589</v>
      </c>
    </row>
    <row r="1629" spans="1:18" x14ac:dyDescent="0.5">
      <c r="A1629" s="52" t="str">
        <f>"357866B68"</f>
        <v>357866B68</v>
      </c>
      <c r="B1629" s="53" t="s">
        <v>451</v>
      </c>
      <c r="C1629" s="53" t="s">
        <v>1979</v>
      </c>
      <c r="D1629" s="53" t="s">
        <v>447</v>
      </c>
      <c r="E1629" s="53">
        <v>3</v>
      </c>
      <c r="F1629" s="54">
        <v>48990</v>
      </c>
      <c r="G1629" s="54">
        <v>47529</v>
      </c>
      <c r="H1629" s="53" t="s">
        <v>104</v>
      </c>
      <c r="I1629" s="53" t="s">
        <v>105</v>
      </c>
      <c r="J1629" s="53" t="s">
        <v>101</v>
      </c>
      <c r="K1629" s="53">
        <v>93.099000000000004</v>
      </c>
      <c r="L1629" s="53" t="s">
        <v>101</v>
      </c>
      <c r="M1629" s="53">
        <v>3.9180000000000001</v>
      </c>
      <c r="N1629" s="53">
        <v>3.9180000000000001</v>
      </c>
      <c r="O1629" s="53" t="s">
        <v>101</v>
      </c>
      <c r="P1629" s="53" t="s">
        <v>448</v>
      </c>
      <c r="Q1629" s="53" t="s">
        <v>457</v>
      </c>
      <c r="R1629" s="55" t="s">
        <v>482</v>
      </c>
    </row>
    <row r="1630" spans="1:18" x14ac:dyDescent="0.5">
      <c r="A1630" s="56" t="str">
        <f>"358781CJ9"</f>
        <v>358781CJ9</v>
      </c>
      <c r="B1630" s="57" t="s">
        <v>451</v>
      </c>
      <c r="C1630" s="57" t="s">
        <v>1980</v>
      </c>
      <c r="D1630" s="53" t="s">
        <v>447</v>
      </c>
      <c r="E1630" s="57">
        <v>3</v>
      </c>
      <c r="F1630" s="58">
        <v>48990</v>
      </c>
      <c r="G1630" s="58">
        <v>46068</v>
      </c>
      <c r="H1630" s="57" t="s">
        <v>104</v>
      </c>
      <c r="I1630" s="57" t="s">
        <v>628</v>
      </c>
      <c r="J1630" s="57" t="s">
        <v>101</v>
      </c>
      <c r="K1630" s="57">
        <v>93.671999999999997</v>
      </c>
      <c r="L1630" s="57" t="s">
        <v>101</v>
      </c>
      <c r="M1630" s="57">
        <v>3.839</v>
      </c>
      <c r="N1630" s="57">
        <v>3.839</v>
      </c>
      <c r="O1630" s="53" t="s">
        <v>101</v>
      </c>
      <c r="P1630" s="57" t="s">
        <v>448</v>
      </c>
      <c r="Q1630" s="57" t="s">
        <v>556</v>
      </c>
      <c r="R1630" s="59" t="s">
        <v>504</v>
      </c>
    </row>
    <row r="1631" spans="1:18" x14ac:dyDescent="0.5">
      <c r="A1631" s="52" t="str">
        <f>"358776QW5"</f>
        <v>358776QW5</v>
      </c>
      <c r="B1631" s="53" t="s">
        <v>451</v>
      </c>
      <c r="C1631" s="53" t="s">
        <v>1981</v>
      </c>
      <c r="D1631" s="53" t="s">
        <v>447</v>
      </c>
      <c r="E1631" s="53">
        <v>3</v>
      </c>
      <c r="F1631" s="54">
        <v>48990</v>
      </c>
      <c r="G1631" s="54">
        <v>46433</v>
      </c>
      <c r="H1631" s="53" t="s">
        <v>104</v>
      </c>
      <c r="I1631" s="53" t="s">
        <v>104</v>
      </c>
      <c r="J1631" s="53" t="s">
        <v>101</v>
      </c>
      <c r="K1631" s="53">
        <v>94.727000000000004</v>
      </c>
      <c r="L1631" s="53" t="s">
        <v>101</v>
      </c>
      <c r="M1631" s="53">
        <v>3.6949999999999998</v>
      </c>
      <c r="N1631" s="53">
        <v>3.6949999999999998</v>
      </c>
      <c r="O1631" s="53" t="s">
        <v>101</v>
      </c>
      <c r="P1631" s="53" t="s">
        <v>448</v>
      </c>
      <c r="Q1631" s="53" t="s">
        <v>527</v>
      </c>
      <c r="R1631" s="55" t="s">
        <v>589</v>
      </c>
    </row>
    <row r="1632" spans="1:18" x14ac:dyDescent="0.5">
      <c r="A1632" s="56" t="str">
        <f>"382604U38"</f>
        <v>382604U38</v>
      </c>
      <c r="B1632" s="57" t="s">
        <v>451</v>
      </c>
      <c r="C1632" s="57" t="s">
        <v>1982</v>
      </c>
      <c r="D1632" s="53" t="s">
        <v>447</v>
      </c>
      <c r="E1632" s="57">
        <v>3</v>
      </c>
      <c r="F1632" s="58">
        <v>48990</v>
      </c>
      <c r="G1632" s="58">
        <v>46433</v>
      </c>
      <c r="H1632" s="57" t="s">
        <v>104</v>
      </c>
      <c r="I1632" s="57" t="s">
        <v>105</v>
      </c>
      <c r="J1632" s="57" t="s">
        <v>101</v>
      </c>
      <c r="K1632" s="57">
        <v>94.71</v>
      </c>
      <c r="L1632" s="57" t="s">
        <v>101</v>
      </c>
      <c r="M1632" s="57">
        <v>3.6970000000000001</v>
      </c>
      <c r="N1632" s="57">
        <v>3.6970000000000001</v>
      </c>
      <c r="O1632" s="53" t="s">
        <v>101</v>
      </c>
      <c r="P1632" s="57" t="s">
        <v>448</v>
      </c>
      <c r="Q1632" s="57" t="s">
        <v>790</v>
      </c>
      <c r="R1632" s="59" t="s">
        <v>454</v>
      </c>
    </row>
    <row r="1633" spans="1:18" x14ac:dyDescent="0.5">
      <c r="A1633" s="52" t="str">
        <f>"382604W93"</f>
        <v>382604W93</v>
      </c>
      <c r="B1633" s="53" t="s">
        <v>451</v>
      </c>
      <c r="C1633" s="53" t="s">
        <v>1983</v>
      </c>
      <c r="D1633" s="53" t="s">
        <v>447</v>
      </c>
      <c r="E1633" s="53">
        <v>3</v>
      </c>
      <c r="F1633" s="54">
        <v>48990</v>
      </c>
      <c r="G1633" s="54">
        <v>47529</v>
      </c>
      <c r="H1633" s="53" t="s">
        <v>104</v>
      </c>
      <c r="I1633" s="53" t="s">
        <v>105</v>
      </c>
      <c r="J1633" s="53" t="s">
        <v>101</v>
      </c>
      <c r="K1633" s="53">
        <v>93.067999999999998</v>
      </c>
      <c r="L1633" s="53" t="s">
        <v>101</v>
      </c>
      <c r="M1633" s="53">
        <v>3.9220000000000002</v>
      </c>
      <c r="N1633" s="53">
        <v>3.9220000000000002</v>
      </c>
      <c r="O1633" s="53" t="s">
        <v>101</v>
      </c>
      <c r="P1633" s="53" t="s">
        <v>448</v>
      </c>
      <c r="Q1633" s="53" t="s">
        <v>556</v>
      </c>
      <c r="R1633" s="55" t="s">
        <v>482</v>
      </c>
    </row>
    <row r="1634" spans="1:18" x14ac:dyDescent="0.5">
      <c r="A1634" s="56" t="str">
        <f>"397586RP5"</f>
        <v>397586RP5</v>
      </c>
      <c r="B1634" s="57" t="s">
        <v>451</v>
      </c>
      <c r="C1634" s="57" t="s">
        <v>1984</v>
      </c>
      <c r="D1634" s="53" t="s">
        <v>447</v>
      </c>
      <c r="E1634" s="57">
        <v>3</v>
      </c>
      <c r="F1634" s="58">
        <v>48990</v>
      </c>
      <c r="G1634" s="58">
        <v>46980</v>
      </c>
      <c r="H1634" s="57" t="s">
        <v>104</v>
      </c>
      <c r="I1634" s="57" t="s">
        <v>104</v>
      </c>
      <c r="J1634" s="57" t="s">
        <v>101</v>
      </c>
      <c r="K1634" s="57">
        <v>93.17</v>
      </c>
      <c r="L1634" s="57" t="s">
        <v>101</v>
      </c>
      <c r="M1634" s="57">
        <v>3.9079999999999999</v>
      </c>
      <c r="N1634" s="57">
        <v>3.9079999999999999</v>
      </c>
      <c r="O1634" s="53" t="s">
        <v>101</v>
      </c>
      <c r="P1634" s="57" t="s">
        <v>448</v>
      </c>
      <c r="Q1634" s="57" t="s">
        <v>488</v>
      </c>
      <c r="R1634" s="59" t="s">
        <v>454</v>
      </c>
    </row>
    <row r="1635" spans="1:18" x14ac:dyDescent="0.5">
      <c r="A1635" s="52" t="str">
        <f>"41415UAT3"</f>
        <v>41415UAT3</v>
      </c>
      <c r="B1635" s="53" t="s">
        <v>451</v>
      </c>
      <c r="C1635" s="53" t="s">
        <v>1985</v>
      </c>
      <c r="D1635" s="53" t="s">
        <v>447</v>
      </c>
      <c r="E1635" s="53">
        <v>3</v>
      </c>
      <c r="F1635" s="54">
        <v>48990</v>
      </c>
      <c r="G1635" s="54">
        <v>46068</v>
      </c>
      <c r="H1635" s="53" t="s">
        <v>540</v>
      </c>
      <c r="I1635" s="53" t="s">
        <v>105</v>
      </c>
      <c r="J1635" s="53" t="s">
        <v>101</v>
      </c>
      <c r="K1635" s="53">
        <v>92.114000000000004</v>
      </c>
      <c r="L1635" s="53" t="s">
        <v>101</v>
      </c>
      <c r="M1635" s="53">
        <v>4.0549999999999997</v>
      </c>
      <c r="N1635" s="53">
        <v>4.0549999999999997</v>
      </c>
      <c r="O1635" s="53" t="s">
        <v>101</v>
      </c>
      <c r="P1635" s="53" t="s">
        <v>448</v>
      </c>
      <c r="Q1635" s="53" t="s">
        <v>485</v>
      </c>
      <c r="R1635" s="55" t="s">
        <v>504</v>
      </c>
    </row>
    <row r="1636" spans="1:18" x14ac:dyDescent="0.5">
      <c r="A1636" s="56" t="str">
        <f>"421020ZZ4"</f>
        <v>421020ZZ4</v>
      </c>
      <c r="B1636" s="57" t="s">
        <v>451</v>
      </c>
      <c r="C1636" s="57" t="s">
        <v>1986</v>
      </c>
      <c r="D1636" s="53" t="s">
        <v>447</v>
      </c>
      <c r="E1636" s="57">
        <v>4</v>
      </c>
      <c r="F1636" s="58">
        <v>48990</v>
      </c>
      <c r="G1636" s="58">
        <v>46068</v>
      </c>
      <c r="H1636" s="57" t="s">
        <v>105</v>
      </c>
      <c r="I1636" s="57" t="s">
        <v>509</v>
      </c>
      <c r="J1636" s="57" t="s">
        <v>101</v>
      </c>
      <c r="K1636" s="57">
        <v>100.41</v>
      </c>
      <c r="L1636" s="57" t="s">
        <v>101</v>
      </c>
      <c r="M1636" s="57">
        <v>3.5750000000000002</v>
      </c>
      <c r="N1636" s="57">
        <v>3.9449999999999998</v>
      </c>
      <c r="O1636" s="53" t="s">
        <v>101</v>
      </c>
      <c r="P1636" s="57" t="s">
        <v>448</v>
      </c>
      <c r="Q1636" s="57" t="s">
        <v>479</v>
      </c>
      <c r="R1636" s="59" t="s">
        <v>454</v>
      </c>
    </row>
    <row r="1637" spans="1:18" x14ac:dyDescent="0.5">
      <c r="A1637" s="52" t="str">
        <f>"430686QC2"</f>
        <v>430686QC2</v>
      </c>
      <c r="B1637" s="53" t="s">
        <v>451</v>
      </c>
      <c r="C1637" s="53" t="s">
        <v>1987</v>
      </c>
      <c r="D1637" s="53" t="s">
        <v>447</v>
      </c>
      <c r="E1637" s="53">
        <v>3</v>
      </c>
      <c r="F1637" s="54">
        <v>48990</v>
      </c>
      <c r="G1637" s="54">
        <v>45703</v>
      </c>
      <c r="H1637" s="53" t="s">
        <v>104</v>
      </c>
      <c r="I1637" s="53" t="s">
        <v>105</v>
      </c>
      <c r="J1637" s="53" t="s">
        <v>101</v>
      </c>
      <c r="K1637" s="53">
        <v>93.599000000000004</v>
      </c>
      <c r="L1637" s="53" t="s">
        <v>101</v>
      </c>
      <c r="M1637" s="53">
        <v>3.8490000000000002</v>
      </c>
      <c r="N1637" s="53">
        <v>3.8490000000000002</v>
      </c>
      <c r="O1637" s="53" t="s">
        <v>101</v>
      </c>
      <c r="P1637" s="53" t="s">
        <v>448</v>
      </c>
      <c r="Q1637" s="53" t="s">
        <v>1537</v>
      </c>
      <c r="R1637" s="55" t="s">
        <v>482</v>
      </c>
    </row>
    <row r="1638" spans="1:18" x14ac:dyDescent="0.5">
      <c r="A1638" s="56" t="str">
        <f>"445047JD6"</f>
        <v>445047JD6</v>
      </c>
      <c r="B1638" s="57" t="s">
        <v>451</v>
      </c>
      <c r="C1638" s="57" t="s">
        <v>1988</v>
      </c>
      <c r="D1638" s="53" t="s">
        <v>447</v>
      </c>
      <c r="E1638" s="57">
        <v>3</v>
      </c>
      <c r="F1638" s="58">
        <v>48990</v>
      </c>
      <c r="G1638" s="58">
        <v>47529</v>
      </c>
      <c r="H1638" s="57" t="s">
        <v>104</v>
      </c>
      <c r="I1638" s="57" t="s">
        <v>104</v>
      </c>
      <c r="J1638" s="57" t="s">
        <v>101</v>
      </c>
      <c r="K1638" s="57">
        <v>93.55</v>
      </c>
      <c r="L1638" s="57" t="s">
        <v>101</v>
      </c>
      <c r="M1638" s="57">
        <v>3.8559999999999999</v>
      </c>
      <c r="N1638" s="57">
        <v>3.8559999999999999</v>
      </c>
      <c r="O1638" s="53" t="s">
        <v>101</v>
      </c>
      <c r="P1638" s="57" t="s">
        <v>448</v>
      </c>
      <c r="Q1638" s="57" t="s">
        <v>457</v>
      </c>
      <c r="R1638" s="59" t="s">
        <v>454</v>
      </c>
    </row>
    <row r="1639" spans="1:18" x14ac:dyDescent="0.5">
      <c r="A1639" s="52" t="str">
        <f>"45204EFF0"</f>
        <v>45204EFF0</v>
      </c>
      <c r="B1639" s="53" t="s">
        <v>491</v>
      </c>
      <c r="C1639" s="53" t="s">
        <v>1989</v>
      </c>
      <c r="D1639" s="53" t="s">
        <v>447</v>
      </c>
      <c r="E1639" s="53">
        <v>3.75</v>
      </c>
      <c r="F1639" s="54">
        <v>48990</v>
      </c>
      <c r="G1639" s="54">
        <v>46433</v>
      </c>
      <c r="H1639" s="53" t="s">
        <v>613</v>
      </c>
      <c r="I1639" s="53" t="s">
        <v>628</v>
      </c>
      <c r="J1639" s="53" t="s">
        <v>101</v>
      </c>
      <c r="K1639" s="53">
        <v>99.58</v>
      </c>
      <c r="L1639" s="53" t="s">
        <v>101</v>
      </c>
      <c r="M1639" s="53">
        <v>3.806</v>
      </c>
      <c r="N1639" s="53">
        <v>3.806</v>
      </c>
      <c r="O1639" s="53" t="s">
        <v>101</v>
      </c>
      <c r="P1639" s="53" t="s">
        <v>448</v>
      </c>
      <c r="Q1639" s="53" t="s">
        <v>573</v>
      </c>
      <c r="R1639" s="55" t="s">
        <v>450</v>
      </c>
    </row>
    <row r="1640" spans="1:18" x14ac:dyDescent="0.5">
      <c r="A1640" s="56" t="str">
        <f>"471146RY8"</f>
        <v>471146RY8</v>
      </c>
      <c r="B1640" s="57" t="s">
        <v>451</v>
      </c>
      <c r="C1640" s="57" t="s">
        <v>1990</v>
      </c>
      <c r="D1640" s="53" t="s">
        <v>447</v>
      </c>
      <c r="E1640" s="57">
        <v>3.25</v>
      </c>
      <c r="F1640" s="58">
        <v>48990</v>
      </c>
      <c r="G1640" s="58">
        <v>46433</v>
      </c>
      <c r="H1640" s="57" t="s">
        <v>105</v>
      </c>
      <c r="I1640" s="57" t="s">
        <v>104</v>
      </c>
      <c r="J1640" s="57" t="s">
        <v>101</v>
      </c>
      <c r="K1640" s="57">
        <v>97.492999999999995</v>
      </c>
      <c r="L1640" s="57" t="s">
        <v>101</v>
      </c>
      <c r="M1640" s="57">
        <v>3.5790000000000002</v>
      </c>
      <c r="N1640" s="57">
        <v>3.5790000000000002</v>
      </c>
      <c r="O1640" s="53" t="s">
        <v>101</v>
      </c>
      <c r="P1640" s="57" t="s">
        <v>448</v>
      </c>
      <c r="Q1640" s="57" t="s">
        <v>538</v>
      </c>
      <c r="R1640" s="59" t="s">
        <v>482</v>
      </c>
    </row>
    <row r="1641" spans="1:18" x14ac:dyDescent="0.5">
      <c r="A1641" s="52" t="str">
        <f>"513174ZH8"</f>
        <v>513174ZH8</v>
      </c>
      <c r="B1641" s="53" t="s">
        <v>451</v>
      </c>
      <c r="C1641" s="53" t="s">
        <v>1991</v>
      </c>
      <c r="D1641" s="53" t="s">
        <v>447</v>
      </c>
      <c r="E1641" s="53">
        <v>3</v>
      </c>
      <c r="F1641" s="54">
        <v>48990</v>
      </c>
      <c r="G1641" s="54">
        <v>47894</v>
      </c>
      <c r="H1641" s="53" t="s">
        <v>104</v>
      </c>
      <c r="I1641" s="53" t="s">
        <v>104</v>
      </c>
      <c r="J1641" s="53" t="s">
        <v>101</v>
      </c>
      <c r="K1641" s="53">
        <v>94.775000000000006</v>
      </c>
      <c r="L1641" s="53" t="s">
        <v>101</v>
      </c>
      <c r="M1641" s="53">
        <v>3.6880000000000002</v>
      </c>
      <c r="N1641" s="53">
        <v>3.6880000000000002</v>
      </c>
      <c r="O1641" s="53" t="s">
        <v>101</v>
      </c>
      <c r="P1641" s="53" t="s">
        <v>448</v>
      </c>
      <c r="Q1641" s="53" t="s">
        <v>475</v>
      </c>
      <c r="R1641" s="55" t="s">
        <v>454</v>
      </c>
    </row>
    <row r="1642" spans="1:18" x14ac:dyDescent="0.5">
      <c r="A1642" s="56" t="str">
        <f>"5217688D6"</f>
        <v>5217688D6</v>
      </c>
      <c r="B1642" s="57" t="s">
        <v>451</v>
      </c>
      <c r="C1642" s="57" t="s">
        <v>1992</v>
      </c>
      <c r="D1642" s="53" t="s">
        <v>447</v>
      </c>
      <c r="E1642" s="57">
        <v>2.75</v>
      </c>
      <c r="F1642" s="58">
        <v>48990</v>
      </c>
      <c r="G1642" s="58">
        <v>46068</v>
      </c>
      <c r="H1642" s="57" t="s">
        <v>540</v>
      </c>
      <c r="I1642" s="57" t="s">
        <v>105</v>
      </c>
      <c r="J1642" s="57" t="s">
        <v>101</v>
      </c>
      <c r="K1642" s="57">
        <v>90.706999999999994</v>
      </c>
      <c r="L1642" s="57" t="s">
        <v>101</v>
      </c>
      <c r="M1642" s="57">
        <v>3.99</v>
      </c>
      <c r="N1642" s="57">
        <v>3.99</v>
      </c>
      <c r="O1642" s="53" t="s">
        <v>101</v>
      </c>
      <c r="P1642" s="57" t="s">
        <v>448</v>
      </c>
      <c r="Q1642" s="57" t="s">
        <v>457</v>
      </c>
      <c r="R1642" s="59" t="s">
        <v>454</v>
      </c>
    </row>
    <row r="1643" spans="1:18" x14ac:dyDescent="0.5">
      <c r="A1643" s="52" t="str">
        <f>"521769FE4"</f>
        <v>521769FE4</v>
      </c>
      <c r="B1643" s="53" t="s">
        <v>451</v>
      </c>
      <c r="C1643" s="53" t="s">
        <v>1993</v>
      </c>
      <c r="D1643" s="53" t="s">
        <v>447</v>
      </c>
      <c r="E1643" s="53">
        <v>3</v>
      </c>
      <c r="F1643" s="54">
        <v>48990</v>
      </c>
      <c r="G1643" s="54">
        <v>47529</v>
      </c>
      <c r="H1643" s="53" t="s">
        <v>540</v>
      </c>
      <c r="I1643" s="53" t="s">
        <v>509</v>
      </c>
      <c r="J1643" s="53" t="s">
        <v>101</v>
      </c>
      <c r="K1643" s="53">
        <v>94.027000000000001</v>
      </c>
      <c r="L1643" s="53" t="s">
        <v>101</v>
      </c>
      <c r="M1643" s="53">
        <v>3.79</v>
      </c>
      <c r="N1643" s="53">
        <v>3.79</v>
      </c>
      <c r="O1643" s="53" t="s">
        <v>101</v>
      </c>
      <c r="P1643" s="53" t="s">
        <v>448</v>
      </c>
      <c r="Q1643" s="53" t="s">
        <v>453</v>
      </c>
      <c r="R1643" s="55" t="s">
        <v>482</v>
      </c>
    </row>
    <row r="1644" spans="1:18" x14ac:dyDescent="0.5">
      <c r="A1644" s="56" t="str">
        <f>"549233CW2"</f>
        <v>549233CW2</v>
      </c>
      <c r="B1644" s="57" t="s">
        <v>451</v>
      </c>
      <c r="C1644" s="57" t="s">
        <v>1994</v>
      </c>
      <c r="D1644" s="53" t="s">
        <v>447</v>
      </c>
      <c r="E1644" s="57">
        <v>4</v>
      </c>
      <c r="F1644" s="58">
        <v>48990</v>
      </c>
      <c r="G1644" s="58">
        <v>47164</v>
      </c>
      <c r="H1644" s="57" t="s">
        <v>105</v>
      </c>
      <c r="I1644" s="57" t="s">
        <v>628</v>
      </c>
      <c r="J1644" s="57" t="s">
        <v>101</v>
      </c>
      <c r="K1644" s="57">
        <v>101.71599999999999</v>
      </c>
      <c r="L1644" s="57" t="s">
        <v>101</v>
      </c>
      <c r="M1644" s="57">
        <v>3.5350000000000001</v>
      </c>
      <c r="N1644" s="57">
        <v>3.7730000000000001</v>
      </c>
      <c r="O1644" s="53" t="s">
        <v>101</v>
      </c>
      <c r="P1644" s="57" t="s">
        <v>448</v>
      </c>
      <c r="Q1644" s="57" t="s">
        <v>556</v>
      </c>
      <c r="R1644" s="59" t="s">
        <v>504</v>
      </c>
    </row>
    <row r="1645" spans="1:18" x14ac:dyDescent="0.5">
      <c r="A1645" s="52" t="str">
        <f>"549798XY7"</f>
        <v>549798XY7</v>
      </c>
      <c r="B1645" s="53" t="s">
        <v>451</v>
      </c>
      <c r="C1645" s="53" t="s">
        <v>1995</v>
      </c>
      <c r="D1645" s="53" t="s">
        <v>447</v>
      </c>
      <c r="E1645" s="53">
        <v>3</v>
      </c>
      <c r="F1645" s="54">
        <v>48990</v>
      </c>
      <c r="G1645" s="54">
        <v>46068</v>
      </c>
      <c r="H1645" s="53" t="s">
        <v>613</v>
      </c>
      <c r="I1645" s="53" t="s">
        <v>616</v>
      </c>
      <c r="J1645" s="53" t="s">
        <v>101</v>
      </c>
      <c r="K1645" s="53">
        <v>92.436999999999998</v>
      </c>
      <c r="L1645" s="53" t="s">
        <v>101</v>
      </c>
      <c r="M1645" s="53">
        <v>4.01</v>
      </c>
      <c r="N1645" s="53">
        <v>4.01</v>
      </c>
      <c r="O1645" s="53" t="s">
        <v>101</v>
      </c>
      <c r="P1645" s="53" t="s">
        <v>448</v>
      </c>
      <c r="Q1645" s="53" t="s">
        <v>488</v>
      </c>
      <c r="R1645" s="55" t="s">
        <v>454</v>
      </c>
    </row>
    <row r="1646" spans="1:18" x14ac:dyDescent="0.5">
      <c r="A1646" s="56" t="str">
        <f>"579083UM6"</f>
        <v>579083UM6</v>
      </c>
      <c r="B1646" s="57" t="s">
        <v>451</v>
      </c>
      <c r="C1646" s="57" t="s">
        <v>1996</v>
      </c>
      <c r="D1646" s="53" t="s">
        <v>447</v>
      </c>
      <c r="E1646" s="57">
        <v>3.25</v>
      </c>
      <c r="F1646" s="58">
        <v>48990</v>
      </c>
      <c r="G1646" s="58">
        <v>46433</v>
      </c>
      <c r="H1646" s="57" t="s">
        <v>105</v>
      </c>
      <c r="I1646" s="57" t="s">
        <v>509</v>
      </c>
      <c r="J1646" s="57" t="s">
        <v>101</v>
      </c>
      <c r="K1646" s="57">
        <v>95.81</v>
      </c>
      <c r="L1646" s="57" t="s">
        <v>101</v>
      </c>
      <c r="M1646" s="57">
        <v>3.8050000000000002</v>
      </c>
      <c r="N1646" s="57">
        <v>3.8050000000000002</v>
      </c>
      <c r="O1646" s="53" t="s">
        <v>101</v>
      </c>
      <c r="P1646" s="57" t="s">
        <v>448</v>
      </c>
      <c r="Q1646" s="57" t="s">
        <v>457</v>
      </c>
      <c r="R1646" s="59" t="s">
        <v>454</v>
      </c>
    </row>
    <row r="1647" spans="1:18" x14ac:dyDescent="0.5">
      <c r="A1647" s="52" t="str">
        <f>"59074PHH7"</f>
        <v>59074PHH7</v>
      </c>
      <c r="B1647" s="53" t="s">
        <v>451</v>
      </c>
      <c r="C1647" s="53" t="s">
        <v>1997</v>
      </c>
      <c r="D1647" s="53" t="s">
        <v>447</v>
      </c>
      <c r="E1647" s="53">
        <v>4</v>
      </c>
      <c r="F1647" s="54">
        <v>48990</v>
      </c>
      <c r="G1647" s="54">
        <v>47164</v>
      </c>
      <c r="H1647" s="53" t="s">
        <v>613</v>
      </c>
      <c r="I1647" s="53" t="s">
        <v>628</v>
      </c>
      <c r="J1647" s="53" t="s">
        <v>101</v>
      </c>
      <c r="K1647" s="53">
        <v>101.782</v>
      </c>
      <c r="L1647" s="53" t="s">
        <v>101</v>
      </c>
      <c r="M1647" s="53">
        <v>3.5179999999999998</v>
      </c>
      <c r="N1647" s="53">
        <v>3.7650000000000001</v>
      </c>
      <c r="O1647" s="53" t="s">
        <v>101</v>
      </c>
      <c r="P1647" s="53" t="s">
        <v>448</v>
      </c>
      <c r="Q1647" s="53" t="s">
        <v>464</v>
      </c>
      <c r="R1647" s="55" t="s">
        <v>589</v>
      </c>
    </row>
    <row r="1648" spans="1:18" x14ac:dyDescent="0.5">
      <c r="A1648" s="56" t="str">
        <f>"626752TV1"</f>
        <v>626752TV1</v>
      </c>
      <c r="B1648" s="57" t="s">
        <v>451</v>
      </c>
      <c r="C1648" s="57" t="s">
        <v>1998</v>
      </c>
      <c r="D1648" s="53" t="s">
        <v>447</v>
      </c>
      <c r="E1648" s="57">
        <v>3</v>
      </c>
      <c r="F1648" s="58">
        <v>48990</v>
      </c>
      <c r="G1648" s="58">
        <v>46433</v>
      </c>
      <c r="H1648" s="57" t="s">
        <v>105</v>
      </c>
      <c r="I1648" s="57" t="s">
        <v>509</v>
      </c>
      <c r="J1648" s="57" t="s">
        <v>101</v>
      </c>
      <c r="K1648" s="57">
        <v>96.171999999999997</v>
      </c>
      <c r="L1648" s="57" t="s">
        <v>101</v>
      </c>
      <c r="M1648" s="57">
        <v>3.5</v>
      </c>
      <c r="N1648" s="57">
        <v>3.5</v>
      </c>
      <c r="O1648" s="53" t="s">
        <v>101</v>
      </c>
      <c r="P1648" s="57" t="s">
        <v>448</v>
      </c>
      <c r="Q1648" s="57" t="s">
        <v>1999</v>
      </c>
      <c r="R1648" s="59" t="s">
        <v>454</v>
      </c>
    </row>
    <row r="1649" spans="1:18" x14ac:dyDescent="0.5">
      <c r="A1649" s="52" t="str">
        <f>"626752UR8"</f>
        <v>626752UR8</v>
      </c>
      <c r="B1649" s="53" t="s">
        <v>451</v>
      </c>
      <c r="C1649" s="53" t="s">
        <v>2000</v>
      </c>
      <c r="D1649" s="53" t="s">
        <v>447</v>
      </c>
      <c r="E1649" s="53">
        <v>3.25</v>
      </c>
      <c r="F1649" s="54">
        <v>48990</v>
      </c>
      <c r="G1649" s="54">
        <v>46433</v>
      </c>
      <c r="H1649" s="53" t="s">
        <v>105</v>
      </c>
      <c r="I1649" s="53" t="s">
        <v>509</v>
      </c>
      <c r="J1649" s="53" t="s">
        <v>101</v>
      </c>
      <c r="K1649" s="53">
        <v>96.58</v>
      </c>
      <c r="L1649" s="53" t="s">
        <v>101</v>
      </c>
      <c r="M1649" s="53">
        <v>3.7010000000000001</v>
      </c>
      <c r="N1649" s="53">
        <v>3.7010000000000001</v>
      </c>
      <c r="O1649" s="53" t="s">
        <v>101</v>
      </c>
      <c r="P1649" s="53" t="s">
        <v>448</v>
      </c>
      <c r="Q1649" s="53" t="s">
        <v>460</v>
      </c>
      <c r="R1649" s="55" t="s">
        <v>504</v>
      </c>
    </row>
    <row r="1650" spans="1:18" x14ac:dyDescent="0.5">
      <c r="A1650" s="56" t="str">
        <f>"667826BF7"</f>
        <v>667826BF7</v>
      </c>
      <c r="B1650" s="57" t="s">
        <v>451</v>
      </c>
      <c r="C1650" s="57" t="s">
        <v>2001</v>
      </c>
      <c r="D1650" s="53" t="s">
        <v>447</v>
      </c>
      <c r="E1650" s="57">
        <v>3</v>
      </c>
      <c r="F1650" s="58">
        <v>48990</v>
      </c>
      <c r="G1650" s="58">
        <v>47529</v>
      </c>
      <c r="H1650" s="57" t="s">
        <v>104</v>
      </c>
      <c r="I1650" s="57" t="s">
        <v>105</v>
      </c>
      <c r="J1650" s="57" t="s">
        <v>101</v>
      </c>
      <c r="K1650" s="57">
        <v>95.135999999999996</v>
      </c>
      <c r="L1650" s="57" t="s">
        <v>101</v>
      </c>
      <c r="M1650" s="57">
        <v>3.6389999999999998</v>
      </c>
      <c r="N1650" s="57">
        <v>3.6389999999999998</v>
      </c>
      <c r="O1650" s="53" t="s">
        <v>101</v>
      </c>
      <c r="P1650" s="57" t="s">
        <v>448</v>
      </c>
      <c r="Q1650" s="57" t="s">
        <v>457</v>
      </c>
      <c r="R1650" s="59" t="s">
        <v>454</v>
      </c>
    </row>
    <row r="1651" spans="1:18" x14ac:dyDescent="0.5">
      <c r="A1651" s="52" t="str">
        <f>"698538BS3"</f>
        <v>698538BS3</v>
      </c>
      <c r="B1651" s="53" t="s">
        <v>451</v>
      </c>
      <c r="C1651" s="53" t="s">
        <v>2002</v>
      </c>
      <c r="D1651" s="53" t="s">
        <v>447</v>
      </c>
      <c r="E1651" s="53">
        <v>3.5</v>
      </c>
      <c r="F1651" s="54">
        <v>48990</v>
      </c>
      <c r="G1651" s="54">
        <v>45733</v>
      </c>
      <c r="H1651" s="53" t="s">
        <v>105</v>
      </c>
      <c r="I1651" s="53" t="s">
        <v>628</v>
      </c>
      <c r="J1651" s="53" t="s">
        <v>101</v>
      </c>
      <c r="K1651" s="53">
        <v>98.97</v>
      </c>
      <c r="L1651" s="53" t="s">
        <v>101</v>
      </c>
      <c r="M1651" s="53">
        <v>3.6349999999999998</v>
      </c>
      <c r="N1651" s="53">
        <v>3.6349999999999998</v>
      </c>
      <c r="O1651" s="53" t="s">
        <v>101</v>
      </c>
      <c r="P1651" s="53" t="s">
        <v>448</v>
      </c>
      <c r="Q1651" s="53" t="s">
        <v>457</v>
      </c>
      <c r="R1651" s="55" t="s">
        <v>630</v>
      </c>
    </row>
    <row r="1652" spans="1:18" x14ac:dyDescent="0.5">
      <c r="A1652" s="56" t="str">
        <f>"701182ES2"</f>
        <v>701182ES2</v>
      </c>
      <c r="B1652" s="57" t="s">
        <v>451</v>
      </c>
      <c r="C1652" s="57" t="s">
        <v>2003</v>
      </c>
      <c r="D1652" s="53" t="s">
        <v>447</v>
      </c>
      <c r="E1652" s="57">
        <v>4</v>
      </c>
      <c r="F1652" s="58">
        <v>48990</v>
      </c>
      <c r="G1652" s="58">
        <v>46798</v>
      </c>
      <c r="H1652" s="57" t="s">
        <v>105</v>
      </c>
      <c r="I1652" s="57" t="s">
        <v>509</v>
      </c>
      <c r="J1652" s="57" t="s">
        <v>101</v>
      </c>
      <c r="K1652" s="57">
        <v>101.27200000000001</v>
      </c>
      <c r="L1652" s="57" t="s">
        <v>101</v>
      </c>
      <c r="M1652" s="57">
        <v>3.548</v>
      </c>
      <c r="N1652" s="57">
        <v>3.831</v>
      </c>
      <c r="O1652" s="53" t="s">
        <v>101</v>
      </c>
      <c r="P1652" s="57" t="s">
        <v>448</v>
      </c>
      <c r="Q1652" s="57" t="s">
        <v>527</v>
      </c>
      <c r="R1652" s="59" t="s">
        <v>504</v>
      </c>
    </row>
    <row r="1653" spans="1:18" x14ac:dyDescent="0.5">
      <c r="A1653" s="52" t="str">
        <f>"7170957A5"</f>
        <v>7170957A5</v>
      </c>
      <c r="B1653" s="53" t="s">
        <v>451</v>
      </c>
      <c r="C1653" s="53" t="s">
        <v>2004</v>
      </c>
      <c r="D1653" s="53" t="s">
        <v>447</v>
      </c>
      <c r="E1653" s="53">
        <v>4</v>
      </c>
      <c r="F1653" s="54">
        <v>48990</v>
      </c>
      <c r="G1653" s="54">
        <v>46798</v>
      </c>
      <c r="H1653" s="53" t="s">
        <v>104</v>
      </c>
      <c r="I1653" s="53" t="s">
        <v>104</v>
      </c>
      <c r="J1653" s="53" t="s">
        <v>101</v>
      </c>
      <c r="K1653" s="53">
        <v>101.348</v>
      </c>
      <c r="L1653" s="53" t="s">
        <v>101</v>
      </c>
      <c r="M1653" s="53">
        <v>3.5209999999999999</v>
      </c>
      <c r="N1653" s="53">
        <v>3.8210000000000002</v>
      </c>
      <c r="O1653" s="53" t="s">
        <v>101</v>
      </c>
      <c r="P1653" s="53" t="s">
        <v>448</v>
      </c>
      <c r="Q1653" s="53" t="s">
        <v>485</v>
      </c>
      <c r="R1653" s="55" t="s">
        <v>482</v>
      </c>
    </row>
    <row r="1654" spans="1:18" x14ac:dyDescent="0.5">
      <c r="A1654" s="56" t="str">
        <f>"743596RV2"</f>
        <v>743596RV2</v>
      </c>
      <c r="B1654" s="57" t="s">
        <v>451</v>
      </c>
      <c r="C1654" s="57" t="s">
        <v>2005</v>
      </c>
      <c r="D1654" s="53" t="s">
        <v>447</v>
      </c>
      <c r="E1654" s="57">
        <v>3.25</v>
      </c>
      <c r="F1654" s="58">
        <v>48990</v>
      </c>
      <c r="G1654" s="58">
        <v>46798</v>
      </c>
      <c r="H1654" s="57" t="s">
        <v>540</v>
      </c>
      <c r="I1654" s="57" t="s">
        <v>509</v>
      </c>
      <c r="J1654" s="57" t="s">
        <v>101</v>
      </c>
      <c r="K1654" s="57">
        <v>97.960999999999999</v>
      </c>
      <c r="L1654" s="57" t="s">
        <v>101</v>
      </c>
      <c r="M1654" s="57">
        <v>3.516</v>
      </c>
      <c r="N1654" s="57">
        <v>3.516</v>
      </c>
      <c r="O1654" s="53" t="s">
        <v>101</v>
      </c>
      <c r="P1654" s="57" t="s">
        <v>448</v>
      </c>
      <c r="Q1654" s="57" t="s">
        <v>475</v>
      </c>
      <c r="R1654" s="59" t="s">
        <v>504</v>
      </c>
    </row>
    <row r="1655" spans="1:18" x14ac:dyDescent="0.5">
      <c r="A1655" s="52" t="str">
        <f>"763227US2"</f>
        <v>763227US2</v>
      </c>
      <c r="B1655" s="53" t="s">
        <v>451</v>
      </c>
      <c r="C1655" s="53" t="s">
        <v>2006</v>
      </c>
      <c r="D1655" s="53" t="s">
        <v>447</v>
      </c>
      <c r="E1655" s="53">
        <v>3.25</v>
      </c>
      <c r="F1655" s="54">
        <v>48990</v>
      </c>
      <c r="G1655" s="54">
        <v>46433</v>
      </c>
      <c r="H1655" s="53" t="s">
        <v>104</v>
      </c>
      <c r="I1655" s="53" t="s">
        <v>104</v>
      </c>
      <c r="J1655" s="53" t="s">
        <v>101</v>
      </c>
      <c r="K1655" s="53">
        <v>97.658000000000001</v>
      </c>
      <c r="L1655" s="53" t="s">
        <v>101</v>
      </c>
      <c r="M1655" s="53">
        <v>3.5569999999999999</v>
      </c>
      <c r="N1655" s="53">
        <v>3.5569999999999999</v>
      </c>
      <c r="O1655" s="53" t="s">
        <v>101</v>
      </c>
      <c r="P1655" s="53" t="s">
        <v>448</v>
      </c>
      <c r="Q1655" s="53" t="s">
        <v>538</v>
      </c>
      <c r="R1655" s="55" t="s">
        <v>454</v>
      </c>
    </row>
    <row r="1656" spans="1:18" x14ac:dyDescent="0.5">
      <c r="A1656" s="56" t="str">
        <f>"763227WH4"</f>
        <v>763227WH4</v>
      </c>
      <c r="B1656" s="57" t="s">
        <v>451</v>
      </c>
      <c r="C1656" s="57" t="s">
        <v>2007</v>
      </c>
      <c r="D1656" s="53" t="s">
        <v>447</v>
      </c>
      <c r="E1656" s="57">
        <v>3.125</v>
      </c>
      <c r="F1656" s="58">
        <v>48990</v>
      </c>
      <c r="G1656" s="58">
        <v>46433</v>
      </c>
      <c r="H1656" s="57" t="s">
        <v>104</v>
      </c>
      <c r="I1656" s="57" t="s">
        <v>104</v>
      </c>
      <c r="J1656" s="57" t="s">
        <v>101</v>
      </c>
      <c r="K1656" s="57">
        <v>95.59</v>
      </c>
      <c r="L1656" s="57" t="s">
        <v>101</v>
      </c>
      <c r="M1656" s="57">
        <v>3.706</v>
      </c>
      <c r="N1656" s="57">
        <v>3.706</v>
      </c>
      <c r="O1656" s="53" t="s">
        <v>101</v>
      </c>
      <c r="P1656" s="57" t="s">
        <v>448</v>
      </c>
      <c r="Q1656" s="57" t="s">
        <v>453</v>
      </c>
      <c r="R1656" s="59" t="s">
        <v>454</v>
      </c>
    </row>
    <row r="1657" spans="1:18" x14ac:dyDescent="0.5">
      <c r="A1657" s="52" t="str">
        <f>"767142PV8"</f>
        <v>767142PV8</v>
      </c>
      <c r="B1657" s="53" t="s">
        <v>451</v>
      </c>
      <c r="C1657" s="53" t="s">
        <v>2008</v>
      </c>
      <c r="D1657" s="53" t="s">
        <v>447</v>
      </c>
      <c r="E1657" s="53">
        <v>3.5</v>
      </c>
      <c r="F1657" s="54">
        <v>48990</v>
      </c>
      <c r="G1657" s="54">
        <v>46068</v>
      </c>
      <c r="H1657" s="53" t="s">
        <v>105</v>
      </c>
      <c r="I1657" s="53" t="s">
        <v>104</v>
      </c>
      <c r="J1657" s="53" t="s">
        <v>101</v>
      </c>
      <c r="K1657" s="53">
        <v>99.19</v>
      </c>
      <c r="L1657" s="53" t="s">
        <v>101</v>
      </c>
      <c r="M1657" s="53">
        <v>3.6059999999999999</v>
      </c>
      <c r="N1657" s="53">
        <v>3.6059999999999999</v>
      </c>
      <c r="O1657" s="53" t="s">
        <v>101</v>
      </c>
      <c r="P1657" s="53" t="s">
        <v>448</v>
      </c>
      <c r="Q1657" s="53" t="s">
        <v>479</v>
      </c>
      <c r="R1657" s="55" t="s">
        <v>454</v>
      </c>
    </row>
    <row r="1658" spans="1:18" x14ac:dyDescent="0.5">
      <c r="A1658" s="56" t="str">
        <f>"780699RD8"</f>
        <v>780699RD8</v>
      </c>
      <c r="B1658" s="57" t="s">
        <v>451</v>
      </c>
      <c r="C1658" s="57" t="s">
        <v>2009</v>
      </c>
      <c r="D1658" s="53" t="s">
        <v>447</v>
      </c>
      <c r="E1658" s="57">
        <v>3.125</v>
      </c>
      <c r="F1658" s="58">
        <v>48990</v>
      </c>
      <c r="G1658" s="58">
        <v>46433</v>
      </c>
      <c r="H1658" s="57" t="s">
        <v>105</v>
      </c>
      <c r="I1658" s="57" t="s">
        <v>104</v>
      </c>
      <c r="J1658" s="57" t="s">
        <v>101</v>
      </c>
      <c r="K1658" s="57">
        <v>96.301000000000002</v>
      </c>
      <c r="L1658" s="57" t="s">
        <v>101</v>
      </c>
      <c r="M1658" s="57">
        <v>3.61</v>
      </c>
      <c r="N1658" s="57">
        <v>3.61</v>
      </c>
      <c r="O1658" s="53" t="s">
        <v>101</v>
      </c>
      <c r="P1658" s="57" t="s">
        <v>448</v>
      </c>
      <c r="Q1658" s="57" t="s">
        <v>538</v>
      </c>
      <c r="R1658" s="59" t="s">
        <v>454</v>
      </c>
    </row>
    <row r="1659" spans="1:18" x14ac:dyDescent="0.5">
      <c r="A1659" s="52" t="str">
        <f>"785751QY7"</f>
        <v>785751QY7</v>
      </c>
      <c r="B1659" s="53" t="s">
        <v>451</v>
      </c>
      <c r="C1659" s="53" t="s">
        <v>2010</v>
      </c>
      <c r="D1659" s="53" t="s">
        <v>447</v>
      </c>
      <c r="E1659" s="53">
        <v>3</v>
      </c>
      <c r="F1659" s="54">
        <v>48990</v>
      </c>
      <c r="G1659" s="54">
        <v>46433</v>
      </c>
      <c r="H1659" s="53" t="s">
        <v>540</v>
      </c>
      <c r="I1659" s="53" t="s">
        <v>509</v>
      </c>
      <c r="J1659" s="53" t="s">
        <v>101</v>
      </c>
      <c r="K1659" s="53">
        <v>93.69</v>
      </c>
      <c r="L1659" s="53" t="s">
        <v>101</v>
      </c>
      <c r="M1659" s="53">
        <v>3.8359999999999999</v>
      </c>
      <c r="N1659" s="53">
        <v>3.8359999999999999</v>
      </c>
      <c r="O1659" s="53" t="s">
        <v>101</v>
      </c>
      <c r="P1659" s="53" t="s">
        <v>448</v>
      </c>
      <c r="Q1659" s="53" t="s">
        <v>556</v>
      </c>
      <c r="R1659" s="55" t="s">
        <v>504</v>
      </c>
    </row>
    <row r="1660" spans="1:18" x14ac:dyDescent="0.5">
      <c r="A1660" s="56" t="str">
        <f>"8225162T6"</f>
        <v>8225162T6</v>
      </c>
      <c r="B1660" s="57" t="s">
        <v>451</v>
      </c>
      <c r="C1660" s="57" t="s">
        <v>2011</v>
      </c>
      <c r="D1660" s="53" t="s">
        <v>447</v>
      </c>
      <c r="E1660" s="57">
        <v>3.125</v>
      </c>
      <c r="F1660" s="58">
        <v>48990</v>
      </c>
      <c r="G1660" s="58">
        <v>45703</v>
      </c>
      <c r="H1660" s="57" t="s">
        <v>104</v>
      </c>
      <c r="I1660" s="57" t="s">
        <v>105</v>
      </c>
      <c r="J1660" s="57" t="s">
        <v>101</v>
      </c>
      <c r="K1660" s="57">
        <v>94.826999999999998</v>
      </c>
      <c r="L1660" s="57" t="s">
        <v>101</v>
      </c>
      <c r="M1660" s="57">
        <v>3.81</v>
      </c>
      <c r="N1660" s="57">
        <v>3.81</v>
      </c>
      <c r="O1660" s="53" t="s">
        <v>101</v>
      </c>
      <c r="P1660" s="57" t="s">
        <v>448</v>
      </c>
      <c r="Q1660" s="57" t="s">
        <v>460</v>
      </c>
      <c r="R1660" s="59" t="s">
        <v>454</v>
      </c>
    </row>
    <row r="1661" spans="1:18" x14ac:dyDescent="0.5">
      <c r="A1661" s="52" t="str">
        <f>"8225165T3"</f>
        <v>8225165T3</v>
      </c>
      <c r="B1661" s="53" t="s">
        <v>451</v>
      </c>
      <c r="C1661" s="53" t="s">
        <v>2012</v>
      </c>
      <c r="D1661" s="53" t="s">
        <v>447</v>
      </c>
      <c r="E1661" s="53">
        <v>3</v>
      </c>
      <c r="F1661" s="54">
        <v>48990</v>
      </c>
      <c r="G1661" s="54">
        <v>46798</v>
      </c>
      <c r="H1661" s="53" t="s">
        <v>104</v>
      </c>
      <c r="I1661" s="53" t="s">
        <v>105</v>
      </c>
      <c r="J1661" s="53" t="s">
        <v>101</v>
      </c>
      <c r="K1661" s="53">
        <v>94.686000000000007</v>
      </c>
      <c r="L1661" s="53" t="s">
        <v>101</v>
      </c>
      <c r="M1661" s="53">
        <v>3.7</v>
      </c>
      <c r="N1661" s="53">
        <v>3.7</v>
      </c>
      <c r="O1661" s="53" t="s">
        <v>101</v>
      </c>
      <c r="P1661" s="53" t="s">
        <v>448</v>
      </c>
      <c r="Q1661" s="53" t="s">
        <v>571</v>
      </c>
      <c r="R1661" s="55" t="s">
        <v>454</v>
      </c>
    </row>
    <row r="1662" spans="1:18" x14ac:dyDescent="0.5">
      <c r="A1662" s="56" t="str">
        <f>"8444248M6"</f>
        <v>8444248M6</v>
      </c>
      <c r="B1662" s="57" t="s">
        <v>451</v>
      </c>
      <c r="C1662" s="57" t="s">
        <v>2013</v>
      </c>
      <c r="D1662" s="53" t="s">
        <v>447</v>
      </c>
      <c r="E1662" s="57">
        <v>3</v>
      </c>
      <c r="F1662" s="58">
        <v>48990</v>
      </c>
      <c r="G1662" s="58">
        <v>46433</v>
      </c>
      <c r="H1662" s="57" t="s">
        <v>105</v>
      </c>
      <c r="I1662" s="57" t="s">
        <v>104</v>
      </c>
      <c r="J1662" s="57" t="s">
        <v>101</v>
      </c>
      <c r="K1662" s="57">
        <v>94.331000000000003</v>
      </c>
      <c r="L1662" s="57" t="s">
        <v>101</v>
      </c>
      <c r="M1662" s="57">
        <v>3.7480000000000002</v>
      </c>
      <c r="N1662" s="57">
        <v>3.7480000000000002</v>
      </c>
      <c r="O1662" s="53" t="s">
        <v>101</v>
      </c>
      <c r="P1662" s="57" t="s">
        <v>448</v>
      </c>
      <c r="Q1662" s="57" t="s">
        <v>527</v>
      </c>
      <c r="R1662" s="59" t="s">
        <v>504</v>
      </c>
    </row>
    <row r="1663" spans="1:18" x14ac:dyDescent="0.5">
      <c r="A1663" s="52" t="str">
        <f>"8648556U0"</f>
        <v>8648556U0</v>
      </c>
      <c r="B1663" s="53" t="s">
        <v>451</v>
      </c>
      <c r="C1663" s="53" t="s">
        <v>2014</v>
      </c>
      <c r="D1663" s="53" t="s">
        <v>447</v>
      </c>
      <c r="E1663" s="53">
        <v>3.125</v>
      </c>
      <c r="F1663" s="54">
        <v>48990</v>
      </c>
      <c r="G1663" s="54">
        <v>45733</v>
      </c>
      <c r="H1663" s="53" t="s">
        <v>105</v>
      </c>
      <c r="I1663" s="53" t="s">
        <v>104</v>
      </c>
      <c r="J1663" s="53" t="s">
        <v>101</v>
      </c>
      <c r="K1663" s="53">
        <v>93.593999999999994</v>
      </c>
      <c r="L1663" s="53" t="s">
        <v>101</v>
      </c>
      <c r="M1663" s="53">
        <v>3.9790000000000001</v>
      </c>
      <c r="N1663" s="53">
        <v>3.9790000000000001</v>
      </c>
      <c r="O1663" s="53" t="s">
        <v>101</v>
      </c>
      <c r="P1663" s="53" t="s">
        <v>448</v>
      </c>
      <c r="Q1663" s="53" t="s">
        <v>571</v>
      </c>
      <c r="R1663" s="55" t="s">
        <v>504</v>
      </c>
    </row>
    <row r="1664" spans="1:18" x14ac:dyDescent="0.5">
      <c r="A1664" s="56" t="str">
        <f>"877299NS2"</f>
        <v>877299NS2</v>
      </c>
      <c r="B1664" s="57" t="s">
        <v>451</v>
      </c>
      <c r="C1664" s="57" t="s">
        <v>2015</v>
      </c>
      <c r="D1664" s="53" t="s">
        <v>447</v>
      </c>
      <c r="E1664" s="57">
        <v>3</v>
      </c>
      <c r="F1664" s="58">
        <v>48990</v>
      </c>
      <c r="G1664" s="58">
        <v>46068</v>
      </c>
      <c r="H1664" s="57" t="s">
        <v>182</v>
      </c>
      <c r="I1664" s="57" t="s">
        <v>104</v>
      </c>
      <c r="J1664" s="57" t="s">
        <v>101</v>
      </c>
      <c r="K1664" s="57">
        <v>93.625</v>
      </c>
      <c r="L1664" s="57" t="s">
        <v>101</v>
      </c>
      <c r="M1664" s="57">
        <v>3.8450000000000002</v>
      </c>
      <c r="N1664" s="57">
        <v>3.8450000000000002</v>
      </c>
      <c r="O1664" s="53" t="s">
        <v>101</v>
      </c>
      <c r="P1664" s="57" t="s">
        <v>448</v>
      </c>
      <c r="Q1664" s="57" t="s">
        <v>571</v>
      </c>
      <c r="R1664" s="59" t="s">
        <v>454</v>
      </c>
    </row>
    <row r="1665" spans="1:18" x14ac:dyDescent="0.5">
      <c r="A1665" s="52" t="str">
        <f>"97712D6R2"</f>
        <v>97712D6R2</v>
      </c>
      <c r="B1665" s="53" t="s">
        <v>496</v>
      </c>
      <c r="C1665" s="53" t="s">
        <v>2016</v>
      </c>
      <c r="D1665" s="53" t="s">
        <v>447</v>
      </c>
      <c r="E1665" s="53">
        <v>4</v>
      </c>
      <c r="F1665" s="54">
        <v>48990</v>
      </c>
      <c r="G1665" s="54">
        <v>47529</v>
      </c>
      <c r="H1665" s="53" t="s">
        <v>105</v>
      </c>
      <c r="I1665" s="53" t="s">
        <v>628</v>
      </c>
      <c r="J1665" s="53" t="s">
        <v>101</v>
      </c>
      <c r="K1665" s="53">
        <v>102.246</v>
      </c>
      <c r="L1665" s="53" t="s">
        <v>101</v>
      </c>
      <c r="M1665" s="53">
        <v>3.5059999999999998</v>
      </c>
      <c r="N1665" s="53">
        <v>3.7040000000000002</v>
      </c>
      <c r="O1665" s="53" t="s">
        <v>101</v>
      </c>
      <c r="P1665" s="53" t="s">
        <v>448</v>
      </c>
      <c r="Q1665" s="53" t="s">
        <v>2017</v>
      </c>
      <c r="R1665" s="55" t="s">
        <v>727</v>
      </c>
    </row>
    <row r="1666" spans="1:18" x14ac:dyDescent="0.5">
      <c r="A1666" s="56" t="str">
        <f>"060302EF9"</f>
        <v>060302EF9</v>
      </c>
      <c r="B1666" s="57" t="s">
        <v>496</v>
      </c>
      <c r="C1666" s="57" t="s">
        <v>2018</v>
      </c>
      <c r="D1666" s="53" t="s">
        <v>447</v>
      </c>
      <c r="E1666" s="57">
        <v>4</v>
      </c>
      <c r="F1666" s="58">
        <v>49004</v>
      </c>
      <c r="G1666" s="58">
        <v>47178</v>
      </c>
      <c r="H1666" s="57" t="s">
        <v>641</v>
      </c>
      <c r="I1666" s="57" t="s">
        <v>628</v>
      </c>
      <c r="J1666" s="57" t="s">
        <v>101</v>
      </c>
      <c r="K1666" s="57">
        <v>101.489</v>
      </c>
      <c r="L1666" s="57" t="s">
        <v>101</v>
      </c>
      <c r="M1666" s="57">
        <v>3.5990000000000002</v>
      </c>
      <c r="N1666" s="57">
        <v>3.8039999999999998</v>
      </c>
      <c r="O1666" s="53" t="s">
        <v>101</v>
      </c>
      <c r="P1666" s="57" t="s">
        <v>448</v>
      </c>
      <c r="Q1666" s="57" t="s">
        <v>485</v>
      </c>
      <c r="R1666" s="59" t="s">
        <v>630</v>
      </c>
    </row>
    <row r="1667" spans="1:18" x14ac:dyDescent="0.5">
      <c r="A1667" s="52" t="str">
        <f>"10606TFY4"</f>
        <v>10606TFY4</v>
      </c>
      <c r="B1667" s="53" t="s">
        <v>451</v>
      </c>
      <c r="C1667" s="53" t="s">
        <v>2019</v>
      </c>
      <c r="D1667" s="53" t="s">
        <v>447</v>
      </c>
      <c r="E1667" s="53">
        <v>3.125</v>
      </c>
      <c r="F1667" s="54">
        <v>49004</v>
      </c>
      <c r="G1667" s="54">
        <v>45733</v>
      </c>
      <c r="H1667" s="53" t="s">
        <v>627</v>
      </c>
      <c r="I1667" s="53" t="s">
        <v>628</v>
      </c>
      <c r="J1667" s="53" t="s">
        <v>101</v>
      </c>
      <c r="K1667" s="53">
        <v>92.08</v>
      </c>
      <c r="L1667" s="53" t="s">
        <v>101</v>
      </c>
      <c r="M1667" s="53">
        <v>4.1870000000000003</v>
      </c>
      <c r="N1667" s="53">
        <v>4.1870000000000003</v>
      </c>
      <c r="O1667" s="53" t="s">
        <v>101</v>
      </c>
      <c r="P1667" s="53" t="s">
        <v>448</v>
      </c>
      <c r="Q1667" s="53" t="s">
        <v>488</v>
      </c>
      <c r="R1667" s="55" t="s">
        <v>630</v>
      </c>
    </row>
    <row r="1668" spans="1:18" x14ac:dyDescent="0.5">
      <c r="A1668" s="56" t="str">
        <f>"220113FU3"</f>
        <v>220113FU3</v>
      </c>
      <c r="B1668" s="57" t="s">
        <v>451</v>
      </c>
      <c r="C1668" s="57" t="s">
        <v>2020</v>
      </c>
      <c r="D1668" s="53" t="s">
        <v>447</v>
      </c>
      <c r="E1668" s="57">
        <v>3</v>
      </c>
      <c r="F1668" s="58">
        <v>49004</v>
      </c>
      <c r="G1668" s="58">
        <v>47908</v>
      </c>
      <c r="H1668" s="57" t="s">
        <v>613</v>
      </c>
      <c r="I1668" s="57" t="s">
        <v>628</v>
      </c>
      <c r="J1668" s="57" t="s">
        <v>101</v>
      </c>
      <c r="K1668" s="57">
        <v>95.492000000000004</v>
      </c>
      <c r="L1668" s="57" t="s">
        <v>101</v>
      </c>
      <c r="M1668" s="57">
        <v>3.5880000000000001</v>
      </c>
      <c r="N1668" s="57">
        <v>3.5880000000000001</v>
      </c>
      <c r="O1668" s="53" t="s">
        <v>101</v>
      </c>
      <c r="P1668" s="57" t="s">
        <v>448</v>
      </c>
      <c r="Q1668" s="57" t="s">
        <v>457</v>
      </c>
      <c r="R1668" s="59" t="s">
        <v>504</v>
      </c>
    </row>
    <row r="1669" spans="1:18" x14ac:dyDescent="0.5">
      <c r="A1669" s="52" t="str">
        <f>"243127YC5"</f>
        <v>243127YC5</v>
      </c>
      <c r="B1669" s="53" t="s">
        <v>491</v>
      </c>
      <c r="C1669" s="53" t="s">
        <v>2021</v>
      </c>
      <c r="D1669" s="53" t="s">
        <v>447</v>
      </c>
      <c r="E1669" s="53">
        <v>4</v>
      </c>
      <c r="F1669" s="54">
        <v>49004</v>
      </c>
      <c r="G1669" s="54">
        <v>47543</v>
      </c>
      <c r="H1669" s="53" t="s">
        <v>610</v>
      </c>
      <c r="I1669" s="53" t="s">
        <v>628</v>
      </c>
      <c r="J1669" s="53" t="s">
        <v>101</v>
      </c>
      <c r="K1669" s="53">
        <v>101.73</v>
      </c>
      <c r="L1669" s="53" t="s">
        <v>101</v>
      </c>
      <c r="M1669" s="53">
        <v>3.621</v>
      </c>
      <c r="N1669" s="53">
        <v>3.7719999999999998</v>
      </c>
      <c r="O1669" s="53" t="s">
        <v>101</v>
      </c>
      <c r="P1669" s="53" t="s">
        <v>448</v>
      </c>
      <c r="Q1669" s="53" t="s">
        <v>488</v>
      </c>
      <c r="R1669" s="55" t="s">
        <v>680</v>
      </c>
    </row>
    <row r="1670" spans="1:18" x14ac:dyDescent="0.5">
      <c r="A1670" s="56" t="str">
        <f>"248548FK0"</f>
        <v>248548FK0</v>
      </c>
      <c r="B1670" s="57" t="s">
        <v>496</v>
      </c>
      <c r="C1670" s="57" t="s">
        <v>2022</v>
      </c>
      <c r="D1670" s="53" t="s">
        <v>447</v>
      </c>
      <c r="E1670" s="57">
        <v>3.125</v>
      </c>
      <c r="F1670" s="58">
        <v>49004</v>
      </c>
      <c r="G1670" s="58">
        <v>46447</v>
      </c>
      <c r="H1670" s="57" t="s">
        <v>105</v>
      </c>
      <c r="I1670" s="57" t="s">
        <v>658</v>
      </c>
      <c r="J1670" s="57" t="s">
        <v>101</v>
      </c>
      <c r="K1670" s="57">
        <v>93.594999999999999</v>
      </c>
      <c r="L1670" s="57" t="s">
        <v>101</v>
      </c>
      <c r="M1670" s="57">
        <v>3.976</v>
      </c>
      <c r="N1670" s="57">
        <v>3.976</v>
      </c>
      <c r="O1670" s="53" t="s">
        <v>101</v>
      </c>
      <c r="P1670" s="57" t="s">
        <v>448</v>
      </c>
      <c r="Q1670" s="57" t="s">
        <v>556</v>
      </c>
      <c r="R1670" s="59" t="s">
        <v>454</v>
      </c>
    </row>
    <row r="1671" spans="1:18" x14ac:dyDescent="0.5">
      <c r="A1671" s="52" t="str">
        <f>"289425VB3"</f>
        <v>289425VB3</v>
      </c>
      <c r="B1671" s="53" t="s">
        <v>491</v>
      </c>
      <c r="C1671" s="53" t="s">
        <v>2023</v>
      </c>
      <c r="D1671" s="53" t="s">
        <v>447</v>
      </c>
      <c r="E1671" s="53">
        <v>3</v>
      </c>
      <c r="F1671" s="54">
        <v>49004</v>
      </c>
      <c r="G1671" s="54">
        <v>45717</v>
      </c>
      <c r="H1671" s="53" t="s">
        <v>105</v>
      </c>
      <c r="I1671" s="53" t="s">
        <v>104</v>
      </c>
      <c r="J1671" s="53" t="s">
        <v>101</v>
      </c>
      <c r="K1671" s="53">
        <v>94.98</v>
      </c>
      <c r="L1671" s="53" t="s">
        <v>101</v>
      </c>
      <c r="M1671" s="53">
        <v>3.657</v>
      </c>
      <c r="N1671" s="53">
        <v>3.657</v>
      </c>
      <c r="O1671" s="53" t="s">
        <v>101</v>
      </c>
      <c r="P1671" s="53" t="s">
        <v>448</v>
      </c>
      <c r="Q1671" s="53" t="s">
        <v>782</v>
      </c>
      <c r="R1671" s="55" t="s">
        <v>454</v>
      </c>
    </row>
    <row r="1672" spans="1:18" x14ac:dyDescent="0.5">
      <c r="A1672" s="56" t="str">
        <f>"346789NB2"</f>
        <v>346789NB2</v>
      </c>
      <c r="B1672" s="57" t="s">
        <v>451</v>
      </c>
      <c r="C1672" s="57" t="s">
        <v>2024</v>
      </c>
      <c r="D1672" s="53" t="s">
        <v>447</v>
      </c>
      <c r="E1672" s="57">
        <v>3.375</v>
      </c>
      <c r="F1672" s="58">
        <v>49004</v>
      </c>
      <c r="G1672" s="58">
        <v>45733</v>
      </c>
      <c r="H1672" s="57" t="s">
        <v>105</v>
      </c>
      <c r="I1672" s="57" t="s">
        <v>628</v>
      </c>
      <c r="J1672" s="57" t="s">
        <v>101</v>
      </c>
      <c r="K1672" s="57">
        <v>97.45</v>
      </c>
      <c r="L1672" s="57" t="s">
        <v>101</v>
      </c>
      <c r="M1672" s="57">
        <v>3.71</v>
      </c>
      <c r="N1672" s="57">
        <v>3.71</v>
      </c>
      <c r="O1672" s="53" t="s">
        <v>101</v>
      </c>
      <c r="P1672" s="57" t="s">
        <v>448</v>
      </c>
      <c r="Q1672" s="57" t="s">
        <v>457</v>
      </c>
      <c r="R1672" s="59" t="s">
        <v>630</v>
      </c>
    </row>
    <row r="1673" spans="1:18" x14ac:dyDescent="0.5">
      <c r="A1673" s="52" t="str">
        <f>"355185QJ1"</f>
        <v>355185QJ1</v>
      </c>
      <c r="B1673" s="53" t="s">
        <v>496</v>
      </c>
      <c r="C1673" s="53" t="s">
        <v>2025</v>
      </c>
      <c r="D1673" s="53" t="s">
        <v>447</v>
      </c>
      <c r="E1673" s="53">
        <v>3.25</v>
      </c>
      <c r="F1673" s="54">
        <v>49004</v>
      </c>
      <c r="G1673" s="54">
        <v>46082</v>
      </c>
      <c r="H1673" s="53" t="s">
        <v>613</v>
      </c>
      <c r="I1673" s="53" t="s">
        <v>105</v>
      </c>
      <c r="J1673" s="53" t="s">
        <v>101</v>
      </c>
      <c r="K1673" s="53">
        <v>95.38</v>
      </c>
      <c r="L1673" s="53" t="s">
        <v>101</v>
      </c>
      <c r="M1673" s="53">
        <v>3.86</v>
      </c>
      <c r="N1673" s="53">
        <v>3.86</v>
      </c>
      <c r="O1673" s="53" t="s">
        <v>101</v>
      </c>
      <c r="P1673" s="53" t="s">
        <v>448</v>
      </c>
      <c r="Q1673" s="53" t="s">
        <v>485</v>
      </c>
      <c r="R1673" s="55" t="s">
        <v>454</v>
      </c>
    </row>
    <row r="1674" spans="1:18" x14ac:dyDescent="0.5">
      <c r="A1674" s="56" t="str">
        <f>"366133QK5"</f>
        <v>366133QK5</v>
      </c>
      <c r="B1674" s="57" t="s">
        <v>451</v>
      </c>
      <c r="C1674" s="57" t="s">
        <v>2026</v>
      </c>
      <c r="D1674" s="53" t="s">
        <v>447</v>
      </c>
      <c r="E1674" s="57">
        <v>3</v>
      </c>
      <c r="F1674" s="58">
        <v>49004</v>
      </c>
      <c r="G1674" s="58">
        <v>47908</v>
      </c>
      <c r="H1674" s="57" t="s">
        <v>641</v>
      </c>
      <c r="I1674" s="57" t="s">
        <v>105</v>
      </c>
      <c r="J1674" s="57" t="s">
        <v>101</v>
      </c>
      <c r="K1674" s="57">
        <v>95.343000000000004</v>
      </c>
      <c r="L1674" s="57" t="s">
        <v>101</v>
      </c>
      <c r="M1674" s="57">
        <v>3.6080000000000001</v>
      </c>
      <c r="N1674" s="57">
        <v>3.6080000000000001</v>
      </c>
      <c r="O1674" s="53" t="s">
        <v>101</v>
      </c>
      <c r="P1674" s="57" t="s">
        <v>448</v>
      </c>
      <c r="Q1674" s="57" t="s">
        <v>790</v>
      </c>
      <c r="R1674" s="59" t="s">
        <v>504</v>
      </c>
    </row>
    <row r="1675" spans="1:18" x14ac:dyDescent="0.5">
      <c r="A1675" s="52" t="str">
        <f>"39702NAQ1"</f>
        <v>39702NAQ1</v>
      </c>
      <c r="B1675" s="53" t="s">
        <v>477</v>
      </c>
      <c r="C1675" s="53" t="s">
        <v>2027</v>
      </c>
      <c r="D1675" s="53" t="s">
        <v>447</v>
      </c>
      <c r="E1675" s="53">
        <v>2.5</v>
      </c>
      <c r="F1675" s="54">
        <v>49004</v>
      </c>
      <c r="G1675" s="54">
        <v>46447</v>
      </c>
      <c r="H1675" s="53" t="s">
        <v>105</v>
      </c>
      <c r="I1675" s="53" t="s">
        <v>628</v>
      </c>
      <c r="J1675" s="53" t="s">
        <v>101</v>
      </c>
      <c r="K1675" s="53">
        <v>86.638000000000005</v>
      </c>
      <c r="L1675" s="53" t="s">
        <v>101</v>
      </c>
      <c r="M1675" s="53">
        <v>4.3</v>
      </c>
      <c r="N1675" s="53">
        <v>4.3</v>
      </c>
      <c r="O1675" s="53" t="s">
        <v>101</v>
      </c>
      <c r="P1675" s="53" t="s">
        <v>448</v>
      </c>
      <c r="Q1675" s="53" t="s">
        <v>457</v>
      </c>
      <c r="R1675" s="55" t="s">
        <v>630</v>
      </c>
    </row>
    <row r="1676" spans="1:18" x14ac:dyDescent="0.5">
      <c r="A1676" s="56" t="str">
        <f>"40886TAR2"</f>
        <v>40886TAR2</v>
      </c>
      <c r="B1676" s="57" t="s">
        <v>491</v>
      </c>
      <c r="C1676" s="57" t="s">
        <v>2028</v>
      </c>
      <c r="D1676" s="53" t="s">
        <v>447</v>
      </c>
      <c r="E1676" s="57">
        <v>3.35</v>
      </c>
      <c r="F1676" s="58">
        <v>49004</v>
      </c>
      <c r="G1676" s="58">
        <v>46447</v>
      </c>
      <c r="H1676" s="57" t="s">
        <v>105</v>
      </c>
      <c r="I1676" s="57" t="s">
        <v>628</v>
      </c>
      <c r="J1676" s="57" t="s">
        <v>101</v>
      </c>
      <c r="K1676" s="57">
        <v>97.155000000000001</v>
      </c>
      <c r="L1676" s="57" t="s">
        <v>101</v>
      </c>
      <c r="M1676" s="57">
        <v>3.7240000000000002</v>
      </c>
      <c r="N1676" s="57">
        <v>3.7240000000000002</v>
      </c>
      <c r="O1676" s="53" t="s">
        <v>101</v>
      </c>
      <c r="P1676" s="57" t="s">
        <v>448</v>
      </c>
      <c r="Q1676" s="57" t="s">
        <v>2029</v>
      </c>
      <c r="R1676" s="59" t="s">
        <v>727</v>
      </c>
    </row>
    <row r="1677" spans="1:18" x14ac:dyDescent="0.5">
      <c r="A1677" s="52" t="str">
        <f>"41420GJR2"</f>
        <v>41420GJR2</v>
      </c>
      <c r="B1677" s="53" t="s">
        <v>451</v>
      </c>
      <c r="C1677" s="53" t="s">
        <v>2030</v>
      </c>
      <c r="D1677" s="53" t="s">
        <v>447</v>
      </c>
      <c r="E1677" s="53">
        <v>3.5</v>
      </c>
      <c r="F1677" s="54">
        <v>49004</v>
      </c>
      <c r="G1677" s="54">
        <v>45733</v>
      </c>
      <c r="H1677" s="53" t="s">
        <v>610</v>
      </c>
      <c r="I1677" s="53" t="s">
        <v>628</v>
      </c>
      <c r="J1677" s="53" t="s">
        <v>101</v>
      </c>
      <c r="K1677" s="53">
        <v>97.55</v>
      </c>
      <c r="L1677" s="53" t="s">
        <v>101</v>
      </c>
      <c r="M1677" s="53">
        <v>3.823</v>
      </c>
      <c r="N1677" s="53">
        <v>3.823</v>
      </c>
      <c r="O1677" s="53" t="s">
        <v>101</v>
      </c>
      <c r="P1677" s="53" t="s">
        <v>448</v>
      </c>
      <c r="Q1677" s="53" t="s">
        <v>479</v>
      </c>
      <c r="R1677" s="55" t="s">
        <v>630</v>
      </c>
    </row>
    <row r="1678" spans="1:18" x14ac:dyDescent="0.5">
      <c r="A1678" s="56" t="str">
        <f>"442854MJ1"</f>
        <v>442854MJ1</v>
      </c>
      <c r="B1678" s="57" t="s">
        <v>496</v>
      </c>
      <c r="C1678" s="57" t="s">
        <v>2031</v>
      </c>
      <c r="D1678" s="53" t="s">
        <v>447</v>
      </c>
      <c r="E1678" s="57">
        <v>3.25</v>
      </c>
      <c r="F1678" s="58">
        <v>49004</v>
      </c>
      <c r="G1678" s="58">
        <v>47178</v>
      </c>
      <c r="H1678" s="57" t="s">
        <v>105</v>
      </c>
      <c r="I1678" s="57" t="s">
        <v>628</v>
      </c>
      <c r="J1678" s="57" t="s">
        <v>101</v>
      </c>
      <c r="K1678" s="57">
        <v>95.852000000000004</v>
      </c>
      <c r="L1678" s="57" t="s">
        <v>101</v>
      </c>
      <c r="M1678" s="57">
        <v>3.7959999999999998</v>
      </c>
      <c r="N1678" s="57">
        <v>3.7959999999999998</v>
      </c>
      <c r="O1678" s="53" t="s">
        <v>101</v>
      </c>
      <c r="P1678" s="57" t="s">
        <v>448</v>
      </c>
      <c r="Q1678" s="57" t="s">
        <v>485</v>
      </c>
      <c r="R1678" s="59" t="s">
        <v>454</v>
      </c>
    </row>
    <row r="1679" spans="1:18" x14ac:dyDescent="0.5">
      <c r="A1679" s="52" t="str">
        <f>"452153CV9"</f>
        <v>452153CV9</v>
      </c>
      <c r="B1679" s="53" t="s">
        <v>491</v>
      </c>
      <c r="C1679" s="53" t="s">
        <v>2032</v>
      </c>
      <c r="D1679" s="53" t="s">
        <v>447</v>
      </c>
      <c r="E1679" s="53">
        <v>5</v>
      </c>
      <c r="F1679" s="54">
        <v>49004</v>
      </c>
      <c r="G1679" s="54">
        <v>48274</v>
      </c>
      <c r="H1679" s="53" t="s">
        <v>627</v>
      </c>
      <c r="I1679" s="53" t="s">
        <v>713</v>
      </c>
      <c r="J1679" s="53" t="s">
        <v>101</v>
      </c>
      <c r="K1679" s="53">
        <v>109.23</v>
      </c>
      <c r="L1679" s="53" t="s">
        <v>101</v>
      </c>
      <c r="M1679" s="53">
        <v>3.508</v>
      </c>
      <c r="N1679" s="53">
        <v>3.7839999999999998</v>
      </c>
      <c r="O1679" s="53" t="s">
        <v>101</v>
      </c>
      <c r="P1679" s="53" t="s">
        <v>448</v>
      </c>
      <c r="Q1679" s="53" t="s">
        <v>790</v>
      </c>
      <c r="R1679" s="55" t="s">
        <v>454</v>
      </c>
    </row>
    <row r="1680" spans="1:18" x14ac:dyDescent="0.5">
      <c r="A1680" s="56" t="str">
        <f>"5977496B1"</f>
        <v>5977496B1</v>
      </c>
      <c r="B1680" s="57" t="s">
        <v>451</v>
      </c>
      <c r="C1680" s="57" t="s">
        <v>2033</v>
      </c>
      <c r="D1680" s="53" t="s">
        <v>447</v>
      </c>
      <c r="E1680" s="57">
        <v>3</v>
      </c>
      <c r="F1680" s="58">
        <v>49004</v>
      </c>
      <c r="G1680" s="58">
        <v>47543</v>
      </c>
      <c r="H1680" s="57" t="s">
        <v>540</v>
      </c>
      <c r="I1680" s="57" t="s">
        <v>105</v>
      </c>
      <c r="J1680" s="57" t="s">
        <v>101</v>
      </c>
      <c r="K1680" s="57">
        <v>93.98</v>
      </c>
      <c r="L1680" s="57" t="s">
        <v>101</v>
      </c>
      <c r="M1680" s="57">
        <v>3.7930000000000001</v>
      </c>
      <c r="N1680" s="57">
        <v>3.7930000000000001</v>
      </c>
      <c r="O1680" s="53" t="s">
        <v>101</v>
      </c>
      <c r="P1680" s="57" t="s">
        <v>448</v>
      </c>
      <c r="Q1680" s="57" t="s">
        <v>1342</v>
      </c>
      <c r="R1680" s="59" t="s">
        <v>589</v>
      </c>
    </row>
    <row r="1681" spans="1:18" x14ac:dyDescent="0.5">
      <c r="A1681" s="52" t="str">
        <f>"667910NL3"</f>
        <v>667910NL3</v>
      </c>
      <c r="B1681" s="53" t="s">
        <v>451</v>
      </c>
      <c r="C1681" s="53" t="s">
        <v>2034</v>
      </c>
      <c r="D1681" s="53" t="s">
        <v>447</v>
      </c>
      <c r="E1681" s="53">
        <v>4.25</v>
      </c>
      <c r="F1681" s="54">
        <v>49004</v>
      </c>
      <c r="G1681" s="54">
        <v>46447</v>
      </c>
      <c r="H1681" s="53" t="s">
        <v>105</v>
      </c>
      <c r="I1681" s="53" t="s">
        <v>628</v>
      </c>
      <c r="J1681" s="53" t="s">
        <v>101</v>
      </c>
      <c r="K1681" s="53">
        <v>101.16500000000001</v>
      </c>
      <c r="L1681" s="53" t="s">
        <v>101</v>
      </c>
      <c r="M1681" s="53">
        <v>3.65</v>
      </c>
      <c r="N1681" s="53">
        <v>4.0940000000000003</v>
      </c>
      <c r="O1681" s="53" t="s">
        <v>101</v>
      </c>
      <c r="P1681" s="53" t="s">
        <v>448</v>
      </c>
      <c r="Q1681" s="53" t="s">
        <v>457</v>
      </c>
      <c r="R1681" s="55" t="s">
        <v>630</v>
      </c>
    </row>
    <row r="1682" spans="1:18" x14ac:dyDescent="0.5">
      <c r="A1682" s="56" t="str">
        <f>"701600PY8"</f>
        <v>701600PY8</v>
      </c>
      <c r="B1682" s="57" t="s">
        <v>451</v>
      </c>
      <c r="C1682" s="57" t="s">
        <v>2035</v>
      </c>
      <c r="D1682" s="53" t="s">
        <v>447</v>
      </c>
      <c r="E1682" s="57">
        <v>3</v>
      </c>
      <c r="F1682" s="58">
        <v>49004</v>
      </c>
      <c r="G1682" s="58">
        <v>48274</v>
      </c>
      <c r="H1682" s="57" t="s">
        <v>105</v>
      </c>
      <c r="I1682" s="57" t="s">
        <v>628</v>
      </c>
      <c r="J1682" s="57" t="s">
        <v>101</v>
      </c>
      <c r="K1682" s="57">
        <v>95.834000000000003</v>
      </c>
      <c r="L1682" s="57" t="s">
        <v>101</v>
      </c>
      <c r="M1682" s="57">
        <v>3.5430000000000001</v>
      </c>
      <c r="N1682" s="57">
        <v>3.5430000000000001</v>
      </c>
      <c r="O1682" s="53" t="s">
        <v>101</v>
      </c>
      <c r="P1682" s="57" t="s">
        <v>448</v>
      </c>
      <c r="Q1682" s="57" t="s">
        <v>503</v>
      </c>
      <c r="R1682" s="59" t="s">
        <v>771</v>
      </c>
    </row>
    <row r="1683" spans="1:18" x14ac:dyDescent="0.5">
      <c r="A1683" s="52" t="str">
        <f>"704865FK5"</f>
        <v>704865FK5</v>
      </c>
      <c r="B1683" s="53" t="s">
        <v>451</v>
      </c>
      <c r="C1683" s="53" t="s">
        <v>2036</v>
      </c>
      <c r="D1683" s="53" t="s">
        <v>447</v>
      </c>
      <c r="E1683" s="53">
        <v>3.125</v>
      </c>
      <c r="F1683" s="54">
        <v>49004</v>
      </c>
      <c r="G1683" s="54">
        <v>46447</v>
      </c>
      <c r="H1683" s="53" t="s">
        <v>610</v>
      </c>
      <c r="I1683" s="53" t="s">
        <v>105</v>
      </c>
      <c r="J1683" s="53" t="s">
        <v>101</v>
      </c>
      <c r="K1683" s="53">
        <v>94.204999999999998</v>
      </c>
      <c r="L1683" s="53" t="s">
        <v>101</v>
      </c>
      <c r="M1683" s="53">
        <v>3.8919999999999999</v>
      </c>
      <c r="N1683" s="53">
        <v>3.8919999999999999</v>
      </c>
      <c r="O1683" s="53" t="s">
        <v>101</v>
      </c>
      <c r="P1683" s="53" t="s">
        <v>448</v>
      </c>
      <c r="Q1683" s="53" t="s">
        <v>485</v>
      </c>
      <c r="R1683" s="55" t="s">
        <v>454</v>
      </c>
    </row>
    <row r="1684" spans="1:18" x14ac:dyDescent="0.5">
      <c r="A1684" s="56" t="str">
        <f>"733590QM8"</f>
        <v>733590QM8</v>
      </c>
      <c r="B1684" s="57" t="s">
        <v>451</v>
      </c>
      <c r="C1684" s="57" t="s">
        <v>2037</v>
      </c>
      <c r="D1684" s="53" t="s">
        <v>447</v>
      </c>
      <c r="E1684" s="57">
        <v>3</v>
      </c>
      <c r="F1684" s="58">
        <v>49004</v>
      </c>
      <c r="G1684" s="58">
        <v>47543</v>
      </c>
      <c r="H1684" s="57" t="s">
        <v>105</v>
      </c>
      <c r="I1684" s="57" t="s">
        <v>628</v>
      </c>
      <c r="J1684" s="57" t="s">
        <v>101</v>
      </c>
      <c r="K1684" s="57">
        <v>95.108000000000004</v>
      </c>
      <c r="L1684" s="57" t="s">
        <v>101</v>
      </c>
      <c r="M1684" s="57">
        <v>3.64</v>
      </c>
      <c r="N1684" s="57">
        <v>3.64</v>
      </c>
      <c r="O1684" s="53" t="s">
        <v>101</v>
      </c>
      <c r="P1684" s="57" t="s">
        <v>448</v>
      </c>
      <c r="Q1684" s="57" t="s">
        <v>503</v>
      </c>
      <c r="R1684" s="59" t="s">
        <v>482</v>
      </c>
    </row>
    <row r="1685" spans="1:18" x14ac:dyDescent="0.5">
      <c r="A1685" s="52" t="str">
        <f>"796349AP3"</f>
        <v>796349AP3</v>
      </c>
      <c r="B1685" s="53" t="s">
        <v>451</v>
      </c>
      <c r="C1685" s="53" t="s">
        <v>2038</v>
      </c>
      <c r="D1685" s="53" t="s">
        <v>447</v>
      </c>
      <c r="E1685" s="53">
        <v>4</v>
      </c>
      <c r="F1685" s="54">
        <v>49004</v>
      </c>
      <c r="G1685" s="54">
        <v>47178</v>
      </c>
      <c r="H1685" s="53" t="s">
        <v>105</v>
      </c>
      <c r="I1685" s="53" t="s">
        <v>616</v>
      </c>
      <c r="J1685" s="53" t="s">
        <v>101</v>
      </c>
      <c r="K1685" s="53">
        <v>101.623</v>
      </c>
      <c r="L1685" s="53" t="s">
        <v>101</v>
      </c>
      <c r="M1685" s="53">
        <v>3.5640000000000001</v>
      </c>
      <c r="N1685" s="53">
        <v>3.786</v>
      </c>
      <c r="O1685" s="53" t="s">
        <v>101</v>
      </c>
      <c r="P1685" s="53" t="s">
        <v>448</v>
      </c>
      <c r="Q1685" s="53" t="s">
        <v>485</v>
      </c>
      <c r="R1685" s="55" t="s">
        <v>589</v>
      </c>
    </row>
    <row r="1686" spans="1:18" x14ac:dyDescent="0.5">
      <c r="A1686" s="56" t="str">
        <f>"866854SD5"</f>
        <v>866854SD5</v>
      </c>
      <c r="B1686" s="57" t="s">
        <v>496</v>
      </c>
      <c r="C1686" s="57" t="s">
        <v>2039</v>
      </c>
      <c r="D1686" s="53" t="s">
        <v>447</v>
      </c>
      <c r="E1686" s="57">
        <v>3</v>
      </c>
      <c r="F1686" s="58">
        <v>49004</v>
      </c>
      <c r="G1686" s="58">
        <v>46813</v>
      </c>
      <c r="H1686" s="57" t="s">
        <v>105</v>
      </c>
      <c r="I1686" s="57" t="s">
        <v>628</v>
      </c>
      <c r="J1686" s="57" t="s">
        <v>101</v>
      </c>
      <c r="K1686" s="57">
        <v>93.855999999999995</v>
      </c>
      <c r="L1686" s="57" t="s">
        <v>101</v>
      </c>
      <c r="M1686" s="57">
        <v>3.81</v>
      </c>
      <c r="N1686" s="57">
        <v>3.81</v>
      </c>
      <c r="O1686" s="53" t="s">
        <v>101</v>
      </c>
      <c r="P1686" s="57" t="s">
        <v>448</v>
      </c>
      <c r="Q1686" s="57" t="s">
        <v>479</v>
      </c>
      <c r="R1686" s="59" t="s">
        <v>454</v>
      </c>
    </row>
    <row r="1687" spans="1:18" x14ac:dyDescent="0.5">
      <c r="A1687" s="52" t="str">
        <f>"869315YW5"</f>
        <v>869315YW5</v>
      </c>
      <c r="B1687" s="53" t="s">
        <v>496</v>
      </c>
      <c r="C1687" s="53" t="s">
        <v>2040</v>
      </c>
      <c r="D1687" s="53" t="s">
        <v>447</v>
      </c>
      <c r="E1687" s="53">
        <v>3.25</v>
      </c>
      <c r="F1687" s="54">
        <v>49004</v>
      </c>
      <c r="G1687" s="54">
        <v>46447</v>
      </c>
      <c r="H1687" s="53" t="s">
        <v>613</v>
      </c>
      <c r="I1687" s="53" t="s">
        <v>105</v>
      </c>
      <c r="J1687" s="53" t="s">
        <v>101</v>
      </c>
      <c r="K1687" s="53">
        <v>93.864999999999995</v>
      </c>
      <c r="L1687" s="53" t="s">
        <v>101</v>
      </c>
      <c r="M1687" s="53">
        <v>4.0679999999999996</v>
      </c>
      <c r="N1687" s="53">
        <v>4.0679999999999996</v>
      </c>
      <c r="O1687" s="53" t="s">
        <v>101</v>
      </c>
      <c r="P1687" s="53" t="s">
        <v>448</v>
      </c>
      <c r="Q1687" s="53" t="s">
        <v>457</v>
      </c>
      <c r="R1687" s="55" t="s">
        <v>454</v>
      </c>
    </row>
    <row r="1688" spans="1:18" x14ac:dyDescent="0.5">
      <c r="A1688" s="56" t="str">
        <f>"876443NK4"</f>
        <v>876443NK4</v>
      </c>
      <c r="B1688" s="57" t="s">
        <v>451</v>
      </c>
      <c r="C1688" s="57" t="s">
        <v>2041</v>
      </c>
      <c r="D1688" s="53" t="s">
        <v>447</v>
      </c>
      <c r="E1688" s="57">
        <v>3</v>
      </c>
      <c r="F1688" s="58">
        <v>49004</v>
      </c>
      <c r="G1688" s="58">
        <v>46082</v>
      </c>
      <c r="H1688" s="57" t="s">
        <v>105</v>
      </c>
      <c r="I1688" s="57" t="s">
        <v>104</v>
      </c>
      <c r="J1688" s="57" t="s">
        <v>101</v>
      </c>
      <c r="K1688" s="57">
        <v>94.811999999999998</v>
      </c>
      <c r="L1688" s="57" t="s">
        <v>101</v>
      </c>
      <c r="M1688" s="57">
        <v>3.68</v>
      </c>
      <c r="N1688" s="57">
        <v>3.68</v>
      </c>
      <c r="O1688" s="53" t="s">
        <v>101</v>
      </c>
      <c r="P1688" s="57" t="s">
        <v>448</v>
      </c>
      <c r="Q1688" s="57" t="s">
        <v>2042</v>
      </c>
      <c r="R1688" s="59" t="s">
        <v>504</v>
      </c>
    </row>
    <row r="1689" spans="1:18" x14ac:dyDescent="0.5">
      <c r="A1689" s="52" t="str">
        <f>"89453PN62"</f>
        <v>89453PN62</v>
      </c>
      <c r="B1689" s="53" t="s">
        <v>451</v>
      </c>
      <c r="C1689" s="53" t="s">
        <v>2043</v>
      </c>
      <c r="D1689" s="53" t="s">
        <v>447</v>
      </c>
      <c r="E1689" s="53">
        <v>3</v>
      </c>
      <c r="F1689" s="54">
        <v>49004</v>
      </c>
      <c r="G1689" s="54">
        <v>47178</v>
      </c>
      <c r="H1689" s="53" t="s">
        <v>104</v>
      </c>
      <c r="I1689" s="53" t="s">
        <v>104</v>
      </c>
      <c r="J1689" s="53" t="s">
        <v>101</v>
      </c>
      <c r="K1689" s="53">
        <v>96.061000000000007</v>
      </c>
      <c r="L1689" s="53" t="s">
        <v>101</v>
      </c>
      <c r="M1689" s="53">
        <v>3.512</v>
      </c>
      <c r="N1689" s="53">
        <v>3.512</v>
      </c>
      <c r="O1689" s="53" t="s">
        <v>101</v>
      </c>
      <c r="P1689" s="53" t="s">
        <v>448</v>
      </c>
      <c r="Q1689" s="53" t="s">
        <v>790</v>
      </c>
      <c r="R1689" s="55" t="s">
        <v>454</v>
      </c>
    </row>
    <row r="1690" spans="1:18" x14ac:dyDescent="0.5">
      <c r="A1690" s="56" t="str">
        <f>"89453PSA8"</f>
        <v>89453PSA8</v>
      </c>
      <c r="B1690" s="57" t="s">
        <v>451</v>
      </c>
      <c r="C1690" s="57" t="s">
        <v>2044</v>
      </c>
      <c r="D1690" s="53" t="s">
        <v>447</v>
      </c>
      <c r="E1690" s="57">
        <v>3.2</v>
      </c>
      <c r="F1690" s="58">
        <v>49004</v>
      </c>
      <c r="G1690" s="58">
        <v>45717</v>
      </c>
      <c r="H1690" s="57" t="s">
        <v>104</v>
      </c>
      <c r="I1690" s="57" t="s">
        <v>104</v>
      </c>
      <c r="J1690" s="57" t="s">
        <v>101</v>
      </c>
      <c r="K1690" s="57">
        <v>95.445999999999998</v>
      </c>
      <c r="L1690" s="57" t="s">
        <v>101</v>
      </c>
      <c r="M1690" s="57">
        <v>3.8</v>
      </c>
      <c r="N1690" s="57">
        <v>3.8</v>
      </c>
      <c r="O1690" s="53" t="s">
        <v>101</v>
      </c>
      <c r="P1690" s="57" t="s">
        <v>448</v>
      </c>
      <c r="Q1690" s="57" t="s">
        <v>488</v>
      </c>
      <c r="R1690" s="59" t="s">
        <v>504</v>
      </c>
    </row>
    <row r="1691" spans="1:18" x14ac:dyDescent="0.5">
      <c r="A1691" s="52" t="str">
        <f>"89453PSW0"</f>
        <v>89453PSW0</v>
      </c>
      <c r="B1691" s="53" t="s">
        <v>451</v>
      </c>
      <c r="C1691" s="53" t="s">
        <v>2045</v>
      </c>
      <c r="D1691" s="53" t="s">
        <v>447</v>
      </c>
      <c r="E1691" s="53">
        <v>3.25</v>
      </c>
      <c r="F1691" s="54">
        <v>49004</v>
      </c>
      <c r="G1691" s="54">
        <v>45717</v>
      </c>
      <c r="H1691" s="53" t="s">
        <v>104</v>
      </c>
      <c r="I1691" s="53" t="s">
        <v>104</v>
      </c>
      <c r="J1691" s="53" t="s">
        <v>101</v>
      </c>
      <c r="K1691" s="53">
        <v>94.677000000000007</v>
      </c>
      <c r="L1691" s="53" t="s">
        <v>101</v>
      </c>
      <c r="M1691" s="53">
        <v>3.956</v>
      </c>
      <c r="N1691" s="53">
        <v>3.956</v>
      </c>
      <c r="O1691" s="53" t="s">
        <v>101</v>
      </c>
      <c r="P1691" s="53" t="s">
        <v>448</v>
      </c>
      <c r="Q1691" s="53" t="s">
        <v>460</v>
      </c>
      <c r="R1691" s="55" t="s">
        <v>454</v>
      </c>
    </row>
    <row r="1692" spans="1:18" x14ac:dyDescent="0.5">
      <c r="A1692" s="56" t="str">
        <f>"976709DN2"</f>
        <v>976709DN2</v>
      </c>
      <c r="B1692" s="57" t="s">
        <v>496</v>
      </c>
      <c r="C1692" s="57" t="s">
        <v>2046</v>
      </c>
      <c r="D1692" s="53" t="s">
        <v>447</v>
      </c>
      <c r="E1692" s="57">
        <v>1.375</v>
      </c>
      <c r="F1692" s="58">
        <v>49004</v>
      </c>
      <c r="G1692" s="58">
        <v>47178</v>
      </c>
      <c r="H1692" s="57" t="s">
        <v>624</v>
      </c>
      <c r="I1692" s="57" t="s">
        <v>105</v>
      </c>
      <c r="J1692" s="57" t="s">
        <v>101</v>
      </c>
      <c r="K1692" s="57">
        <v>75.126000000000005</v>
      </c>
      <c r="L1692" s="57" t="s">
        <v>101</v>
      </c>
      <c r="M1692" s="57">
        <v>4.8</v>
      </c>
      <c r="N1692" s="57">
        <v>4.8</v>
      </c>
      <c r="O1692" s="53" t="s">
        <v>101</v>
      </c>
      <c r="P1692" s="57" t="s">
        <v>448</v>
      </c>
      <c r="Q1692" s="57" t="s">
        <v>479</v>
      </c>
      <c r="R1692" s="59" t="s">
        <v>454</v>
      </c>
    </row>
    <row r="1693" spans="1:18" x14ac:dyDescent="0.5">
      <c r="A1693" s="52" t="str">
        <f>"88278PC69"</f>
        <v>88278PC69</v>
      </c>
      <c r="B1693" s="53" t="s">
        <v>451</v>
      </c>
      <c r="C1693" s="53" t="s">
        <v>2047</v>
      </c>
      <c r="D1693" s="53" t="s">
        <v>447</v>
      </c>
      <c r="E1693" s="53">
        <v>3</v>
      </c>
      <c r="F1693" s="54">
        <v>49018</v>
      </c>
      <c r="G1693" s="54">
        <v>47922</v>
      </c>
      <c r="H1693" s="53" t="s">
        <v>613</v>
      </c>
      <c r="I1693" s="53" t="s">
        <v>105</v>
      </c>
      <c r="J1693" s="53" t="s">
        <v>101</v>
      </c>
      <c r="K1693" s="53">
        <v>93.42</v>
      </c>
      <c r="L1693" s="53" t="s">
        <v>101</v>
      </c>
      <c r="M1693" s="53">
        <v>3.8660000000000001</v>
      </c>
      <c r="N1693" s="53">
        <v>3.8660000000000001</v>
      </c>
      <c r="O1693" s="53" t="s">
        <v>101</v>
      </c>
      <c r="P1693" s="53" t="s">
        <v>448</v>
      </c>
      <c r="Q1693" s="53" t="s">
        <v>453</v>
      </c>
      <c r="R1693" s="55" t="s">
        <v>589</v>
      </c>
    </row>
    <row r="1694" spans="1:18" x14ac:dyDescent="0.5">
      <c r="A1694" s="56" t="str">
        <f>"88278PUS1"</f>
        <v>88278PUS1</v>
      </c>
      <c r="B1694" s="57" t="s">
        <v>451</v>
      </c>
      <c r="C1694" s="57" t="s">
        <v>2048</v>
      </c>
      <c r="D1694" s="53" t="s">
        <v>447</v>
      </c>
      <c r="E1694" s="57">
        <v>3.375</v>
      </c>
      <c r="F1694" s="58">
        <v>49018</v>
      </c>
      <c r="G1694" s="58">
        <v>45731</v>
      </c>
      <c r="H1694" s="57" t="s">
        <v>613</v>
      </c>
      <c r="I1694" s="57" t="s">
        <v>105</v>
      </c>
      <c r="J1694" s="57" t="s">
        <v>101</v>
      </c>
      <c r="K1694" s="57">
        <v>97.245000000000005</v>
      </c>
      <c r="L1694" s="57" t="s">
        <v>101</v>
      </c>
      <c r="M1694" s="57">
        <v>3.7349999999999999</v>
      </c>
      <c r="N1694" s="57">
        <v>3.7349999999999999</v>
      </c>
      <c r="O1694" s="53" t="s">
        <v>101</v>
      </c>
      <c r="P1694" s="57" t="s">
        <v>448</v>
      </c>
      <c r="Q1694" s="57" t="s">
        <v>556</v>
      </c>
      <c r="R1694" s="59" t="s">
        <v>504</v>
      </c>
    </row>
    <row r="1695" spans="1:18" x14ac:dyDescent="0.5">
      <c r="A1695" s="52" t="str">
        <f>"346806MV1"</f>
        <v>346806MV1</v>
      </c>
      <c r="B1695" s="53" t="s">
        <v>451</v>
      </c>
      <c r="C1695" s="53" t="s">
        <v>2049</v>
      </c>
      <c r="D1695" s="53" t="s">
        <v>447</v>
      </c>
      <c r="E1695" s="53">
        <v>3.125</v>
      </c>
      <c r="F1695" s="54">
        <v>49035</v>
      </c>
      <c r="G1695" s="54">
        <v>45733</v>
      </c>
      <c r="H1695" s="53" t="s">
        <v>105</v>
      </c>
      <c r="I1695" s="53" t="s">
        <v>628</v>
      </c>
      <c r="J1695" s="53" t="s">
        <v>101</v>
      </c>
      <c r="K1695" s="53">
        <v>90.47</v>
      </c>
      <c r="L1695" s="53" t="s">
        <v>101</v>
      </c>
      <c r="M1695" s="53">
        <v>4.4050000000000002</v>
      </c>
      <c r="N1695" s="53">
        <v>4.4050000000000002</v>
      </c>
      <c r="O1695" s="53" t="s">
        <v>101</v>
      </c>
      <c r="P1695" s="53" t="s">
        <v>448</v>
      </c>
      <c r="Q1695" s="53" t="s">
        <v>488</v>
      </c>
      <c r="R1695" s="55" t="s">
        <v>630</v>
      </c>
    </row>
    <row r="1696" spans="1:18" x14ac:dyDescent="0.5">
      <c r="A1696" s="56" t="str">
        <f>"346806SD5"</f>
        <v>346806SD5</v>
      </c>
      <c r="B1696" s="57" t="s">
        <v>451</v>
      </c>
      <c r="C1696" s="57" t="s">
        <v>2050</v>
      </c>
      <c r="D1696" s="53" t="s">
        <v>447</v>
      </c>
      <c r="E1696" s="57">
        <v>3</v>
      </c>
      <c r="F1696" s="58">
        <v>49035</v>
      </c>
      <c r="G1696" s="58">
        <v>47209</v>
      </c>
      <c r="H1696" s="57" t="s">
        <v>105</v>
      </c>
      <c r="I1696" s="57" t="s">
        <v>628</v>
      </c>
      <c r="J1696" s="57" t="s">
        <v>101</v>
      </c>
      <c r="K1696" s="57">
        <v>91.863</v>
      </c>
      <c r="L1696" s="57" t="s">
        <v>101</v>
      </c>
      <c r="M1696" s="57">
        <v>4.077</v>
      </c>
      <c r="N1696" s="57">
        <v>4.077</v>
      </c>
      <c r="O1696" s="53" t="s">
        <v>101</v>
      </c>
      <c r="P1696" s="57" t="s">
        <v>448</v>
      </c>
      <c r="Q1696" s="57" t="s">
        <v>485</v>
      </c>
      <c r="R1696" s="59" t="s">
        <v>630</v>
      </c>
    </row>
    <row r="1697" spans="1:18" x14ac:dyDescent="0.5">
      <c r="A1697" s="52" t="str">
        <f>"3926414V5"</f>
        <v>3926414V5</v>
      </c>
      <c r="B1697" s="53" t="s">
        <v>496</v>
      </c>
      <c r="C1697" s="53" t="s">
        <v>2051</v>
      </c>
      <c r="D1697" s="53" t="s">
        <v>447</v>
      </c>
      <c r="E1697" s="53">
        <v>3</v>
      </c>
      <c r="F1697" s="54">
        <v>49035</v>
      </c>
      <c r="G1697" s="54">
        <v>46113</v>
      </c>
      <c r="H1697" s="53" t="s">
        <v>624</v>
      </c>
      <c r="I1697" s="53" t="s">
        <v>105</v>
      </c>
      <c r="J1697" s="53" t="s">
        <v>101</v>
      </c>
      <c r="K1697" s="53">
        <v>93.659000000000006</v>
      </c>
      <c r="L1697" s="53" t="s">
        <v>101</v>
      </c>
      <c r="M1697" s="53">
        <v>3.83</v>
      </c>
      <c r="N1697" s="53">
        <v>3.83</v>
      </c>
      <c r="O1697" s="53" t="s">
        <v>101</v>
      </c>
      <c r="P1697" s="53" t="s">
        <v>448</v>
      </c>
      <c r="Q1697" s="53" t="s">
        <v>479</v>
      </c>
      <c r="R1697" s="55" t="s">
        <v>454</v>
      </c>
    </row>
    <row r="1698" spans="1:18" x14ac:dyDescent="0.5">
      <c r="A1698" s="56" t="str">
        <f>"404540TA4"</f>
        <v>404540TA4</v>
      </c>
      <c r="B1698" s="57" t="s">
        <v>477</v>
      </c>
      <c r="C1698" s="57" t="s">
        <v>2052</v>
      </c>
      <c r="D1698" s="53" t="s">
        <v>447</v>
      </c>
      <c r="E1698" s="57">
        <v>3.125</v>
      </c>
      <c r="F1698" s="58">
        <v>49035</v>
      </c>
      <c r="G1698" s="58">
        <v>45748</v>
      </c>
      <c r="H1698" s="57" t="s">
        <v>105</v>
      </c>
      <c r="I1698" s="57" t="s">
        <v>509</v>
      </c>
      <c r="J1698" s="57" t="s">
        <v>101</v>
      </c>
      <c r="K1698" s="57">
        <v>96.828999999999994</v>
      </c>
      <c r="L1698" s="57" t="s">
        <v>101</v>
      </c>
      <c r="M1698" s="57">
        <v>3.5339999999999998</v>
      </c>
      <c r="N1698" s="57">
        <v>3.5339999999999998</v>
      </c>
      <c r="O1698" s="53" t="s">
        <v>101</v>
      </c>
      <c r="P1698" s="57" t="s">
        <v>448</v>
      </c>
      <c r="Q1698" s="57" t="s">
        <v>485</v>
      </c>
      <c r="R1698" s="59" t="s">
        <v>454</v>
      </c>
    </row>
    <row r="1699" spans="1:18" x14ac:dyDescent="0.5">
      <c r="A1699" s="52" t="str">
        <f>"413884DT1"</f>
        <v>413884DT1</v>
      </c>
      <c r="B1699" s="53" t="s">
        <v>451</v>
      </c>
      <c r="C1699" s="53" t="s">
        <v>2053</v>
      </c>
      <c r="D1699" s="53" t="s">
        <v>447</v>
      </c>
      <c r="E1699" s="53">
        <v>3.75</v>
      </c>
      <c r="F1699" s="54">
        <v>49035</v>
      </c>
      <c r="G1699" s="54">
        <v>45733</v>
      </c>
      <c r="H1699" s="53" t="s">
        <v>105</v>
      </c>
      <c r="I1699" s="53" t="s">
        <v>628</v>
      </c>
      <c r="J1699" s="53" t="s">
        <v>101</v>
      </c>
      <c r="K1699" s="53">
        <v>98.51</v>
      </c>
      <c r="L1699" s="53" t="s">
        <v>101</v>
      </c>
      <c r="M1699" s="53">
        <v>3.9460000000000002</v>
      </c>
      <c r="N1699" s="53">
        <v>3.9460000000000002</v>
      </c>
      <c r="O1699" s="53" t="s">
        <v>101</v>
      </c>
      <c r="P1699" s="53" t="s">
        <v>448</v>
      </c>
      <c r="Q1699" s="53" t="s">
        <v>488</v>
      </c>
      <c r="R1699" s="55" t="s">
        <v>630</v>
      </c>
    </row>
    <row r="1700" spans="1:18" x14ac:dyDescent="0.5">
      <c r="A1700" s="56" t="str">
        <f>"41422MLH6"</f>
        <v>41422MLH6</v>
      </c>
      <c r="B1700" s="57" t="s">
        <v>451</v>
      </c>
      <c r="C1700" s="57" t="s">
        <v>2054</v>
      </c>
      <c r="D1700" s="53" t="s">
        <v>447</v>
      </c>
      <c r="E1700" s="57">
        <v>4</v>
      </c>
      <c r="F1700" s="58">
        <v>49035</v>
      </c>
      <c r="G1700" s="58">
        <v>47209</v>
      </c>
      <c r="H1700" s="57" t="s">
        <v>105</v>
      </c>
      <c r="I1700" s="57" t="s">
        <v>628</v>
      </c>
      <c r="J1700" s="57" t="s">
        <v>101</v>
      </c>
      <c r="K1700" s="57">
        <v>100.43</v>
      </c>
      <c r="L1700" s="57" t="s">
        <v>101</v>
      </c>
      <c r="M1700" s="57">
        <v>3.8849999999999998</v>
      </c>
      <c r="N1700" s="57">
        <v>3.9430000000000001</v>
      </c>
      <c r="O1700" s="53" t="s">
        <v>101</v>
      </c>
      <c r="P1700" s="57" t="s">
        <v>448</v>
      </c>
      <c r="Q1700" s="57" t="s">
        <v>479</v>
      </c>
      <c r="R1700" s="59" t="s">
        <v>630</v>
      </c>
    </row>
    <row r="1701" spans="1:18" x14ac:dyDescent="0.5">
      <c r="A1701" s="52" t="str">
        <f>"45204ET73"</f>
        <v>45204ET73</v>
      </c>
      <c r="B1701" s="53" t="s">
        <v>491</v>
      </c>
      <c r="C1701" s="53" t="s">
        <v>2055</v>
      </c>
      <c r="D1701" s="53" t="s">
        <v>447</v>
      </c>
      <c r="E1701" s="53">
        <v>5</v>
      </c>
      <c r="F1701" s="54">
        <v>49035</v>
      </c>
      <c r="G1701" s="54">
        <v>47209</v>
      </c>
      <c r="H1701" s="53" t="s">
        <v>641</v>
      </c>
      <c r="I1701" s="53" t="s">
        <v>658</v>
      </c>
      <c r="J1701" s="53" t="s">
        <v>101</v>
      </c>
      <c r="K1701" s="53">
        <v>105.499</v>
      </c>
      <c r="L1701" s="53" t="s">
        <v>101</v>
      </c>
      <c r="M1701" s="53">
        <v>3.552</v>
      </c>
      <c r="N1701" s="53">
        <v>4.2649999999999997</v>
      </c>
      <c r="O1701" s="53" t="s">
        <v>101</v>
      </c>
      <c r="P1701" s="53" t="s">
        <v>448</v>
      </c>
      <c r="Q1701" s="53" t="s">
        <v>517</v>
      </c>
      <c r="R1701" s="55" t="s">
        <v>506</v>
      </c>
    </row>
    <row r="1702" spans="1:18" x14ac:dyDescent="0.5">
      <c r="A1702" s="56" t="str">
        <f>"489836SY3"</f>
        <v>489836SY3</v>
      </c>
      <c r="B1702" s="57" t="s">
        <v>496</v>
      </c>
      <c r="C1702" s="57" t="s">
        <v>2056</v>
      </c>
      <c r="D1702" s="53" t="s">
        <v>447</v>
      </c>
      <c r="E1702" s="57">
        <v>3</v>
      </c>
      <c r="F1702" s="58">
        <v>49035</v>
      </c>
      <c r="G1702" s="58">
        <v>46113</v>
      </c>
      <c r="H1702" s="57" t="s">
        <v>613</v>
      </c>
      <c r="I1702" s="57" t="s">
        <v>105</v>
      </c>
      <c r="J1702" s="57" t="s">
        <v>101</v>
      </c>
      <c r="K1702" s="57">
        <v>93.385999999999996</v>
      </c>
      <c r="L1702" s="57" t="s">
        <v>101</v>
      </c>
      <c r="M1702" s="57">
        <v>3.867</v>
      </c>
      <c r="N1702" s="57">
        <v>3.867</v>
      </c>
      <c r="O1702" s="53" t="s">
        <v>101</v>
      </c>
      <c r="P1702" s="57" t="s">
        <v>448</v>
      </c>
      <c r="Q1702" s="57" t="s">
        <v>485</v>
      </c>
      <c r="R1702" s="59" t="s">
        <v>454</v>
      </c>
    </row>
    <row r="1703" spans="1:18" x14ac:dyDescent="0.5">
      <c r="A1703" s="52" t="str">
        <f>"493012DT2"</f>
        <v>493012DT2</v>
      </c>
      <c r="B1703" s="53" t="s">
        <v>496</v>
      </c>
      <c r="C1703" s="53" t="s">
        <v>2057</v>
      </c>
      <c r="D1703" s="53" t="s">
        <v>447</v>
      </c>
      <c r="E1703" s="53">
        <v>3.25</v>
      </c>
      <c r="F1703" s="54">
        <v>49035</v>
      </c>
      <c r="G1703" s="54">
        <v>45733</v>
      </c>
      <c r="H1703" s="53" t="s">
        <v>105</v>
      </c>
      <c r="I1703" s="53" t="s">
        <v>616</v>
      </c>
      <c r="J1703" s="53" t="s">
        <v>101</v>
      </c>
      <c r="K1703" s="53">
        <v>94.47</v>
      </c>
      <c r="L1703" s="53" t="s">
        <v>101</v>
      </c>
      <c r="M1703" s="53">
        <v>3.9790000000000001</v>
      </c>
      <c r="N1703" s="53">
        <v>3.9790000000000001</v>
      </c>
      <c r="O1703" s="53" t="s">
        <v>101</v>
      </c>
      <c r="P1703" s="53" t="s">
        <v>448</v>
      </c>
      <c r="Q1703" s="53" t="s">
        <v>457</v>
      </c>
      <c r="R1703" s="55" t="s">
        <v>454</v>
      </c>
    </row>
    <row r="1704" spans="1:18" x14ac:dyDescent="0.5">
      <c r="A1704" s="56" t="str">
        <f>"502606VP8"</f>
        <v>502606VP8</v>
      </c>
      <c r="B1704" s="57" t="s">
        <v>496</v>
      </c>
      <c r="C1704" s="57" t="s">
        <v>2058</v>
      </c>
      <c r="D1704" s="53" t="s">
        <v>447</v>
      </c>
      <c r="E1704" s="57">
        <v>3</v>
      </c>
      <c r="F1704" s="58">
        <v>49035</v>
      </c>
      <c r="G1704" s="58">
        <v>46478</v>
      </c>
      <c r="H1704" s="57" t="s">
        <v>540</v>
      </c>
      <c r="I1704" s="57" t="s">
        <v>105</v>
      </c>
      <c r="J1704" s="57" t="s">
        <v>101</v>
      </c>
      <c r="K1704" s="57">
        <v>95.850999999999999</v>
      </c>
      <c r="L1704" s="57" t="s">
        <v>101</v>
      </c>
      <c r="M1704" s="57">
        <v>3.536</v>
      </c>
      <c r="N1704" s="57">
        <v>3.536</v>
      </c>
      <c r="O1704" s="53" t="s">
        <v>101</v>
      </c>
      <c r="P1704" s="57" t="s">
        <v>448</v>
      </c>
      <c r="Q1704" s="57" t="s">
        <v>460</v>
      </c>
      <c r="R1704" s="59" t="s">
        <v>454</v>
      </c>
    </row>
    <row r="1705" spans="1:18" x14ac:dyDescent="0.5">
      <c r="A1705" s="52" t="str">
        <f>"59333NE25"</f>
        <v>59333NE25</v>
      </c>
      <c r="B1705" s="53" t="s">
        <v>499</v>
      </c>
      <c r="C1705" s="53" t="s">
        <v>2059</v>
      </c>
      <c r="D1705" s="53" t="s">
        <v>447</v>
      </c>
      <c r="E1705" s="53">
        <v>3</v>
      </c>
      <c r="F1705" s="54">
        <v>49035</v>
      </c>
      <c r="G1705" s="54">
        <v>46113</v>
      </c>
      <c r="H1705" s="53" t="s">
        <v>613</v>
      </c>
      <c r="I1705" s="53" t="s">
        <v>628</v>
      </c>
      <c r="J1705" s="53" t="s">
        <v>101</v>
      </c>
      <c r="K1705" s="53">
        <v>93.2</v>
      </c>
      <c r="L1705" s="53" t="s">
        <v>101</v>
      </c>
      <c r="M1705" s="53">
        <v>3.8929999999999998</v>
      </c>
      <c r="N1705" s="53">
        <v>3.8929999999999998</v>
      </c>
      <c r="O1705" s="53" t="s">
        <v>101</v>
      </c>
      <c r="P1705" s="53" t="s">
        <v>448</v>
      </c>
      <c r="Q1705" s="53" t="s">
        <v>1064</v>
      </c>
      <c r="R1705" s="55" t="s">
        <v>504</v>
      </c>
    </row>
    <row r="1706" spans="1:18" x14ac:dyDescent="0.5">
      <c r="A1706" s="56" t="str">
        <f>"59333NYE7"</f>
        <v>59333NYE7</v>
      </c>
      <c r="B1706" s="57" t="s">
        <v>499</v>
      </c>
      <c r="C1706" s="57" t="s">
        <v>2060</v>
      </c>
      <c r="D1706" s="53" t="s">
        <v>447</v>
      </c>
      <c r="E1706" s="57">
        <v>3.625</v>
      </c>
      <c r="F1706" s="58">
        <v>49035</v>
      </c>
      <c r="G1706" s="58">
        <v>45748</v>
      </c>
      <c r="H1706" s="57" t="s">
        <v>613</v>
      </c>
      <c r="I1706" s="57" t="s">
        <v>628</v>
      </c>
      <c r="J1706" s="57" t="s">
        <v>101</v>
      </c>
      <c r="K1706" s="57">
        <v>98.59</v>
      </c>
      <c r="L1706" s="57" t="s">
        <v>101</v>
      </c>
      <c r="M1706" s="57">
        <v>3.8090000000000002</v>
      </c>
      <c r="N1706" s="57">
        <v>3.8090000000000002</v>
      </c>
      <c r="O1706" s="53" t="s">
        <v>101</v>
      </c>
      <c r="P1706" s="57" t="s">
        <v>448</v>
      </c>
      <c r="Q1706" s="57" t="s">
        <v>488</v>
      </c>
      <c r="R1706" s="59" t="s">
        <v>589</v>
      </c>
    </row>
    <row r="1707" spans="1:18" x14ac:dyDescent="0.5">
      <c r="A1707" s="52" t="str">
        <f>"602366M78"</f>
        <v>602366M78</v>
      </c>
      <c r="B1707" s="53" t="s">
        <v>496</v>
      </c>
      <c r="C1707" s="53" t="s">
        <v>2061</v>
      </c>
      <c r="D1707" s="53" t="s">
        <v>447</v>
      </c>
      <c r="E1707" s="53">
        <v>3</v>
      </c>
      <c r="F1707" s="54">
        <v>49035</v>
      </c>
      <c r="G1707" s="54">
        <v>47939</v>
      </c>
      <c r="H1707" s="53" t="s">
        <v>105</v>
      </c>
      <c r="I1707" s="53" t="s">
        <v>628</v>
      </c>
      <c r="J1707" s="53" t="s">
        <v>101</v>
      </c>
      <c r="K1707" s="53">
        <v>93.073999999999998</v>
      </c>
      <c r="L1707" s="53" t="s">
        <v>101</v>
      </c>
      <c r="M1707" s="53">
        <v>3.91</v>
      </c>
      <c r="N1707" s="53">
        <v>3.91</v>
      </c>
      <c r="O1707" s="53" t="s">
        <v>101</v>
      </c>
      <c r="P1707" s="53" t="s">
        <v>448</v>
      </c>
      <c r="Q1707" s="53" t="s">
        <v>605</v>
      </c>
      <c r="R1707" s="55" t="s">
        <v>630</v>
      </c>
    </row>
    <row r="1708" spans="1:18" x14ac:dyDescent="0.5">
      <c r="A1708" s="56" t="str">
        <f>"61371FGA1"</f>
        <v>61371FGA1</v>
      </c>
      <c r="B1708" s="57" t="s">
        <v>451</v>
      </c>
      <c r="C1708" s="57" t="s">
        <v>2062</v>
      </c>
      <c r="D1708" s="53" t="s">
        <v>447</v>
      </c>
      <c r="E1708" s="57">
        <v>3.5</v>
      </c>
      <c r="F1708" s="58">
        <v>49035</v>
      </c>
      <c r="G1708" s="58">
        <v>45733</v>
      </c>
      <c r="H1708" s="57" t="s">
        <v>641</v>
      </c>
      <c r="I1708" s="57" t="s">
        <v>628</v>
      </c>
      <c r="J1708" s="57" t="s">
        <v>101</v>
      </c>
      <c r="K1708" s="57">
        <v>95.251000000000005</v>
      </c>
      <c r="L1708" s="57" t="s">
        <v>101</v>
      </c>
      <c r="M1708" s="57">
        <v>4.13</v>
      </c>
      <c r="N1708" s="57">
        <v>4.13</v>
      </c>
      <c r="O1708" s="53" t="s">
        <v>101</v>
      </c>
      <c r="P1708" s="57" t="s">
        <v>448</v>
      </c>
      <c r="Q1708" s="57" t="s">
        <v>488</v>
      </c>
      <c r="R1708" s="59" t="s">
        <v>630</v>
      </c>
    </row>
    <row r="1709" spans="1:18" x14ac:dyDescent="0.5">
      <c r="A1709" s="52" t="str">
        <f>"61371PBM8"</f>
        <v>61371PBM8</v>
      </c>
      <c r="B1709" s="53" t="s">
        <v>451</v>
      </c>
      <c r="C1709" s="53" t="s">
        <v>2063</v>
      </c>
      <c r="D1709" s="53" t="s">
        <v>447</v>
      </c>
      <c r="E1709" s="53">
        <v>2.125</v>
      </c>
      <c r="F1709" s="54">
        <v>49035</v>
      </c>
      <c r="G1709" s="54">
        <v>45748</v>
      </c>
      <c r="H1709" s="53" t="s">
        <v>105</v>
      </c>
      <c r="I1709" s="53" t="s">
        <v>628</v>
      </c>
      <c r="J1709" s="53" t="s">
        <v>101</v>
      </c>
      <c r="K1709" s="53">
        <v>80.861000000000004</v>
      </c>
      <c r="L1709" s="53" t="s">
        <v>101</v>
      </c>
      <c r="M1709" s="53">
        <v>4.7329999999999997</v>
      </c>
      <c r="N1709" s="53">
        <v>4.7329999999999997</v>
      </c>
      <c r="O1709" s="53" t="s">
        <v>101</v>
      </c>
      <c r="P1709" s="53" t="s">
        <v>448</v>
      </c>
      <c r="Q1709" s="53" t="s">
        <v>475</v>
      </c>
      <c r="R1709" s="55" t="s">
        <v>630</v>
      </c>
    </row>
    <row r="1710" spans="1:18" x14ac:dyDescent="0.5">
      <c r="A1710" s="56" t="str">
        <f>"735031CA2"</f>
        <v>735031CA2</v>
      </c>
      <c r="B1710" s="57" t="s">
        <v>499</v>
      </c>
      <c r="C1710" s="57" t="s">
        <v>2064</v>
      </c>
      <c r="D1710" s="53" t="s">
        <v>447</v>
      </c>
      <c r="E1710" s="57">
        <v>3</v>
      </c>
      <c r="F1710" s="58">
        <v>49035</v>
      </c>
      <c r="G1710" s="58">
        <v>46113</v>
      </c>
      <c r="H1710" s="57" t="s">
        <v>613</v>
      </c>
      <c r="I1710" s="57" t="s">
        <v>105</v>
      </c>
      <c r="J1710" s="57" t="s">
        <v>101</v>
      </c>
      <c r="K1710" s="57">
        <v>92.855000000000004</v>
      </c>
      <c r="L1710" s="57" t="s">
        <v>101</v>
      </c>
      <c r="M1710" s="57">
        <v>3.94</v>
      </c>
      <c r="N1710" s="57">
        <v>3.94</v>
      </c>
      <c r="O1710" s="53" t="s">
        <v>101</v>
      </c>
      <c r="P1710" s="57" t="s">
        <v>448</v>
      </c>
      <c r="Q1710" s="57" t="s">
        <v>460</v>
      </c>
      <c r="R1710" s="59" t="s">
        <v>454</v>
      </c>
    </row>
    <row r="1711" spans="1:18" x14ac:dyDescent="0.5">
      <c r="A1711" s="52" t="str">
        <f>"750046ND2"</f>
        <v>750046ND2</v>
      </c>
      <c r="B1711" s="53" t="s">
        <v>496</v>
      </c>
      <c r="C1711" s="53" t="s">
        <v>2065</v>
      </c>
      <c r="D1711" s="53" t="s">
        <v>447</v>
      </c>
      <c r="E1711" s="53">
        <v>3.25</v>
      </c>
      <c r="F1711" s="54">
        <v>49035</v>
      </c>
      <c r="G1711" s="54">
        <v>45748</v>
      </c>
      <c r="H1711" s="53" t="s">
        <v>624</v>
      </c>
      <c r="I1711" s="53" t="s">
        <v>105</v>
      </c>
      <c r="J1711" s="53" t="s">
        <v>101</v>
      </c>
      <c r="K1711" s="53">
        <v>96.11</v>
      </c>
      <c r="L1711" s="53" t="s">
        <v>101</v>
      </c>
      <c r="M1711" s="53">
        <v>3.7570000000000001</v>
      </c>
      <c r="N1711" s="53">
        <v>3.7570000000000001</v>
      </c>
      <c r="O1711" s="53" t="s">
        <v>101</v>
      </c>
      <c r="P1711" s="53" t="s">
        <v>448</v>
      </c>
      <c r="Q1711" s="53" t="s">
        <v>469</v>
      </c>
      <c r="R1711" s="55" t="s">
        <v>454</v>
      </c>
    </row>
    <row r="1712" spans="1:18" x14ac:dyDescent="0.5">
      <c r="A1712" s="56" t="str">
        <f>"866849H88"</f>
        <v>866849H88</v>
      </c>
      <c r="B1712" s="57" t="s">
        <v>496</v>
      </c>
      <c r="C1712" s="57" t="s">
        <v>2066</v>
      </c>
      <c r="D1712" s="53" t="s">
        <v>447</v>
      </c>
      <c r="E1712" s="57">
        <v>3</v>
      </c>
      <c r="F1712" s="58">
        <v>49035</v>
      </c>
      <c r="G1712" s="58">
        <v>46478</v>
      </c>
      <c r="H1712" s="57" t="s">
        <v>613</v>
      </c>
      <c r="I1712" s="57" t="s">
        <v>105</v>
      </c>
      <c r="J1712" s="57" t="s">
        <v>101</v>
      </c>
      <c r="K1712" s="57">
        <v>95.661000000000001</v>
      </c>
      <c r="L1712" s="57" t="s">
        <v>101</v>
      </c>
      <c r="M1712" s="57">
        <v>3.5609999999999999</v>
      </c>
      <c r="N1712" s="57">
        <v>3.5609999999999999</v>
      </c>
      <c r="O1712" s="53" t="s">
        <v>101</v>
      </c>
      <c r="P1712" s="57" t="s">
        <v>448</v>
      </c>
      <c r="Q1712" s="57" t="s">
        <v>573</v>
      </c>
      <c r="R1712" s="59" t="s">
        <v>454</v>
      </c>
    </row>
    <row r="1713" spans="1:18" x14ac:dyDescent="0.5">
      <c r="A1713" s="52" t="str">
        <f>"868424HQ8"</f>
        <v>868424HQ8</v>
      </c>
      <c r="B1713" s="53" t="s">
        <v>496</v>
      </c>
      <c r="C1713" s="53" t="s">
        <v>2067</v>
      </c>
      <c r="D1713" s="53" t="s">
        <v>447</v>
      </c>
      <c r="E1713" s="53">
        <v>3</v>
      </c>
      <c r="F1713" s="54">
        <v>49035</v>
      </c>
      <c r="G1713" s="54">
        <v>45748</v>
      </c>
      <c r="H1713" s="53" t="s">
        <v>105</v>
      </c>
      <c r="I1713" s="53" t="s">
        <v>616</v>
      </c>
      <c r="J1713" s="53" t="s">
        <v>101</v>
      </c>
      <c r="K1713" s="53">
        <v>92.356999999999999</v>
      </c>
      <c r="L1713" s="53" t="s">
        <v>101</v>
      </c>
      <c r="M1713" s="53">
        <v>4.0090000000000003</v>
      </c>
      <c r="N1713" s="53">
        <v>4.0090000000000003</v>
      </c>
      <c r="O1713" s="53" t="s">
        <v>101</v>
      </c>
      <c r="P1713" s="53" t="s">
        <v>448</v>
      </c>
      <c r="Q1713" s="53" t="s">
        <v>485</v>
      </c>
      <c r="R1713" s="55" t="s">
        <v>482</v>
      </c>
    </row>
    <row r="1714" spans="1:18" x14ac:dyDescent="0.5">
      <c r="A1714" s="56" t="str">
        <f>"914353R58"</f>
        <v>914353R58</v>
      </c>
      <c r="B1714" s="57" t="s">
        <v>491</v>
      </c>
      <c r="C1714" s="57" t="s">
        <v>2068</v>
      </c>
      <c r="D1714" s="53" t="s">
        <v>447</v>
      </c>
      <c r="E1714" s="57">
        <v>3.25</v>
      </c>
      <c r="F1714" s="58">
        <v>49035</v>
      </c>
      <c r="G1714" s="58">
        <v>46113</v>
      </c>
      <c r="H1714" s="57" t="s">
        <v>613</v>
      </c>
      <c r="I1714" s="57" t="s">
        <v>628</v>
      </c>
      <c r="J1714" s="57" t="s">
        <v>101</v>
      </c>
      <c r="K1714" s="57">
        <v>95.56</v>
      </c>
      <c r="L1714" s="57" t="s">
        <v>101</v>
      </c>
      <c r="M1714" s="57">
        <v>3.831</v>
      </c>
      <c r="N1714" s="57">
        <v>3.831</v>
      </c>
      <c r="O1714" s="53" t="s">
        <v>101</v>
      </c>
      <c r="P1714" s="57" t="s">
        <v>448</v>
      </c>
      <c r="Q1714" s="57" t="s">
        <v>488</v>
      </c>
      <c r="R1714" s="59" t="s">
        <v>771</v>
      </c>
    </row>
    <row r="1715" spans="1:18" x14ac:dyDescent="0.5">
      <c r="A1715" s="52" t="str">
        <f>"9143533K1"</f>
        <v>9143533K1</v>
      </c>
      <c r="B1715" s="53" t="s">
        <v>491</v>
      </c>
      <c r="C1715" s="53" t="s">
        <v>2069</v>
      </c>
      <c r="D1715" s="53" t="s">
        <v>447</v>
      </c>
      <c r="E1715" s="53">
        <v>4</v>
      </c>
      <c r="F1715" s="54">
        <v>49035</v>
      </c>
      <c r="G1715" s="54">
        <v>47574</v>
      </c>
      <c r="H1715" s="53" t="s">
        <v>613</v>
      </c>
      <c r="I1715" s="53" t="s">
        <v>628</v>
      </c>
      <c r="J1715" s="53" t="s">
        <v>101</v>
      </c>
      <c r="K1715" s="53">
        <v>101.783</v>
      </c>
      <c r="L1715" s="53" t="s">
        <v>101</v>
      </c>
      <c r="M1715" s="53">
        <v>3.6150000000000002</v>
      </c>
      <c r="N1715" s="53">
        <v>3.7669999999999999</v>
      </c>
      <c r="O1715" s="53" t="s">
        <v>101</v>
      </c>
      <c r="P1715" s="53" t="s">
        <v>448</v>
      </c>
      <c r="Q1715" s="53" t="s">
        <v>488</v>
      </c>
      <c r="R1715" s="55" t="s">
        <v>820</v>
      </c>
    </row>
    <row r="1716" spans="1:18" x14ac:dyDescent="0.5">
      <c r="A1716" s="56" t="str">
        <f>"9143535U7"</f>
        <v>9143535U7</v>
      </c>
      <c r="B1716" s="57" t="s">
        <v>491</v>
      </c>
      <c r="C1716" s="57" t="s">
        <v>2070</v>
      </c>
      <c r="D1716" s="53" t="s">
        <v>447</v>
      </c>
      <c r="E1716" s="57">
        <v>3</v>
      </c>
      <c r="F1716" s="58">
        <v>49035</v>
      </c>
      <c r="G1716" s="58">
        <v>47939</v>
      </c>
      <c r="H1716" s="57" t="s">
        <v>613</v>
      </c>
      <c r="I1716" s="57" t="s">
        <v>628</v>
      </c>
      <c r="J1716" s="57" t="s">
        <v>101</v>
      </c>
      <c r="K1716" s="57">
        <v>94.992000000000004</v>
      </c>
      <c r="L1716" s="57" t="s">
        <v>101</v>
      </c>
      <c r="M1716" s="57">
        <v>3.65</v>
      </c>
      <c r="N1716" s="57">
        <v>3.65</v>
      </c>
      <c r="O1716" s="53" t="s">
        <v>101</v>
      </c>
      <c r="P1716" s="57" t="s">
        <v>448</v>
      </c>
      <c r="Q1716" s="57" t="s">
        <v>635</v>
      </c>
      <c r="R1716" s="59" t="s">
        <v>771</v>
      </c>
    </row>
    <row r="1717" spans="1:18" x14ac:dyDescent="0.5">
      <c r="A1717" s="52" t="str">
        <f>"952433HL7"</f>
        <v>952433HL7</v>
      </c>
      <c r="B1717" s="53" t="s">
        <v>496</v>
      </c>
      <c r="C1717" s="53" t="s">
        <v>2071</v>
      </c>
      <c r="D1717" s="53" t="s">
        <v>447</v>
      </c>
      <c r="E1717" s="53">
        <v>2</v>
      </c>
      <c r="F1717" s="54">
        <v>49035</v>
      </c>
      <c r="G1717" s="54">
        <v>47574</v>
      </c>
      <c r="H1717" s="53" t="s">
        <v>105</v>
      </c>
      <c r="I1717" s="53" t="s">
        <v>616</v>
      </c>
      <c r="J1717" s="53" t="s">
        <v>101</v>
      </c>
      <c r="K1717" s="53">
        <v>84.29</v>
      </c>
      <c r="L1717" s="53" t="s">
        <v>101</v>
      </c>
      <c r="M1717" s="53">
        <v>4.08</v>
      </c>
      <c r="N1717" s="53">
        <v>4.08</v>
      </c>
      <c r="O1717" s="53" t="s">
        <v>101</v>
      </c>
      <c r="P1717" s="53" t="s">
        <v>448</v>
      </c>
      <c r="Q1717" s="53" t="s">
        <v>1245</v>
      </c>
      <c r="R1717" s="55" t="s">
        <v>454</v>
      </c>
    </row>
    <row r="1718" spans="1:18" x14ac:dyDescent="0.5">
      <c r="A1718" s="56" t="str">
        <f>"364482CQ0"</f>
        <v>364482CQ0</v>
      </c>
      <c r="B1718" s="57" t="s">
        <v>451</v>
      </c>
      <c r="C1718" s="57" t="s">
        <v>2072</v>
      </c>
      <c r="D1718" s="53" t="s">
        <v>447</v>
      </c>
      <c r="E1718" s="57">
        <v>4</v>
      </c>
      <c r="F1718" s="58">
        <v>49049</v>
      </c>
      <c r="G1718" s="58">
        <v>47953</v>
      </c>
      <c r="H1718" s="57" t="s">
        <v>105</v>
      </c>
      <c r="I1718" s="57" t="s">
        <v>628</v>
      </c>
      <c r="J1718" s="57" t="s">
        <v>101</v>
      </c>
      <c r="K1718" s="57">
        <v>102.52</v>
      </c>
      <c r="L1718" s="57" t="s">
        <v>101</v>
      </c>
      <c r="M1718" s="57">
        <v>3.54</v>
      </c>
      <c r="N1718" s="57">
        <v>3.673</v>
      </c>
      <c r="O1718" s="53" t="s">
        <v>101</v>
      </c>
      <c r="P1718" s="57" t="s">
        <v>448</v>
      </c>
      <c r="Q1718" s="57" t="s">
        <v>457</v>
      </c>
      <c r="R1718" s="59" t="s">
        <v>504</v>
      </c>
    </row>
    <row r="1719" spans="1:18" x14ac:dyDescent="0.5">
      <c r="A1719" s="52" t="str">
        <f>"74443DJJ1"</f>
        <v>74443DJJ1</v>
      </c>
      <c r="B1719" s="53" t="s">
        <v>496</v>
      </c>
      <c r="C1719" s="53" t="s">
        <v>2073</v>
      </c>
      <c r="D1719" s="53" t="s">
        <v>447</v>
      </c>
      <c r="E1719" s="53">
        <v>5</v>
      </c>
      <c r="F1719" s="54">
        <v>49049</v>
      </c>
      <c r="G1719" s="54">
        <v>48319</v>
      </c>
      <c r="H1719" s="53" t="s">
        <v>105</v>
      </c>
      <c r="I1719" s="53" t="s">
        <v>611</v>
      </c>
      <c r="J1719" s="53" t="s">
        <v>101</v>
      </c>
      <c r="K1719" s="53">
        <v>108.694</v>
      </c>
      <c r="L1719" s="53" t="s">
        <v>101</v>
      </c>
      <c r="M1719" s="53">
        <v>3.61</v>
      </c>
      <c r="N1719" s="53">
        <v>3.863</v>
      </c>
      <c r="O1719" s="53" t="s">
        <v>101</v>
      </c>
      <c r="P1719" s="53" t="s">
        <v>448</v>
      </c>
      <c r="Q1719" s="53" t="s">
        <v>488</v>
      </c>
      <c r="R1719" s="55" t="s">
        <v>450</v>
      </c>
    </row>
    <row r="1720" spans="1:18" x14ac:dyDescent="0.5">
      <c r="A1720" s="56" t="str">
        <f>"84552YRD5"</f>
        <v>84552YRD5</v>
      </c>
      <c r="B1720" s="57" t="s">
        <v>491</v>
      </c>
      <c r="C1720" s="57" t="s">
        <v>2074</v>
      </c>
      <c r="D1720" s="53" t="s">
        <v>447</v>
      </c>
      <c r="E1720" s="57">
        <v>4</v>
      </c>
      <c r="F1720" s="58">
        <v>49049</v>
      </c>
      <c r="G1720" s="58">
        <v>47588</v>
      </c>
      <c r="H1720" s="57" t="s">
        <v>624</v>
      </c>
      <c r="I1720" s="57" t="s">
        <v>616</v>
      </c>
      <c r="J1720" s="57" t="s">
        <v>101</v>
      </c>
      <c r="K1720" s="57">
        <v>102.077</v>
      </c>
      <c r="L1720" s="57" t="s">
        <v>101</v>
      </c>
      <c r="M1720" s="57">
        <v>3.5550000000000002</v>
      </c>
      <c r="N1720" s="57">
        <v>3.73</v>
      </c>
      <c r="O1720" s="53" t="s">
        <v>101</v>
      </c>
      <c r="P1720" s="57" t="s">
        <v>448</v>
      </c>
      <c r="Q1720" s="57" t="s">
        <v>457</v>
      </c>
      <c r="R1720" s="59" t="s">
        <v>504</v>
      </c>
    </row>
    <row r="1721" spans="1:18" x14ac:dyDescent="0.5">
      <c r="A1721" s="52" t="str">
        <f>"073177HN0"</f>
        <v>073177HN0</v>
      </c>
      <c r="B1721" s="53" t="s">
        <v>451</v>
      </c>
      <c r="C1721" s="53" t="s">
        <v>2075</v>
      </c>
      <c r="D1721" s="53" t="s">
        <v>447</v>
      </c>
      <c r="E1721" s="53">
        <v>3</v>
      </c>
      <c r="F1721" s="54">
        <v>49065</v>
      </c>
      <c r="G1721" s="54">
        <v>46874</v>
      </c>
      <c r="H1721" s="53" t="s">
        <v>624</v>
      </c>
      <c r="I1721" s="53" t="s">
        <v>616</v>
      </c>
      <c r="J1721" s="53" t="s">
        <v>101</v>
      </c>
      <c r="K1721" s="53">
        <v>94.924999999999997</v>
      </c>
      <c r="L1721" s="53" t="s">
        <v>101</v>
      </c>
      <c r="M1721" s="53">
        <v>3.6539999999999999</v>
      </c>
      <c r="N1721" s="53">
        <v>3.6539999999999999</v>
      </c>
      <c r="O1721" s="53" t="s">
        <v>101</v>
      </c>
      <c r="P1721" s="53" t="s">
        <v>448</v>
      </c>
      <c r="Q1721" s="53" t="s">
        <v>1743</v>
      </c>
      <c r="R1721" s="55" t="s">
        <v>504</v>
      </c>
    </row>
    <row r="1722" spans="1:18" x14ac:dyDescent="0.5">
      <c r="A1722" s="56" t="str">
        <f>"108443SB9"</f>
        <v>108443SB9</v>
      </c>
      <c r="B1722" s="57" t="s">
        <v>451</v>
      </c>
      <c r="C1722" s="57" t="s">
        <v>2076</v>
      </c>
      <c r="D1722" s="53" t="s">
        <v>447</v>
      </c>
      <c r="E1722" s="57">
        <v>3</v>
      </c>
      <c r="F1722" s="58">
        <v>49065</v>
      </c>
      <c r="G1722" s="58">
        <v>45733</v>
      </c>
      <c r="H1722" s="57" t="s">
        <v>105</v>
      </c>
      <c r="I1722" s="57" t="s">
        <v>628</v>
      </c>
      <c r="J1722" s="57" t="s">
        <v>101</v>
      </c>
      <c r="K1722" s="57">
        <v>91.37</v>
      </c>
      <c r="L1722" s="57" t="s">
        <v>101</v>
      </c>
      <c r="M1722" s="57">
        <v>4.1369999999999996</v>
      </c>
      <c r="N1722" s="57">
        <v>4.1369999999999996</v>
      </c>
      <c r="O1722" s="53" t="s">
        <v>101</v>
      </c>
      <c r="P1722" s="57" t="s">
        <v>448</v>
      </c>
      <c r="Q1722" s="57" t="s">
        <v>488</v>
      </c>
      <c r="R1722" s="59" t="s">
        <v>771</v>
      </c>
    </row>
    <row r="1723" spans="1:18" x14ac:dyDescent="0.5">
      <c r="A1723" s="52" t="str">
        <f>"364478VV6"</f>
        <v>364478VV6</v>
      </c>
      <c r="B1723" s="53" t="s">
        <v>451</v>
      </c>
      <c r="C1723" s="53" t="s">
        <v>2077</v>
      </c>
      <c r="D1723" s="53" t="s">
        <v>447</v>
      </c>
      <c r="E1723" s="53">
        <v>4</v>
      </c>
      <c r="F1723" s="54">
        <v>49065</v>
      </c>
      <c r="G1723" s="54">
        <v>47239</v>
      </c>
      <c r="H1723" s="53" t="s">
        <v>624</v>
      </c>
      <c r="I1723" s="53" t="s">
        <v>105</v>
      </c>
      <c r="J1723" s="53" t="s">
        <v>101</v>
      </c>
      <c r="K1723" s="53">
        <v>101.66500000000001</v>
      </c>
      <c r="L1723" s="53" t="s">
        <v>101</v>
      </c>
      <c r="M1723" s="53">
        <v>3.569</v>
      </c>
      <c r="N1723" s="53">
        <v>3.7829999999999999</v>
      </c>
      <c r="O1723" s="53" t="s">
        <v>101</v>
      </c>
      <c r="P1723" s="53" t="s">
        <v>448</v>
      </c>
      <c r="Q1723" s="53" t="s">
        <v>485</v>
      </c>
      <c r="R1723" s="55" t="s">
        <v>504</v>
      </c>
    </row>
    <row r="1724" spans="1:18" x14ac:dyDescent="0.5">
      <c r="A1724" s="56" t="str">
        <f>"68825RHC7"</f>
        <v>68825RHC7</v>
      </c>
      <c r="B1724" s="57" t="s">
        <v>496</v>
      </c>
      <c r="C1724" s="57" t="s">
        <v>2078</v>
      </c>
      <c r="D1724" s="53" t="s">
        <v>447</v>
      </c>
      <c r="E1724" s="57">
        <v>3.125</v>
      </c>
      <c r="F1724" s="58">
        <v>49065</v>
      </c>
      <c r="G1724" s="58">
        <v>46508</v>
      </c>
      <c r="H1724" s="57" t="s">
        <v>641</v>
      </c>
      <c r="I1724" s="57" t="s">
        <v>105</v>
      </c>
      <c r="J1724" s="57" t="s">
        <v>101</v>
      </c>
      <c r="K1724" s="57">
        <v>93.563999999999993</v>
      </c>
      <c r="L1724" s="57" t="s">
        <v>101</v>
      </c>
      <c r="M1724" s="57">
        <v>3.9660000000000002</v>
      </c>
      <c r="N1724" s="57">
        <v>3.9660000000000002</v>
      </c>
      <c r="O1724" s="53" t="s">
        <v>101</v>
      </c>
      <c r="P1724" s="57" t="s">
        <v>448</v>
      </c>
      <c r="Q1724" s="57" t="s">
        <v>485</v>
      </c>
      <c r="R1724" s="59" t="s">
        <v>504</v>
      </c>
    </row>
    <row r="1725" spans="1:18" x14ac:dyDescent="0.5">
      <c r="A1725" s="52" t="str">
        <f>"68825VEY3"</f>
        <v>68825VEY3</v>
      </c>
      <c r="B1725" s="53" t="s">
        <v>496</v>
      </c>
      <c r="C1725" s="53" t="s">
        <v>2079</v>
      </c>
      <c r="D1725" s="53" t="s">
        <v>447</v>
      </c>
      <c r="E1725" s="53">
        <v>3.25</v>
      </c>
      <c r="F1725" s="54">
        <v>49065</v>
      </c>
      <c r="G1725" s="54">
        <v>45733</v>
      </c>
      <c r="H1725" s="53" t="s">
        <v>624</v>
      </c>
      <c r="I1725" s="53" t="s">
        <v>105</v>
      </c>
      <c r="J1725" s="53" t="s">
        <v>101</v>
      </c>
      <c r="K1725" s="53">
        <v>95.631</v>
      </c>
      <c r="L1725" s="53" t="s">
        <v>101</v>
      </c>
      <c r="M1725" s="53">
        <v>3.8170000000000002</v>
      </c>
      <c r="N1725" s="53">
        <v>3.8170000000000002</v>
      </c>
      <c r="O1725" s="53" t="s">
        <v>101</v>
      </c>
      <c r="P1725" s="53" t="s">
        <v>448</v>
      </c>
      <c r="Q1725" s="53" t="s">
        <v>485</v>
      </c>
      <c r="R1725" s="55" t="s">
        <v>504</v>
      </c>
    </row>
    <row r="1726" spans="1:18" x14ac:dyDescent="0.5">
      <c r="A1726" s="56" t="str">
        <f>"68825VGN5"</f>
        <v>68825VGN5</v>
      </c>
      <c r="B1726" s="57" t="s">
        <v>496</v>
      </c>
      <c r="C1726" s="57" t="s">
        <v>2080</v>
      </c>
      <c r="D1726" s="53" t="s">
        <v>447</v>
      </c>
      <c r="E1726" s="57">
        <v>3</v>
      </c>
      <c r="F1726" s="58">
        <v>49065</v>
      </c>
      <c r="G1726" s="58">
        <v>46508</v>
      </c>
      <c r="H1726" s="57" t="s">
        <v>624</v>
      </c>
      <c r="I1726" s="57" t="s">
        <v>105</v>
      </c>
      <c r="J1726" s="57" t="s">
        <v>101</v>
      </c>
      <c r="K1726" s="57">
        <v>92.632999999999996</v>
      </c>
      <c r="L1726" s="57" t="s">
        <v>101</v>
      </c>
      <c r="M1726" s="57">
        <v>3.9630000000000001</v>
      </c>
      <c r="N1726" s="57">
        <v>3.9630000000000001</v>
      </c>
      <c r="O1726" s="53" t="s">
        <v>101</v>
      </c>
      <c r="P1726" s="57" t="s">
        <v>448</v>
      </c>
      <c r="Q1726" s="57" t="s">
        <v>874</v>
      </c>
      <c r="R1726" s="59" t="s">
        <v>589</v>
      </c>
    </row>
    <row r="1727" spans="1:18" x14ac:dyDescent="0.5">
      <c r="A1727" s="52" t="str">
        <f>"699585GV1"</f>
        <v>699585GV1</v>
      </c>
      <c r="B1727" s="53" t="s">
        <v>491</v>
      </c>
      <c r="C1727" s="53" t="s">
        <v>2081</v>
      </c>
      <c r="D1727" s="53" t="s">
        <v>447</v>
      </c>
      <c r="E1727" s="53">
        <v>3.375</v>
      </c>
      <c r="F1727" s="54">
        <v>49065</v>
      </c>
      <c r="G1727" s="54">
        <v>46143</v>
      </c>
      <c r="H1727" s="53" t="s">
        <v>105</v>
      </c>
      <c r="I1727" s="53" t="s">
        <v>628</v>
      </c>
      <c r="J1727" s="53" t="s">
        <v>101</v>
      </c>
      <c r="K1727" s="53">
        <v>98.093000000000004</v>
      </c>
      <c r="L1727" s="53" t="s">
        <v>101</v>
      </c>
      <c r="M1727" s="53">
        <v>3.62</v>
      </c>
      <c r="N1727" s="53">
        <v>3.62</v>
      </c>
      <c r="O1727" s="53" t="s">
        <v>101</v>
      </c>
      <c r="P1727" s="53" t="s">
        <v>448</v>
      </c>
      <c r="Q1727" s="53" t="s">
        <v>457</v>
      </c>
      <c r="R1727" s="55" t="s">
        <v>771</v>
      </c>
    </row>
    <row r="1728" spans="1:18" x14ac:dyDescent="0.5">
      <c r="A1728" s="56" t="str">
        <f>"771231FL6"</f>
        <v>771231FL6</v>
      </c>
      <c r="B1728" s="57" t="s">
        <v>491</v>
      </c>
      <c r="C1728" s="57" t="s">
        <v>2082</v>
      </c>
      <c r="D1728" s="53" t="s">
        <v>447</v>
      </c>
      <c r="E1728" s="57">
        <v>5</v>
      </c>
      <c r="F1728" s="58">
        <v>49065</v>
      </c>
      <c r="G1728" s="58">
        <v>48335</v>
      </c>
      <c r="H1728" s="57" t="s">
        <v>105</v>
      </c>
      <c r="I1728" s="57" t="s">
        <v>628</v>
      </c>
      <c r="J1728" s="57" t="s">
        <v>101</v>
      </c>
      <c r="K1728" s="57">
        <v>108.5</v>
      </c>
      <c r="L1728" s="57" t="s">
        <v>101</v>
      </c>
      <c r="M1728" s="57">
        <v>3.6469999999999998</v>
      </c>
      <c r="N1728" s="57">
        <v>3.8919999999999999</v>
      </c>
      <c r="O1728" s="53" t="s">
        <v>101</v>
      </c>
      <c r="P1728" s="57" t="s">
        <v>448</v>
      </c>
      <c r="Q1728" s="57" t="s">
        <v>457</v>
      </c>
      <c r="R1728" s="59" t="s">
        <v>771</v>
      </c>
    </row>
    <row r="1729" spans="1:18" x14ac:dyDescent="0.5">
      <c r="A1729" s="52" t="str">
        <f>"797547EW2"</f>
        <v>797547EW2</v>
      </c>
      <c r="B1729" s="53" t="s">
        <v>451</v>
      </c>
      <c r="C1729" s="53" t="s">
        <v>2083</v>
      </c>
      <c r="D1729" s="53" t="s">
        <v>447</v>
      </c>
      <c r="E1729" s="53">
        <v>3.375</v>
      </c>
      <c r="F1729" s="54">
        <v>49065</v>
      </c>
      <c r="G1729" s="54">
        <v>45778</v>
      </c>
      <c r="H1729" s="53" t="s">
        <v>105</v>
      </c>
      <c r="I1729" s="53" t="s">
        <v>104</v>
      </c>
      <c r="J1729" s="53" t="s">
        <v>101</v>
      </c>
      <c r="K1729" s="53">
        <v>97.528999999999996</v>
      </c>
      <c r="L1729" s="53" t="s">
        <v>101</v>
      </c>
      <c r="M1729" s="53">
        <v>3.694</v>
      </c>
      <c r="N1729" s="53">
        <v>3.694</v>
      </c>
      <c r="O1729" s="53" t="s">
        <v>101</v>
      </c>
      <c r="P1729" s="53" t="s">
        <v>448</v>
      </c>
      <c r="Q1729" s="53" t="s">
        <v>460</v>
      </c>
      <c r="R1729" s="55" t="s">
        <v>454</v>
      </c>
    </row>
    <row r="1730" spans="1:18" x14ac:dyDescent="0.5">
      <c r="A1730" s="56" t="str">
        <f>"836753LY7"</f>
        <v>836753LY7</v>
      </c>
      <c r="B1730" s="57" t="s">
        <v>499</v>
      </c>
      <c r="C1730" s="57" t="s">
        <v>2084</v>
      </c>
      <c r="D1730" s="53" t="s">
        <v>447</v>
      </c>
      <c r="E1730" s="57">
        <v>3</v>
      </c>
      <c r="F1730" s="58">
        <v>49065</v>
      </c>
      <c r="G1730" s="58">
        <v>46143</v>
      </c>
      <c r="H1730" s="57" t="s">
        <v>624</v>
      </c>
      <c r="I1730" s="57" t="s">
        <v>628</v>
      </c>
      <c r="J1730" s="57" t="s">
        <v>101</v>
      </c>
      <c r="K1730" s="57">
        <v>92.313000000000002</v>
      </c>
      <c r="L1730" s="57" t="s">
        <v>101</v>
      </c>
      <c r="M1730" s="57">
        <v>4.0060000000000002</v>
      </c>
      <c r="N1730" s="57">
        <v>4.0060000000000002</v>
      </c>
      <c r="O1730" s="53" t="s">
        <v>101</v>
      </c>
      <c r="P1730" s="57" t="s">
        <v>448</v>
      </c>
      <c r="Q1730" s="57" t="s">
        <v>2085</v>
      </c>
      <c r="R1730" s="59" t="s">
        <v>450</v>
      </c>
    </row>
    <row r="1731" spans="1:18" x14ac:dyDescent="0.5">
      <c r="A1731" s="52" t="str">
        <f>"8827567F0"</f>
        <v>8827567F0</v>
      </c>
      <c r="B1731" s="53" t="s">
        <v>451</v>
      </c>
      <c r="C1731" s="53" t="s">
        <v>2086</v>
      </c>
      <c r="D1731" s="53" t="s">
        <v>447</v>
      </c>
      <c r="E1731" s="53">
        <v>3</v>
      </c>
      <c r="F1731" s="54">
        <v>49065</v>
      </c>
      <c r="G1731" s="54">
        <v>46143</v>
      </c>
      <c r="H1731" s="53" t="s">
        <v>685</v>
      </c>
      <c r="I1731" s="53" t="s">
        <v>628</v>
      </c>
      <c r="J1731" s="53" t="s">
        <v>101</v>
      </c>
      <c r="K1731" s="53">
        <v>95.756</v>
      </c>
      <c r="L1731" s="53" t="s">
        <v>101</v>
      </c>
      <c r="M1731" s="53">
        <v>3.544</v>
      </c>
      <c r="N1731" s="53">
        <v>3.544</v>
      </c>
      <c r="O1731" s="53" t="s">
        <v>101</v>
      </c>
      <c r="P1731" s="53" t="s">
        <v>448</v>
      </c>
      <c r="Q1731" s="53" t="s">
        <v>485</v>
      </c>
      <c r="R1731" s="55" t="s">
        <v>771</v>
      </c>
    </row>
    <row r="1732" spans="1:18" x14ac:dyDescent="0.5">
      <c r="A1732" s="56" t="str">
        <f>"979149GJ4"</f>
        <v>979149GJ4</v>
      </c>
      <c r="B1732" s="57" t="s">
        <v>477</v>
      </c>
      <c r="C1732" s="57" t="s">
        <v>2087</v>
      </c>
      <c r="D1732" s="53" t="s">
        <v>447</v>
      </c>
      <c r="E1732" s="57">
        <v>3</v>
      </c>
      <c r="F1732" s="58">
        <v>49065</v>
      </c>
      <c r="G1732" s="58">
        <v>46508</v>
      </c>
      <c r="H1732" s="57" t="s">
        <v>105</v>
      </c>
      <c r="I1732" s="57" t="s">
        <v>616</v>
      </c>
      <c r="J1732" s="57" t="s">
        <v>101</v>
      </c>
      <c r="K1732" s="57">
        <v>95.576999999999998</v>
      </c>
      <c r="L1732" s="57" t="s">
        <v>101</v>
      </c>
      <c r="M1732" s="57">
        <v>3.5680000000000001</v>
      </c>
      <c r="N1732" s="57">
        <v>3.5680000000000001</v>
      </c>
      <c r="O1732" s="53" t="s">
        <v>101</v>
      </c>
      <c r="P1732" s="57" t="s">
        <v>448</v>
      </c>
      <c r="Q1732" s="57" t="s">
        <v>457</v>
      </c>
      <c r="R1732" s="59" t="s">
        <v>454</v>
      </c>
    </row>
    <row r="1733" spans="1:18" x14ac:dyDescent="0.5">
      <c r="A1733" s="52" t="str">
        <f>"041838DA8"</f>
        <v>041838DA8</v>
      </c>
      <c r="B1733" s="53" t="s">
        <v>451</v>
      </c>
      <c r="C1733" s="53" t="s">
        <v>2088</v>
      </c>
      <c r="D1733" s="53" t="s">
        <v>447</v>
      </c>
      <c r="E1733" s="53">
        <v>3</v>
      </c>
      <c r="F1733" s="54">
        <v>49096</v>
      </c>
      <c r="G1733" s="54">
        <v>46539</v>
      </c>
      <c r="H1733" s="53" t="s">
        <v>540</v>
      </c>
      <c r="I1733" s="53" t="s">
        <v>104</v>
      </c>
      <c r="J1733" s="53" t="s">
        <v>101</v>
      </c>
      <c r="K1733" s="53">
        <v>92.613</v>
      </c>
      <c r="L1733" s="53" t="s">
        <v>101</v>
      </c>
      <c r="M1733" s="53">
        <v>3.9580000000000002</v>
      </c>
      <c r="N1733" s="53">
        <v>3.9580000000000002</v>
      </c>
      <c r="O1733" s="53" t="s">
        <v>101</v>
      </c>
      <c r="P1733" s="53" t="s">
        <v>448</v>
      </c>
      <c r="Q1733" s="53" t="s">
        <v>460</v>
      </c>
      <c r="R1733" s="55" t="s">
        <v>504</v>
      </c>
    </row>
    <row r="1734" spans="1:18" x14ac:dyDescent="0.5">
      <c r="A1734" s="56" t="str">
        <f>"13376TBQ7"</f>
        <v>13376TBQ7</v>
      </c>
      <c r="B1734" s="57" t="s">
        <v>451</v>
      </c>
      <c r="C1734" s="57" t="s">
        <v>2089</v>
      </c>
      <c r="D1734" s="53" t="s">
        <v>447</v>
      </c>
      <c r="E1734" s="57">
        <v>3.625</v>
      </c>
      <c r="F1734" s="58">
        <v>49096</v>
      </c>
      <c r="G1734" s="58">
        <v>46539</v>
      </c>
      <c r="H1734" s="57" t="s">
        <v>105</v>
      </c>
      <c r="I1734" s="57" t="s">
        <v>628</v>
      </c>
      <c r="J1734" s="57" t="s">
        <v>101</v>
      </c>
      <c r="K1734" s="57">
        <v>97.24</v>
      </c>
      <c r="L1734" s="57" t="s">
        <v>101</v>
      </c>
      <c r="M1734" s="57">
        <v>3.9830000000000001</v>
      </c>
      <c r="N1734" s="57">
        <v>3.9830000000000001</v>
      </c>
      <c r="O1734" s="53" t="s">
        <v>101</v>
      </c>
      <c r="P1734" s="57" t="s">
        <v>448</v>
      </c>
      <c r="Q1734" s="57" t="s">
        <v>488</v>
      </c>
      <c r="R1734" s="59" t="s">
        <v>771</v>
      </c>
    </row>
    <row r="1735" spans="1:18" x14ac:dyDescent="0.5">
      <c r="A1735" s="52" t="str">
        <f>"247307HL8"</f>
        <v>247307HL8</v>
      </c>
      <c r="B1735" s="53" t="s">
        <v>499</v>
      </c>
      <c r="C1735" s="53" t="s">
        <v>2090</v>
      </c>
      <c r="D1735" s="53" t="s">
        <v>447</v>
      </c>
      <c r="E1735" s="53">
        <v>3.375</v>
      </c>
      <c r="F1735" s="54">
        <v>49096</v>
      </c>
      <c r="G1735" s="54">
        <v>45809</v>
      </c>
      <c r="H1735" s="53" t="s">
        <v>613</v>
      </c>
      <c r="I1735" s="53" t="s">
        <v>616</v>
      </c>
      <c r="J1735" s="53" t="s">
        <v>101</v>
      </c>
      <c r="K1735" s="53">
        <v>98.37</v>
      </c>
      <c r="L1735" s="53" t="s">
        <v>101</v>
      </c>
      <c r="M1735" s="53">
        <v>3.5819999999999999</v>
      </c>
      <c r="N1735" s="53">
        <v>3.5819999999999999</v>
      </c>
      <c r="O1735" s="53" t="s">
        <v>101</v>
      </c>
      <c r="P1735" s="53" t="s">
        <v>448</v>
      </c>
      <c r="Q1735" s="53" t="s">
        <v>479</v>
      </c>
      <c r="R1735" s="55" t="s">
        <v>504</v>
      </c>
    </row>
    <row r="1736" spans="1:18" x14ac:dyDescent="0.5">
      <c r="A1736" s="56" t="str">
        <f>"34153QLR5"</f>
        <v>34153QLR5</v>
      </c>
      <c r="B1736" s="57" t="s">
        <v>499</v>
      </c>
      <c r="C1736" s="57" t="s">
        <v>2091</v>
      </c>
      <c r="D1736" s="53" t="s">
        <v>447</v>
      </c>
      <c r="E1736" s="57">
        <v>3</v>
      </c>
      <c r="F1736" s="58">
        <v>49096</v>
      </c>
      <c r="G1736" s="58">
        <v>46539</v>
      </c>
      <c r="H1736" s="57" t="s">
        <v>104</v>
      </c>
      <c r="I1736" s="57" t="s">
        <v>104</v>
      </c>
      <c r="J1736" s="57" t="s">
        <v>101</v>
      </c>
      <c r="K1736" s="57">
        <v>95.162000000000006</v>
      </c>
      <c r="L1736" s="57" t="s">
        <v>101</v>
      </c>
      <c r="M1736" s="57">
        <v>3.6179999999999999</v>
      </c>
      <c r="N1736" s="57">
        <v>3.6179999999999999</v>
      </c>
      <c r="O1736" s="53" t="s">
        <v>101</v>
      </c>
      <c r="P1736" s="57" t="s">
        <v>448</v>
      </c>
      <c r="Q1736" s="57" t="s">
        <v>567</v>
      </c>
      <c r="R1736" s="59" t="s">
        <v>504</v>
      </c>
    </row>
    <row r="1737" spans="1:18" x14ac:dyDescent="0.5">
      <c r="A1737" s="52" t="str">
        <f>"576573HA0"</f>
        <v>576573HA0</v>
      </c>
      <c r="B1737" s="53" t="s">
        <v>477</v>
      </c>
      <c r="C1737" s="53" t="s">
        <v>2092</v>
      </c>
      <c r="D1737" s="53" t="s">
        <v>447</v>
      </c>
      <c r="E1737" s="53">
        <v>2.25</v>
      </c>
      <c r="F1737" s="54">
        <v>49096</v>
      </c>
      <c r="G1737" s="54">
        <v>46905</v>
      </c>
      <c r="H1737" s="53" t="s">
        <v>613</v>
      </c>
      <c r="I1737" s="53" t="s">
        <v>105</v>
      </c>
      <c r="J1737" s="53" t="s">
        <v>101</v>
      </c>
      <c r="K1737" s="53">
        <v>84.082999999999998</v>
      </c>
      <c r="L1737" s="53" t="s">
        <v>101</v>
      </c>
      <c r="M1737" s="53">
        <v>4.3520000000000003</v>
      </c>
      <c r="N1737" s="53">
        <v>4.3520000000000003</v>
      </c>
      <c r="O1737" s="53" t="s">
        <v>101</v>
      </c>
      <c r="P1737" s="53" t="s">
        <v>448</v>
      </c>
      <c r="Q1737" s="53" t="s">
        <v>503</v>
      </c>
      <c r="R1737" s="55" t="s">
        <v>454</v>
      </c>
    </row>
    <row r="1738" spans="1:18" x14ac:dyDescent="0.5">
      <c r="A1738" s="56" t="str">
        <f>"611312MR7"</f>
        <v>611312MR7</v>
      </c>
      <c r="B1738" s="57" t="s">
        <v>477</v>
      </c>
      <c r="C1738" s="57" t="s">
        <v>2093</v>
      </c>
      <c r="D1738" s="53" t="s">
        <v>447</v>
      </c>
      <c r="E1738" s="57">
        <v>3</v>
      </c>
      <c r="F1738" s="58">
        <v>49096</v>
      </c>
      <c r="G1738" s="58">
        <v>46174</v>
      </c>
      <c r="H1738" s="57" t="s">
        <v>105</v>
      </c>
      <c r="I1738" s="57" t="s">
        <v>509</v>
      </c>
      <c r="J1738" s="57" t="s">
        <v>101</v>
      </c>
      <c r="K1738" s="57">
        <v>94.795000000000002</v>
      </c>
      <c r="L1738" s="57" t="s">
        <v>101</v>
      </c>
      <c r="M1738" s="57">
        <v>3.6659999999999999</v>
      </c>
      <c r="N1738" s="57">
        <v>3.6659999999999999</v>
      </c>
      <c r="O1738" s="53" t="s">
        <v>101</v>
      </c>
      <c r="P1738" s="57" t="s">
        <v>448</v>
      </c>
      <c r="Q1738" s="57" t="s">
        <v>457</v>
      </c>
      <c r="R1738" s="59" t="s">
        <v>454</v>
      </c>
    </row>
    <row r="1739" spans="1:18" x14ac:dyDescent="0.5">
      <c r="A1739" s="52" t="str">
        <f>"646039XH5"</f>
        <v>646039XH5</v>
      </c>
      <c r="B1739" s="53" t="s">
        <v>477</v>
      </c>
      <c r="C1739" s="53" t="s">
        <v>2094</v>
      </c>
      <c r="D1739" s="53" t="s">
        <v>447</v>
      </c>
      <c r="E1739" s="53">
        <v>2.25</v>
      </c>
      <c r="F1739" s="54">
        <v>49096</v>
      </c>
      <c r="G1739" s="54">
        <v>46722</v>
      </c>
      <c r="H1739" s="53" t="s">
        <v>641</v>
      </c>
      <c r="I1739" s="53" t="s">
        <v>611</v>
      </c>
      <c r="J1739" s="53" t="s">
        <v>101</v>
      </c>
      <c r="K1739" s="53">
        <v>86.119</v>
      </c>
      <c r="L1739" s="53" t="s">
        <v>101</v>
      </c>
      <c r="M1739" s="53">
        <v>4.0590000000000002</v>
      </c>
      <c r="N1739" s="53">
        <v>4.0590000000000002</v>
      </c>
      <c r="O1739" s="53" t="s">
        <v>101</v>
      </c>
      <c r="P1739" s="53" t="s">
        <v>448</v>
      </c>
      <c r="Q1739" s="53" t="s">
        <v>2095</v>
      </c>
      <c r="R1739" s="55" t="s">
        <v>454</v>
      </c>
    </row>
    <row r="1740" spans="1:18" x14ac:dyDescent="0.5">
      <c r="A1740" s="56" t="str">
        <f>"646039YD3"</f>
        <v>646039YD3</v>
      </c>
      <c r="B1740" s="57" t="s">
        <v>477</v>
      </c>
      <c r="C1740" s="57" t="s">
        <v>2094</v>
      </c>
      <c r="D1740" s="53" t="s">
        <v>447</v>
      </c>
      <c r="E1740" s="57">
        <v>2.25</v>
      </c>
      <c r="F1740" s="58">
        <v>49096</v>
      </c>
      <c r="G1740" s="58">
        <v>46722</v>
      </c>
      <c r="H1740" s="57" t="s">
        <v>641</v>
      </c>
      <c r="I1740" s="57" t="s">
        <v>628</v>
      </c>
      <c r="J1740" s="57" t="s">
        <v>101</v>
      </c>
      <c r="K1740" s="57">
        <v>86.582999999999998</v>
      </c>
      <c r="L1740" s="57" t="s">
        <v>101</v>
      </c>
      <c r="M1740" s="57">
        <v>3.9929999999999999</v>
      </c>
      <c r="N1740" s="57">
        <v>3.9929999999999999</v>
      </c>
      <c r="O1740" s="53" t="s">
        <v>101</v>
      </c>
      <c r="P1740" s="57" t="s">
        <v>448</v>
      </c>
      <c r="Q1740" s="57" t="s">
        <v>666</v>
      </c>
      <c r="R1740" s="59" t="s">
        <v>630</v>
      </c>
    </row>
    <row r="1741" spans="1:18" x14ac:dyDescent="0.5">
      <c r="A1741" s="52" t="str">
        <f>"66283ADT0"</f>
        <v>66283ADT0</v>
      </c>
      <c r="B1741" s="53" t="s">
        <v>451</v>
      </c>
      <c r="C1741" s="53" t="s">
        <v>2096</v>
      </c>
      <c r="D1741" s="53" t="s">
        <v>447</v>
      </c>
      <c r="E1741" s="53">
        <v>3.5</v>
      </c>
      <c r="F1741" s="54">
        <v>49096</v>
      </c>
      <c r="G1741" s="54">
        <v>45809</v>
      </c>
      <c r="H1741" s="53" t="s">
        <v>613</v>
      </c>
      <c r="I1741" s="53" t="s">
        <v>616</v>
      </c>
      <c r="J1741" s="53" t="s">
        <v>101</v>
      </c>
      <c r="K1741" s="53">
        <v>97.05</v>
      </c>
      <c r="L1741" s="53" t="s">
        <v>101</v>
      </c>
      <c r="M1741" s="53">
        <v>3.8809999999999998</v>
      </c>
      <c r="N1741" s="53">
        <v>3.8809999999999998</v>
      </c>
      <c r="O1741" s="53" t="s">
        <v>101</v>
      </c>
      <c r="P1741" s="53" t="s">
        <v>448</v>
      </c>
      <c r="Q1741" s="53" t="s">
        <v>457</v>
      </c>
      <c r="R1741" s="55" t="s">
        <v>504</v>
      </c>
    </row>
    <row r="1742" spans="1:18" x14ac:dyDescent="0.5">
      <c r="A1742" s="56" t="str">
        <f>"662842NB5"</f>
        <v>662842NB5</v>
      </c>
      <c r="B1742" s="57" t="s">
        <v>451</v>
      </c>
      <c r="C1742" s="57" t="s">
        <v>2097</v>
      </c>
      <c r="D1742" s="53" t="s">
        <v>447</v>
      </c>
      <c r="E1742" s="57">
        <v>3.25</v>
      </c>
      <c r="F1742" s="58">
        <v>49096</v>
      </c>
      <c r="G1742" s="58">
        <v>46539</v>
      </c>
      <c r="H1742" s="57" t="s">
        <v>540</v>
      </c>
      <c r="I1742" s="57" t="s">
        <v>104</v>
      </c>
      <c r="J1742" s="57" t="s">
        <v>101</v>
      </c>
      <c r="K1742" s="57">
        <v>97.944999999999993</v>
      </c>
      <c r="L1742" s="57" t="s">
        <v>101</v>
      </c>
      <c r="M1742" s="57">
        <v>3.5110000000000001</v>
      </c>
      <c r="N1742" s="57">
        <v>3.5110000000000001</v>
      </c>
      <c r="O1742" s="53" t="s">
        <v>101</v>
      </c>
      <c r="P1742" s="57" t="s">
        <v>448</v>
      </c>
      <c r="Q1742" s="57" t="s">
        <v>527</v>
      </c>
      <c r="R1742" s="59" t="s">
        <v>504</v>
      </c>
    </row>
    <row r="1743" spans="1:18" x14ac:dyDescent="0.5">
      <c r="A1743" s="52" t="str">
        <f>"73412PDJ9"</f>
        <v>73412PDJ9</v>
      </c>
      <c r="B1743" s="53" t="s">
        <v>451</v>
      </c>
      <c r="C1743" s="53" t="s">
        <v>2098</v>
      </c>
      <c r="D1743" s="53" t="s">
        <v>447</v>
      </c>
      <c r="E1743" s="53">
        <v>3</v>
      </c>
      <c r="F1743" s="54">
        <v>49096</v>
      </c>
      <c r="G1743" s="54">
        <v>47270</v>
      </c>
      <c r="H1743" s="53" t="s">
        <v>105</v>
      </c>
      <c r="I1743" s="53" t="s">
        <v>658</v>
      </c>
      <c r="J1743" s="53" t="s">
        <v>101</v>
      </c>
      <c r="K1743" s="53">
        <v>94.438999999999993</v>
      </c>
      <c r="L1743" s="53" t="s">
        <v>101</v>
      </c>
      <c r="M1743" s="53">
        <v>3.7130000000000001</v>
      </c>
      <c r="N1743" s="53">
        <v>3.7130000000000001</v>
      </c>
      <c r="O1743" s="53" t="s">
        <v>101</v>
      </c>
      <c r="P1743" s="53" t="s">
        <v>448</v>
      </c>
      <c r="Q1743" s="53" t="s">
        <v>790</v>
      </c>
      <c r="R1743" s="55" t="s">
        <v>504</v>
      </c>
    </row>
    <row r="1744" spans="1:18" x14ac:dyDescent="0.5">
      <c r="A1744" s="56" t="str">
        <f>"74442CCU6"</f>
        <v>74442CCU6</v>
      </c>
      <c r="B1744" s="57" t="s">
        <v>496</v>
      </c>
      <c r="C1744" s="57" t="s">
        <v>2099</v>
      </c>
      <c r="D1744" s="53" t="s">
        <v>447</v>
      </c>
      <c r="E1744" s="57">
        <v>5</v>
      </c>
      <c r="F1744" s="58">
        <v>49096</v>
      </c>
      <c r="G1744" s="58">
        <v>47635</v>
      </c>
      <c r="H1744" s="57" t="s">
        <v>105</v>
      </c>
      <c r="I1744" s="57" t="s">
        <v>611</v>
      </c>
      <c r="J1744" s="57" t="s">
        <v>101</v>
      </c>
      <c r="K1744" s="57">
        <v>106.812</v>
      </c>
      <c r="L1744" s="57" t="s">
        <v>101</v>
      </c>
      <c r="M1744" s="57">
        <v>3.573</v>
      </c>
      <c r="N1744" s="57">
        <v>4.109</v>
      </c>
      <c r="O1744" s="53" t="s">
        <v>101</v>
      </c>
      <c r="P1744" s="57" t="s">
        <v>448</v>
      </c>
      <c r="Q1744" s="57" t="s">
        <v>453</v>
      </c>
      <c r="R1744" s="59" t="s">
        <v>450</v>
      </c>
    </row>
    <row r="1745" spans="1:18" x14ac:dyDescent="0.5">
      <c r="A1745" s="52" t="str">
        <f>"758449RN4"</f>
        <v>758449RN4</v>
      </c>
      <c r="B1745" s="53" t="s">
        <v>499</v>
      </c>
      <c r="C1745" s="53" t="s">
        <v>2100</v>
      </c>
      <c r="D1745" s="53" t="s">
        <v>447</v>
      </c>
      <c r="E1745" s="53">
        <v>3</v>
      </c>
      <c r="F1745" s="54">
        <v>49096</v>
      </c>
      <c r="G1745" s="54">
        <v>46539</v>
      </c>
      <c r="H1745" s="53" t="s">
        <v>624</v>
      </c>
      <c r="I1745" s="53" t="s">
        <v>616</v>
      </c>
      <c r="J1745" s="53" t="s">
        <v>101</v>
      </c>
      <c r="K1745" s="53">
        <v>93.396000000000001</v>
      </c>
      <c r="L1745" s="53" t="s">
        <v>101</v>
      </c>
      <c r="M1745" s="53">
        <v>3.8519999999999999</v>
      </c>
      <c r="N1745" s="53">
        <v>3.8519999999999999</v>
      </c>
      <c r="O1745" s="53" t="s">
        <v>101</v>
      </c>
      <c r="P1745" s="53" t="s">
        <v>448</v>
      </c>
      <c r="Q1745" s="53" t="s">
        <v>571</v>
      </c>
      <c r="R1745" s="55" t="s">
        <v>454</v>
      </c>
    </row>
    <row r="1746" spans="1:18" x14ac:dyDescent="0.5">
      <c r="A1746" s="56" t="str">
        <f>"888808HK1"</f>
        <v>888808HK1</v>
      </c>
      <c r="B1746" s="57" t="s">
        <v>477</v>
      </c>
      <c r="C1746" s="57" t="s">
        <v>2101</v>
      </c>
      <c r="D1746" s="53" t="s">
        <v>447</v>
      </c>
      <c r="E1746" s="57">
        <v>5</v>
      </c>
      <c r="F1746" s="58">
        <v>49096</v>
      </c>
      <c r="G1746" s="58">
        <v>46905</v>
      </c>
      <c r="H1746" s="57" t="s">
        <v>105</v>
      </c>
      <c r="I1746" s="57" t="s">
        <v>713</v>
      </c>
      <c r="J1746" s="57" t="s">
        <v>101</v>
      </c>
      <c r="K1746" s="57">
        <v>103.824</v>
      </c>
      <c r="L1746" s="57" t="s">
        <v>101</v>
      </c>
      <c r="M1746" s="57">
        <v>3.75</v>
      </c>
      <c r="N1746" s="57">
        <v>4.4909999999999997</v>
      </c>
      <c r="O1746" s="53" t="s">
        <v>101</v>
      </c>
      <c r="P1746" s="57" t="s">
        <v>448</v>
      </c>
      <c r="Q1746" s="57" t="s">
        <v>1433</v>
      </c>
      <c r="R1746" s="59" t="s">
        <v>450</v>
      </c>
    </row>
    <row r="1747" spans="1:18" x14ac:dyDescent="0.5">
      <c r="A1747" s="52" t="str">
        <f>"088281D31"</f>
        <v>088281D31</v>
      </c>
      <c r="B1747" s="53" t="s">
        <v>451</v>
      </c>
      <c r="C1747" s="53" t="s">
        <v>2102</v>
      </c>
      <c r="D1747" s="53" t="s">
        <v>447</v>
      </c>
      <c r="E1747" s="53">
        <v>3</v>
      </c>
      <c r="F1747" s="54">
        <v>49110</v>
      </c>
      <c r="G1747" s="54">
        <v>46188</v>
      </c>
      <c r="H1747" s="53" t="s">
        <v>104</v>
      </c>
      <c r="I1747" s="53" t="s">
        <v>104</v>
      </c>
      <c r="J1747" s="53" t="s">
        <v>101</v>
      </c>
      <c r="K1747" s="53">
        <v>93.33</v>
      </c>
      <c r="L1747" s="53" t="s">
        <v>101</v>
      </c>
      <c r="M1747" s="53">
        <v>3.8580000000000001</v>
      </c>
      <c r="N1747" s="53">
        <v>3.8580000000000001</v>
      </c>
      <c r="O1747" s="53" t="s">
        <v>101</v>
      </c>
      <c r="P1747" s="53" t="s">
        <v>448</v>
      </c>
      <c r="Q1747" s="53" t="s">
        <v>488</v>
      </c>
      <c r="R1747" s="55" t="s">
        <v>454</v>
      </c>
    </row>
    <row r="1748" spans="1:18" x14ac:dyDescent="0.5">
      <c r="A1748" s="56" t="str">
        <f>"452227KF7"</f>
        <v>452227KF7</v>
      </c>
      <c r="B1748" s="57" t="s">
        <v>491</v>
      </c>
      <c r="C1748" s="57" t="s">
        <v>2103</v>
      </c>
      <c r="D1748" s="53" t="s">
        <v>447</v>
      </c>
      <c r="E1748" s="57">
        <v>3</v>
      </c>
      <c r="F1748" s="58">
        <v>49110</v>
      </c>
      <c r="G1748" s="58">
        <v>46188</v>
      </c>
      <c r="H1748" s="57" t="s">
        <v>105</v>
      </c>
      <c r="I1748" s="57" t="s">
        <v>611</v>
      </c>
      <c r="J1748" s="57" t="s">
        <v>101</v>
      </c>
      <c r="K1748" s="57">
        <v>90.495000000000005</v>
      </c>
      <c r="L1748" s="57" t="s">
        <v>101</v>
      </c>
      <c r="M1748" s="57">
        <v>4.2439999999999998</v>
      </c>
      <c r="N1748" s="57">
        <v>4.2439999999999998</v>
      </c>
      <c r="O1748" s="53" t="s">
        <v>101</v>
      </c>
      <c r="P1748" s="57" t="s">
        <v>448</v>
      </c>
      <c r="Q1748" s="57" t="s">
        <v>488</v>
      </c>
      <c r="R1748" s="59" t="s">
        <v>504</v>
      </c>
    </row>
    <row r="1749" spans="1:18" x14ac:dyDescent="0.5">
      <c r="A1749" s="52" t="str">
        <f>"6060203K9"</f>
        <v>6060203K9</v>
      </c>
      <c r="B1749" s="53" t="s">
        <v>451</v>
      </c>
      <c r="C1749" s="53" t="s">
        <v>2104</v>
      </c>
      <c r="D1749" s="53" t="s">
        <v>447</v>
      </c>
      <c r="E1749" s="53">
        <v>3.125</v>
      </c>
      <c r="F1749" s="54">
        <v>49110</v>
      </c>
      <c r="G1749" s="54">
        <v>46188</v>
      </c>
      <c r="H1749" s="53" t="s">
        <v>540</v>
      </c>
      <c r="I1749" s="53" t="s">
        <v>105</v>
      </c>
      <c r="J1749" s="53" t="s">
        <v>101</v>
      </c>
      <c r="K1749" s="53">
        <v>95.599000000000004</v>
      </c>
      <c r="L1749" s="53" t="s">
        <v>101</v>
      </c>
      <c r="M1749" s="53">
        <v>3.6869999999999998</v>
      </c>
      <c r="N1749" s="53">
        <v>3.6869999999999998</v>
      </c>
      <c r="O1749" s="53" t="s">
        <v>101</v>
      </c>
      <c r="P1749" s="53" t="s">
        <v>448</v>
      </c>
      <c r="Q1749" s="53" t="s">
        <v>517</v>
      </c>
      <c r="R1749" s="55" t="s">
        <v>454</v>
      </c>
    </row>
    <row r="1750" spans="1:18" x14ac:dyDescent="0.5">
      <c r="A1750" s="56" t="str">
        <f>"794101UQ6"</f>
        <v>794101UQ6</v>
      </c>
      <c r="B1750" s="57" t="s">
        <v>477</v>
      </c>
      <c r="C1750" s="57" t="s">
        <v>2105</v>
      </c>
      <c r="D1750" s="53" t="s">
        <v>447</v>
      </c>
      <c r="E1750" s="57">
        <v>2.5</v>
      </c>
      <c r="F1750" s="58">
        <v>49110</v>
      </c>
      <c r="G1750" s="58">
        <v>46553</v>
      </c>
      <c r="H1750" s="57" t="s">
        <v>105</v>
      </c>
      <c r="I1750" s="57" t="s">
        <v>616</v>
      </c>
      <c r="J1750" s="57" t="s">
        <v>101</v>
      </c>
      <c r="K1750" s="57">
        <v>85.83</v>
      </c>
      <c r="L1750" s="57" t="s">
        <v>101</v>
      </c>
      <c r="M1750" s="57">
        <v>4.3659999999999997</v>
      </c>
      <c r="N1750" s="57">
        <v>4.3659999999999997</v>
      </c>
      <c r="O1750" s="53" t="s">
        <v>101</v>
      </c>
      <c r="P1750" s="57" t="s">
        <v>448</v>
      </c>
      <c r="Q1750" s="57" t="s">
        <v>538</v>
      </c>
      <c r="R1750" s="59" t="s">
        <v>482</v>
      </c>
    </row>
    <row r="1751" spans="1:18" x14ac:dyDescent="0.5">
      <c r="A1751" s="52" t="str">
        <f>"117569JF1"</f>
        <v>117569JF1</v>
      </c>
      <c r="B1751" s="53" t="s">
        <v>451</v>
      </c>
      <c r="C1751" s="53" t="s">
        <v>2106</v>
      </c>
      <c r="D1751" s="53" t="s">
        <v>447</v>
      </c>
      <c r="E1751" s="53">
        <v>3.125</v>
      </c>
      <c r="F1751" s="54">
        <v>49126</v>
      </c>
      <c r="G1751" s="54">
        <v>46569</v>
      </c>
      <c r="H1751" s="53" t="s">
        <v>105</v>
      </c>
      <c r="I1751" s="53" t="s">
        <v>628</v>
      </c>
      <c r="J1751" s="53" t="s">
        <v>101</v>
      </c>
      <c r="K1751" s="53">
        <v>96.299000000000007</v>
      </c>
      <c r="L1751" s="53" t="s">
        <v>101</v>
      </c>
      <c r="M1751" s="53">
        <v>3.593</v>
      </c>
      <c r="N1751" s="53">
        <v>3.593</v>
      </c>
      <c r="O1751" s="53" t="s">
        <v>101</v>
      </c>
      <c r="P1751" s="53" t="s">
        <v>448</v>
      </c>
      <c r="Q1751" s="53" t="s">
        <v>460</v>
      </c>
      <c r="R1751" s="55" t="s">
        <v>771</v>
      </c>
    </row>
    <row r="1752" spans="1:18" x14ac:dyDescent="0.5">
      <c r="A1752" s="56" t="str">
        <f>"153476CV6"</f>
        <v>153476CV6</v>
      </c>
      <c r="B1752" s="57" t="s">
        <v>499</v>
      </c>
      <c r="C1752" s="57" t="s">
        <v>2107</v>
      </c>
      <c r="D1752" s="53" t="s">
        <v>447</v>
      </c>
      <c r="E1752" s="57">
        <v>3</v>
      </c>
      <c r="F1752" s="58">
        <v>49126</v>
      </c>
      <c r="G1752" s="58">
        <v>46569</v>
      </c>
      <c r="H1752" s="57" t="s">
        <v>641</v>
      </c>
      <c r="I1752" s="57" t="s">
        <v>628</v>
      </c>
      <c r="J1752" s="57" t="s">
        <v>101</v>
      </c>
      <c r="K1752" s="57">
        <v>94.36</v>
      </c>
      <c r="L1752" s="57" t="s">
        <v>101</v>
      </c>
      <c r="M1752" s="57">
        <v>3.718</v>
      </c>
      <c r="N1752" s="57">
        <v>3.718</v>
      </c>
      <c r="O1752" s="53" t="s">
        <v>101</v>
      </c>
      <c r="P1752" s="57" t="s">
        <v>448</v>
      </c>
      <c r="Q1752" s="57" t="s">
        <v>2108</v>
      </c>
      <c r="R1752" s="59" t="s">
        <v>820</v>
      </c>
    </row>
    <row r="1753" spans="1:18" x14ac:dyDescent="0.5">
      <c r="A1753" s="52" t="str">
        <f>"25812LAQ1"</f>
        <v>25812LAQ1</v>
      </c>
      <c r="B1753" s="53" t="s">
        <v>499</v>
      </c>
      <c r="C1753" s="53" t="s">
        <v>2109</v>
      </c>
      <c r="D1753" s="53" t="s">
        <v>447</v>
      </c>
      <c r="E1753" s="53">
        <v>3</v>
      </c>
      <c r="F1753" s="54">
        <v>49126</v>
      </c>
      <c r="G1753" s="54">
        <v>47300</v>
      </c>
      <c r="H1753" s="53" t="s">
        <v>105</v>
      </c>
      <c r="I1753" s="53" t="s">
        <v>509</v>
      </c>
      <c r="J1753" s="53" t="s">
        <v>101</v>
      </c>
      <c r="K1753" s="53">
        <v>93.584999999999994</v>
      </c>
      <c r="L1753" s="53" t="s">
        <v>101</v>
      </c>
      <c r="M1753" s="53">
        <v>3.8210000000000002</v>
      </c>
      <c r="N1753" s="53">
        <v>3.8210000000000002</v>
      </c>
      <c r="O1753" s="53" t="s">
        <v>101</v>
      </c>
      <c r="P1753" s="53" t="s">
        <v>448</v>
      </c>
      <c r="Q1753" s="53" t="s">
        <v>485</v>
      </c>
      <c r="R1753" s="55" t="s">
        <v>454</v>
      </c>
    </row>
    <row r="1754" spans="1:18" x14ac:dyDescent="0.5">
      <c r="A1754" s="56" t="str">
        <f>"31200CCD6"</f>
        <v>31200CCD6</v>
      </c>
      <c r="B1754" s="57" t="s">
        <v>499</v>
      </c>
      <c r="C1754" s="57" t="s">
        <v>2110</v>
      </c>
      <c r="D1754" s="53" t="s">
        <v>447</v>
      </c>
      <c r="E1754" s="57">
        <v>5</v>
      </c>
      <c r="F1754" s="58">
        <v>49126</v>
      </c>
      <c r="G1754" s="58">
        <v>47300</v>
      </c>
      <c r="H1754" s="57" t="s">
        <v>641</v>
      </c>
      <c r="I1754" s="57" t="s">
        <v>105</v>
      </c>
      <c r="J1754" s="57" t="s">
        <v>101</v>
      </c>
      <c r="K1754" s="57">
        <v>105.723</v>
      </c>
      <c r="L1754" s="57" t="s">
        <v>101</v>
      </c>
      <c r="M1754" s="57">
        <v>3.573</v>
      </c>
      <c r="N1754" s="57">
        <v>4.2519999999999998</v>
      </c>
      <c r="O1754" s="53" t="s">
        <v>101</v>
      </c>
      <c r="P1754" s="57" t="s">
        <v>448</v>
      </c>
      <c r="Q1754" s="57" t="s">
        <v>571</v>
      </c>
      <c r="R1754" s="59" t="s">
        <v>589</v>
      </c>
    </row>
    <row r="1755" spans="1:18" x14ac:dyDescent="0.5">
      <c r="A1755" s="52" t="str">
        <f>"34157WAJ8"</f>
        <v>34157WAJ8</v>
      </c>
      <c r="B1755" s="53" t="s">
        <v>499</v>
      </c>
      <c r="C1755" s="53" t="s">
        <v>2111</v>
      </c>
      <c r="D1755" s="53" t="s">
        <v>447</v>
      </c>
      <c r="E1755" s="53">
        <v>5</v>
      </c>
      <c r="F1755" s="54">
        <v>49126</v>
      </c>
      <c r="G1755" s="54">
        <v>48761</v>
      </c>
      <c r="H1755" s="53" t="s">
        <v>105</v>
      </c>
      <c r="I1755" s="53" t="s">
        <v>628</v>
      </c>
      <c r="J1755" s="53" t="s">
        <v>101</v>
      </c>
      <c r="K1755" s="53">
        <v>110.536</v>
      </c>
      <c r="L1755" s="53" t="s">
        <v>101</v>
      </c>
      <c r="M1755" s="53">
        <v>3.5339999999999998</v>
      </c>
      <c r="N1755" s="53">
        <v>3.661</v>
      </c>
      <c r="O1755" s="53" t="s">
        <v>101</v>
      </c>
      <c r="P1755" s="53" t="s">
        <v>448</v>
      </c>
      <c r="Q1755" s="53" t="s">
        <v>666</v>
      </c>
      <c r="R1755" s="55" t="s">
        <v>771</v>
      </c>
    </row>
    <row r="1756" spans="1:18" x14ac:dyDescent="0.5">
      <c r="A1756" s="56" t="str">
        <f>"341150V31"</f>
        <v>341150V31</v>
      </c>
      <c r="B1756" s="57" t="s">
        <v>499</v>
      </c>
      <c r="C1756" s="57" t="s">
        <v>2112</v>
      </c>
      <c r="D1756" s="53" t="s">
        <v>447</v>
      </c>
      <c r="E1756" s="57">
        <v>3</v>
      </c>
      <c r="F1756" s="58">
        <v>49126</v>
      </c>
      <c r="G1756" s="58">
        <v>46204</v>
      </c>
      <c r="H1756" s="57" t="s">
        <v>104</v>
      </c>
      <c r="I1756" s="57" t="s">
        <v>104</v>
      </c>
      <c r="J1756" s="57" t="s">
        <v>101</v>
      </c>
      <c r="K1756" s="57">
        <v>95.25</v>
      </c>
      <c r="L1756" s="57" t="s">
        <v>101</v>
      </c>
      <c r="M1756" s="57">
        <v>3.601</v>
      </c>
      <c r="N1756" s="57">
        <v>3.601</v>
      </c>
      <c r="O1756" s="53" t="s">
        <v>101</v>
      </c>
      <c r="P1756" s="57" t="s">
        <v>448</v>
      </c>
      <c r="Q1756" s="57" t="s">
        <v>503</v>
      </c>
      <c r="R1756" s="59" t="s">
        <v>504</v>
      </c>
    </row>
    <row r="1757" spans="1:18" x14ac:dyDescent="0.5">
      <c r="A1757" s="52" t="str">
        <f>"34160KBE9"</f>
        <v>34160KBE9</v>
      </c>
      <c r="B1757" s="53" t="s">
        <v>499</v>
      </c>
      <c r="C1757" s="53" t="s">
        <v>2113</v>
      </c>
      <c r="D1757" s="53" t="s">
        <v>447</v>
      </c>
      <c r="E1757" s="53">
        <v>3</v>
      </c>
      <c r="F1757" s="54">
        <v>49126</v>
      </c>
      <c r="G1757" s="54">
        <v>47665</v>
      </c>
      <c r="H1757" s="53" t="s">
        <v>540</v>
      </c>
      <c r="I1757" s="53" t="s">
        <v>509</v>
      </c>
      <c r="J1757" s="53" t="s">
        <v>101</v>
      </c>
      <c r="K1757" s="53">
        <v>95.994</v>
      </c>
      <c r="L1757" s="53" t="s">
        <v>101</v>
      </c>
      <c r="M1757" s="53">
        <v>3.5049999999999999</v>
      </c>
      <c r="N1757" s="53">
        <v>3.5049999999999999</v>
      </c>
      <c r="O1757" s="53" t="s">
        <v>101</v>
      </c>
      <c r="P1757" s="53" t="s">
        <v>448</v>
      </c>
      <c r="Q1757" s="53" t="s">
        <v>682</v>
      </c>
      <c r="R1757" s="55" t="s">
        <v>504</v>
      </c>
    </row>
    <row r="1758" spans="1:18" x14ac:dyDescent="0.5">
      <c r="A1758" s="56" t="str">
        <f>"42766MEN3"</f>
        <v>42766MEN3</v>
      </c>
      <c r="B1758" s="57" t="s">
        <v>499</v>
      </c>
      <c r="C1758" s="57" t="s">
        <v>2114</v>
      </c>
      <c r="D1758" s="53" t="s">
        <v>447</v>
      </c>
      <c r="E1758" s="57">
        <v>3</v>
      </c>
      <c r="F1758" s="58">
        <v>49126</v>
      </c>
      <c r="G1758" s="58">
        <v>46204</v>
      </c>
      <c r="H1758" s="57" t="s">
        <v>105</v>
      </c>
      <c r="I1758" s="57" t="s">
        <v>628</v>
      </c>
      <c r="J1758" s="57" t="s">
        <v>101</v>
      </c>
      <c r="K1758" s="57">
        <v>92.245999999999995</v>
      </c>
      <c r="L1758" s="57" t="s">
        <v>101</v>
      </c>
      <c r="M1758" s="57">
        <v>4</v>
      </c>
      <c r="N1758" s="57">
        <v>4</v>
      </c>
      <c r="O1758" s="53" t="s">
        <v>101</v>
      </c>
      <c r="P1758" s="57" t="s">
        <v>448</v>
      </c>
      <c r="Q1758" s="57" t="s">
        <v>453</v>
      </c>
      <c r="R1758" s="59" t="s">
        <v>771</v>
      </c>
    </row>
    <row r="1759" spans="1:18" x14ac:dyDescent="0.5">
      <c r="A1759" s="52" t="str">
        <f>"452153GK9"</f>
        <v>452153GK9</v>
      </c>
      <c r="B1759" s="53" t="s">
        <v>491</v>
      </c>
      <c r="C1759" s="53" t="s">
        <v>2115</v>
      </c>
      <c r="D1759" s="53" t="s">
        <v>447</v>
      </c>
      <c r="E1759" s="53">
        <v>5</v>
      </c>
      <c r="F1759" s="54">
        <v>49126</v>
      </c>
      <c r="G1759" s="54">
        <v>48396</v>
      </c>
      <c r="H1759" s="53" t="s">
        <v>627</v>
      </c>
      <c r="I1759" s="53" t="s">
        <v>713</v>
      </c>
      <c r="J1759" s="53" t="s">
        <v>101</v>
      </c>
      <c r="K1759" s="53">
        <v>109.22</v>
      </c>
      <c r="L1759" s="53" t="s">
        <v>101</v>
      </c>
      <c r="M1759" s="53">
        <v>3.5659999999999998</v>
      </c>
      <c r="N1759" s="53">
        <v>3.82</v>
      </c>
      <c r="O1759" s="53" t="s">
        <v>101</v>
      </c>
      <c r="P1759" s="53" t="s">
        <v>448</v>
      </c>
      <c r="Q1759" s="53" t="s">
        <v>488</v>
      </c>
      <c r="R1759" s="55" t="s">
        <v>482</v>
      </c>
    </row>
    <row r="1760" spans="1:18" x14ac:dyDescent="0.5">
      <c r="A1760" s="56" t="str">
        <f>"511355AN9"</f>
        <v>511355AN9</v>
      </c>
      <c r="B1760" s="57" t="s">
        <v>499</v>
      </c>
      <c r="C1760" s="57" t="s">
        <v>2116</v>
      </c>
      <c r="D1760" s="53" t="s">
        <v>447</v>
      </c>
      <c r="E1760" s="57">
        <v>3</v>
      </c>
      <c r="F1760" s="58">
        <v>49126</v>
      </c>
      <c r="G1760" s="58">
        <v>46935</v>
      </c>
      <c r="H1760" s="57" t="s">
        <v>641</v>
      </c>
      <c r="I1760" s="57" t="s">
        <v>628</v>
      </c>
      <c r="J1760" s="57" t="s">
        <v>101</v>
      </c>
      <c r="K1760" s="57">
        <v>94.367999999999995</v>
      </c>
      <c r="L1760" s="57" t="s">
        <v>101</v>
      </c>
      <c r="M1760" s="57">
        <v>3.7170000000000001</v>
      </c>
      <c r="N1760" s="57">
        <v>3.7170000000000001</v>
      </c>
      <c r="O1760" s="53" t="s">
        <v>101</v>
      </c>
      <c r="P1760" s="57" t="s">
        <v>448</v>
      </c>
      <c r="Q1760" s="57" t="s">
        <v>858</v>
      </c>
      <c r="R1760" s="59" t="s">
        <v>771</v>
      </c>
    </row>
    <row r="1761" spans="1:18" x14ac:dyDescent="0.5">
      <c r="A1761" s="52" t="str">
        <f>"511354EH1"</f>
        <v>511354EH1</v>
      </c>
      <c r="B1761" s="53" t="s">
        <v>499</v>
      </c>
      <c r="C1761" s="53" t="s">
        <v>2117</v>
      </c>
      <c r="D1761" s="53" t="s">
        <v>447</v>
      </c>
      <c r="E1761" s="53">
        <v>3.125</v>
      </c>
      <c r="F1761" s="54">
        <v>49126</v>
      </c>
      <c r="G1761" s="54">
        <v>46569</v>
      </c>
      <c r="H1761" s="53" t="s">
        <v>641</v>
      </c>
      <c r="I1761" s="53" t="s">
        <v>182</v>
      </c>
      <c r="J1761" s="53" t="s">
        <v>101</v>
      </c>
      <c r="K1761" s="53">
        <v>93.62</v>
      </c>
      <c r="L1761" s="53" t="s">
        <v>101</v>
      </c>
      <c r="M1761" s="53">
        <v>3.9460000000000002</v>
      </c>
      <c r="N1761" s="53">
        <v>3.9460000000000002</v>
      </c>
      <c r="O1761" s="53" t="s">
        <v>101</v>
      </c>
      <c r="P1761" s="53" t="s">
        <v>448</v>
      </c>
      <c r="Q1761" s="53" t="s">
        <v>479</v>
      </c>
      <c r="R1761" s="55" t="s">
        <v>454</v>
      </c>
    </row>
    <row r="1762" spans="1:18" x14ac:dyDescent="0.5">
      <c r="A1762" s="56" t="str">
        <f>"511354FF4"</f>
        <v>511354FF4</v>
      </c>
      <c r="B1762" s="57" t="s">
        <v>499</v>
      </c>
      <c r="C1762" s="57" t="s">
        <v>2118</v>
      </c>
      <c r="D1762" s="53" t="s">
        <v>447</v>
      </c>
      <c r="E1762" s="57">
        <v>3.375</v>
      </c>
      <c r="F1762" s="58">
        <v>49126</v>
      </c>
      <c r="G1762" s="58">
        <v>46935</v>
      </c>
      <c r="H1762" s="57" t="s">
        <v>641</v>
      </c>
      <c r="I1762" s="57" t="s">
        <v>182</v>
      </c>
      <c r="J1762" s="57" t="s">
        <v>101</v>
      </c>
      <c r="K1762" s="57">
        <v>96.65</v>
      </c>
      <c r="L1762" s="57" t="s">
        <v>101</v>
      </c>
      <c r="M1762" s="57">
        <v>3.8029999999999999</v>
      </c>
      <c r="N1762" s="57">
        <v>3.8029999999999999</v>
      </c>
      <c r="O1762" s="53" t="s">
        <v>101</v>
      </c>
      <c r="P1762" s="57" t="s">
        <v>448</v>
      </c>
      <c r="Q1762" s="57" t="s">
        <v>479</v>
      </c>
      <c r="R1762" s="59" t="s">
        <v>454</v>
      </c>
    </row>
    <row r="1763" spans="1:18" x14ac:dyDescent="0.5">
      <c r="A1763" s="52" t="str">
        <f>"645790FN1"</f>
        <v>645790FN1</v>
      </c>
      <c r="B1763" s="53" t="s">
        <v>477</v>
      </c>
      <c r="C1763" s="53" t="s">
        <v>2119</v>
      </c>
      <c r="D1763" s="53" t="s">
        <v>447</v>
      </c>
      <c r="E1763" s="53">
        <v>3.5</v>
      </c>
      <c r="F1763" s="54">
        <v>49126</v>
      </c>
      <c r="G1763" s="54">
        <v>46204</v>
      </c>
      <c r="H1763" s="53" t="s">
        <v>641</v>
      </c>
      <c r="I1763" s="53" t="s">
        <v>616</v>
      </c>
      <c r="J1763" s="53" t="s">
        <v>101</v>
      </c>
      <c r="K1763" s="53">
        <v>99.38</v>
      </c>
      <c r="L1763" s="53" t="s">
        <v>101</v>
      </c>
      <c r="M1763" s="53">
        <v>3.5779999999999998</v>
      </c>
      <c r="N1763" s="53">
        <v>3.5779999999999998</v>
      </c>
      <c r="O1763" s="53" t="s">
        <v>101</v>
      </c>
      <c r="P1763" s="53" t="s">
        <v>448</v>
      </c>
      <c r="Q1763" s="53" t="s">
        <v>503</v>
      </c>
      <c r="R1763" s="55" t="s">
        <v>506</v>
      </c>
    </row>
    <row r="1764" spans="1:18" x14ac:dyDescent="0.5">
      <c r="A1764" s="56" t="str">
        <f>"645790JZ0"</f>
        <v>645790JZ0</v>
      </c>
      <c r="B1764" s="57" t="s">
        <v>477</v>
      </c>
      <c r="C1764" s="57" t="s">
        <v>2120</v>
      </c>
      <c r="D1764" s="53" t="s">
        <v>447</v>
      </c>
      <c r="E1764" s="57">
        <v>4</v>
      </c>
      <c r="F1764" s="58">
        <v>49126</v>
      </c>
      <c r="G1764" s="58">
        <v>46569</v>
      </c>
      <c r="H1764" s="57" t="s">
        <v>105</v>
      </c>
      <c r="I1764" s="57" t="s">
        <v>616</v>
      </c>
      <c r="J1764" s="57" t="s">
        <v>101</v>
      </c>
      <c r="K1764" s="57">
        <v>101.102</v>
      </c>
      <c r="L1764" s="57" t="s">
        <v>101</v>
      </c>
      <c r="M1764" s="57">
        <v>3.51</v>
      </c>
      <c r="N1764" s="57">
        <v>3.8580000000000001</v>
      </c>
      <c r="O1764" s="53" t="s">
        <v>101</v>
      </c>
      <c r="P1764" s="57" t="s">
        <v>448</v>
      </c>
      <c r="Q1764" s="57" t="s">
        <v>571</v>
      </c>
      <c r="R1764" s="59" t="s">
        <v>450</v>
      </c>
    </row>
    <row r="1765" spans="1:18" x14ac:dyDescent="0.5">
      <c r="A1765" s="52" t="str">
        <f>"645790LK0"</f>
        <v>645790LK0</v>
      </c>
      <c r="B1765" s="53" t="s">
        <v>477</v>
      </c>
      <c r="C1765" s="53" t="s">
        <v>2121</v>
      </c>
      <c r="D1765" s="53" t="s">
        <v>447</v>
      </c>
      <c r="E1765" s="53">
        <v>3.375</v>
      </c>
      <c r="F1765" s="54">
        <v>49126</v>
      </c>
      <c r="G1765" s="54">
        <v>46569</v>
      </c>
      <c r="H1765" s="53" t="s">
        <v>610</v>
      </c>
      <c r="I1765" s="53" t="s">
        <v>105</v>
      </c>
      <c r="J1765" s="53" t="s">
        <v>101</v>
      </c>
      <c r="K1765" s="53">
        <v>96.04</v>
      </c>
      <c r="L1765" s="53" t="s">
        <v>101</v>
      </c>
      <c r="M1765" s="53">
        <v>3.883</v>
      </c>
      <c r="N1765" s="53">
        <v>3.883</v>
      </c>
      <c r="O1765" s="53" t="s">
        <v>101</v>
      </c>
      <c r="P1765" s="53" t="s">
        <v>448</v>
      </c>
      <c r="Q1765" s="53" t="s">
        <v>635</v>
      </c>
      <c r="R1765" s="55" t="s">
        <v>506</v>
      </c>
    </row>
    <row r="1766" spans="1:18" x14ac:dyDescent="0.5">
      <c r="A1766" s="56" t="str">
        <f>"6460666B1"</f>
        <v>6460666B1</v>
      </c>
      <c r="B1766" s="57" t="s">
        <v>477</v>
      </c>
      <c r="C1766" s="57" t="s">
        <v>2122</v>
      </c>
      <c r="D1766" s="53" t="s">
        <v>447</v>
      </c>
      <c r="E1766" s="57">
        <v>5</v>
      </c>
      <c r="F1766" s="58">
        <v>49126</v>
      </c>
      <c r="G1766" s="58">
        <v>47665</v>
      </c>
      <c r="H1766" s="57" t="s">
        <v>105</v>
      </c>
      <c r="I1766" s="57" t="s">
        <v>633</v>
      </c>
      <c r="J1766" s="57" t="s">
        <v>101</v>
      </c>
      <c r="K1766" s="57">
        <v>106.59</v>
      </c>
      <c r="L1766" s="57" t="s">
        <v>101</v>
      </c>
      <c r="M1766" s="57">
        <v>3.637</v>
      </c>
      <c r="N1766" s="57">
        <v>4.1429999999999998</v>
      </c>
      <c r="O1766" s="53" t="s">
        <v>101</v>
      </c>
      <c r="P1766" s="57" t="s">
        <v>448</v>
      </c>
      <c r="Q1766" s="57" t="s">
        <v>479</v>
      </c>
      <c r="R1766" s="59" t="s">
        <v>450</v>
      </c>
    </row>
    <row r="1767" spans="1:18" x14ac:dyDescent="0.5">
      <c r="A1767" s="52" t="str">
        <f>"803301DD9"</f>
        <v>803301DD9</v>
      </c>
      <c r="B1767" s="53" t="s">
        <v>499</v>
      </c>
      <c r="C1767" s="53" t="s">
        <v>2123</v>
      </c>
      <c r="D1767" s="53" t="s">
        <v>447</v>
      </c>
      <c r="E1767" s="53">
        <v>3.625</v>
      </c>
      <c r="F1767" s="54">
        <v>49126</v>
      </c>
      <c r="G1767" s="54">
        <v>46935</v>
      </c>
      <c r="H1767" s="53" t="s">
        <v>641</v>
      </c>
      <c r="I1767" s="53" t="s">
        <v>105</v>
      </c>
      <c r="J1767" s="53" t="s">
        <v>101</v>
      </c>
      <c r="K1767" s="53">
        <v>98.7</v>
      </c>
      <c r="L1767" s="53" t="s">
        <v>101</v>
      </c>
      <c r="M1767" s="53">
        <v>3.7909999999999999</v>
      </c>
      <c r="N1767" s="53">
        <v>3.7909999999999999</v>
      </c>
      <c r="O1767" s="53" t="s">
        <v>101</v>
      </c>
      <c r="P1767" s="53" t="s">
        <v>448</v>
      </c>
      <c r="Q1767" s="53" t="s">
        <v>479</v>
      </c>
      <c r="R1767" s="55" t="s">
        <v>450</v>
      </c>
    </row>
    <row r="1768" spans="1:18" x14ac:dyDescent="0.5">
      <c r="A1768" s="56" t="str">
        <f>"875161CV1"</f>
        <v>875161CV1</v>
      </c>
      <c r="B1768" s="57" t="s">
        <v>499</v>
      </c>
      <c r="C1768" s="57" t="s">
        <v>2124</v>
      </c>
      <c r="D1768" s="53" t="s">
        <v>447</v>
      </c>
      <c r="E1768" s="57">
        <v>5</v>
      </c>
      <c r="F1768" s="58">
        <v>49126</v>
      </c>
      <c r="G1768" s="58">
        <v>47665</v>
      </c>
      <c r="H1768" s="57" t="s">
        <v>610</v>
      </c>
      <c r="I1768" s="57" t="s">
        <v>611</v>
      </c>
      <c r="J1768" s="57" t="s">
        <v>101</v>
      </c>
      <c r="K1768" s="57">
        <v>107.033</v>
      </c>
      <c r="L1768" s="57" t="s">
        <v>101</v>
      </c>
      <c r="M1768" s="57">
        <v>3.5489999999999999</v>
      </c>
      <c r="N1768" s="57">
        <v>4.0880000000000001</v>
      </c>
      <c r="O1768" s="53" t="s">
        <v>101</v>
      </c>
      <c r="P1768" s="57" t="s">
        <v>448</v>
      </c>
      <c r="Q1768" s="57" t="s">
        <v>538</v>
      </c>
      <c r="R1768" s="59" t="s">
        <v>450</v>
      </c>
    </row>
    <row r="1769" spans="1:18" x14ac:dyDescent="0.5">
      <c r="A1769" s="52" t="str">
        <f>"87638TGJ6"</f>
        <v>87638TGJ6</v>
      </c>
      <c r="B1769" s="53" t="s">
        <v>451</v>
      </c>
      <c r="C1769" s="53" t="s">
        <v>2125</v>
      </c>
      <c r="D1769" s="53" t="s">
        <v>447</v>
      </c>
      <c r="E1769" s="53">
        <v>5</v>
      </c>
      <c r="F1769" s="54">
        <v>49126</v>
      </c>
      <c r="G1769" s="54">
        <v>47119</v>
      </c>
      <c r="H1769" s="53" t="s">
        <v>641</v>
      </c>
      <c r="I1769" s="53" t="s">
        <v>611</v>
      </c>
      <c r="J1769" s="53" t="s">
        <v>101</v>
      </c>
      <c r="K1769" s="53">
        <v>105.24299999999999</v>
      </c>
      <c r="L1769" s="53" t="s">
        <v>101</v>
      </c>
      <c r="M1769" s="53">
        <v>3.5369999999999999</v>
      </c>
      <c r="N1769" s="53">
        <v>4.3129999999999997</v>
      </c>
      <c r="O1769" s="53" t="s">
        <v>101</v>
      </c>
      <c r="P1769" s="53" t="s">
        <v>448</v>
      </c>
      <c r="Q1769" s="53" t="s">
        <v>810</v>
      </c>
      <c r="R1769" s="55" t="s">
        <v>506</v>
      </c>
    </row>
    <row r="1770" spans="1:18" x14ac:dyDescent="0.5">
      <c r="A1770" s="56" t="str">
        <f>"880115CS7"</f>
        <v>880115CS7</v>
      </c>
      <c r="B1770" s="57" t="s">
        <v>451</v>
      </c>
      <c r="C1770" s="57" t="s">
        <v>2126</v>
      </c>
      <c r="D1770" s="53" t="s">
        <v>447</v>
      </c>
      <c r="E1770" s="57">
        <v>4</v>
      </c>
      <c r="F1770" s="58">
        <v>49126</v>
      </c>
      <c r="G1770" s="58">
        <v>48030</v>
      </c>
      <c r="H1770" s="57" t="s">
        <v>105</v>
      </c>
      <c r="I1770" s="57" t="s">
        <v>616</v>
      </c>
      <c r="J1770" s="57" t="s">
        <v>101</v>
      </c>
      <c r="K1770" s="57">
        <v>102.77</v>
      </c>
      <c r="L1770" s="57" t="s">
        <v>101</v>
      </c>
      <c r="M1770" s="57">
        <v>3.51</v>
      </c>
      <c r="N1770" s="57">
        <v>3.6480000000000001</v>
      </c>
      <c r="O1770" s="53" t="s">
        <v>101</v>
      </c>
      <c r="P1770" s="57" t="s">
        <v>448</v>
      </c>
      <c r="Q1770" s="57" t="s">
        <v>488</v>
      </c>
      <c r="R1770" s="59" t="s">
        <v>454</v>
      </c>
    </row>
    <row r="1771" spans="1:18" x14ac:dyDescent="0.5">
      <c r="A1771" s="52" t="str">
        <f>"578745EK3"</f>
        <v>578745EK3</v>
      </c>
      <c r="B1771" s="53" t="s">
        <v>477</v>
      </c>
      <c r="C1771" s="53" t="s">
        <v>2127</v>
      </c>
      <c r="D1771" s="53" t="s">
        <v>447</v>
      </c>
      <c r="E1771" s="53">
        <v>3</v>
      </c>
      <c r="F1771" s="54">
        <v>49140</v>
      </c>
      <c r="G1771" s="54">
        <v>47679</v>
      </c>
      <c r="H1771" s="53" t="s">
        <v>641</v>
      </c>
      <c r="I1771" s="53" t="s">
        <v>628</v>
      </c>
      <c r="J1771" s="53" t="s">
        <v>101</v>
      </c>
      <c r="K1771" s="53">
        <v>95.602999999999994</v>
      </c>
      <c r="L1771" s="53" t="s">
        <v>101</v>
      </c>
      <c r="M1771" s="53">
        <v>3.5539999999999998</v>
      </c>
      <c r="N1771" s="53">
        <v>3.5539999999999998</v>
      </c>
      <c r="O1771" s="53" t="s">
        <v>101</v>
      </c>
      <c r="P1771" s="53" t="s">
        <v>448</v>
      </c>
      <c r="Q1771" s="53" t="s">
        <v>485</v>
      </c>
      <c r="R1771" s="55" t="s">
        <v>630</v>
      </c>
    </row>
    <row r="1772" spans="1:18" x14ac:dyDescent="0.5">
      <c r="A1772" s="56" t="str">
        <f>"658017C30"</f>
        <v>658017C30</v>
      </c>
      <c r="B1772" s="57" t="s">
        <v>477</v>
      </c>
      <c r="C1772" s="57" t="s">
        <v>2128</v>
      </c>
      <c r="D1772" s="53" t="s">
        <v>447</v>
      </c>
      <c r="E1772" s="57">
        <v>3.375</v>
      </c>
      <c r="F1772" s="58">
        <v>49140</v>
      </c>
      <c r="G1772" s="58">
        <v>45853</v>
      </c>
      <c r="H1772" s="57" t="s">
        <v>105</v>
      </c>
      <c r="I1772" s="57" t="s">
        <v>509</v>
      </c>
      <c r="J1772" s="57" t="s">
        <v>101</v>
      </c>
      <c r="K1772" s="57">
        <v>98.558999999999997</v>
      </c>
      <c r="L1772" s="57" t="s">
        <v>101</v>
      </c>
      <c r="M1772" s="57">
        <v>3.556</v>
      </c>
      <c r="N1772" s="57">
        <v>3.556</v>
      </c>
      <c r="O1772" s="53" t="s">
        <v>101</v>
      </c>
      <c r="P1772" s="57" t="s">
        <v>448</v>
      </c>
      <c r="Q1772" s="57" t="s">
        <v>485</v>
      </c>
      <c r="R1772" s="59" t="s">
        <v>454</v>
      </c>
    </row>
    <row r="1773" spans="1:18" x14ac:dyDescent="0.5">
      <c r="A1773" s="52" t="str">
        <f>"750701EF7"</f>
        <v>750701EF7</v>
      </c>
      <c r="B1773" s="53" t="s">
        <v>477</v>
      </c>
      <c r="C1773" s="53" t="s">
        <v>2129</v>
      </c>
      <c r="D1773" s="53" t="s">
        <v>447</v>
      </c>
      <c r="E1773" s="53">
        <v>2.125</v>
      </c>
      <c r="F1773" s="54">
        <v>49140</v>
      </c>
      <c r="G1773" s="54">
        <v>47314</v>
      </c>
      <c r="H1773" s="53" t="s">
        <v>105</v>
      </c>
      <c r="I1773" s="53" t="s">
        <v>628</v>
      </c>
      <c r="J1773" s="53" t="s">
        <v>101</v>
      </c>
      <c r="K1773" s="53">
        <v>82.855999999999995</v>
      </c>
      <c r="L1773" s="53" t="s">
        <v>101</v>
      </c>
      <c r="M1773" s="53">
        <v>4.3659999999999997</v>
      </c>
      <c r="N1773" s="53">
        <v>4.3659999999999997</v>
      </c>
      <c r="O1773" s="53" t="s">
        <v>101</v>
      </c>
      <c r="P1773" s="53" t="s">
        <v>448</v>
      </c>
      <c r="Q1773" s="53" t="s">
        <v>479</v>
      </c>
      <c r="R1773" s="55" t="s">
        <v>630</v>
      </c>
    </row>
    <row r="1774" spans="1:18" x14ac:dyDescent="0.5">
      <c r="A1774" s="56" t="str">
        <f>"108709TV8"</f>
        <v>108709TV8</v>
      </c>
      <c r="B1774" s="57" t="s">
        <v>477</v>
      </c>
      <c r="C1774" s="57" t="s">
        <v>2130</v>
      </c>
      <c r="D1774" s="53" t="s">
        <v>447</v>
      </c>
      <c r="E1774" s="57">
        <v>3</v>
      </c>
      <c r="F1774" s="58">
        <v>49157</v>
      </c>
      <c r="G1774" s="58">
        <v>45870</v>
      </c>
      <c r="H1774" s="57" t="s">
        <v>105</v>
      </c>
      <c r="I1774" s="57" t="s">
        <v>509</v>
      </c>
      <c r="J1774" s="57" t="s">
        <v>101</v>
      </c>
      <c r="K1774" s="57">
        <v>95.944000000000003</v>
      </c>
      <c r="L1774" s="57" t="s">
        <v>101</v>
      </c>
      <c r="M1774" s="57">
        <v>3.508</v>
      </c>
      <c r="N1774" s="57">
        <v>3.508</v>
      </c>
      <c r="O1774" s="53" t="s">
        <v>101</v>
      </c>
      <c r="P1774" s="57" t="s">
        <v>448</v>
      </c>
      <c r="Q1774" s="57" t="s">
        <v>527</v>
      </c>
      <c r="R1774" s="59" t="s">
        <v>454</v>
      </c>
    </row>
    <row r="1775" spans="1:18" x14ac:dyDescent="0.5">
      <c r="A1775" s="52" t="str">
        <f>"185072GS8"</f>
        <v>185072GS8</v>
      </c>
      <c r="B1775" s="53" t="s">
        <v>477</v>
      </c>
      <c r="C1775" s="53" t="s">
        <v>2131</v>
      </c>
      <c r="D1775" s="53" t="s">
        <v>447</v>
      </c>
      <c r="E1775" s="53">
        <v>3</v>
      </c>
      <c r="F1775" s="54">
        <v>49157</v>
      </c>
      <c r="G1775" s="54">
        <v>47331</v>
      </c>
      <c r="H1775" s="53" t="s">
        <v>105</v>
      </c>
      <c r="I1775" s="53" t="s">
        <v>628</v>
      </c>
      <c r="J1775" s="53" t="s">
        <v>101</v>
      </c>
      <c r="K1775" s="53">
        <v>95.156000000000006</v>
      </c>
      <c r="L1775" s="53" t="s">
        <v>101</v>
      </c>
      <c r="M1775" s="53">
        <v>3.609</v>
      </c>
      <c r="N1775" s="53">
        <v>3.609</v>
      </c>
      <c r="O1775" s="53" t="s">
        <v>101</v>
      </c>
      <c r="P1775" s="53" t="s">
        <v>448</v>
      </c>
      <c r="Q1775" s="53" t="s">
        <v>457</v>
      </c>
      <c r="R1775" s="55" t="s">
        <v>454</v>
      </c>
    </row>
    <row r="1776" spans="1:18" x14ac:dyDescent="0.5">
      <c r="A1776" s="56" t="str">
        <f>"228111VQ0"</f>
        <v>228111VQ0</v>
      </c>
      <c r="B1776" s="57" t="s">
        <v>451</v>
      </c>
      <c r="C1776" s="57" t="s">
        <v>2132</v>
      </c>
      <c r="D1776" s="53" t="s">
        <v>447</v>
      </c>
      <c r="E1776" s="57">
        <v>3.25</v>
      </c>
      <c r="F1776" s="58">
        <v>49157</v>
      </c>
      <c r="G1776" s="58">
        <v>46966</v>
      </c>
      <c r="H1776" s="57" t="s">
        <v>105</v>
      </c>
      <c r="I1776" s="57" t="s">
        <v>628</v>
      </c>
      <c r="J1776" s="57" t="s">
        <v>101</v>
      </c>
      <c r="K1776" s="57">
        <v>96.816999999999993</v>
      </c>
      <c r="L1776" s="57" t="s">
        <v>101</v>
      </c>
      <c r="M1776" s="57">
        <v>3.6509999999999998</v>
      </c>
      <c r="N1776" s="57">
        <v>3.6509999999999998</v>
      </c>
      <c r="O1776" s="53" t="s">
        <v>101</v>
      </c>
      <c r="P1776" s="57" t="s">
        <v>448</v>
      </c>
      <c r="Q1776" s="57" t="s">
        <v>460</v>
      </c>
      <c r="R1776" s="59" t="s">
        <v>589</v>
      </c>
    </row>
    <row r="1777" spans="1:18" x14ac:dyDescent="0.5">
      <c r="A1777" s="52" t="str">
        <f>"448474PJ9"</f>
        <v>448474PJ9</v>
      </c>
      <c r="B1777" s="53" t="s">
        <v>451</v>
      </c>
      <c r="C1777" s="53" t="s">
        <v>2133</v>
      </c>
      <c r="D1777" s="53" t="s">
        <v>447</v>
      </c>
      <c r="E1777" s="53">
        <v>3</v>
      </c>
      <c r="F1777" s="54">
        <v>49157</v>
      </c>
      <c r="G1777" s="54">
        <v>46600</v>
      </c>
      <c r="H1777" s="53" t="s">
        <v>105</v>
      </c>
      <c r="I1777" s="53" t="s">
        <v>628</v>
      </c>
      <c r="J1777" s="53" t="s">
        <v>101</v>
      </c>
      <c r="K1777" s="53">
        <v>95.926000000000002</v>
      </c>
      <c r="L1777" s="53" t="s">
        <v>101</v>
      </c>
      <c r="M1777" s="53">
        <v>3.51</v>
      </c>
      <c r="N1777" s="53">
        <v>3.51</v>
      </c>
      <c r="O1777" s="53" t="s">
        <v>101</v>
      </c>
      <c r="P1777" s="53" t="s">
        <v>448</v>
      </c>
      <c r="Q1777" s="53" t="s">
        <v>488</v>
      </c>
      <c r="R1777" s="55" t="s">
        <v>771</v>
      </c>
    </row>
    <row r="1778" spans="1:18" x14ac:dyDescent="0.5">
      <c r="A1778" s="56" t="str">
        <f>"45204EWY0"</f>
        <v>45204EWY0</v>
      </c>
      <c r="B1778" s="57" t="s">
        <v>491</v>
      </c>
      <c r="C1778" s="57" t="s">
        <v>2134</v>
      </c>
      <c r="D1778" s="53" t="s">
        <v>447</v>
      </c>
      <c r="E1778" s="57">
        <v>3.5</v>
      </c>
      <c r="F1778" s="58">
        <v>49157</v>
      </c>
      <c r="G1778" s="58">
        <v>46600</v>
      </c>
      <c r="H1778" s="57" t="s">
        <v>105</v>
      </c>
      <c r="I1778" s="57" t="s">
        <v>633</v>
      </c>
      <c r="J1778" s="57" t="s">
        <v>101</v>
      </c>
      <c r="K1778" s="57">
        <v>92.882000000000005</v>
      </c>
      <c r="L1778" s="57" t="s">
        <v>101</v>
      </c>
      <c r="M1778" s="57">
        <v>4.43</v>
      </c>
      <c r="N1778" s="57">
        <v>4.43</v>
      </c>
      <c r="O1778" s="53" t="s">
        <v>101</v>
      </c>
      <c r="P1778" s="57" t="s">
        <v>448</v>
      </c>
      <c r="Q1778" s="57" t="s">
        <v>556</v>
      </c>
      <c r="R1778" s="59" t="s">
        <v>450</v>
      </c>
    </row>
    <row r="1779" spans="1:18" x14ac:dyDescent="0.5">
      <c r="A1779" s="52" t="str">
        <f>"498531PK2"</f>
        <v>498531PK2</v>
      </c>
      <c r="B1779" s="53" t="s">
        <v>451</v>
      </c>
      <c r="C1779" s="53" t="s">
        <v>2135</v>
      </c>
      <c r="D1779" s="53" t="s">
        <v>447</v>
      </c>
      <c r="E1779" s="53">
        <v>3</v>
      </c>
      <c r="F1779" s="54">
        <v>49157</v>
      </c>
      <c r="G1779" s="54">
        <v>47696</v>
      </c>
      <c r="H1779" s="53" t="s">
        <v>104</v>
      </c>
      <c r="I1779" s="53" t="s">
        <v>104</v>
      </c>
      <c r="J1779" s="53" t="s">
        <v>101</v>
      </c>
      <c r="K1779" s="53">
        <v>94.748999999999995</v>
      </c>
      <c r="L1779" s="53" t="s">
        <v>101</v>
      </c>
      <c r="M1779" s="53">
        <v>3.6619999999999999</v>
      </c>
      <c r="N1779" s="53">
        <v>3.6619999999999999</v>
      </c>
      <c r="O1779" s="53" t="s">
        <v>101</v>
      </c>
      <c r="P1779" s="53" t="s">
        <v>448</v>
      </c>
      <c r="Q1779" s="53" t="s">
        <v>457</v>
      </c>
      <c r="R1779" s="55" t="s">
        <v>454</v>
      </c>
    </row>
    <row r="1780" spans="1:18" x14ac:dyDescent="0.5">
      <c r="A1780" s="56" t="str">
        <f>"59334NDS8"</f>
        <v>59334NDS8</v>
      </c>
      <c r="B1780" s="57" t="s">
        <v>499</v>
      </c>
      <c r="C1780" s="57" t="s">
        <v>2136</v>
      </c>
      <c r="D1780" s="53" t="s">
        <v>447</v>
      </c>
      <c r="E1780" s="57">
        <v>3.625</v>
      </c>
      <c r="F1780" s="58">
        <v>49157</v>
      </c>
      <c r="G1780" s="58">
        <v>46600</v>
      </c>
      <c r="H1780" s="57" t="s">
        <v>105</v>
      </c>
      <c r="I1780" s="57" t="s">
        <v>611</v>
      </c>
      <c r="J1780" s="57" t="s">
        <v>101</v>
      </c>
      <c r="K1780" s="57">
        <v>98.48</v>
      </c>
      <c r="L1780" s="57" t="s">
        <v>101</v>
      </c>
      <c r="M1780" s="57">
        <v>3.8180000000000001</v>
      </c>
      <c r="N1780" s="57">
        <v>3.8180000000000001</v>
      </c>
      <c r="O1780" s="53" t="s">
        <v>101</v>
      </c>
      <c r="P1780" s="57" t="s">
        <v>448</v>
      </c>
      <c r="Q1780" s="57" t="s">
        <v>453</v>
      </c>
      <c r="R1780" s="59" t="s">
        <v>506</v>
      </c>
    </row>
    <row r="1781" spans="1:18" x14ac:dyDescent="0.5">
      <c r="A1781" s="52" t="str">
        <f>"717087S84"</f>
        <v>717087S84</v>
      </c>
      <c r="B1781" s="53" t="s">
        <v>451</v>
      </c>
      <c r="C1781" s="53" t="s">
        <v>2137</v>
      </c>
      <c r="D1781" s="53" t="s">
        <v>447</v>
      </c>
      <c r="E1781" s="53">
        <v>4</v>
      </c>
      <c r="F1781" s="54">
        <v>49157</v>
      </c>
      <c r="G1781" s="54">
        <v>46600</v>
      </c>
      <c r="H1781" s="53" t="s">
        <v>624</v>
      </c>
      <c r="I1781" s="53" t="s">
        <v>509</v>
      </c>
      <c r="J1781" s="53" t="s">
        <v>101</v>
      </c>
      <c r="K1781" s="53">
        <v>100.851</v>
      </c>
      <c r="L1781" s="53" t="s">
        <v>101</v>
      </c>
      <c r="M1781" s="53">
        <v>3.6339999999999999</v>
      </c>
      <c r="N1781" s="53">
        <v>3.891</v>
      </c>
      <c r="O1781" s="53" t="s">
        <v>101</v>
      </c>
      <c r="P1781" s="53" t="s">
        <v>448</v>
      </c>
      <c r="Q1781" s="53" t="s">
        <v>460</v>
      </c>
      <c r="R1781" s="55" t="s">
        <v>454</v>
      </c>
    </row>
    <row r="1782" spans="1:18" x14ac:dyDescent="0.5">
      <c r="A1782" s="56" t="str">
        <f>"8800642Q2"</f>
        <v>8800642Q2</v>
      </c>
      <c r="B1782" s="57" t="s">
        <v>451</v>
      </c>
      <c r="C1782" s="57" t="s">
        <v>2138</v>
      </c>
      <c r="D1782" s="53" t="s">
        <v>447</v>
      </c>
      <c r="E1782" s="57">
        <v>3</v>
      </c>
      <c r="F1782" s="58">
        <v>49157</v>
      </c>
      <c r="G1782" s="58">
        <v>46419</v>
      </c>
      <c r="H1782" s="57" t="s">
        <v>105</v>
      </c>
      <c r="I1782" s="57" t="s">
        <v>628</v>
      </c>
      <c r="J1782" s="57" t="s">
        <v>101</v>
      </c>
      <c r="K1782" s="57">
        <v>93.807000000000002</v>
      </c>
      <c r="L1782" s="57" t="s">
        <v>101</v>
      </c>
      <c r="M1782" s="57">
        <v>3.7850000000000001</v>
      </c>
      <c r="N1782" s="57">
        <v>3.7850000000000001</v>
      </c>
      <c r="O1782" s="53" t="s">
        <v>101</v>
      </c>
      <c r="P1782" s="57" t="s">
        <v>448</v>
      </c>
      <c r="Q1782" s="57" t="s">
        <v>527</v>
      </c>
      <c r="R1782" s="59" t="s">
        <v>504</v>
      </c>
    </row>
    <row r="1783" spans="1:18" x14ac:dyDescent="0.5">
      <c r="A1783" s="52" t="str">
        <f>"880157BV3"</f>
        <v>880157BV3</v>
      </c>
      <c r="B1783" s="53" t="s">
        <v>451</v>
      </c>
      <c r="C1783" s="53" t="s">
        <v>2139</v>
      </c>
      <c r="D1783" s="53" t="s">
        <v>447</v>
      </c>
      <c r="E1783" s="53">
        <v>4</v>
      </c>
      <c r="F1783" s="54">
        <v>49157</v>
      </c>
      <c r="G1783" s="54">
        <v>47696</v>
      </c>
      <c r="H1783" s="53" t="s">
        <v>677</v>
      </c>
      <c r="I1783" s="53" t="s">
        <v>628</v>
      </c>
      <c r="J1783" s="53" t="s">
        <v>101</v>
      </c>
      <c r="K1783" s="53">
        <v>101.764</v>
      </c>
      <c r="L1783" s="53" t="s">
        <v>101</v>
      </c>
      <c r="M1783" s="53">
        <v>3.64</v>
      </c>
      <c r="N1783" s="53">
        <v>3.7759999999999998</v>
      </c>
      <c r="O1783" s="53" t="s">
        <v>101</v>
      </c>
      <c r="P1783" s="53" t="s">
        <v>448</v>
      </c>
      <c r="Q1783" s="53" t="s">
        <v>475</v>
      </c>
      <c r="R1783" s="55" t="s">
        <v>771</v>
      </c>
    </row>
    <row r="1784" spans="1:18" x14ac:dyDescent="0.5">
      <c r="A1784" s="56" t="str">
        <f>"916672XR4"</f>
        <v>916672XR4</v>
      </c>
      <c r="B1784" s="57" t="s">
        <v>451</v>
      </c>
      <c r="C1784" s="57" t="s">
        <v>2140</v>
      </c>
      <c r="D1784" s="53" t="s">
        <v>447</v>
      </c>
      <c r="E1784" s="57">
        <v>3.125</v>
      </c>
      <c r="F1784" s="58">
        <v>49157</v>
      </c>
      <c r="G1784" s="58">
        <v>46419</v>
      </c>
      <c r="H1784" s="57" t="s">
        <v>641</v>
      </c>
      <c r="I1784" s="57" t="s">
        <v>658</v>
      </c>
      <c r="J1784" s="57" t="s">
        <v>101</v>
      </c>
      <c r="K1784" s="57">
        <v>92.894000000000005</v>
      </c>
      <c r="L1784" s="57" t="s">
        <v>101</v>
      </c>
      <c r="M1784" s="57">
        <v>4.0369999999999999</v>
      </c>
      <c r="N1784" s="57">
        <v>4.0369999999999999</v>
      </c>
      <c r="O1784" s="53" t="s">
        <v>101</v>
      </c>
      <c r="P1784" s="57" t="s">
        <v>448</v>
      </c>
      <c r="Q1784" s="57" t="s">
        <v>571</v>
      </c>
      <c r="R1784" s="59" t="s">
        <v>771</v>
      </c>
    </row>
    <row r="1785" spans="1:18" x14ac:dyDescent="0.5">
      <c r="A1785" s="52" t="str">
        <f>"956882RE6"</f>
        <v>956882RE6</v>
      </c>
      <c r="B1785" s="53" t="s">
        <v>477</v>
      </c>
      <c r="C1785" s="53" t="s">
        <v>2141</v>
      </c>
      <c r="D1785" s="53" t="s">
        <v>447</v>
      </c>
      <c r="E1785" s="53">
        <v>2.25</v>
      </c>
      <c r="F1785" s="54">
        <v>49157</v>
      </c>
      <c r="G1785" s="54">
        <v>46235</v>
      </c>
      <c r="H1785" s="53" t="s">
        <v>105</v>
      </c>
      <c r="I1785" s="53" t="s">
        <v>104</v>
      </c>
      <c r="J1785" s="53" t="s">
        <v>101</v>
      </c>
      <c r="K1785" s="53">
        <v>86.408000000000001</v>
      </c>
      <c r="L1785" s="53" t="s">
        <v>101</v>
      </c>
      <c r="M1785" s="53">
        <v>3.99</v>
      </c>
      <c r="N1785" s="53">
        <v>3.99</v>
      </c>
      <c r="O1785" s="53" t="s">
        <v>101</v>
      </c>
      <c r="P1785" s="53" t="s">
        <v>448</v>
      </c>
      <c r="Q1785" s="53" t="s">
        <v>2142</v>
      </c>
      <c r="R1785" s="55" t="s">
        <v>482</v>
      </c>
    </row>
    <row r="1786" spans="1:18" x14ac:dyDescent="0.5">
      <c r="A1786" s="56" t="str">
        <f>"970554EY3"</f>
        <v>970554EY3</v>
      </c>
      <c r="B1786" s="57" t="s">
        <v>451</v>
      </c>
      <c r="C1786" s="57" t="s">
        <v>2143</v>
      </c>
      <c r="D1786" s="53" t="s">
        <v>447</v>
      </c>
      <c r="E1786" s="57">
        <v>2.5</v>
      </c>
      <c r="F1786" s="58">
        <v>49157</v>
      </c>
      <c r="G1786" s="58">
        <v>45733</v>
      </c>
      <c r="H1786" s="57" t="s">
        <v>670</v>
      </c>
      <c r="I1786" s="57" t="s">
        <v>182</v>
      </c>
      <c r="J1786" s="57" t="s">
        <v>101</v>
      </c>
      <c r="K1786" s="57">
        <v>85.23</v>
      </c>
      <c r="L1786" s="57" t="s">
        <v>101</v>
      </c>
      <c r="M1786" s="57">
        <v>4.4290000000000003</v>
      </c>
      <c r="N1786" s="57">
        <v>4.4290000000000003</v>
      </c>
      <c r="O1786" s="53" t="s">
        <v>101</v>
      </c>
      <c r="P1786" s="57" t="s">
        <v>448</v>
      </c>
      <c r="Q1786" s="57" t="s">
        <v>663</v>
      </c>
      <c r="R1786" s="59" t="s">
        <v>630</v>
      </c>
    </row>
    <row r="1787" spans="1:18" x14ac:dyDescent="0.5">
      <c r="A1787" s="52" t="str">
        <f>"041796TU7"</f>
        <v>041796TU7</v>
      </c>
      <c r="B1787" s="53" t="s">
        <v>451</v>
      </c>
      <c r="C1787" s="53" t="s">
        <v>2144</v>
      </c>
      <c r="D1787" s="53" t="s">
        <v>447</v>
      </c>
      <c r="E1787" s="53">
        <v>3.35</v>
      </c>
      <c r="F1787" s="54">
        <v>49171</v>
      </c>
      <c r="G1787" s="54">
        <v>46249</v>
      </c>
      <c r="H1787" s="53" t="s">
        <v>540</v>
      </c>
      <c r="I1787" s="53" t="s">
        <v>104</v>
      </c>
      <c r="J1787" s="53" t="s">
        <v>101</v>
      </c>
      <c r="K1787" s="53">
        <v>98.74</v>
      </c>
      <c r="L1787" s="53" t="s">
        <v>101</v>
      </c>
      <c r="M1787" s="53">
        <v>3.5070000000000001</v>
      </c>
      <c r="N1787" s="53">
        <v>3.5070000000000001</v>
      </c>
      <c r="O1787" s="53" t="s">
        <v>101</v>
      </c>
      <c r="P1787" s="53" t="s">
        <v>448</v>
      </c>
      <c r="Q1787" s="53" t="s">
        <v>488</v>
      </c>
      <c r="R1787" s="55" t="s">
        <v>454</v>
      </c>
    </row>
    <row r="1788" spans="1:18" x14ac:dyDescent="0.5">
      <c r="A1788" s="56" t="str">
        <f>"0418067H7"</f>
        <v>0418067H7</v>
      </c>
      <c r="B1788" s="57" t="s">
        <v>451</v>
      </c>
      <c r="C1788" s="57" t="s">
        <v>2145</v>
      </c>
      <c r="D1788" s="53" t="s">
        <v>447</v>
      </c>
      <c r="E1788" s="57">
        <v>5</v>
      </c>
      <c r="F1788" s="58">
        <v>49171</v>
      </c>
      <c r="G1788" s="58">
        <v>48441</v>
      </c>
      <c r="H1788" s="57" t="s">
        <v>105</v>
      </c>
      <c r="I1788" s="57" t="s">
        <v>104</v>
      </c>
      <c r="J1788" s="57" t="s">
        <v>101</v>
      </c>
      <c r="K1788" s="57">
        <v>109.646</v>
      </c>
      <c r="L1788" s="57" t="s">
        <v>101</v>
      </c>
      <c r="M1788" s="57">
        <v>3.524</v>
      </c>
      <c r="N1788" s="57">
        <v>3.7810000000000001</v>
      </c>
      <c r="O1788" s="53" t="s">
        <v>101</v>
      </c>
      <c r="P1788" s="57" t="s">
        <v>448</v>
      </c>
      <c r="Q1788" s="57" t="s">
        <v>503</v>
      </c>
      <c r="R1788" s="59" t="s">
        <v>450</v>
      </c>
    </row>
    <row r="1789" spans="1:18" x14ac:dyDescent="0.5">
      <c r="A1789" s="52" t="str">
        <f>"041796QN6"</f>
        <v>041796QN6</v>
      </c>
      <c r="B1789" s="53" t="s">
        <v>451</v>
      </c>
      <c r="C1789" s="53" t="s">
        <v>2146</v>
      </c>
      <c r="D1789" s="53" t="s">
        <v>447</v>
      </c>
      <c r="E1789" s="53">
        <v>3</v>
      </c>
      <c r="F1789" s="54">
        <v>49171</v>
      </c>
      <c r="G1789" s="54">
        <v>46249</v>
      </c>
      <c r="H1789" s="53" t="s">
        <v>540</v>
      </c>
      <c r="I1789" s="53" t="s">
        <v>104</v>
      </c>
      <c r="J1789" s="53" t="s">
        <v>101</v>
      </c>
      <c r="K1789" s="53">
        <v>92.314999999999998</v>
      </c>
      <c r="L1789" s="53" t="s">
        <v>101</v>
      </c>
      <c r="M1789" s="53">
        <v>3.98</v>
      </c>
      <c r="N1789" s="53">
        <v>3.98</v>
      </c>
      <c r="O1789" s="53" t="s">
        <v>101</v>
      </c>
      <c r="P1789" s="53" t="s">
        <v>448</v>
      </c>
      <c r="Q1789" s="53" t="s">
        <v>591</v>
      </c>
      <c r="R1789" s="55" t="s">
        <v>454</v>
      </c>
    </row>
    <row r="1790" spans="1:18" x14ac:dyDescent="0.5">
      <c r="A1790" s="56" t="str">
        <f>"1175656X4"</f>
        <v>1175656X4</v>
      </c>
      <c r="B1790" s="57" t="s">
        <v>451</v>
      </c>
      <c r="C1790" s="57" t="s">
        <v>2147</v>
      </c>
      <c r="D1790" s="53" t="s">
        <v>447</v>
      </c>
      <c r="E1790" s="57">
        <v>3.6</v>
      </c>
      <c r="F1790" s="58">
        <v>49171</v>
      </c>
      <c r="G1790" s="58">
        <v>45733</v>
      </c>
      <c r="H1790" s="57" t="s">
        <v>105</v>
      </c>
      <c r="I1790" s="57" t="s">
        <v>509</v>
      </c>
      <c r="J1790" s="57" t="s">
        <v>101</v>
      </c>
      <c r="K1790" s="57">
        <v>99.7</v>
      </c>
      <c r="L1790" s="57" t="s">
        <v>101</v>
      </c>
      <c r="M1790" s="57">
        <v>3.6379999999999999</v>
      </c>
      <c r="N1790" s="57">
        <v>3.6379999999999999</v>
      </c>
      <c r="O1790" s="53" t="s">
        <v>101</v>
      </c>
      <c r="P1790" s="57" t="s">
        <v>448</v>
      </c>
      <c r="Q1790" s="57" t="s">
        <v>538</v>
      </c>
      <c r="R1790" s="59" t="s">
        <v>504</v>
      </c>
    </row>
    <row r="1791" spans="1:18" x14ac:dyDescent="0.5">
      <c r="A1791" s="52" t="str">
        <f>"127253TV4"</f>
        <v>127253TV4</v>
      </c>
      <c r="B1791" s="53" t="s">
        <v>451</v>
      </c>
      <c r="C1791" s="53" t="s">
        <v>2148</v>
      </c>
      <c r="D1791" s="53" t="s">
        <v>447</v>
      </c>
      <c r="E1791" s="53">
        <v>3</v>
      </c>
      <c r="F1791" s="54">
        <v>49171</v>
      </c>
      <c r="G1791" s="54">
        <v>47710</v>
      </c>
      <c r="H1791" s="53" t="s">
        <v>105</v>
      </c>
      <c r="I1791" s="53" t="s">
        <v>104</v>
      </c>
      <c r="J1791" s="53" t="s">
        <v>101</v>
      </c>
      <c r="K1791" s="53">
        <v>94.441000000000003</v>
      </c>
      <c r="L1791" s="53" t="s">
        <v>101</v>
      </c>
      <c r="M1791" s="53">
        <v>3.7</v>
      </c>
      <c r="N1791" s="53">
        <v>3.7</v>
      </c>
      <c r="O1791" s="53" t="s">
        <v>101</v>
      </c>
      <c r="P1791" s="53" t="s">
        <v>448</v>
      </c>
      <c r="Q1791" s="53" t="s">
        <v>782</v>
      </c>
      <c r="R1791" s="55" t="s">
        <v>454</v>
      </c>
    </row>
    <row r="1792" spans="1:18" x14ac:dyDescent="0.5">
      <c r="A1792" s="56" t="str">
        <f>"187145DA2"</f>
        <v>187145DA2</v>
      </c>
      <c r="B1792" s="57" t="s">
        <v>451</v>
      </c>
      <c r="C1792" s="57" t="s">
        <v>2149</v>
      </c>
      <c r="D1792" s="53" t="s">
        <v>447</v>
      </c>
      <c r="E1792" s="57">
        <v>3.5</v>
      </c>
      <c r="F1792" s="58">
        <v>49171</v>
      </c>
      <c r="G1792" s="58">
        <v>45733</v>
      </c>
      <c r="H1792" s="57" t="s">
        <v>105</v>
      </c>
      <c r="I1792" s="57" t="s">
        <v>104</v>
      </c>
      <c r="J1792" s="57" t="s">
        <v>101</v>
      </c>
      <c r="K1792" s="57">
        <v>98.293000000000006</v>
      </c>
      <c r="L1792" s="57" t="s">
        <v>101</v>
      </c>
      <c r="M1792" s="57">
        <v>3.7149999999999999</v>
      </c>
      <c r="N1792" s="57">
        <v>3.7149999999999999</v>
      </c>
      <c r="O1792" s="53" t="s">
        <v>101</v>
      </c>
      <c r="P1792" s="57" t="s">
        <v>448</v>
      </c>
      <c r="Q1792" s="57" t="s">
        <v>556</v>
      </c>
      <c r="R1792" s="59" t="s">
        <v>450</v>
      </c>
    </row>
    <row r="1793" spans="1:18" x14ac:dyDescent="0.5">
      <c r="A1793" s="52" t="str">
        <f>"187145QU4"</f>
        <v>187145QU4</v>
      </c>
      <c r="B1793" s="53" t="s">
        <v>451</v>
      </c>
      <c r="C1793" s="53" t="s">
        <v>2150</v>
      </c>
      <c r="D1793" s="53" t="s">
        <v>447</v>
      </c>
      <c r="E1793" s="53">
        <v>5</v>
      </c>
      <c r="F1793" s="54">
        <v>49171</v>
      </c>
      <c r="G1793" s="54">
        <v>48441</v>
      </c>
      <c r="H1793" s="53" t="s">
        <v>104</v>
      </c>
      <c r="I1793" s="53" t="s">
        <v>105</v>
      </c>
      <c r="J1793" s="53" t="s">
        <v>101</v>
      </c>
      <c r="K1793" s="53">
        <v>109.78700000000001</v>
      </c>
      <c r="L1793" s="53" t="s">
        <v>101</v>
      </c>
      <c r="M1793" s="53">
        <v>3.5030000000000001</v>
      </c>
      <c r="N1793" s="53">
        <v>3.7639999999999998</v>
      </c>
      <c r="O1793" s="53" t="s">
        <v>101</v>
      </c>
      <c r="P1793" s="53" t="s">
        <v>448</v>
      </c>
      <c r="Q1793" s="53" t="s">
        <v>556</v>
      </c>
      <c r="R1793" s="55" t="s">
        <v>450</v>
      </c>
    </row>
    <row r="1794" spans="1:18" x14ac:dyDescent="0.5">
      <c r="A1794" s="56" t="str">
        <f>"187155AR7"</f>
        <v>187155AR7</v>
      </c>
      <c r="B1794" s="57" t="s">
        <v>451</v>
      </c>
      <c r="C1794" s="57" t="s">
        <v>2151</v>
      </c>
      <c r="D1794" s="53" t="s">
        <v>447</v>
      </c>
      <c r="E1794" s="57">
        <v>3.25</v>
      </c>
      <c r="F1794" s="58">
        <v>49171</v>
      </c>
      <c r="G1794" s="58">
        <v>46614</v>
      </c>
      <c r="H1794" s="57" t="s">
        <v>627</v>
      </c>
      <c r="I1794" s="57" t="s">
        <v>105</v>
      </c>
      <c r="J1794" s="57" t="s">
        <v>101</v>
      </c>
      <c r="K1794" s="57">
        <v>92.87</v>
      </c>
      <c r="L1794" s="57" t="s">
        <v>101</v>
      </c>
      <c r="M1794" s="57">
        <v>4.1669999999999998</v>
      </c>
      <c r="N1794" s="57">
        <v>4.1669999999999998</v>
      </c>
      <c r="O1794" s="53" t="s">
        <v>101</v>
      </c>
      <c r="P1794" s="57" t="s">
        <v>448</v>
      </c>
      <c r="Q1794" s="57" t="s">
        <v>488</v>
      </c>
      <c r="R1794" s="59" t="s">
        <v>504</v>
      </c>
    </row>
    <row r="1795" spans="1:18" x14ac:dyDescent="0.5">
      <c r="A1795" s="52" t="str">
        <f>"187155BK1"</f>
        <v>187155BK1</v>
      </c>
      <c r="B1795" s="53" t="s">
        <v>451</v>
      </c>
      <c r="C1795" s="53" t="s">
        <v>2152</v>
      </c>
      <c r="D1795" s="53" t="s">
        <v>447</v>
      </c>
      <c r="E1795" s="53">
        <v>5</v>
      </c>
      <c r="F1795" s="54">
        <v>49171</v>
      </c>
      <c r="G1795" s="54">
        <v>48441</v>
      </c>
      <c r="H1795" s="53" t="s">
        <v>627</v>
      </c>
      <c r="I1795" s="53" t="s">
        <v>105</v>
      </c>
      <c r="J1795" s="53" t="s">
        <v>101</v>
      </c>
      <c r="K1795" s="53">
        <v>109.723</v>
      </c>
      <c r="L1795" s="53" t="s">
        <v>101</v>
      </c>
      <c r="M1795" s="53">
        <v>3.5129999999999999</v>
      </c>
      <c r="N1795" s="53">
        <v>3.7719999999999998</v>
      </c>
      <c r="O1795" s="53" t="s">
        <v>101</v>
      </c>
      <c r="P1795" s="53" t="s">
        <v>448</v>
      </c>
      <c r="Q1795" s="53" t="s">
        <v>1064</v>
      </c>
      <c r="R1795" s="55" t="s">
        <v>504</v>
      </c>
    </row>
    <row r="1796" spans="1:18" x14ac:dyDescent="0.5">
      <c r="A1796" s="56" t="str">
        <f>"19427PCP2"</f>
        <v>19427PCP2</v>
      </c>
      <c r="B1796" s="57" t="s">
        <v>451</v>
      </c>
      <c r="C1796" s="57" t="s">
        <v>2153</v>
      </c>
      <c r="D1796" s="53" t="s">
        <v>447</v>
      </c>
      <c r="E1796" s="57">
        <v>4</v>
      </c>
      <c r="F1796" s="58">
        <v>49171</v>
      </c>
      <c r="G1796" s="58">
        <v>47345</v>
      </c>
      <c r="H1796" s="57" t="s">
        <v>624</v>
      </c>
      <c r="I1796" s="57" t="s">
        <v>616</v>
      </c>
      <c r="J1796" s="57" t="s">
        <v>101</v>
      </c>
      <c r="K1796" s="57">
        <v>101.849</v>
      </c>
      <c r="L1796" s="57" t="s">
        <v>101</v>
      </c>
      <c r="M1796" s="57">
        <v>3.5510000000000002</v>
      </c>
      <c r="N1796" s="57">
        <v>3.766</v>
      </c>
      <c r="O1796" s="53" t="s">
        <v>101</v>
      </c>
      <c r="P1796" s="57" t="s">
        <v>448</v>
      </c>
      <c r="Q1796" s="57" t="s">
        <v>538</v>
      </c>
      <c r="R1796" s="59" t="s">
        <v>454</v>
      </c>
    </row>
    <row r="1797" spans="1:18" x14ac:dyDescent="0.5">
      <c r="A1797" s="52" t="str">
        <f>"194475UC1"</f>
        <v>194475UC1</v>
      </c>
      <c r="B1797" s="53" t="s">
        <v>451</v>
      </c>
      <c r="C1797" s="53" t="s">
        <v>2154</v>
      </c>
      <c r="D1797" s="53" t="s">
        <v>447</v>
      </c>
      <c r="E1797" s="53">
        <v>3</v>
      </c>
      <c r="F1797" s="54">
        <v>49171</v>
      </c>
      <c r="G1797" s="54">
        <v>46249</v>
      </c>
      <c r="H1797" s="53" t="s">
        <v>104</v>
      </c>
      <c r="I1797" s="53" t="s">
        <v>104</v>
      </c>
      <c r="J1797" s="53" t="s">
        <v>101</v>
      </c>
      <c r="K1797" s="53">
        <v>93.92</v>
      </c>
      <c r="L1797" s="53" t="s">
        <v>101</v>
      </c>
      <c r="M1797" s="53">
        <v>3.7679999999999998</v>
      </c>
      <c r="N1797" s="53">
        <v>3.7679999999999998</v>
      </c>
      <c r="O1797" s="53" t="s">
        <v>101</v>
      </c>
      <c r="P1797" s="53" t="s">
        <v>448</v>
      </c>
      <c r="Q1797" s="53" t="s">
        <v>790</v>
      </c>
      <c r="R1797" s="55" t="s">
        <v>454</v>
      </c>
    </row>
    <row r="1798" spans="1:18" x14ac:dyDescent="0.5">
      <c r="A1798" s="56" t="str">
        <f>"19626CBH9"</f>
        <v>19626CBH9</v>
      </c>
      <c r="B1798" s="57" t="s">
        <v>451</v>
      </c>
      <c r="C1798" s="57" t="s">
        <v>2155</v>
      </c>
      <c r="D1798" s="53" t="s">
        <v>447</v>
      </c>
      <c r="E1798" s="57">
        <v>4.5</v>
      </c>
      <c r="F1798" s="58">
        <v>49171</v>
      </c>
      <c r="G1798" s="58">
        <v>47345</v>
      </c>
      <c r="H1798" s="57" t="s">
        <v>105</v>
      </c>
      <c r="I1798" s="57" t="s">
        <v>628</v>
      </c>
      <c r="J1798" s="57" t="s">
        <v>101</v>
      </c>
      <c r="K1798" s="57">
        <v>103.06399999999999</v>
      </c>
      <c r="L1798" s="57" t="s">
        <v>101</v>
      </c>
      <c r="M1798" s="57">
        <v>3.7519999999999998</v>
      </c>
      <c r="N1798" s="57">
        <v>4.1070000000000002</v>
      </c>
      <c r="O1798" s="53" t="s">
        <v>101</v>
      </c>
      <c r="P1798" s="57" t="s">
        <v>448</v>
      </c>
      <c r="Q1798" s="57" t="s">
        <v>479</v>
      </c>
      <c r="R1798" s="59" t="s">
        <v>630</v>
      </c>
    </row>
    <row r="1799" spans="1:18" x14ac:dyDescent="0.5">
      <c r="A1799" s="52" t="str">
        <f>"217597P80"</f>
        <v>217597P80</v>
      </c>
      <c r="B1799" s="53" t="s">
        <v>451</v>
      </c>
      <c r="C1799" s="53" t="s">
        <v>2156</v>
      </c>
      <c r="D1799" s="53" t="s">
        <v>447</v>
      </c>
      <c r="E1799" s="53">
        <v>3</v>
      </c>
      <c r="F1799" s="54">
        <v>49171</v>
      </c>
      <c r="G1799" s="54">
        <v>47710</v>
      </c>
      <c r="H1799" s="53" t="s">
        <v>105</v>
      </c>
      <c r="I1799" s="53" t="s">
        <v>628</v>
      </c>
      <c r="J1799" s="53" t="s">
        <v>101</v>
      </c>
      <c r="K1799" s="53">
        <v>94.989000000000004</v>
      </c>
      <c r="L1799" s="53" t="s">
        <v>101</v>
      </c>
      <c r="M1799" s="53">
        <v>3.629</v>
      </c>
      <c r="N1799" s="53">
        <v>3.629</v>
      </c>
      <c r="O1799" s="53" t="s">
        <v>101</v>
      </c>
      <c r="P1799" s="53" t="s">
        <v>448</v>
      </c>
      <c r="Q1799" s="53" t="s">
        <v>782</v>
      </c>
      <c r="R1799" s="55" t="s">
        <v>504</v>
      </c>
    </row>
    <row r="1800" spans="1:18" x14ac:dyDescent="0.5">
      <c r="A1800" s="56" t="str">
        <f>"235286AN1"</f>
        <v>235286AN1</v>
      </c>
      <c r="B1800" s="57" t="s">
        <v>451</v>
      </c>
      <c r="C1800" s="57" t="s">
        <v>2157</v>
      </c>
      <c r="D1800" s="53" t="s">
        <v>447</v>
      </c>
      <c r="E1800" s="57">
        <v>4</v>
      </c>
      <c r="F1800" s="58">
        <v>49171</v>
      </c>
      <c r="G1800" s="58">
        <v>46249</v>
      </c>
      <c r="H1800" s="57" t="s">
        <v>105</v>
      </c>
      <c r="I1800" s="57" t="s">
        <v>611</v>
      </c>
      <c r="J1800" s="57" t="s">
        <v>101</v>
      </c>
      <c r="K1800" s="57">
        <v>100.105</v>
      </c>
      <c r="L1800" s="57" t="s">
        <v>101</v>
      </c>
      <c r="M1800" s="57">
        <v>3.927</v>
      </c>
      <c r="N1800" s="57">
        <v>3.9870000000000001</v>
      </c>
      <c r="O1800" s="53" t="s">
        <v>101</v>
      </c>
      <c r="P1800" s="57" t="s">
        <v>448</v>
      </c>
      <c r="Q1800" s="57" t="s">
        <v>527</v>
      </c>
      <c r="R1800" s="59" t="s">
        <v>504</v>
      </c>
    </row>
    <row r="1801" spans="1:18" x14ac:dyDescent="0.5">
      <c r="A1801" s="52" t="str">
        <f>"283734P62"</f>
        <v>283734P62</v>
      </c>
      <c r="B1801" s="53" t="s">
        <v>451</v>
      </c>
      <c r="C1801" s="53" t="s">
        <v>2158</v>
      </c>
      <c r="D1801" s="53" t="s">
        <v>447</v>
      </c>
      <c r="E1801" s="53">
        <v>4</v>
      </c>
      <c r="F1801" s="54">
        <v>49171</v>
      </c>
      <c r="G1801" s="54">
        <v>46980</v>
      </c>
      <c r="H1801" s="53" t="s">
        <v>105</v>
      </c>
      <c r="I1801" s="53" t="s">
        <v>628</v>
      </c>
      <c r="J1801" s="53" t="s">
        <v>101</v>
      </c>
      <c r="K1801" s="53">
        <v>101.483</v>
      </c>
      <c r="L1801" s="53" t="s">
        <v>101</v>
      </c>
      <c r="M1801" s="53">
        <v>3.5449999999999999</v>
      </c>
      <c r="N1801" s="53">
        <v>3.8119999999999998</v>
      </c>
      <c r="O1801" s="53" t="s">
        <v>101</v>
      </c>
      <c r="P1801" s="53" t="s">
        <v>448</v>
      </c>
      <c r="Q1801" s="53" t="s">
        <v>591</v>
      </c>
      <c r="R1801" s="55" t="s">
        <v>504</v>
      </c>
    </row>
    <row r="1802" spans="1:18" x14ac:dyDescent="0.5">
      <c r="A1802" s="56" t="str">
        <f>"373029QP5"</f>
        <v>373029QP5</v>
      </c>
      <c r="B1802" s="57" t="s">
        <v>451</v>
      </c>
      <c r="C1802" s="57" t="s">
        <v>2159</v>
      </c>
      <c r="D1802" s="53" t="s">
        <v>447</v>
      </c>
      <c r="E1802" s="57">
        <v>4</v>
      </c>
      <c r="F1802" s="58">
        <v>49171</v>
      </c>
      <c r="G1802" s="58">
        <v>48075</v>
      </c>
      <c r="H1802" s="57" t="s">
        <v>105</v>
      </c>
      <c r="I1802" s="57" t="s">
        <v>104</v>
      </c>
      <c r="J1802" s="57" t="s">
        <v>101</v>
      </c>
      <c r="K1802" s="57">
        <v>102.75</v>
      </c>
      <c r="L1802" s="57" t="s">
        <v>101</v>
      </c>
      <c r="M1802" s="57">
        <v>3.5219999999999998</v>
      </c>
      <c r="N1802" s="57">
        <v>3.6539999999999999</v>
      </c>
      <c r="O1802" s="53" t="s">
        <v>101</v>
      </c>
      <c r="P1802" s="57" t="s">
        <v>448</v>
      </c>
      <c r="Q1802" s="57" t="s">
        <v>453</v>
      </c>
      <c r="R1802" s="59" t="s">
        <v>454</v>
      </c>
    </row>
    <row r="1803" spans="1:18" x14ac:dyDescent="0.5">
      <c r="A1803" s="52" t="str">
        <f>"373064K29"</f>
        <v>373064K29</v>
      </c>
      <c r="B1803" s="53" t="s">
        <v>451</v>
      </c>
      <c r="C1803" s="53" t="s">
        <v>2160</v>
      </c>
      <c r="D1803" s="53" t="s">
        <v>447</v>
      </c>
      <c r="E1803" s="53">
        <v>3.25</v>
      </c>
      <c r="F1803" s="54">
        <v>49171</v>
      </c>
      <c r="G1803" s="54">
        <v>46249</v>
      </c>
      <c r="H1803" s="53" t="s">
        <v>105</v>
      </c>
      <c r="I1803" s="53" t="s">
        <v>658</v>
      </c>
      <c r="J1803" s="53" t="s">
        <v>101</v>
      </c>
      <c r="K1803" s="53">
        <v>93.596000000000004</v>
      </c>
      <c r="L1803" s="53" t="s">
        <v>101</v>
      </c>
      <c r="M1803" s="53">
        <v>4.07</v>
      </c>
      <c r="N1803" s="53">
        <v>4.07</v>
      </c>
      <c r="O1803" s="53" t="s">
        <v>101</v>
      </c>
      <c r="P1803" s="53" t="s">
        <v>448</v>
      </c>
      <c r="Q1803" s="53" t="s">
        <v>556</v>
      </c>
      <c r="R1803" s="55" t="s">
        <v>504</v>
      </c>
    </row>
    <row r="1804" spans="1:18" x14ac:dyDescent="0.5">
      <c r="A1804" s="56" t="str">
        <f>"381568FC3"</f>
        <v>381568FC3</v>
      </c>
      <c r="B1804" s="57" t="s">
        <v>451</v>
      </c>
      <c r="C1804" s="57" t="s">
        <v>2161</v>
      </c>
      <c r="D1804" s="53" t="s">
        <v>447</v>
      </c>
      <c r="E1804" s="57">
        <v>3</v>
      </c>
      <c r="F1804" s="58">
        <v>49171</v>
      </c>
      <c r="G1804" s="58">
        <v>46249</v>
      </c>
      <c r="H1804" s="57" t="s">
        <v>105</v>
      </c>
      <c r="I1804" s="57" t="s">
        <v>104</v>
      </c>
      <c r="J1804" s="57" t="s">
        <v>101</v>
      </c>
      <c r="K1804" s="57">
        <v>93.49</v>
      </c>
      <c r="L1804" s="57" t="s">
        <v>101</v>
      </c>
      <c r="M1804" s="57">
        <v>3.8239999999999998</v>
      </c>
      <c r="N1804" s="57">
        <v>3.8239999999999998</v>
      </c>
      <c r="O1804" s="53" t="s">
        <v>101</v>
      </c>
      <c r="P1804" s="57" t="s">
        <v>448</v>
      </c>
      <c r="Q1804" s="57" t="s">
        <v>517</v>
      </c>
      <c r="R1804" s="59" t="s">
        <v>454</v>
      </c>
    </row>
    <row r="1805" spans="1:18" x14ac:dyDescent="0.5">
      <c r="A1805" s="52" t="str">
        <f>"429326Q20"</f>
        <v>429326Q20</v>
      </c>
      <c r="B1805" s="53" t="s">
        <v>451</v>
      </c>
      <c r="C1805" s="53" t="s">
        <v>2162</v>
      </c>
      <c r="D1805" s="53" t="s">
        <v>447</v>
      </c>
      <c r="E1805" s="53">
        <v>3</v>
      </c>
      <c r="F1805" s="54">
        <v>49171</v>
      </c>
      <c r="G1805" s="54">
        <v>47710</v>
      </c>
      <c r="H1805" s="53" t="s">
        <v>613</v>
      </c>
      <c r="I1805" s="53" t="s">
        <v>616</v>
      </c>
      <c r="J1805" s="53" t="s">
        <v>101</v>
      </c>
      <c r="K1805" s="53">
        <v>93.524000000000001</v>
      </c>
      <c r="L1805" s="53" t="s">
        <v>101</v>
      </c>
      <c r="M1805" s="53">
        <v>3.82</v>
      </c>
      <c r="N1805" s="53">
        <v>3.82</v>
      </c>
      <c r="O1805" s="53" t="s">
        <v>101</v>
      </c>
      <c r="P1805" s="53" t="s">
        <v>448</v>
      </c>
      <c r="Q1805" s="53" t="s">
        <v>485</v>
      </c>
      <c r="R1805" s="55" t="s">
        <v>589</v>
      </c>
    </row>
    <row r="1806" spans="1:18" x14ac:dyDescent="0.5">
      <c r="A1806" s="56" t="str">
        <f>"45204ETS7"</f>
        <v>45204ETS7</v>
      </c>
      <c r="B1806" s="57" t="s">
        <v>491</v>
      </c>
      <c r="C1806" s="57" t="s">
        <v>2163</v>
      </c>
      <c r="D1806" s="53" t="s">
        <v>447</v>
      </c>
      <c r="E1806" s="57">
        <v>5</v>
      </c>
      <c r="F1806" s="58">
        <v>49171</v>
      </c>
      <c r="G1806" s="58">
        <v>46614</v>
      </c>
      <c r="H1806" s="57" t="s">
        <v>105</v>
      </c>
      <c r="I1806" s="57" t="s">
        <v>616</v>
      </c>
      <c r="J1806" s="57" t="s">
        <v>101</v>
      </c>
      <c r="K1806" s="57">
        <v>103.35</v>
      </c>
      <c r="L1806" s="57" t="s">
        <v>101</v>
      </c>
      <c r="M1806" s="57">
        <v>3.5819999999999999</v>
      </c>
      <c r="N1806" s="57">
        <v>4.5609999999999999</v>
      </c>
      <c r="O1806" s="53" t="s">
        <v>101</v>
      </c>
      <c r="P1806" s="57" t="s">
        <v>448</v>
      </c>
      <c r="Q1806" s="57" t="s">
        <v>488</v>
      </c>
      <c r="R1806" s="59" t="s">
        <v>506</v>
      </c>
    </row>
    <row r="1807" spans="1:18" x14ac:dyDescent="0.5">
      <c r="A1807" s="52" t="str">
        <f>"501552LH4"</f>
        <v>501552LH4</v>
      </c>
      <c r="B1807" s="53" t="s">
        <v>451</v>
      </c>
      <c r="C1807" s="53" t="s">
        <v>2164</v>
      </c>
      <c r="D1807" s="53" t="s">
        <v>447</v>
      </c>
      <c r="E1807" s="53">
        <v>4</v>
      </c>
      <c r="F1807" s="54">
        <v>49171</v>
      </c>
      <c r="G1807" s="54">
        <v>47710</v>
      </c>
      <c r="H1807" s="53" t="s">
        <v>105</v>
      </c>
      <c r="I1807" s="53" t="s">
        <v>616</v>
      </c>
      <c r="J1807" s="53" t="s">
        <v>101</v>
      </c>
      <c r="K1807" s="53">
        <v>102.404</v>
      </c>
      <c r="L1807" s="53" t="s">
        <v>101</v>
      </c>
      <c r="M1807" s="53">
        <v>3.5150000000000001</v>
      </c>
      <c r="N1807" s="53">
        <v>3.6970000000000001</v>
      </c>
      <c r="O1807" s="53" t="s">
        <v>101</v>
      </c>
      <c r="P1807" s="53" t="s">
        <v>448</v>
      </c>
      <c r="Q1807" s="53" t="s">
        <v>2165</v>
      </c>
      <c r="R1807" s="55" t="s">
        <v>589</v>
      </c>
    </row>
    <row r="1808" spans="1:18" x14ac:dyDescent="0.5">
      <c r="A1808" s="56" t="str">
        <f>"521838E32"</f>
        <v>521838E32</v>
      </c>
      <c r="B1808" s="57" t="s">
        <v>451</v>
      </c>
      <c r="C1808" s="57" t="s">
        <v>2166</v>
      </c>
      <c r="D1808" s="53" t="s">
        <v>447</v>
      </c>
      <c r="E1808" s="57">
        <v>4</v>
      </c>
      <c r="F1808" s="58">
        <v>49171</v>
      </c>
      <c r="G1808" s="58">
        <v>46614</v>
      </c>
      <c r="H1808" s="57" t="s">
        <v>540</v>
      </c>
      <c r="I1808" s="57" t="s">
        <v>628</v>
      </c>
      <c r="J1808" s="57" t="s">
        <v>101</v>
      </c>
      <c r="K1808" s="57">
        <v>100.52</v>
      </c>
      <c r="L1808" s="57" t="s">
        <v>101</v>
      </c>
      <c r="M1808" s="57">
        <v>3.7789999999999999</v>
      </c>
      <c r="N1808" s="57">
        <v>3.9340000000000002</v>
      </c>
      <c r="O1808" s="53" t="s">
        <v>101</v>
      </c>
      <c r="P1808" s="57" t="s">
        <v>448</v>
      </c>
      <c r="Q1808" s="57" t="s">
        <v>488</v>
      </c>
      <c r="R1808" s="59" t="s">
        <v>504</v>
      </c>
    </row>
    <row r="1809" spans="1:18" x14ac:dyDescent="0.5">
      <c r="A1809" s="52" t="str">
        <f>"52882PAS7"</f>
        <v>52882PAS7</v>
      </c>
      <c r="B1809" s="53" t="s">
        <v>451</v>
      </c>
      <c r="C1809" s="53" t="s">
        <v>2167</v>
      </c>
      <c r="D1809" s="53" t="s">
        <v>447</v>
      </c>
      <c r="E1809" s="53">
        <v>3.125</v>
      </c>
      <c r="F1809" s="54">
        <v>49171</v>
      </c>
      <c r="G1809" s="54">
        <v>46249</v>
      </c>
      <c r="H1809" s="53" t="s">
        <v>105</v>
      </c>
      <c r="I1809" s="53" t="s">
        <v>104</v>
      </c>
      <c r="J1809" s="53" t="s">
        <v>101</v>
      </c>
      <c r="K1809" s="53">
        <v>94.614999999999995</v>
      </c>
      <c r="L1809" s="53" t="s">
        <v>101</v>
      </c>
      <c r="M1809" s="53">
        <v>3.806</v>
      </c>
      <c r="N1809" s="53">
        <v>3.806</v>
      </c>
      <c r="O1809" s="53" t="s">
        <v>101</v>
      </c>
      <c r="P1809" s="53" t="s">
        <v>448</v>
      </c>
      <c r="Q1809" s="53" t="s">
        <v>2168</v>
      </c>
      <c r="R1809" s="55" t="s">
        <v>454</v>
      </c>
    </row>
    <row r="1810" spans="1:18" x14ac:dyDescent="0.5">
      <c r="A1810" s="56" t="str">
        <f>"611766HU3"</f>
        <v>611766HU3</v>
      </c>
      <c r="B1810" s="57" t="s">
        <v>451</v>
      </c>
      <c r="C1810" s="57" t="s">
        <v>2169</v>
      </c>
      <c r="D1810" s="53" t="s">
        <v>447</v>
      </c>
      <c r="E1810" s="57">
        <v>3.125</v>
      </c>
      <c r="F1810" s="58">
        <v>49171</v>
      </c>
      <c r="G1810" s="58">
        <v>46249</v>
      </c>
      <c r="H1810" s="57" t="s">
        <v>540</v>
      </c>
      <c r="I1810" s="57" t="s">
        <v>105</v>
      </c>
      <c r="J1810" s="57" t="s">
        <v>101</v>
      </c>
      <c r="K1810" s="57">
        <v>94.543999999999997</v>
      </c>
      <c r="L1810" s="57" t="s">
        <v>101</v>
      </c>
      <c r="M1810" s="57">
        <v>3.8159999999999998</v>
      </c>
      <c r="N1810" s="57">
        <v>3.8159999999999998</v>
      </c>
      <c r="O1810" s="53" t="s">
        <v>101</v>
      </c>
      <c r="P1810" s="57" t="s">
        <v>448</v>
      </c>
      <c r="Q1810" s="57" t="s">
        <v>874</v>
      </c>
      <c r="R1810" s="59" t="s">
        <v>504</v>
      </c>
    </row>
    <row r="1811" spans="1:18" x14ac:dyDescent="0.5">
      <c r="A1811" s="52" t="str">
        <f>"645424AQ5"</f>
        <v>645424AQ5</v>
      </c>
      <c r="B1811" s="53" t="s">
        <v>451</v>
      </c>
      <c r="C1811" s="53" t="s">
        <v>2170</v>
      </c>
      <c r="D1811" s="53" t="s">
        <v>447</v>
      </c>
      <c r="E1811" s="53">
        <v>4</v>
      </c>
      <c r="F1811" s="54">
        <v>49171</v>
      </c>
      <c r="G1811" s="54">
        <v>46614</v>
      </c>
      <c r="H1811" s="53" t="s">
        <v>624</v>
      </c>
      <c r="I1811" s="53" t="s">
        <v>105</v>
      </c>
      <c r="J1811" s="53" t="s">
        <v>101</v>
      </c>
      <c r="K1811" s="53">
        <v>100.31</v>
      </c>
      <c r="L1811" s="53" t="s">
        <v>101</v>
      </c>
      <c r="M1811" s="53">
        <v>3.8679999999999999</v>
      </c>
      <c r="N1811" s="53">
        <v>3.96</v>
      </c>
      <c r="O1811" s="53" t="s">
        <v>101</v>
      </c>
      <c r="P1811" s="53" t="s">
        <v>448</v>
      </c>
      <c r="Q1811" s="53" t="s">
        <v>475</v>
      </c>
      <c r="R1811" s="55" t="s">
        <v>506</v>
      </c>
    </row>
    <row r="1812" spans="1:18" x14ac:dyDescent="0.5">
      <c r="A1812" s="56" t="str">
        <f>"69651ABE3"</f>
        <v>69651ABE3</v>
      </c>
      <c r="B1812" s="57" t="s">
        <v>499</v>
      </c>
      <c r="C1812" s="57" t="s">
        <v>2171</v>
      </c>
      <c r="D1812" s="53" t="s">
        <v>447</v>
      </c>
      <c r="E1812" s="57">
        <v>5</v>
      </c>
      <c r="F1812" s="58">
        <v>49171</v>
      </c>
      <c r="G1812" s="58">
        <v>47345</v>
      </c>
      <c r="H1812" s="57" t="s">
        <v>641</v>
      </c>
      <c r="I1812" s="57" t="s">
        <v>616</v>
      </c>
      <c r="J1812" s="57" t="s">
        <v>101</v>
      </c>
      <c r="K1812" s="57">
        <v>106.101</v>
      </c>
      <c r="L1812" s="57" t="s">
        <v>101</v>
      </c>
      <c r="M1812" s="57">
        <v>3.52</v>
      </c>
      <c r="N1812" s="57">
        <v>4.2130000000000001</v>
      </c>
      <c r="O1812" s="53" t="s">
        <v>101</v>
      </c>
      <c r="P1812" s="57" t="s">
        <v>448</v>
      </c>
      <c r="Q1812" s="57" t="s">
        <v>503</v>
      </c>
      <c r="R1812" s="59" t="s">
        <v>450</v>
      </c>
    </row>
    <row r="1813" spans="1:18" x14ac:dyDescent="0.5">
      <c r="A1813" s="52" t="str">
        <f>"756843YC6"</f>
        <v>756843YC6</v>
      </c>
      <c r="B1813" s="53" t="s">
        <v>451</v>
      </c>
      <c r="C1813" s="53" t="s">
        <v>2172</v>
      </c>
      <c r="D1813" s="53" t="s">
        <v>447</v>
      </c>
      <c r="E1813" s="53">
        <v>3.25</v>
      </c>
      <c r="F1813" s="54">
        <v>49171</v>
      </c>
      <c r="G1813" s="54">
        <v>46249</v>
      </c>
      <c r="H1813" s="53" t="s">
        <v>104</v>
      </c>
      <c r="I1813" s="53" t="s">
        <v>105</v>
      </c>
      <c r="J1813" s="53" t="s">
        <v>101</v>
      </c>
      <c r="K1813" s="53">
        <v>95.44</v>
      </c>
      <c r="L1813" s="53" t="s">
        <v>101</v>
      </c>
      <c r="M1813" s="53">
        <v>3.827</v>
      </c>
      <c r="N1813" s="53">
        <v>3.827</v>
      </c>
      <c r="O1813" s="53" t="s">
        <v>101</v>
      </c>
      <c r="P1813" s="53" t="s">
        <v>448</v>
      </c>
      <c r="Q1813" s="53" t="s">
        <v>488</v>
      </c>
      <c r="R1813" s="55" t="s">
        <v>454</v>
      </c>
    </row>
    <row r="1814" spans="1:18" x14ac:dyDescent="0.5">
      <c r="A1814" s="56" t="str">
        <f>"780860JX1"</f>
        <v>780860JX1</v>
      </c>
      <c r="B1814" s="57" t="s">
        <v>451</v>
      </c>
      <c r="C1814" s="57" t="s">
        <v>2173</v>
      </c>
      <c r="D1814" s="53" t="s">
        <v>447</v>
      </c>
      <c r="E1814" s="57">
        <v>3.15</v>
      </c>
      <c r="F1814" s="58">
        <v>49171</v>
      </c>
      <c r="G1814" s="58">
        <v>46249</v>
      </c>
      <c r="H1814" s="57" t="s">
        <v>105</v>
      </c>
      <c r="I1814" s="57" t="s">
        <v>616</v>
      </c>
      <c r="J1814" s="57" t="s">
        <v>101</v>
      </c>
      <c r="K1814" s="57">
        <v>94.003</v>
      </c>
      <c r="L1814" s="57" t="s">
        <v>101</v>
      </c>
      <c r="M1814" s="57">
        <v>3.9119999999999999</v>
      </c>
      <c r="N1814" s="57">
        <v>3.9119999999999999</v>
      </c>
      <c r="O1814" s="53" t="s">
        <v>101</v>
      </c>
      <c r="P1814" s="57" t="s">
        <v>448</v>
      </c>
      <c r="Q1814" s="57" t="s">
        <v>457</v>
      </c>
      <c r="R1814" s="59" t="s">
        <v>504</v>
      </c>
    </row>
    <row r="1815" spans="1:18" x14ac:dyDescent="0.5">
      <c r="A1815" s="52" t="str">
        <f>"785615LB9"</f>
        <v>785615LB9</v>
      </c>
      <c r="B1815" s="53" t="s">
        <v>451</v>
      </c>
      <c r="C1815" s="53" t="s">
        <v>2174</v>
      </c>
      <c r="D1815" s="53" t="s">
        <v>447</v>
      </c>
      <c r="E1815" s="53">
        <v>3</v>
      </c>
      <c r="F1815" s="54">
        <v>49171</v>
      </c>
      <c r="G1815" s="54">
        <v>48075</v>
      </c>
      <c r="H1815" s="53" t="s">
        <v>105</v>
      </c>
      <c r="I1815" s="53" t="s">
        <v>104</v>
      </c>
      <c r="J1815" s="53" t="s">
        <v>101</v>
      </c>
      <c r="K1815" s="53">
        <v>94.453000000000003</v>
      </c>
      <c r="L1815" s="53" t="s">
        <v>101</v>
      </c>
      <c r="M1815" s="53">
        <v>3.698</v>
      </c>
      <c r="N1815" s="53">
        <v>3.698</v>
      </c>
      <c r="O1815" s="53" t="s">
        <v>101</v>
      </c>
      <c r="P1815" s="53" t="s">
        <v>448</v>
      </c>
      <c r="Q1815" s="53" t="s">
        <v>457</v>
      </c>
      <c r="R1815" s="55" t="s">
        <v>454</v>
      </c>
    </row>
    <row r="1816" spans="1:18" x14ac:dyDescent="0.5">
      <c r="A1816" s="56" t="str">
        <f>"798765LB7"</f>
        <v>798765LB7</v>
      </c>
      <c r="B1816" s="57" t="s">
        <v>451</v>
      </c>
      <c r="C1816" s="57" t="s">
        <v>2175</v>
      </c>
      <c r="D1816" s="53" t="s">
        <v>447</v>
      </c>
      <c r="E1816" s="57">
        <v>3</v>
      </c>
      <c r="F1816" s="58">
        <v>49171</v>
      </c>
      <c r="G1816" s="58">
        <v>47710</v>
      </c>
      <c r="H1816" s="57" t="s">
        <v>105</v>
      </c>
      <c r="I1816" s="57" t="s">
        <v>628</v>
      </c>
      <c r="J1816" s="57" t="s">
        <v>101</v>
      </c>
      <c r="K1816" s="57">
        <v>93.524000000000001</v>
      </c>
      <c r="L1816" s="57" t="s">
        <v>101</v>
      </c>
      <c r="M1816" s="57">
        <v>3.82</v>
      </c>
      <c r="N1816" s="57">
        <v>3.82</v>
      </c>
      <c r="O1816" s="53" t="s">
        <v>101</v>
      </c>
      <c r="P1816" s="57" t="s">
        <v>448</v>
      </c>
      <c r="Q1816" s="57" t="s">
        <v>485</v>
      </c>
      <c r="R1816" s="59" t="s">
        <v>589</v>
      </c>
    </row>
    <row r="1817" spans="1:18" x14ac:dyDescent="0.5">
      <c r="A1817" s="52" t="str">
        <f>"839091QW8"</f>
        <v>839091QW8</v>
      </c>
      <c r="B1817" s="53" t="s">
        <v>477</v>
      </c>
      <c r="C1817" s="53" t="s">
        <v>2176</v>
      </c>
      <c r="D1817" s="53" t="s">
        <v>447</v>
      </c>
      <c r="E1817" s="53">
        <v>2.25</v>
      </c>
      <c r="F1817" s="54">
        <v>49171</v>
      </c>
      <c r="G1817" s="54">
        <v>46249</v>
      </c>
      <c r="H1817" s="53" t="s">
        <v>610</v>
      </c>
      <c r="I1817" s="53" t="s">
        <v>105</v>
      </c>
      <c r="J1817" s="53" t="s">
        <v>101</v>
      </c>
      <c r="K1817" s="53">
        <v>84.524000000000001</v>
      </c>
      <c r="L1817" s="53" t="s">
        <v>101</v>
      </c>
      <c r="M1817" s="53">
        <v>4.2480000000000002</v>
      </c>
      <c r="N1817" s="53">
        <v>4.2480000000000002</v>
      </c>
      <c r="O1817" s="53" t="s">
        <v>101</v>
      </c>
      <c r="P1817" s="53" t="s">
        <v>448</v>
      </c>
      <c r="Q1817" s="53" t="s">
        <v>485</v>
      </c>
      <c r="R1817" s="55" t="s">
        <v>454</v>
      </c>
    </row>
    <row r="1818" spans="1:18" x14ac:dyDescent="0.5">
      <c r="A1818" s="56" t="str">
        <f>"864881TU1"</f>
        <v>864881TU1</v>
      </c>
      <c r="B1818" s="57" t="s">
        <v>451</v>
      </c>
      <c r="C1818" s="57" t="s">
        <v>2177</v>
      </c>
      <c r="D1818" s="53" t="s">
        <v>447</v>
      </c>
      <c r="E1818" s="57">
        <v>3</v>
      </c>
      <c r="F1818" s="58">
        <v>49171</v>
      </c>
      <c r="G1818" s="58">
        <v>47710</v>
      </c>
      <c r="H1818" s="57" t="s">
        <v>105</v>
      </c>
      <c r="I1818" s="57" t="s">
        <v>628</v>
      </c>
      <c r="J1818" s="57" t="s">
        <v>101</v>
      </c>
      <c r="K1818" s="57">
        <v>93.531999999999996</v>
      </c>
      <c r="L1818" s="57" t="s">
        <v>101</v>
      </c>
      <c r="M1818" s="57">
        <v>3.819</v>
      </c>
      <c r="N1818" s="57">
        <v>3.819</v>
      </c>
      <c r="O1818" s="53" t="s">
        <v>101</v>
      </c>
      <c r="P1818" s="57" t="s">
        <v>448</v>
      </c>
      <c r="Q1818" s="57" t="s">
        <v>556</v>
      </c>
      <c r="R1818" s="59" t="s">
        <v>504</v>
      </c>
    </row>
    <row r="1819" spans="1:18" x14ac:dyDescent="0.5">
      <c r="A1819" s="52" t="str">
        <f>"865542PX6"</f>
        <v>865542PX6</v>
      </c>
      <c r="B1819" s="53" t="s">
        <v>451</v>
      </c>
      <c r="C1819" s="53" t="s">
        <v>2178</v>
      </c>
      <c r="D1819" s="53" t="s">
        <v>447</v>
      </c>
      <c r="E1819" s="53">
        <v>3</v>
      </c>
      <c r="F1819" s="54">
        <v>49171</v>
      </c>
      <c r="G1819" s="54">
        <v>46614</v>
      </c>
      <c r="H1819" s="53" t="s">
        <v>104</v>
      </c>
      <c r="I1819" s="53" t="s">
        <v>105</v>
      </c>
      <c r="J1819" s="53" t="s">
        <v>101</v>
      </c>
      <c r="K1819" s="53">
        <v>92.864999999999995</v>
      </c>
      <c r="L1819" s="53" t="s">
        <v>101</v>
      </c>
      <c r="M1819" s="53">
        <v>3.907</v>
      </c>
      <c r="N1819" s="53">
        <v>3.907</v>
      </c>
      <c r="O1819" s="53" t="s">
        <v>101</v>
      </c>
      <c r="P1819" s="53" t="s">
        <v>448</v>
      </c>
      <c r="Q1819" s="53" t="s">
        <v>485</v>
      </c>
      <c r="R1819" s="55" t="s">
        <v>454</v>
      </c>
    </row>
    <row r="1820" spans="1:18" x14ac:dyDescent="0.5">
      <c r="A1820" s="56" t="str">
        <f>"929845VS1"</f>
        <v>929845VS1</v>
      </c>
      <c r="B1820" s="57" t="s">
        <v>451</v>
      </c>
      <c r="C1820" s="57" t="s">
        <v>2179</v>
      </c>
      <c r="D1820" s="53" t="s">
        <v>447</v>
      </c>
      <c r="E1820" s="57">
        <v>3</v>
      </c>
      <c r="F1820" s="58">
        <v>49171</v>
      </c>
      <c r="G1820" s="58">
        <v>48075</v>
      </c>
      <c r="H1820" s="57" t="s">
        <v>104</v>
      </c>
      <c r="I1820" s="57" t="s">
        <v>104</v>
      </c>
      <c r="J1820" s="57" t="s">
        <v>101</v>
      </c>
      <c r="K1820" s="57">
        <v>93.08</v>
      </c>
      <c r="L1820" s="57" t="s">
        <v>101</v>
      </c>
      <c r="M1820" s="57">
        <v>3.8780000000000001</v>
      </c>
      <c r="N1820" s="57">
        <v>3.8780000000000001</v>
      </c>
      <c r="O1820" s="53" t="s">
        <v>101</v>
      </c>
      <c r="P1820" s="57" t="s">
        <v>448</v>
      </c>
      <c r="Q1820" s="57" t="s">
        <v>457</v>
      </c>
      <c r="R1820" s="59" t="s">
        <v>454</v>
      </c>
    </row>
    <row r="1821" spans="1:18" x14ac:dyDescent="0.5">
      <c r="A1821" s="52" t="str">
        <f>"97712DM78"</f>
        <v>97712DM78</v>
      </c>
      <c r="B1821" s="53" t="s">
        <v>496</v>
      </c>
      <c r="C1821" s="53" t="s">
        <v>2180</v>
      </c>
      <c r="D1821" s="53" t="s">
        <v>447</v>
      </c>
      <c r="E1821" s="53">
        <v>5</v>
      </c>
      <c r="F1821" s="54">
        <v>49171</v>
      </c>
      <c r="G1821" s="54">
        <v>46980</v>
      </c>
      <c r="H1821" s="53" t="s">
        <v>624</v>
      </c>
      <c r="I1821" s="53" t="s">
        <v>628</v>
      </c>
      <c r="J1821" s="53" t="s">
        <v>101</v>
      </c>
      <c r="K1821" s="53">
        <v>104.19199999999999</v>
      </c>
      <c r="L1821" s="53" t="s">
        <v>101</v>
      </c>
      <c r="M1821" s="53">
        <v>3.7090000000000001</v>
      </c>
      <c r="N1821" s="53">
        <v>4.4539999999999997</v>
      </c>
      <c r="O1821" s="53" t="s">
        <v>101</v>
      </c>
      <c r="P1821" s="53" t="s">
        <v>448</v>
      </c>
      <c r="Q1821" s="53" t="s">
        <v>488</v>
      </c>
      <c r="R1821" s="55" t="s">
        <v>506</v>
      </c>
    </row>
    <row r="1822" spans="1:18" x14ac:dyDescent="0.5">
      <c r="A1822" s="56" t="str">
        <f>"02079RCJ9"</f>
        <v>02079RCJ9</v>
      </c>
      <c r="B1822" s="57" t="s">
        <v>451</v>
      </c>
      <c r="C1822" s="57" t="s">
        <v>2181</v>
      </c>
      <c r="D1822" s="53" t="s">
        <v>447</v>
      </c>
      <c r="E1822" s="57">
        <v>5</v>
      </c>
      <c r="F1822" s="58">
        <v>49188</v>
      </c>
      <c r="G1822" s="58">
        <v>48092</v>
      </c>
      <c r="H1822" s="57" t="s">
        <v>105</v>
      </c>
      <c r="I1822" s="57" t="s">
        <v>628</v>
      </c>
      <c r="J1822" s="57" t="s">
        <v>101</v>
      </c>
      <c r="K1822" s="57">
        <v>108.521</v>
      </c>
      <c r="L1822" s="57" t="s">
        <v>101</v>
      </c>
      <c r="M1822" s="57">
        <v>3.5289999999999999</v>
      </c>
      <c r="N1822" s="57">
        <v>3.92</v>
      </c>
      <c r="O1822" s="53" t="s">
        <v>101</v>
      </c>
      <c r="P1822" s="57" t="s">
        <v>448</v>
      </c>
      <c r="Q1822" s="57" t="s">
        <v>635</v>
      </c>
      <c r="R1822" s="59" t="s">
        <v>1376</v>
      </c>
    </row>
    <row r="1823" spans="1:18" x14ac:dyDescent="0.5">
      <c r="A1823" s="52" t="str">
        <f>"15051PAK6"</f>
        <v>15051PAK6</v>
      </c>
      <c r="B1823" s="53" t="s">
        <v>451</v>
      </c>
      <c r="C1823" s="53" t="s">
        <v>2182</v>
      </c>
      <c r="D1823" s="53" t="s">
        <v>447</v>
      </c>
      <c r="E1823" s="53">
        <v>4</v>
      </c>
      <c r="F1823" s="54">
        <v>49188</v>
      </c>
      <c r="G1823" s="54">
        <v>47727</v>
      </c>
      <c r="H1823" s="53" t="s">
        <v>610</v>
      </c>
      <c r="I1823" s="53" t="s">
        <v>105</v>
      </c>
      <c r="J1823" s="53" t="s">
        <v>101</v>
      </c>
      <c r="K1823" s="53">
        <v>102.392</v>
      </c>
      <c r="L1823" s="53" t="s">
        <v>101</v>
      </c>
      <c r="M1823" s="53">
        <v>3.52</v>
      </c>
      <c r="N1823" s="53">
        <v>3.7</v>
      </c>
      <c r="O1823" s="53" t="s">
        <v>101</v>
      </c>
      <c r="P1823" s="53" t="s">
        <v>448</v>
      </c>
      <c r="Q1823" s="53" t="s">
        <v>485</v>
      </c>
      <c r="R1823" s="55" t="s">
        <v>482</v>
      </c>
    </row>
    <row r="1824" spans="1:18" x14ac:dyDescent="0.5">
      <c r="A1824" s="56" t="str">
        <f>"157792JQ6"</f>
        <v>157792JQ6</v>
      </c>
      <c r="B1824" s="57" t="s">
        <v>451</v>
      </c>
      <c r="C1824" s="57" t="s">
        <v>2183</v>
      </c>
      <c r="D1824" s="53" t="s">
        <v>447</v>
      </c>
      <c r="E1824" s="57">
        <v>3.625</v>
      </c>
      <c r="F1824" s="58">
        <v>49188</v>
      </c>
      <c r="G1824" s="58">
        <v>45733</v>
      </c>
      <c r="H1824" s="57" t="s">
        <v>610</v>
      </c>
      <c r="I1824" s="57" t="s">
        <v>105</v>
      </c>
      <c r="J1824" s="57" t="s">
        <v>101</v>
      </c>
      <c r="K1824" s="57">
        <v>97.694000000000003</v>
      </c>
      <c r="L1824" s="57" t="s">
        <v>101</v>
      </c>
      <c r="M1824" s="57">
        <v>3.9169999999999998</v>
      </c>
      <c r="N1824" s="57">
        <v>3.9169999999999998</v>
      </c>
      <c r="O1824" s="53" t="s">
        <v>101</v>
      </c>
      <c r="P1824" s="57" t="s">
        <v>448</v>
      </c>
      <c r="Q1824" s="57" t="s">
        <v>464</v>
      </c>
      <c r="R1824" s="59" t="s">
        <v>454</v>
      </c>
    </row>
    <row r="1825" spans="1:18" x14ac:dyDescent="0.5">
      <c r="A1825" s="52" t="str">
        <f>"218054AY0"</f>
        <v>218054AY0</v>
      </c>
      <c r="B1825" s="53" t="s">
        <v>499</v>
      </c>
      <c r="C1825" s="53" t="s">
        <v>2184</v>
      </c>
      <c r="D1825" s="53" t="s">
        <v>447</v>
      </c>
      <c r="E1825" s="53">
        <v>3</v>
      </c>
      <c r="F1825" s="54">
        <v>49188</v>
      </c>
      <c r="G1825" s="54">
        <v>47727</v>
      </c>
      <c r="H1825" s="53" t="s">
        <v>105</v>
      </c>
      <c r="I1825" s="53" t="s">
        <v>104</v>
      </c>
      <c r="J1825" s="53" t="s">
        <v>101</v>
      </c>
      <c r="K1825" s="53">
        <v>93.772000000000006</v>
      </c>
      <c r="L1825" s="53" t="s">
        <v>101</v>
      </c>
      <c r="M1825" s="53">
        <v>3.7839999999999998</v>
      </c>
      <c r="N1825" s="53">
        <v>3.7839999999999998</v>
      </c>
      <c r="O1825" s="53" t="s">
        <v>101</v>
      </c>
      <c r="P1825" s="53" t="s">
        <v>448</v>
      </c>
      <c r="Q1825" s="53" t="s">
        <v>503</v>
      </c>
      <c r="R1825" s="55" t="s">
        <v>504</v>
      </c>
    </row>
    <row r="1826" spans="1:18" x14ac:dyDescent="0.5">
      <c r="A1826" s="56" t="str">
        <f>"272066AN1"</f>
        <v>272066AN1</v>
      </c>
      <c r="B1826" s="57" t="s">
        <v>451</v>
      </c>
      <c r="C1826" s="57" t="s">
        <v>2185</v>
      </c>
      <c r="D1826" s="53" t="s">
        <v>447</v>
      </c>
      <c r="E1826" s="57">
        <v>3</v>
      </c>
      <c r="F1826" s="58">
        <v>49188</v>
      </c>
      <c r="G1826" s="58">
        <v>48092</v>
      </c>
      <c r="H1826" s="57" t="s">
        <v>105</v>
      </c>
      <c r="I1826" s="57" t="s">
        <v>628</v>
      </c>
      <c r="J1826" s="57" t="s">
        <v>101</v>
      </c>
      <c r="K1826" s="57">
        <v>93.024000000000001</v>
      </c>
      <c r="L1826" s="57" t="s">
        <v>101</v>
      </c>
      <c r="M1826" s="57">
        <v>3.8820000000000001</v>
      </c>
      <c r="N1826" s="57">
        <v>3.8820000000000001</v>
      </c>
      <c r="O1826" s="53" t="s">
        <v>101</v>
      </c>
      <c r="P1826" s="57" t="s">
        <v>448</v>
      </c>
      <c r="Q1826" s="57" t="s">
        <v>485</v>
      </c>
      <c r="R1826" s="59" t="s">
        <v>771</v>
      </c>
    </row>
    <row r="1827" spans="1:18" x14ac:dyDescent="0.5">
      <c r="A1827" s="52" t="str">
        <f>"296804M61"</f>
        <v>296804M61</v>
      </c>
      <c r="B1827" s="53" t="s">
        <v>477</v>
      </c>
      <c r="C1827" s="53" t="s">
        <v>2186</v>
      </c>
      <c r="D1827" s="53" t="s">
        <v>447</v>
      </c>
      <c r="E1827" s="53">
        <v>2.25</v>
      </c>
      <c r="F1827" s="54">
        <v>49188</v>
      </c>
      <c r="G1827" s="54">
        <v>46631</v>
      </c>
      <c r="H1827" s="53" t="s">
        <v>540</v>
      </c>
      <c r="I1827" s="53" t="s">
        <v>105</v>
      </c>
      <c r="J1827" s="53" t="s">
        <v>101</v>
      </c>
      <c r="K1827" s="53">
        <v>85.92</v>
      </c>
      <c r="L1827" s="53" t="s">
        <v>101</v>
      </c>
      <c r="M1827" s="53">
        <v>4.0439999999999996</v>
      </c>
      <c r="N1827" s="53">
        <v>4.0439999999999996</v>
      </c>
      <c r="O1827" s="53" t="s">
        <v>101</v>
      </c>
      <c r="P1827" s="53" t="s">
        <v>448</v>
      </c>
      <c r="Q1827" s="53" t="s">
        <v>573</v>
      </c>
      <c r="R1827" s="55" t="s">
        <v>454</v>
      </c>
    </row>
    <row r="1828" spans="1:18" x14ac:dyDescent="0.5">
      <c r="A1828" s="56" t="str">
        <f>"296804S65"</f>
        <v>296804S65</v>
      </c>
      <c r="B1828" s="57" t="s">
        <v>477</v>
      </c>
      <c r="C1828" s="57" t="s">
        <v>2187</v>
      </c>
      <c r="D1828" s="53" t="s">
        <v>447</v>
      </c>
      <c r="E1828" s="57">
        <v>2</v>
      </c>
      <c r="F1828" s="58">
        <v>49188</v>
      </c>
      <c r="G1828" s="58">
        <v>46997</v>
      </c>
      <c r="H1828" s="57" t="s">
        <v>540</v>
      </c>
      <c r="I1828" s="57" t="s">
        <v>105</v>
      </c>
      <c r="J1828" s="57" t="s">
        <v>101</v>
      </c>
      <c r="K1828" s="57">
        <v>83.701999999999998</v>
      </c>
      <c r="L1828" s="57" t="s">
        <v>101</v>
      </c>
      <c r="M1828" s="57">
        <v>4.08</v>
      </c>
      <c r="N1828" s="57">
        <v>4.08</v>
      </c>
      <c r="O1828" s="53" t="s">
        <v>101</v>
      </c>
      <c r="P1828" s="57" t="s">
        <v>448</v>
      </c>
      <c r="Q1828" s="57" t="s">
        <v>457</v>
      </c>
      <c r="R1828" s="59" t="s">
        <v>454</v>
      </c>
    </row>
    <row r="1829" spans="1:18" x14ac:dyDescent="0.5">
      <c r="A1829" s="52" t="str">
        <f>"340765HJ8"</f>
        <v>340765HJ8</v>
      </c>
      <c r="B1829" s="53" t="s">
        <v>499</v>
      </c>
      <c r="C1829" s="53" t="s">
        <v>2188</v>
      </c>
      <c r="D1829" s="53" t="s">
        <v>447</v>
      </c>
      <c r="E1829" s="53">
        <v>3.5</v>
      </c>
      <c r="F1829" s="54">
        <v>49188</v>
      </c>
      <c r="G1829" s="54">
        <v>45717</v>
      </c>
      <c r="H1829" s="53" t="s">
        <v>624</v>
      </c>
      <c r="I1829" s="53" t="s">
        <v>616</v>
      </c>
      <c r="J1829" s="53" t="s">
        <v>101</v>
      </c>
      <c r="K1829" s="53">
        <v>98.23</v>
      </c>
      <c r="L1829" s="53" t="s">
        <v>101</v>
      </c>
      <c r="M1829" s="53">
        <v>3.722</v>
      </c>
      <c r="N1829" s="53">
        <v>3.722</v>
      </c>
      <c r="O1829" s="53" t="s">
        <v>101</v>
      </c>
      <c r="P1829" s="53" t="s">
        <v>448</v>
      </c>
      <c r="Q1829" s="53" t="s">
        <v>457</v>
      </c>
      <c r="R1829" s="55" t="s">
        <v>504</v>
      </c>
    </row>
    <row r="1830" spans="1:18" x14ac:dyDescent="0.5">
      <c r="A1830" s="56" t="str">
        <f>"341602G53"</f>
        <v>341602G53</v>
      </c>
      <c r="B1830" s="57" t="s">
        <v>499</v>
      </c>
      <c r="C1830" s="57" t="s">
        <v>2189</v>
      </c>
      <c r="D1830" s="53" t="s">
        <v>447</v>
      </c>
      <c r="E1830" s="57">
        <v>3</v>
      </c>
      <c r="F1830" s="58">
        <v>49188</v>
      </c>
      <c r="G1830" s="58">
        <v>46631</v>
      </c>
      <c r="H1830" s="57" t="s">
        <v>540</v>
      </c>
      <c r="I1830" s="57" t="s">
        <v>509</v>
      </c>
      <c r="J1830" s="57" t="s">
        <v>101</v>
      </c>
      <c r="K1830" s="57">
        <v>95.388000000000005</v>
      </c>
      <c r="L1830" s="57" t="s">
        <v>101</v>
      </c>
      <c r="M1830" s="57">
        <v>3.5750000000000002</v>
      </c>
      <c r="N1830" s="57">
        <v>3.5750000000000002</v>
      </c>
      <c r="O1830" s="53" t="s">
        <v>101</v>
      </c>
      <c r="P1830" s="57" t="s">
        <v>448</v>
      </c>
      <c r="Q1830" s="57" t="s">
        <v>527</v>
      </c>
      <c r="R1830" s="59" t="s">
        <v>504</v>
      </c>
    </row>
    <row r="1831" spans="1:18" x14ac:dyDescent="0.5">
      <c r="A1831" s="52" t="str">
        <f>"34680CGN3"</f>
        <v>34680CGN3</v>
      </c>
      <c r="B1831" s="53" t="s">
        <v>451</v>
      </c>
      <c r="C1831" s="53" t="s">
        <v>2190</v>
      </c>
      <c r="D1831" s="53" t="s">
        <v>447</v>
      </c>
      <c r="E1831" s="53">
        <v>3.75</v>
      </c>
      <c r="F1831" s="54">
        <v>49188</v>
      </c>
      <c r="G1831" s="54">
        <v>45733</v>
      </c>
      <c r="H1831" s="53" t="s">
        <v>641</v>
      </c>
      <c r="I1831" s="53" t="s">
        <v>628</v>
      </c>
      <c r="J1831" s="53" t="s">
        <v>101</v>
      </c>
      <c r="K1831" s="53">
        <v>99.74</v>
      </c>
      <c r="L1831" s="53" t="s">
        <v>101</v>
      </c>
      <c r="M1831" s="53">
        <v>3.7829999999999999</v>
      </c>
      <c r="N1831" s="53">
        <v>3.7829999999999999</v>
      </c>
      <c r="O1831" s="53" t="s">
        <v>101</v>
      </c>
      <c r="P1831" s="53" t="s">
        <v>448</v>
      </c>
      <c r="Q1831" s="53" t="s">
        <v>457</v>
      </c>
      <c r="R1831" s="55" t="s">
        <v>630</v>
      </c>
    </row>
    <row r="1832" spans="1:18" x14ac:dyDescent="0.5">
      <c r="A1832" s="56" t="str">
        <f>"34682BMB2"</f>
        <v>34682BMB2</v>
      </c>
      <c r="B1832" s="57" t="s">
        <v>451</v>
      </c>
      <c r="C1832" s="57" t="s">
        <v>2191</v>
      </c>
      <c r="D1832" s="53" t="s">
        <v>447</v>
      </c>
      <c r="E1832" s="57">
        <v>4</v>
      </c>
      <c r="F1832" s="58">
        <v>49188</v>
      </c>
      <c r="G1832" s="58">
        <v>47727</v>
      </c>
      <c r="H1832" s="57" t="s">
        <v>610</v>
      </c>
      <c r="I1832" s="57" t="s">
        <v>628</v>
      </c>
      <c r="J1832" s="57" t="s">
        <v>101</v>
      </c>
      <c r="K1832" s="57">
        <v>102.16</v>
      </c>
      <c r="L1832" s="57" t="s">
        <v>101</v>
      </c>
      <c r="M1832" s="57">
        <v>3.5659999999999998</v>
      </c>
      <c r="N1832" s="57">
        <v>3.7290000000000001</v>
      </c>
      <c r="O1832" s="53" t="s">
        <v>101</v>
      </c>
      <c r="P1832" s="57" t="s">
        <v>448</v>
      </c>
      <c r="Q1832" s="57" t="s">
        <v>453</v>
      </c>
      <c r="R1832" s="59" t="s">
        <v>680</v>
      </c>
    </row>
    <row r="1833" spans="1:18" x14ac:dyDescent="0.5">
      <c r="A1833" s="52" t="str">
        <f>"34682FGE4"</f>
        <v>34682FGE4</v>
      </c>
      <c r="B1833" s="53" t="s">
        <v>451</v>
      </c>
      <c r="C1833" s="53" t="s">
        <v>2192</v>
      </c>
      <c r="D1833" s="53" t="s">
        <v>447</v>
      </c>
      <c r="E1833" s="53">
        <v>3</v>
      </c>
      <c r="F1833" s="54">
        <v>49188</v>
      </c>
      <c r="G1833" s="54">
        <v>45901</v>
      </c>
      <c r="H1833" s="53" t="s">
        <v>105</v>
      </c>
      <c r="I1833" s="53" t="s">
        <v>628</v>
      </c>
      <c r="J1833" s="53" t="s">
        <v>101</v>
      </c>
      <c r="K1833" s="53">
        <v>94.302000000000007</v>
      </c>
      <c r="L1833" s="53" t="s">
        <v>101</v>
      </c>
      <c r="M1833" s="53">
        <v>3.7149999999999999</v>
      </c>
      <c r="N1833" s="53">
        <v>3.7149999999999999</v>
      </c>
      <c r="O1833" s="53" t="s">
        <v>101</v>
      </c>
      <c r="P1833" s="53" t="s">
        <v>448</v>
      </c>
      <c r="Q1833" s="53" t="s">
        <v>460</v>
      </c>
      <c r="R1833" s="55" t="s">
        <v>630</v>
      </c>
    </row>
    <row r="1834" spans="1:18" x14ac:dyDescent="0.5">
      <c r="A1834" s="56" t="str">
        <f>"346820WV1"</f>
        <v>346820WV1</v>
      </c>
      <c r="B1834" s="57" t="s">
        <v>451</v>
      </c>
      <c r="C1834" s="57" t="s">
        <v>2193</v>
      </c>
      <c r="D1834" s="53" t="s">
        <v>447</v>
      </c>
      <c r="E1834" s="57">
        <v>4</v>
      </c>
      <c r="F1834" s="58">
        <v>49188</v>
      </c>
      <c r="G1834" s="58">
        <v>47727</v>
      </c>
      <c r="H1834" s="57" t="s">
        <v>613</v>
      </c>
      <c r="I1834" s="57" t="s">
        <v>628</v>
      </c>
      <c r="J1834" s="57" t="s">
        <v>101</v>
      </c>
      <c r="K1834" s="57">
        <v>102.43899999999999</v>
      </c>
      <c r="L1834" s="57" t="s">
        <v>101</v>
      </c>
      <c r="M1834" s="57">
        <v>3.5110000000000001</v>
      </c>
      <c r="N1834" s="57">
        <v>3.694</v>
      </c>
      <c r="O1834" s="53" t="s">
        <v>101</v>
      </c>
      <c r="P1834" s="57" t="s">
        <v>448</v>
      </c>
      <c r="Q1834" s="57" t="s">
        <v>453</v>
      </c>
      <c r="R1834" s="59" t="s">
        <v>482</v>
      </c>
    </row>
    <row r="1835" spans="1:18" x14ac:dyDescent="0.5">
      <c r="A1835" s="52" t="str">
        <f>"34683JHN4"</f>
        <v>34683JHN4</v>
      </c>
      <c r="B1835" s="53" t="s">
        <v>451</v>
      </c>
      <c r="C1835" s="53" t="s">
        <v>2194</v>
      </c>
      <c r="D1835" s="53" t="s">
        <v>447</v>
      </c>
      <c r="E1835" s="53">
        <v>4</v>
      </c>
      <c r="F1835" s="54">
        <v>49188</v>
      </c>
      <c r="G1835" s="54">
        <v>47727</v>
      </c>
      <c r="H1835" s="53" t="s">
        <v>641</v>
      </c>
      <c r="I1835" s="53" t="s">
        <v>628</v>
      </c>
      <c r="J1835" s="53" t="s">
        <v>101</v>
      </c>
      <c r="K1835" s="53">
        <v>102.05800000000001</v>
      </c>
      <c r="L1835" s="53" t="s">
        <v>101</v>
      </c>
      <c r="M1835" s="53">
        <v>3.5870000000000002</v>
      </c>
      <c r="N1835" s="53">
        <v>3.7410000000000001</v>
      </c>
      <c r="O1835" s="53" t="s">
        <v>101</v>
      </c>
      <c r="P1835" s="53" t="s">
        <v>448</v>
      </c>
      <c r="Q1835" s="53" t="s">
        <v>591</v>
      </c>
      <c r="R1835" s="55" t="s">
        <v>630</v>
      </c>
    </row>
    <row r="1836" spans="1:18" x14ac:dyDescent="0.5">
      <c r="A1836" s="56" t="str">
        <f>"34685LGL2"</f>
        <v>34685LGL2</v>
      </c>
      <c r="B1836" s="57" t="s">
        <v>451</v>
      </c>
      <c r="C1836" s="57" t="s">
        <v>2195</v>
      </c>
      <c r="D1836" s="53" t="s">
        <v>447</v>
      </c>
      <c r="E1836" s="57">
        <v>4</v>
      </c>
      <c r="F1836" s="58">
        <v>49188</v>
      </c>
      <c r="G1836" s="58">
        <v>47362</v>
      </c>
      <c r="H1836" s="57" t="s">
        <v>641</v>
      </c>
      <c r="I1836" s="57" t="s">
        <v>628</v>
      </c>
      <c r="J1836" s="57" t="s">
        <v>101</v>
      </c>
      <c r="K1836" s="57">
        <v>101.15</v>
      </c>
      <c r="L1836" s="57" t="s">
        <v>101</v>
      </c>
      <c r="M1836" s="57">
        <v>3.722</v>
      </c>
      <c r="N1836" s="57">
        <v>3.855</v>
      </c>
      <c r="O1836" s="53" t="s">
        <v>101</v>
      </c>
      <c r="P1836" s="57" t="s">
        <v>448</v>
      </c>
      <c r="Q1836" s="57" t="s">
        <v>479</v>
      </c>
      <c r="R1836" s="59" t="s">
        <v>630</v>
      </c>
    </row>
    <row r="1837" spans="1:18" x14ac:dyDescent="0.5">
      <c r="A1837" s="52" t="str">
        <f>"414183KU6"</f>
        <v>414183KU6</v>
      </c>
      <c r="B1837" s="53" t="s">
        <v>451</v>
      </c>
      <c r="C1837" s="53" t="s">
        <v>2196</v>
      </c>
      <c r="D1837" s="53" t="s">
        <v>447</v>
      </c>
      <c r="E1837" s="53">
        <v>3</v>
      </c>
      <c r="F1837" s="54">
        <v>49188</v>
      </c>
      <c r="G1837" s="54">
        <v>45733</v>
      </c>
      <c r="H1837" s="53" t="s">
        <v>610</v>
      </c>
      <c r="I1837" s="53" t="s">
        <v>105</v>
      </c>
      <c r="J1837" s="53" t="s">
        <v>101</v>
      </c>
      <c r="K1837" s="53">
        <v>90.88</v>
      </c>
      <c r="L1837" s="53" t="s">
        <v>101</v>
      </c>
      <c r="M1837" s="53">
        <v>4.1689999999999996</v>
      </c>
      <c r="N1837" s="53">
        <v>4.1689999999999996</v>
      </c>
      <c r="O1837" s="53" t="s">
        <v>101</v>
      </c>
      <c r="P1837" s="53" t="s">
        <v>448</v>
      </c>
      <c r="Q1837" s="53" t="s">
        <v>790</v>
      </c>
      <c r="R1837" s="55" t="s">
        <v>454</v>
      </c>
    </row>
    <row r="1838" spans="1:18" x14ac:dyDescent="0.5">
      <c r="A1838" s="56" t="str">
        <f>"41456PKW6"</f>
        <v>41456PKW6</v>
      </c>
      <c r="B1838" s="57" t="s">
        <v>451</v>
      </c>
      <c r="C1838" s="57" t="s">
        <v>2197</v>
      </c>
      <c r="D1838" s="53" t="s">
        <v>447</v>
      </c>
      <c r="E1838" s="57">
        <v>3.25</v>
      </c>
      <c r="F1838" s="58">
        <v>49188</v>
      </c>
      <c r="G1838" s="58">
        <v>45733</v>
      </c>
      <c r="H1838" s="57" t="s">
        <v>624</v>
      </c>
      <c r="I1838" s="57" t="s">
        <v>105</v>
      </c>
      <c r="J1838" s="57" t="s">
        <v>101</v>
      </c>
      <c r="K1838" s="57">
        <v>94.751999999999995</v>
      </c>
      <c r="L1838" s="57" t="s">
        <v>101</v>
      </c>
      <c r="M1838" s="57">
        <v>3.915</v>
      </c>
      <c r="N1838" s="57">
        <v>3.915</v>
      </c>
      <c r="O1838" s="53" t="s">
        <v>101</v>
      </c>
      <c r="P1838" s="57" t="s">
        <v>448</v>
      </c>
      <c r="Q1838" s="57" t="s">
        <v>663</v>
      </c>
      <c r="R1838" s="59" t="s">
        <v>454</v>
      </c>
    </row>
    <row r="1839" spans="1:18" x14ac:dyDescent="0.5">
      <c r="A1839" s="52" t="str">
        <f>"421032GX5"</f>
        <v>421032GX5</v>
      </c>
      <c r="B1839" s="53" t="s">
        <v>451</v>
      </c>
      <c r="C1839" s="53" t="s">
        <v>2198</v>
      </c>
      <c r="D1839" s="53" t="s">
        <v>447</v>
      </c>
      <c r="E1839" s="53">
        <v>3.125</v>
      </c>
      <c r="F1839" s="54">
        <v>49188</v>
      </c>
      <c r="G1839" s="54">
        <v>45733</v>
      </c>
      <c r="H1839" s="53" t="s">
        <v>105</v>
      </c>
      <c r="I1839" s="53" t="s">
        <v>628</v>
      </c>
      <c r="J1839" s="53" t="s">
        <v>101</v>
      </c>
      <c r="K1839" s="53">
        <v>91.918000000000006</v>
      </c>
      <c r="L1839" s="53" t="s">
        <v>101</v>
      </c>
      <c r="M1839" s="53">
        <v>4.16</v>
      </c>
      <c r="N1839" s="53">
        <v>4.16</v>
      </c>
      <c r="O1839" s="53" t="s">
        <v>101</v>
      </c>
      <c r="P1839" s="53" t="s">
        <v>448</v>
      </c>
      <c r="Q1839" s="53" t="s">
        <v>457</v>
      </c>
      <c r="R1839" s="55" t="s">
        <v>630</v>
      </c>
    </row>
    <row r="1840" spans="1:18" x14ac:dyDescent="0.5">
      <c r="A1840" s="56" t="str">
        <f>"429335JB9"</f>
        <v>429335JB9</v>
      </c>
      <c r="B1840" s="57" t="s">
        <v>451</v>
      </c>
      <c r="C1840" s="57" t="s">
        <v>2199</v>
      </c>
      <c r="D1840" s="53" t="s">
        <v>447</v>
      </c>
      <c r="E1840" s="57">
        <v>4</v>
      </c>
      <c r="F1840" s="58">
        <v>49188</v>
      </c>
      <c r="G1840" s="58">
        <v>46631</v>
      </c>
      <c r="H1840" s="57" t="s">
        <v>613</v>
      </c>
      <c r="I1840" s="57" t="s">
        <v>616</v>
      </c>
      <c r="J1840" s="57" t="s">
        <v>101</v>
      </c>
      <c r="K1840" s="57">
        <v>101.131</v>
      </c>
      <c r="L1840" s="57" t="s">
        <v>101</v>
      </c>
      <c r="M1840" s="57">
        <v>3.5289999999999999</v>
      </c>
      <c r="N1840" s="57">
        <v>3.8570000000000002</v>
      </c>
      <c r="O1840" s="53" t="s">
        <v>101</v>
      </c>
      <c r="P1840" s="57" t="s">
        <v>585</v>
      </c>
      <c r="Q1840" s="57" t="s">
        <v>503</v>
      </c>
      <c r="R1840" s="59" t="s">
        <v>454</v>
      </c>
    </row>
    <row r="1841" spans="1:18" x14ac:dyDescent="0.5">
      <c r="A1841" s="52" t="str">
        <f>"642835PA4"</f>
        <v>642835PA4</v>
      </c>
      <c r="B1841" s="53" t="s">
        <v>477</v>
      </c>
      <c r="C1841" s="53" t="s">
        <v>2200</v>
      </c>
      <c r="D1841" s="53" t="s">
        <v>447</v>
      </c>
      <c r="E1841" s="53">
        <v>3</v>
      </c>
      <c r="F1841" s="54">
        <v>49188</v>
      </c>
      <c r="G1841" s="54">
        <v>46266</v>
      </c>
      <c r="H1841" s="53" t="s">
        <v>105</v>
      </c>
      <c r="I1841" s="53" t="s">
        <v>628</v>
      </c>
      <c r="J1841" s="53" t="s">
        <v>101</v>
      </c>
      <c r="K1841" s="53">
        <v>93.917000000000002</v>
      </c>
      <c r="L1841" s="53" t="s">
        <v>101</v>
      </c>
      <c r="M1841" s="53">
        <v>3.7650000000000001</v>
      </c>
      <c r="N1841" s="53">
        <v>3.7650000000000001</v>
      </c>
      <c r="O1841" s="53" t="s">
        <v>101</v>
      </c>
      <c r="P1841" s="53" t="s">
        <v>448</v>
      </c>
      <c r="Q1841" s="53" t="s">
        <v>556</v>
      </c>
      <c r="R1841" s="55" t="s">
        <v>771</v>
      </c>
    </row>
    <row r="1842" spans="1:18" x14ac:dyDescent="0.5">
      <c r="A1842" s="56" t="str">
        <f>"662832HA5"</f>
        <v>662832HA5</v>
      </c>
      <c r="B1842" s="57" t="s">
        <v>451</v>
      </c>
      <c r="C1842" s="57" t="s">
        <v>2201</v>
      </c>
      <c r="D1842" s="53" t="s">
        <v>447</v>
      </c>
      <c r="E1842" s="57">
        <v>3.375</v>
      </c>
      <c r="F1842" s="58">
        <v>49188</v>
      </c>
      <c r="G1842" s="58">
        <v>45901</v>
      </c>
      <c r="H1842" s="57" t="s">
        <v>613</v>
      </c>
      <c r="I1842" s="57" t="s">
        <v>509</v>
      </c>
      <c r="J1842" s="57" t="s">
        <v>101</v>
      </c>
      <c r="K1842" s="57">
        <v>96.38</v>
      </c>
      <c r="L1842" s="57" t="s">
        <v>101</v>
      </c>
      <c r="M1842" s="57">
        <v>3.8319999999999999</v>
      </c>
      <c r="N1842" s="57">
        <v>3.8319999999999999</v>
      </c>
      <c r="O1842" s="53" t="s">
        <v>101</v>
      </c>
      <c r="P1842" s="57" t="s">
        <v>448</v>
      </c>
      <c r="Q1842" s="57" t="s">
        <v>517</v>
      </c>
      <c r="R1842" s="59" t="s">
        <v>504</v>
      </c>
    </row>
    <row r="1843" spans="1:18" x14ac:dyDescent="0.5">
      <c r="A1843" s="52" t="str">
        <f>"662903WA7"</f>
        <v>662903WA7</v>
      </c>
      <c r="B1843" s="53" t="s">
        <v>451</v>
      </c>
      <c r="C1843" s="53" t="s">
        <v>2202</v>
      </c>
      <c r="D1843" s="53" t="s">
        <v>447</v>
      </c>
      <c r="E1843" s="53">
        <v>3</v>
      </c>
      <c r="F1843" s="54">
        <v>49188</v>
      </c>
      <c r="G1843" s="54">
        <v>46997</v>
      </c>
      <c r="H1843" s="53" t="s">
        <v>540</v>
      </c>
      <c r="I1843" s="53" t="s">
        <v>104</v>
      </c>
      <c r="J1843" s="53" t="s">
        <v>101</v>
      </c>
      <c r="K1843" s="53">
        <v>94.757999999999996</v>
      </c>
      <c r="L1843" s="53" t="s">
        <v>101</v>
      </c>
      <c r="M1843" s="53">
        <v>3.6560000000000001</v>
      </c>
      <c r="N1843" s="53">
        <v>3.6560000000000001</v>
      </c>
      <c r="O1843" s="53" t="s">
        <v>101</v>
      </c>
      <c r="P1843" s="53" t="s">
        <v>448</v>
      </c>
      <c r="Q1843" s="53" t="s">
        <v>663</v>
      </c>
      <c r="R1843" s="55" t="s">
        <v>504</v>
      </c>
    </row>
    <row r="1844" spans="1:18" x14ac:dyDescent="0.5">
      <c r="A1844" s="56" t="str">
        <f>"704883E94"</f>
        <v>704883E94</v>
      </c>
      <c r="B1844" s="57" t="s">
        <v>451</v>
      </c>
      <c r="C1844" s="57" t="s">
        <v>2203</v>
      </c>
      <c r="D1844" s="53" t="s">
        <v>447</v>
      </c>
      <c r="E1844" s="57">
        <v>4</v>
      </c>
      <c r="F1844" s="58">
        <v>49188</v>
      </c>
      <c r="G1844" s="58">
        <v>48092</v>
      </c>
      <c r="H1844" s="57" t="s">
        <v>627</v>
      </c>
      <c r="I1844" s="57" t="s">
        <v>105</v>
      </c>
      <c r="J1844" s="57" t="s">
        <v>101</v>
      </c>
      <c r="K1844" s="57">
        <v>102.827</v>
      </c>
      <c r="L1844" s="57" t="s">
        <v>101</v>
      </c>
      <c r="M1844" s="57">
        <v>3.512</v>
      </c>
      <c r="N1844" s="57">
        <v>3.6459999999999999</v>
      </c>
      <c r="O1844" s="53" t="s">
        <v>101</v>
      </c>
      <c r="P1844" s="57" t="s">
        <v>448</v>
      </c>
      <c r="Q1844" s="57" t="s">
        <v>485</v>
      </c>
      <c r="R1844" s="59" t="s">
        <v>504</v>
      </c>
    </row>
    <row r="1845" spans="1:18" x14ac:dyDescent="0.5">
      <c r="A1845" s="52" t="str">
        <f>"882555ZS7"</f>
        <v>882555ZS7</v>
      </c>
      <c r="B1845" s="53" t="s">
        <v>451</v>
      </c>
      <c r="C1845" s="53" t="s">
        <v>2204</v>
      </c>
      <c r="D1845" s="53" t="s">
        <v>447</v>
      </c>
      <c r="E1845" s="53">
        <v>3</v>
      </c>
      <c r="F1845" s="54">
        <v>49188</v>
      </c>
      <c r="G1845" s="54">
        <v>46266</v>
      </c>
      <c r="H1845" s="53" t="s">
        <v>641</v>
      </c>
      <c r="I1845" s="53" t="s">
        <v>628</v>
      </c>
      <c r="J1845" s="53" t="s">
        <v>101</v>
      </c>
      <c r="K1845" s="53">
        <v>93.879000000000005</v>
      </c>
      <c r="L1845" s="53" t="s">
        <v>101</v>
      </c>
      <c r="M1845" s="53">
        <v>3.77</v>
      </c>
      <c r="N1845" s="53">
        <v>3.77</v>
      </c>
      <c r="O1845" s="53" t="s">
        <v>101</v>
      </c>
      <c r="P1845" s="53" t="s">
        <v>448</v>
      </c>
      <c r="Q1845" s="53" t="s">
        <v>858</v>
      </c>
      <c r="R1845" s="55" t="s">
        <v>771</v>
      </c>
    </row>
    <row r="1846" spans="1:18" x14ac:dyDescent="0.5">
      <c r="A1846" s="56" t="str">
        <f>"298272EM3"</f>
        <v>298272EM3</v>
      </c>
      <c r="B1846" s="57" t="s">
        <v>451</v>
      </c>
      <c r="C1846" s="57" t="s">
        <v>2205</v>
      </c>
      <c r="D1846" s="53" t="s">
        <v>447</v>
      </c>
      <c r="E1846" s="57">
        <v>3</v>
      </c>
      <c r="F1846" s="58">
        <v>49202</v>
      </c>
      <c r="G1846" s="58">
        <v>47376</v>
      </c>
      <c r="H1846" s="57" t="s">
        <v>613</v>
      </c>
      <c r="I1846" s="57" t="s">
        <v>105</v>
      </c>
      <c r="J1846" s="57" t="s">
        <v>101</v>
      </c>
      <c r="K1846" s="57">
        <v>92.57</v>
      </c>
      <c r="L1846" s="57" t="s">
        <v>101</v>
      </c>
      <c r="M1846" s="57">
        <v>3.9390000000000001</v>
      </c>
      <c r="N1846" s="57">
        <v>3.9390000000000001</v>
      </c>
      <c r="O1846" s="53" t="s">
        <v>101</v>
      </c>
      <c r="P1846" s="57" t="s">
        <v>448</v>
      </c>
      <c r="Q1846" s="57" t="s">
        <v>782</v>
      </c>
      <c r="R1846" s="59" t="s">
        <v>504</v>
      </c>
    </row>
    <row r="1847" spans="1:18" x14ac:dyDescent="0.5">
      <c r="A1847" s="52" t="str">
        <f>"839448ET0"</f>
        <v>839448ET0</v>
      </c>
      <c r="B1847" s="53" t="s">
        <v>477</v>
      </c>
      <c r="C1847" s="53" t="s">
        <v>2206</v>
      </c>
      <c r="D1847" s="53" t="s">
        <v>447</v>
      </c>
      <c r="E1847" s="53">
        <v>3</v>
      </c>
      <c r="F1847" s="54">
        <v>49202</v>
      </c>
      <c r="G1847" s="54">
        <v>45915</v>
      </c>
      <c r="H1847" s="53" t="s">
        <v>105</v>
      </c>
      <c r="I1847" s="53" t="s">
        <v>628</v>
      </c>
      <c r="J1847" s="53" t="s">
        <v>101</v>
      </c>
      <c r="K1847" s="53">
        <v>94.495999999999995</v>
      </c>
      <c r="L1847" s="53" t="s">
        <v>101</v>
      </c>
      <c r="M1847" s="53">
        <v>3.6869999999999998</v>
      </c>
      <c r="N1847" s="53">
        <v>3.6869999999999998</v>
      </c>
      <c r="O1847" s="53" t="s">
        <v>101</v>
      </c>
      <c r="P1847" s="53" t="s">
        <v>448</v>
      </c>
      <c r="Q1847" s="53" t="s">
        <v>460</v>
      </c>
      <c r="R1847" s="55" t="s">
        <v>630</v>
      </c>
    </row>
    <row r="1848" spans="1:18" x14ac:dyDescent="0.5">
      <c r="A1848" s="56" t="str">
        <f>"13937KFY7"</f>
        <v>13937KFY7</v>
      </c>
      <c r="B1848" s="57" t="s">
        <v>499</v>
      </c>
      <c r="C1848" s="57" t="s">
        <v>2207</v>
      </c>
      <c r="D1848" s="53" t="s">
        <v>447</v>
      </c>
      <c r="E1848" s="57">
        <v>3.75</v>
      </c>
      <c r="F1848" s="58">
        <v>49218</v>
      </c>
      <c r="G1848" s="58">
        <v>45931</v>
      </c>
      <c r="H1848" s="57" t="s">
        <v>613</v>
      </c>
      <c r="I1848" s="57" t="s">
        <v>628</v>
      </c>
      <c r="J1848" s="57" t="s">
        <v>101</v>
      </c>
      <c r="K1848" s="57">
        <v>98.7</v>
      </c>
      <c r="L1848" s="57" t="s">
        <v>101</v>
      </c>
      <c r="M1848" s="57">
        <v>3.9129999999999998</v>
      </c>
      <c r="N1848" s="57">
        <v>3.9129999999999998</v>
      </c>
      <c r="O1848" s="53" t="s">
        <v>101</v>
      </c>
      <c r="P1848" s="57" t="s">
        <v>448</v>
      </c>
      <c r="Q1848" s="57" t="s">
        <v>457</v>
      </c>
      <c r="R1848" s="59" t="s">
        <v>504</v>
      </c>
    </row>
    <row r="1849" spans="1:18" x14ac:dyDescent="0.5">
      <c r="A1849" s="52" t="str">
        <f>"160790BU4"</f>
        <v>160790BU4</v>
      </c>
      <c r="B1849" s="53" t="s">
        <v>499</v>
      </c>
      <c r="C1849" s="53" t="s">
        <v>2208</v>
      </c>
      <c r="D1849" s="53" t="s">
        <v>447</v>
      </c>
      <c r="E1849" s="53">
        <v>3.25</v>
      </c>
      <c r="F1849" s="54">
        <v>49218</v>
      </c>
      <c r="G1849" s="54">
        <v>45931</v>
      </c>
      <c r="H1849" s="53" t="s">
        <v>641</v>
      </c>
      <c r="I1849" s="53" t="s">
        <v>105</v>
      </c>
      <c r="J1849" s="53" t="s">
        <v>101</v>
      </c>
      <c r="K1849" s="53">
        <v>95.638000000000005</v>
      </c>
      <c r="L1849" s="53" t="s">
        <v>101</v>
      </c>
      <c r="M1849" s="53">
        <v>3.7949999999999999</v>
      </c>
      <c r="N1849" s="53">
        <v>3.7949999999999999</v>
      </c>
      <c r="O1849" s="53" t="s">
        <v>101</v>
      </c>
      <c r="P1849" s="53" t="s">
        <v>448</v>
      </c>
      <c r="Q1849" s="53" t="s">
        <v>591</v>
      </c>
      <c r="R1849" s="55" t="s">
        <v>504</v>
      </c>
    </row>
    <row r="1850" spans="1:18" x14ac:dyDescent="0.5">
      <c r="A1850" s="56" t="str">
        <f>"177475BS8"</f>
        <v>177475BS8</v>
      </c>
      <c r="B1850" s="57" t="s">
        <v>499</v>
      </c>
      <c r="C1850" s="57" t="s">
        <v>2209</v>
      </c>
      <c r="D1850" s="53" t="s">
        <v>447</v>
      </c>
      <c r="E1850" s="57">
        <v>2.75</v>
      </c>
      <c r="F1850" s="58">
        <v>49218</v>
      </c>
      <c r="G1850" s="58">
        <v>46296</v>
      </c>
      <c r="H1850" s="57" t="s">
        <v>624</v>
      </c>
      <c r="I1850" s="57" t="s">
        <v>105</v>
      </c>
      <c r="J1850" s="57" t="s">
        <v>101</v>
      </c>
      <c r="K1850" s="57">
        <v>88.444999999999993</v>
      </c>
      <c r="L1850" s="57" t="s">
        <v>101</v>
      </c>
      <c r="M1850" s="57">
        <v>4.2240000000000002</v>
      </c>
      <c r="N1850" s="57">
        <v>4.2240000000000002</v>
      </c>
      <c r="O1850" s="53" t="s">
        <v>101</v>
      </c>
      <c r="P1850" s="57" t="s">
        <v>448</v>
      </c>
      <c r="Q1850" s="57" t="s">
        <v>663</v>
      </c>
      <c r="R1850" s="59" t="s">
        <v>504</v>
      </c>
    </row>
    <row r="1851" spans="1:18" x14ac:dyDescent="0.5">
      <c r="A1851" s="52" t="str">
        <f>"247885AU0"</f>
        <v>247885AU0</v>
      </c>
      <c r="B1851" s="53" t="s">
        <v>499</v>
      </c>
      <c r="C1851" s="53" t="s">
        <v>2210</v>
      </c>
      <c r="D1851" s="53" t="s">
        <v>447</v>
      </c>
      <c r="E1851" s="53">
        <v>3</v>
      </c>
      <c r="F1851" s="54">
        <v>49218</v>
      </c>
      <c r="G1851" s="54">
        <v>46296</v>
      </c>
      <c r="H1851" s="53" t="s">
        <v>105</v>
      </c>
      <c r="I1851" s="53" t="s">
        <v>628</v>
      </c>
      <c r="J1851" s="53" t="s">
        <v>101</v>
      </c>
      <c r="K1851" s="53">
        <v>92.248999999999995</v>
      </c>
      <c r="L1851" s="53" t="s">
        <v>101</v>
      </c>
      <c r="M1851" s="53">
        <v>3.9769999999999999</v>
      </c>
      <c r="N1851" s="53">
        <v>3.9769999999999999</v>
      </c>
      <c r="O1851" s="53" t="s">
        <v>101</v>
      </c>
      <c r="P1851" s="53" t="s">
        <v>448</v>
      </c>
      <c r="Q1851" s="53" t="s">
        <v>527</v>
      </c>
      <c r="R1851" s="55" t="s">
        <v>504</v>
      </c>
    </row>
    <row r="1852" spans="1:18" x14ac:dyDescent="0.5">
      <c r="A1852" s="56" t="str">
        <f>"298865BP0"</f>
        <v>298865BP0</v>
      </c>
      <c r="B1852" s="57" t="s">
        <v>499</v>
      </c>
      <c r="C1852" s="57" t="s">
        <v>2211</v>
      </c>
      <c r="D1852" s="53" t="s">
        <v>447</v>
      </c>
      <c r="E1852" s="57">
        <v>3.25</v>
      </c>
      <c r="F1852" s="58">
        <v>49218</v>
      </c>
      <c r="G1852" s="58">
        <v>46296</v>
      </c>
      <c r="H1852" s="57" t="s">
        <v>624</v>
      </c>
      <c r="I1852" s="57" t="s">
        <v>105</v>
      </c>
      <c r="J1852" s="57" t="s">
        <v>101</v>
      </c>
      <c r="K1852" s="57">
        <v>96.364999999999995</v>
      </c>
      <c r="L1852" s="57" t="s">
        <v>101</v>
      </c>
      <c r="M1852" s="57">
        <v>3.702</v>
      </c>
      <c r="N1852" s="57">
        <v>3.702</v>
      </c>
      <c r="O1852" s="53" t="s">
        <v>101</v>
      </c>
      <c r="P1852" s="57" t="s">
        <v>448</v>
      </c>
      <c r="Q1852" s="57" t="s">
        <v>527</v>
      </c>
      <c r="R1852" s="59" t="s">
        <v>504</v>
      </c>
    </row>
    <row r="1853" spans="1:18" x14ac:dyDescent="0.5">
      <c r="A1853" s="52" t="str">
        <f>"362794CM9"</f>
        <v>362794CM9</v>
      </c>
      <c r="B1853" s="53" t="s">
        <v>499</v>
      </c>
      <c r="C1853" s="53" t="s">
        <v>2212</v>
      </c>
      <c r="D1853" s="53" t="s">
        <v>447</v>
      </c>
      <c r="E1853" s="53">
        <v>3.375</v>
      </c>
      <c r="F1853" s="54">
        <v>49218</v>
      </c>
      <c r="G1853" s="54">
        <v>45723</v>
      </c>
      <c r="H1853" s="53" t="s">
        <v>624</v>
      </c>
      <c r="I1853" s="53" t="s">
        <v>105</v>
      </c>
      <c r="J1853" s="53" t="s">
        <v>101</v>
      </c>
      <c r="K1853" s="53">
        <v>97.33</v>
      </c>
      <c r="L1853" s="53" t="s">
        <v>101</v>
      </c>
      <c r="M1853" s="53">
        <v>3.7069999999999999</v>
      </c>
      <c r="N1853" s="53">
        <v>3.7069999999999999</v>
      </c>
      <c r="O1853" s="53" t="s">
        <v>101</v>
      </c>
      <c r="P1853" s="53" t="s">
        <v>448</v>
      </c>
      <c r="Q1853" s="53" t="s">
        <v>682</v>
      </c>
      <c r="R1853" s="55" t="s">
        <v>504</v>
      </c>
    </row>
    <row r="1854" spans="1:18" x14ac:dyDescent="0.5">
      <c r="A1854" s="56" t="str">
        <f>"362848SM6"</f>
        <v>362848SM6</v>
      </c>
      <c r="B1854" s="57" t="s">
        <v>499</v>
      </c>
      <c r="C1854" s="57" t="s">
        <v>2213</v>
      </c>
      <c r="D1854" s="53" t="s">
        <v>447</v>
      </c>
      <c r="E1854" s="57">
        <v>3.375</v>
      </c>
      <c r="F1854" s="58">
        <v>49218</v>
      </c>
      <c r="G1854" s="58">
        <v>45733</v>
      </c>
      <c r="H1854" s="57" t="s">
        <v>624</v>
      </c>
      <c r="I1854" s="57" t="s">
        <v>611</v>
      </c>
      <c r="J1854" s="57" t="s">
        <v>101</v>
      </c>
      <c r="K1854" s="57">
        <v>97.286000000000001</v>
      </c>
      <c r="L1854" s="57" t="s">
        <v>101</v>
      </c>
      <c r="M1854" s="57">
        <v>3.7130000000000001</v>
      </c>
      <c r="N1854" s="57">
        <v>3.7130000000000001</v>
      </c>
      <c r="O1854" s="53" t="s">
        <v>101</v>
      </c>
      <c r="P1854" s="57" t="s">
        <v>448</v>
      </c>
      <c r="Q1854" s="57" t="s">
        <v>485</v>
      </c>
      <c r="R1854" s="59" t="s">
        <v>504</v>
      </c>
    </row>
    <row r="1855" spans="1:18" x14ac:dyDescent="0.5">
      <c r="A1855" s="52" t="str">
        <f>"39238R7N6"</f>
        <v>39238R7N6</v>
      </c>
      <c r="B1855" s="53" t="s">
        <v>451</v>
      </c>
      <c r="C1855" s="53" t="s">
        <v>2214</v>
      </c>
      <c r="D1855" s="53" t="s">
        <v>447</v>
      </c>
      <c r="E1855" s="53">
        <v>3.125</v>
      </c>
      <c r="F1855" s="54">
        <v>49218</v>
      </c>
      <c r="G1855" s="54">
        <v>46296</v>
      </c>
      <c r="H1855" s="53" t="s">
        <v>105</v>
      </c>
      <c r="I1855" s="53" t="s">
        <v>628</v>
      </c>
      <c r="J1855" s="53" t="s">
        <v>101</v>
      </c>
      <c r="K1855" s="53">
        <v>94.028000000000006</v>
      </c>
      <c r="L1855" s="53" t="s">
        <v>101</v>
      </c>
      <c r="M1855" s="53">
        <v>3.8740000000000001</v>
      </c>
      <c r="N1855" s="53">
        <v>3.8740000000000001</v>
      </c>
      <c r="O1855" s="53" t="s">
        <v>101</v>
      </c>
      <c r="P1855" s="53" t="s">
        <v>448</v>
      </c>
      <c r="Q1855" s="53" t="s">
        <v>527</v>
      </c>
      <c r="R1855" s="55" t="s">
        <v>771</v>
      </c>
    </row>
    <row r="1856" spans="1:18" x14ac:dyDescent="0.5">
      <c r="A1856" s="56" t="str">
        <f>"40219RAM5"</f>
        <v>40219RAM5</v>
      </c>
      <c r="B1856" s="57" t="s">
        <v>451</v>
      </c>
      <c r="C1856" s="57" t="s">
        <v>2215</v>
      </c>
      <c r="D1856" s="53" t="s">
        <v>447</v>
      </c>
      <c r="E1856" s="57">
        <v>3.5</v>
      </c>
      <c r="F1856" s="58">
        <v>49218</v>
      </c>
      <c r="G1856" s="58">
        <v>46661</v>
      </c>
      <c r="H1856" s="57" t="s">
        <v>105</v>
      </c>
      <c r="I1856" s="57" t="s">
        <v>616</v>
      </c>
      <c r="J1856" s="57" t="s">
        <v>101</v>
      </c>
      <c r="K1856" s="57">
        <v>99.135999999999996</v>
      </c>
      <c r="L1856" s="57" t="s">
        <v>101</v>
      </c>
      <c r="M1856" s="57">
        <v>3.6070000000000002</v>
      </c>
      <c r="N1856" s="57">
        <v>3.6070000000000002</v>
      </c>
      <c r="O1856" s="53" t="s">
        <v>101</v>
      </c>
      <c r="P1856" s="57" t="s">
        <v>448</v>
      </c>
      <c r="Q1856" s="57" t="s">
        <v>527</v>
      </c>
      <c r="R1856" s="59" t="s">
        <v>506</v>
      </c>
    </row>
    <row r="1857" spans="1:18" x14ac:dyDescent="0.5">
      <c r="A1857" s="52" t="str">
        <f>"414888HM2"</f>
        <v>414888HM2</v>
      </c>
      <c r="B1857" s="53" t="s">
        <v>451</v>
      </c>
      <c r="C1857" s="53" t="s">
        <v>2216</v>
      </c>
      <c r="D1857" s="53" t="s">
        <v>447</v>
      </c>
      <c r="E1857" s="53">
        <v>3.25</v>
      </c>
      <c r="F1857" s="54">
        <v>49218</v>
      </c>
      <c r="G1857" s="54">
        <v>45733</v>
      </c>
      <c r="H1857" s="53" t="s">
        <v>105</v>
      </c>
      <c r="I1857" s="53" t="s">
        <v>628</v>
      </c>
      <c r="J1857" s="53" t="s">
        <v>101</v>
      </c>
      <c r="K1857" s="53">
        <v>93.825000000000003</v>
      </c>
      <c r="L1857" s="53" t="s">
        <v>101</v>
      </c>
      <c r="M1857" s="53">
        <v>4.03</v>
      </c>
      <c r="N1857" s="53">
        <v>4.03</v>
      </c>
      <c r="O1857" s="53" t="s">
        <v>101</v>
      </c>
      <c r="P1857" s="53" t="s">
        <v>448</v>
      </c>
      <c r="Q1857" s="53" t="s">
        <v>488</v>
      </c>
      <c r="R1857" s="55" t="s">
        <v>630</v>
      </c>
    </row>
    <row r="1858" spans="1:18" x14ac:dyDescent="0.5">
      <c r="A1858" s="56" t="str">
        <f>"43232BCP8"</f>
        <v>43232BCP8</v>
      </c>
      <c r="B1858" s="57" t="s">
        <v>499</v>
      </c>
      <c r="C1858" s="57" t="s">
        <v>2217</v>
      </c>
      <c r="D1858" s="53" t="s">
        <v>447</v>
      </c>
      <c r="E1858" s="57">
        <v>3.5</v>
      </c>
      <c r="F1858" s="58">
        <v>49218</v>
      </c>
      <c r="G1858" s="58">
        <v>46296</v>
      </c>
      <c r="H1858" s="57" t="s">
        <v>105</v>
      </c>
      <c r="I1858" s="57" t="s">
        <v>616</v>
      </c>
      <c r="J1858" s="57" t="s">
        <v>101</v>
      </c>
      <c r="K1858" s="57">
        <v>99.03</v>
      </c>
      <c r="L1858" s="57" t="s">
        <v>101</v>
      </c>
      <c r="M1858" s="57">
        <v>3.62</v>
      </c>
      <c r="N1858" s="57">
        <v>3.62</v>
      </c>
      <c r="O1858" s="53" t="s">
        <v>101</v>
      </c>
      <c r="P1858" s="57" t="s">
        <v>448</v>
      </c>
      <c r="Q1858" s="57" t="s">
        <v>460</v>
      </c>
      <c r="R1858" s="59" t="s">
        <v>504</v>
      </c>
    </row>
    <row r="1859" spans="1:18" x14ac:dyDescent="0.5">
      <c r="A1859" s="52" t="str">
        <f>"443157KZ4"</f>
        <v>443157KZ4</v>
      </c>
      <c r="B1859" s="53" t="s">
        <v>477</v>
      </c>
      <c r="C1859" s="53" t="s">
        <v>2218</v>
      </c>
      <c r="D1859" s="53" t="s">
        <v>447</v>
      </c>
      <c r="E1859" s="53">
        <v>2</v>
      </c>
      <c r="F1859" s="54">
        <v>49218</v>
      </c>
      <c r="G1859" s="54">
        <v>47757</v>
      </c>
      <c r="H1859" s="53" t="s">
        <v>105</v>
      </c>
      <c r="I1859" s="53" t="s">
        <v>628</v>
      </c>
      <c r="J1859" s="53" t="s">
        <v>101</v>
      </c>
      <c r="K1859" s="53">
        <v>81.338999999999999</v>
      </c>
      <c r="L1859" s="53" t="s">
        <v>101</v>
      </c>
      <c r="M1859" s="53">
        <v>4.4000000000000004</v>
      </c>
      <c r="N1859" s="53">
        <v>4.4000000000000004</v>
      </c>
      <c r="O1859" s="53" t="s">
        <v>101</v>
      </c>
      <c r="P1859" s="53" t="s">
        <v>448</v>
      </c>
      <c r="Q1859" s="53" t="s">
        <v>2219</v>
      </c>
      <c r="R1859" s="55" t="s">
        <v>454</v>
      </c>
    </row>
    <row r="1860" spans="1:18" x14ac:dyDescent="0.5">
      <c r="A1860" s="56" t="str">
        <f>"443730PT7"</f>
        <v>443730PT7</v>
      </c>
      <c r="B1860" s="57" t="s">
        <v>477</v>
      </c>
      <c r="C1860" s="57" t="s">
        <v>2220</v>
      </c>
      <c r="D1860" s="53" t="s">
        <v>447</v>
      </c>
      <c r="E1860" s="57">
        <v>3</v>
      </c>
      <c r="F1860" s="58">
        <v>49218</v>
      </c>
      <c r="G1860" s="58">
        <v>47757</v>
      </c>
      <c r="H1860" s="57" t="s">
        <v>105</v>
      </c>
      <c r="I1860" s="57" t="s">
        <v>628</v>
      </c>
      <c r="J1860" s="57" t="s">
        <v>101</v>
      </c>
      <c r="K1860" s="57">
        <v>93.99</v>
      </c>
      <c r="L1860" s="57" t="s">
        <v>101</v>
      </c>
      <c r="M1860" s="57">
        <v>3.75</v>
      </c>
      <c r="N1860" s="57">
        <v>3.75</v>
      </c>
      <c r="O1860" s="53" t="s">
        <v>101</v>
      </c>
      <c r="P1860" s="57" t="s">
        <v>448</v>
      </c>
      <c r="Q1860" s="57" t="s">
        <v>488</v>
      </c>
      <c r="R1860" s="59" t="s">
        <v>589</v>
      </c>
    </row>
    <row r="1861" spans="1:18" x14ac:dyDescent="0.5">
      <c r="A1861" s="52" t="str">
        <f>"452031AM9"</f>
        <v>452031AM9</v>
      </c>
      <c r="B1861" s="53" t="s">
        <v>491</v>
      </c>
      <c r="C1861" s="53" t="s">
        <v>2221</v>
      </c>
      <c r="D1861" s="53" t="s">
        <v>447</v>
      </c>
      <c r="E1861" s="53">
        <v>5</v>
      </c>
      <c r="F1861" s="54">
        <v>49218</v>
      </c>
      <c r="G1861" s="54">
        <v>47757</v>
      </c>
      <c r="H1861" s="53" t="s">
        <v>105</v>
      </c>
      <c r="I1861" s="53" t="s">
        <v>633</v>
      </c>
      <c r="J1861" s="53" t="s">
        <v>101</v>
      </c>
      <c r="K1861" s="53">
        <v>106.527</v>
      </c>
      <c r="L1861" s="53" t="s">
        <v>101</v>
      </c>
      <c r="M1861" s="53">
        <v>3.702</v>
      </c>
      <c r="N1861" s="53">
        <v>4.1689999999999996</v>
      </c>
      <c r="O1861" s="53" t="s">
        <v>101</v>
      </c>
      <c r="P1861" s="53" t="s">
        <v>448</v>
      </c>
      <c r="Q1861" s="53" t="s">
        <v>2222</v>
      </c>
      <c r="R1861" s="55" t="s">
        <v>450</v>
      </c>
    </row>
    <row r="1862" spans="1:18" x14ac:dyDescent="0.5">
      <c r="A1862" s="56" t="str">
        <f>"452153EE5"</f>
        <v>452153EE5</v>
      </c>
      <c r="B1862" s="57" t="s">
        <v>491</v>
      </c>
      <c r="C1862" s="57" t="s">
        <v>2223</v>
      </c>
      <c r="D1862" s="53" t="s">
        <v>447</v>
      </c>
      <c r="E1862" s="57">
        <v>5</v>
      </c>
      <c r="F1862" s="58">
        <v>49218</v>
      </c>
      <c r="G1862" s="58">
        <v>48488</v>
      </c>
      <c r="H1862" s="57" t="s">
        <v>627</v>
      </c>
      <c r="I1862" s="57" t="s">
        <v>713</v>
      </c>
      <c r="J1862" s="57" t="s">
        <v>101</v>
      </c>
      <c r="K1862" s="57">
        <v>109.23</v>
      </c>
      <c r="L1862" s="57" t="s">
        <v>101</v>
      </c>
      <c r="M1862" s="57">
        <v>3.6030000000000002</v>
      </c>
      <c r="N1862" s="57">
        <v>3.843</v>
      </c>
      <c r="O1862" s="53" t="s">
        <v>101</v>
      </c>
      <c r="P1862" s="57" t="s">
        <v>448</v>
      </c>
      <c r="Q1862" s="57" t="s">
        <v>457</v>
      </c>
      <c r="R1862" s="59" t="s">
        <v>454</v>
      </c>
    </row>
    <row r="1863" spans="1:18" x14ac:dyDescent="0.5">
      <c r="A1863" s="52" t="str">
        <f>"59333NZD8"</f>
        <v>59333NZD8</v>
      </c>
      <c r="B1863" s="53" t="s">
        <v>499</v>
      </c>
      <c r="C1863" s="53" t="s">
        <v>2224</v>
      </c>
      <c r="D1863" s="53" t="s">
        <v>447</v>
      </c>
      <c r="E1863" s="53">
        <v>0</v>
      </c>
      <c r="F1863" s="54">
        <v>49218</v>
      </c>
      <c r="G1863" s="54">
        <v>46296</v>
      </c>
      <c r="H1863" s="53" t="s">
        <v>105</v>
      </c>
      <c r="I1863" s="53" t="s">
        <v>658</v>
      </c>
      <c r="J1863" s="53" t="s">
        <v>101</v>
      </c>
      <c r="K1863" s="53">
        <v>66.046999999999997</v>
      </c>
      <c r="L1863" s="53" t="s">
        <v>101</v>
      </c>
      <c r="M1863" s="53">
        <v>4.359</v>
      </c>
      <c r="N1863" s="53">
        <v>4.359</v>
      </c>
      <c r="O1863" s="53" t="s">
        <v>101</v>
      </c>
      <c r="P1863" s="53" t="s">
        <v>448</v>
      </c>
      <c r="Q1863" s="53" t="s">
        <v>2225</v>
      </c>
      <c r="R1863" s="55" t="s">
        <v>504</v>
      </c>
    </row>
    <row r="1864" spans="1:18" x14ac:dyDescent="0.5">
      <c r="A1864" s="56" t="str">
        <f>"59334DKG8"</f>
        <v>59334DKG8</v>
      </c>
      <c r="B1864" s="57" t="s">
        <v>499</v>
      </c>
      <c r="C1864" s="57" t="s">
        <v>2226</v>
      </c>
      <c r="D1864" s="53" t="s">
        <v>447</v>
      </c>
      <c r="E1864" s="57">
        <v>3</v>
      </c>
      <c r="F1864" s="58">
        <v>49218</v>
      </c>
      <c r="G1864" s="58">
        <v>46661</v>
      </c>
      <c r="H1864" s="57" t="s">
        <v>624</v>
      </c>
      <c r="I1864" s="57" t="s">
        <v>628</v>
      </c>
      <c r="J1864" s="57" t="s">
        <v>101</v>
      </c>
      <c r="K1864" s="57">
        <v>94.215999999999994</v>
      </c>
      <c r="L1864" s="57" t="s">
        <v>101</v>
      </c>
      <c r="M1864" s="57">
        <v>3.72</v>
      </c>
      <c r="N1864" s="57">
        <v>3.72</v>
      </c>
      <c r="O1864" s="53" t="s">
        <v>101</v>
      </c>
      <c r="P1864" s="57" t="s">
        <v>448</v>
      </c>
      <c r="Q1864" s="57" t="s">
        <v>1466</v>
      </c>
      <c r="R1864" s="59" t="s">
        <v>589</v>
      </c>
    </row>
    <row r="1865" spans="1:18" x14ac:dyDescent="0.5">
      <c r="A1865" s="52" t="str">
        <f>"602409KR4"</f>
        <v>602409KR4</v>
      </c>
      <c r="B1865" s="53" t="s">
        <v>496</v>
      </c>
      <c r="C1865" s="53" t="s">
        <v>2227</v>
      </c>
      <c r="D1865" s="53" t="s">
        <v>447</v>
      </c>
      <c r="E1865" s="53">
        <v>3</v>
      </c>
      <c r="F1865" s="54">
        <v>49218</v>
      </c>
      <c r="G1865" s="54">
        <v>46296</v>
      </c>
      <c r="H1865" s="53" t="s">
        <v>540</v>
      </c>
      <c r="I1865" s="53" t="s">
        <v>509</v>
      </c>
      <c r="J1865" s="53" t="s">
        <v>101</v>
      </c>
      <c r="K1865" s="53">
        <v>94.185000000000002</v>
      </c>
      <c r="L1865" s="53" t="s">
        <v>101</v>
      </c>
      <c r="M1865" s="53">
        <v>3.7240000000000002</v>
      </c>
      <c r="N1865" s="53">
        <v>3.7240000000000002</v>
      </c>
      <c r="O1865" s="53" t="s">
        <v>101</v>
      </c>
      <c r="P1865" s="53" t="s">
        <v>448</v>
      </c>
      <c r="Q1865" s="53" t="s">
        <v>556</v>
      </c>
      <c r="R1865" s="55" t="s">
        <v>454</v>
      </c>
    </row>
    <row r="1866" spans="1:18" x14ac:dyDescent="0.5">
      <c r="A1866" s="56" t="str">
        <f>"602409LJ1"</f>
        <v>602409LJ1</v>
      </c>
      <c r="B1866" s="57" t="s">
        <v>496</v>
      </c>
      <c r="C1866" s="57" t="s">
        <v>2228</v>
      </c>
      <c r="D1866" s="53" t="s">
        <v>447</v>
      </c>
      <c r="E1866" s="57">
        <v>3</v>
      </c>
      <c r="F1866" s="58">
        <v>49218</v>
      </c>
      <c r="G1866" s="58">
        <v>47392</v>
      </c>
      <c r="H1866" s="57" t="s">
        <v>540</v>
      </c>
      <c r="I1866" s="57" t="s">
        <v>509</v>
      </c>
      <c r="J1866" s="57" t="s">
        <v>101</v>
      </c>
      <c r="K1866" s="57">
        <v>95.069000000000003</v>
      </c>
      <c r="L1866" s="57" t="s">
        <v>101</v>
      </c>
      <c r="M1866" s="57">
        <v>3.6110000000000002</v>
      </c>
      <c r="N1866" s="57">
        <v>3.6110000000000002</v>
      </c>
      <c r="O1866" s="53" t="s">
        <v>101</v>
      </c>
      <c r="P1866" s="57" t="s">
        <v>448</v>
      </c>
      <c r="Q1866" s="57" t="s">
        <v>947</v>
      </c>
      <c r="R1866" s="59" t="s">
        <v>482</v>
      </c>
    </row>
    <row r="1867" spans="1:18" x14ac:dyDescent="0.5">
      <c r="A1867" s="52" t="str">
        <f>"684545ZX7"</f>
        <v>684545ZX7</v>
      </c>
      <c r="B1867" s="53" t="s">
        <v>499</v>
      </c>
      <c r="C1867" s="53" t="s">
        <v>2229</v>
      </c>
      <c r="D1867" s="53" t="s">
        <v>447</v>
      </c>
      <c r="E1867" s="53">
        <v>4</v>
      </c>
      <c r="F1867" s="54">
        <v>49218</v>
      </c>
      <c r="G1867" s="54">
        <v>46296</v>
      </c>
      <c r="H1867" s="53" t="s">
        <v>613</v>
      </c>
      <c r="I1867" s="53" t="s">
        <v>616</v>
      </c>
      <c r="J1867" s="53" t="s">
        <v>101</v>
      </c>
      <c r="K1867" s="53">
        <v>100.14</v>
      </c>
      <c r="L1867" s="53" t="s">
        <v>101</v>
      </c>
      <c r="M1867" s="53">
        <v>3.9079999999999999</v>
      </c>
      <c r="N1867" s="53">
        <v>3.9820000000000002</v>
      </c>
      <c r="O1867" s="53" t="s">
        <v>101</v>
      </c>
      <c r="P1867" s="53" t="s">
        <v>448</v>
      </c>
      <c r="Q1867" s="53" t="s">
        <v>460</v>
      </c>
      <c r="R1867" s="55" t="s">
        <v>504</v>
      </c>
    </row>
    <row r="1868" spans="1:18" x14ac:dyDescent="0.5">
      <c r="A1868" s="56" t="str">
        <f>"684554ES3"</f>
        <v>684554ES3</v>
      </c>
      <c r="B1868" s="57" t="s">
        <v>499</v>
      </c>
      <c r="C1868" s="57" t="s">
        <v>2230</v>
      </c>
      <c r="D1868" s="53" t="s">
        <v>447</v>
      </c>
      <c r="E1868" s="57">
        <v>3</v>
      </c>
      <c r="F1868" s="58">
        <v>49218</v>
      </c>
      <c r="G1868" s="58">
        <v>45733</v>
      </c>
      <c r="H1868" s="57" t="s">
        <v>105</v>
      </c>
      <c r="I1868" s="57" t="s">
        <v>104</v>
      </c>
      <c r="J1868" s="57" t="s">
        <v>101</v>
      </c>
      <c r="K1868" s="57">
        <v>93.367000000000004</v>
      </c>
      <c r="L1868" s="57" t="s">
        <v>101</v>
      </c>
      <c r="M1868" s="57">
        <v>3.831</v>
      </c>
      <c r="N1868" s="57">
        <v>3.831</v>
      </c>
      <c r="O1868" s="53" t="s">
        <v>101</v>
      </c>
      <c r="P1868" s="57" t="s">
        <v>448</v>
      </c>
      <c r="Q1868" s="57" t="s">
        <v>485</v>
      </c>
      <c r="R1868" s="59" t="s">
        <v>504</v>
      </c>
    </row>
    <row r="1869" spans="1:18" x14ac:dyDescent="0.5">
      <c r="A1869" s="52" t="str">
        <f>"688031EP4"</f>
        <v>688031EP4</v>
      </c>
      <c r="B1869" s="53" t="s">
        <v>499</v>
      </c>
      <c r="C1869" s="53" t="s">
        <v>2231</v>
      </c>
      <c r="D1869" s="53" t="s">
        <v>447</v>
      </c>
      <c r="E1869" s="53">
        <v>0</v>
      </c>
      <c r="F1869" s="54">
        <v>49218</v>
      </c>
      <c r="G1869" s="54">
        <v>47392</v>
      </c>
      <c r="H1869" s="53" t="s">
        <v>105</v>
      </c>
      <c r="I1869" s="53" t="s">
        <v>633</v>
      </c>
      <c r="J1869" s="53" t="s">
        <v>101</v>
      </c>
      <c r="K1869" s="53">
        <v>68.540000000000006</v>
      </c>
      <c r="L1869" s="53" t="s">
        <v>101</v>
      </c>
      <c r="M1869" s="53">
        <v>3.9660000000000002</v>
      </c>
      <c r="N1869" s="53">
        <v>3.9660000000000002</v>
      </c>
      <c r="O1869" s="53" t="s">
        <v>101</v>
      </c>
      <c r="P1869" s="53" t="s">
        <v>448</v>
      </c>
      <c r="Q1869" s="53" t="s">
        <v>527</v>
      </c>
      <c r="R1869" s="55" t="s">
        <v>504</v>
      </c>
    </row>
    <row r="1870" spans="1:18" x14ac:dyDescent="0.5">
      <c r="A1870" s="56" t="str">
        <f>"845040LX0"</f>
        <v>845040LX0</v>
      </c>
      <c r="B1870" s="57" t="s">
        <v>451</v>
      </c>
      <c r="C1870" s="57" t="s">
        <v>2232</v>
      </c>
      <c r="D1870" s="53" t="s">
        <v>447</v>
      </c>
      <c r="E1870" s="57">
        <v>4</v>
      </c>
      <c r="F1870" s="58">
        <v>49218</v>
      </c>
      <c r="G1870" s="58">
        <v>46661</v>
      </c>
      <c r="H1870" s="57" t="s">
        <v>105</v>
      </c>
      <c r="I1870" s="57" t="s">
        <v>616</v>
      </c>
      <c r="J1870" s="57" t="s">
        <v>101</v>
      </c>
      <c r="K1870" s="57">
        <v>100.64700000000001</v>
      </c>
      <c r="L1870" s="57" t="s">
        <v>101</v>
      </c>
      <c r="M1870" s="57">
        <v>3.7370000000000001</v>
      </c>
      <c r="N1870" s="57">
        <v>3.9180000000000001</v>
      </c>
      <c r="O1870" s="53" t="s">
        <v>101</v>
      </c>
      <c r="P1870" s="57" t="s">
        <v>448</v>
      </c>
      <c r="Q1870" s="57" t="s">
        <v>488</v>
      </c>
      <c r="R1870" s="59" t="s">
        <v>504</v>
      </c>
    </row>
    <row r="1871" spans="1:18" x14ac:dyDescent="0.5">
      <c r="A1871" s="52" t="str">
        <f>"793323QL3"</f>
        <v>793323QL3</v>
      </c>
      <c r="B1871" s="53" t="s">
        <v>499</v>
      </c>
      <c r="C1871" s="53" t="s">
        <v>2233</v>
      </c>
      <c r="D1871" s="53" t="s">
        <v>447</v>
      </c>
      <c r="E1871" s="53">
        <v>3.375</v>
      </c>
      <c r="F1871" s="54">
        <v>49218</v>
      </c>
      <c r="G1871" s="54">
        <v>45733</v>
      </c>
      <c r="H1871" s="53" t="s">
        <v>613</v>
      </c>
      <c r="I1871" s="53" t="s">
        <v>105</v>
      </c>
      <c r="J1871" s="53" t="s">
        <v>101</v>
      </c>
      <c r="K1871" s="53">
        <v>97.126999999999995</v>
      </c>
      <c r="L1871" s="53" t="s">
        <v>101</v>
      </c>
      <c r="M1871" s="53">
        <v>3.7330000000000001</v>
      </c>
      <c r="N1871" s="53">
        <v>3.7330000000000001</v>
      </c>
      <c r="O1871" s="53" t="s">
        <v>101</v>
      </c>
      <c r="P1871" s="53" t="s">
        <v>448</v>
      </c>
      <c r="Q1871" s="53" t="s">
        <v>591</v>
      </c>
      <c r="R1871" s="55" t="s">
        <v>504</v>
      </c>
    </row>
    <row r="1872" spans="1:18" x14ac:dyDescent="0.5">
      <c r="A1872" s="56" t="str">
        <f>"86768UAN4"</f>
        <v>86768UAN4</v>
      </c>
      <c r="B1872" s="57" t="s">
        <v>499</v>
      </c>
      <c r="C1872" s="57" t="s">
        <v>2234</v>
      </c>
      <c r="D1872" s="53" t="s">
        <v>447</v>
      </c>
      <c r="E1872" s="57">
        <v>3</v>
      </c>
      <c r="F1872" s="58">
        <v>49218</v>
      </c>
      <c r="G1872" s="58">
        <v>47757</v>
      </c>
      <c r="H1872" s="57" t="s">
        <v>105</v>
      </c>
      <c r="I1872" s="57" t="s">
        <v>628</v>
      </c>
      <c r="J1872" s="57" t="s">
        <v>101</v>
      </c>
      <c r="K1872" s="57">
        <v>92.39</v>
      </c>
      <c r="L1872" s="57" t="s">
        <v>101</v>
      </c>
      <c r="M1872" s="57">
        <v>3.9590000000000001</v>
      </c>
      <c r="N1872" s="57">
        <v>3.9590000000000001</v>
      </c>
      <c r="O1872" s="53" t="s">
        <v>101</v>
      </c>
      <c r="P1872" s="57" t="s">
        <v>448</v>
      </c>
      <c r="Q1872" s="57" t="s">
        <v>488</v>
      </c>
      <c r="R1872" s="59" t="s">
        <v>589</v>
      </c>
    </row>
    <row r="1873" spans="1:18" x14ac:dyDescent="0.5">
      <c r="A1873" s="52" t="str">
        <f>"9143537E1"</f>
        <v>9143537E1</v>
      </c>
      <c r="B1873" s="53" t="s">
        <v>491</v>
      </c>
      <c r="C1873" s="53" t="s">
        <v>2235</v>
      </c>
      <c r="D1873" s="53" t="s">
        <v>447</v>
      </c>
      <c r="E1873" s="53">
        <v>5</v>
      </c>
      <c r="F1873" s="54">
        <v>49218</v>
      </c>
      <c r="G1873" s="54">
        <v>48853</v>
      </c>
      <c r="H1873" s="53" t="s">
        <v>610</v>
      </c>
      <c r="I1873" s="53" t="s">
        <v>713</v>
      </c>
      <c r="J1873" s="53" t="s">
        <v>101</v>
      </c>
      <c r="K1873" s="53">
        <v>110.70399999999999</v>
      </c>
      <c r="L1873" s="53" t="s">
        <v>101</v>
      </c>
      <c r="M1873" s="53">
        <v>3.5470000000000002</v>
      </c>
      <c r="N1873" s="53">
        <v>3.669</v>
      </c>
      <c r="O1873" s="53" t="s">
        <v>101</v>
      </c>
      <c r="P1873" s="53" t="s">
        <v>448</v>
      </c>
      <c r="Q1873" s="53" t="s">
        <v>571</v>
      </c>
      <c r="R1873" s="55" t="s">
        <v>504</v>
      </c>
    </row>
    <row r="1874" spans="1:18" x14ac:dyDescent="0.5">
      <c r="A1874" s="56" t="str">
        <f>"975840BT5"</f>
        <v>975840BT5</v>
      </c>
      <c r="B1874" s="57" t="s">
        <v>499</v>
      </c>
      <c r="C1874" s="57" t="s">
        <v>2236</v>
      </c>
      <c r="D1874" s="53" t="s">
        <v>447</v>
      </c>
      <c r="E1874" s="57">
        <v>3</v>
      </c>
      <c r="F1874" s="58">
        <v>49218</v>
      </c>
      <c r="G1874" s="58">
        <v>45733</v>
      </c>
      <c r="H1874" s="57" t="s">
        <v>105</v>
      </c>
      <c r="I1874" s="57" t="s">
        <v>628</v>
      </c>
      <c r="J1874" s="57" t="s">
        <v>101</v>
      </c>
      <c r="K1874" s="57">
        <v>92.212999999999994</v>
      </c>
      <c r="L1874" s="57" t="s">
        <v>101</v>
      </c>
      <c r="M1874" s="57">
        <v>3.9820000000000002</v>
      </c>
      <c r="N1874" s="57">
        <v>3.9820000000000002</v>
      </c>
      <c r="O1874" s="53" t="s">
        <v>101</v>
      </c>
      <c r="P1874" s="57" t="s">
        <v>448</v>
      </c>
      <c r="Q1874" s="57" t="s">
        <v>485</v>
      </c>
      <c r="R1874" s="59" t="s">
        <v>771</v>
      </c>
    </row>
    <row r="1875" spans="1:18" x14ac:dyDescent="0.5">
      <c r="A1875" s="52" t="str">
        <f>"976002CK9"</f>
        <v>976002CK9</v>
      </c>
      <c r="B1875" s="53" t="s">
        <v>499</v>
      </c>
      <c r="C1875" s="53" t="s">
        <v>2237</v>
      </c>
      <c r="D1875" s="53" t="s">
        <v>447</v>
      </c>
      <c r="E1875" s="53">
        <v>3</v>
      </c>
      <c r="F1875" s="54">
        <v>49218</v>
      </c>
      <c r="G1875" s="54">
        <v>46113</v>
      </c>
      <c r="H1875" s="53" t="s">
        <v>624</v>
      </c>
      <c r="I1875" s="53" t="s">
        <v>105</v>
      </c>
      <c r="J1875" s="53" t="s">
        <v>101</v>
      </c>
      <c r="K1875" s="53">
        <v>92.33</v>
      </c>
      <c r="L1875" s="53" t="s">
        <v>101</v>
      </c>
      <c r="M1875" s="53">
        <v>3.9670000000000001</v>
      </c>
      <c r="N1875" s="53">
        <v>3.9670000000000001</v>
      </c>
      <c r="O1875" s="53" t="s">
        <v>101</v>
      </c>
      <c r="P1875" s="53" t="s">
        <v>448</v>
      </c>
      <c r="Q1875" s="53" t="s">
        <v>460</v>
      </c>
      <c r="R1875" s="55" t="s">
        <v>504</v>
      </c>
    </row>
    <row r="1876" spans="1:18" x14ac:dyDescent="0.5">
      <c r="A1876" s="56" t="str">
        <f>"978369HE9"</f>
        <v>978369HE9</v>
      </c>
      <c r="B1876" s="57" t="s">
        <v>496</v>
      </c>
      <c r="C1876" s="57" t="s">
        <v>2238</v>
      </c>
      <c r="D1876" s="53" t="s">
        <v>447</v>
      </c>
      <c r="E1876" s="57">
        <v>3</v>
      </c>
      <c r="F1876" s="58">
        <v>49218</v>
      </c>
      <c r="G1876" s="58">
        <v>47392</v>
      </c>
      <c r="H1876" s="57" t="s">
        <v>613</v>
      </c>
      <c r="I1876" s="57" t="s">
        <v>105</v>
      </c>
      <c r="J1876" s="57" t="s">
        <v>101</v>
      </c>
      <c r="K1876" s="57">
        <v>93.063999999999993</v>
      </c>
      <c r="L1876" s="57" t="s">
        <v>101</v>
      </c>
      <c r="M1876" s="57">
        <v>3.87</v>
      </c>
      <c r="N1876" s="57">
        <v>3.87</v>
      </c>
      <c r="O1876" s="53" t="s">
        <v>101</v>
      </c>
      <c r="P1876" s="57" t="s">
        <v>448</v>
      </c>
      <c r="Q1876" s="57" t="s">
        <v>457</v>
      </c>
      <c r="R1876" s="59" t="s">
        <v>454</v>
      </c>
    </row>
    <row r="1877" spans="1:18" x14ac:dyDescent="0.5">
      <c r="A1877" s="52" t="str">
        <f>"88276REQ1"</f>
        <v>88276REQ1</v>
      </c>
      <c r="B1877" s="53" t="s">
        <v>451</v>
      </c>
      <c r="C1877" s="53" t="s">
        <v>2239</v>
      </c>
      <c r="D1877" s="53" t="s">
        <v>447</v>
      </c>
      <c r="E1877" s="53">
        <v>3</v>
      </c>
      <c r="F1877" s="54">
        <v>49232</v>
      </c>
      <c r="G1877" s="54">
        <v>46310</v>
      </c>
      <c r="H1877" s="53" t="s">
        <v>610</v>
      </c>
      <c r="I1877" s="53" t="s">
        <v>628</v>
      </c>
      <c r="J1877" s="53" t="s">
        <v>101</v>
      </c>
      <c r="K1877" s="53">
        <v>92.177999999999997</v>
      </c>
      <c r="L1877" s="53" t="s">
        <v>101</v>
      </c>
      <c r="M1877" s="53">
        <v>3.9830000000000001</v>
      </c>
      <c r="N1877" s="53">
        <v>3.9830000000000001</v>
      </c>
      <c r="O1877" s="53" t="s">
        <v>101</v>
      </c>
      <c r="P1877" s="53" t="s">
        <v>448</v>
      </c>
      <c r="Q1877" s="53" t="s">
        <v>460</v>
      </c>
      <c r="R1877" s="55" t="s">
        <v>820</v>
      </c>
    </row>
    <row r="1878" spans="1:18" x14ac:dyDescent="0.5">
      <c r="A1878" s="56" t="str">
        <f>"97712JBP7"</f>
        <v>97712JBP7</v>
      </c>
      <c r="B1878" s="57" t="s">
        <v>496</v>
      </c>
      <c r="C1878" s="57" t="s">
        <v>2240</v>
      </c>
      <c r="D1878" s="53" t="s">
        <v>447</v>
      </c>
      <c r="E1878" s="57">
        <v>4</v>
      </c>
      <c r="F1878" s="58">
        <v>49232</v>
      </c>
      <c r="G1878" s="58">
        <v>48136</v>
      </c>
      <c r="H1878" s="57" t="s">
        <v>105</v>
      </c>
      <c r="I1878" s="57" t="s">
        <v>658</v>
      </c>
      <c r="J1878" s="57" t="s">
        <v>101</v>
      </c>
      <c r="K1878" s="57">
        <v>101.455</v>
      </c>
      <c r="L1878" s="57" t="s">
        <v>101</v>
      </c>
      <c r="M1878" s="57">
        <v>3.75</v>
      </c>
      <c r="N1878" s="57">
        <v>3.8180000000000001</v>
      </c>
      <c r="O1878" s="53" t="s">
        <v>101</v>
      </c>
      <c r="P1878" s="57" t="s">
        <v>448</v>
      </c>
      <c r="Q1878" s="57" t="s">
        <v>460</v>
      </c>
      <c r="R1878" s="59" t="s">
        <v>506</v>
      </c>
    </row>
    <row r="1879" spans="1:18" x14ac:dyDescent="0.5">
      <c r="A1879" s="52" t="str">
        <f>"2350365K2"</f>
        <v>2350365K2</v>
      </c>
      <c r="B1879" s="53" t="s">
        <v>451</v>
      </c>
      <c r="C1879" s="53" t="s">
        <v>2241</v>
      </c>
      <c r="D1879" s="53" t="s">
        <v>447</v>
      </c>
      <c r="E1879" s="53">
        <v>4</v>
      </c>
      <c r="F1879" s="54">
        <v>49249</v>
      </c>
      <c r="G1879" s="54">
        <v>47788</v>
      </c>
      <c r="H1879" s="53" t="s">
        <v>641</v>
      </c>
      <c r="I1879" s="53" t="s">
        <v>616</v>
      </c>
      <c r="J1879" s="53" t="s">
        <v>101</v>
      </c>
      <c r="K1879" s="53">
        <v>102.456</v>
      </c>
      <c r="L1879" s="53" t="s">
        <v>101</v>
      </c>
      <c r="M1879" s="53">
        <v>3.52</v>
      </c>
      <c r="N1879" s="53">
        <v>3.6960000000000002</v>
      </c>
      <c r="O1879" s="53" t="s">
        <v>101</v>
      </c>
      <c r="P1879" s="53" t="s">
        <v>448</v>
      </c>
      <c r="Q1879" s="53" t="s">
        <v>591</v>
      </c>
      <c r="R1879" s="55" t="s">
        <v>589</v>
      </c>
    </row>
    <row r="1880" spans="1:18" x14ac:dyDescent="0.5">
      <c r="A1880" s="56" t="str">
        <f>"2350366B1"</f>
        <v>2350366B1</v>
      </c>
      <c r="B1880" s="57" t="s">
        <v>451</v>
      </c>
      <c r="C1880" s="57" t="s">
        <v>2242</v>
      </c>
      <c r="D1880" s="53" t="s">
        <v>447</v>
      </c>
      <c r="E1880" s="57">
        <v>4</v>
      </c>
      <c r="F1880" s="58">
        <v>49249</v>
      </c>
      <c r="G1880" s="58">
        <v>47788</v>
      </c>
      <c r="H1880" s="57" t="s">
        <v>641</v>
      </c>
      <c r="I1880" s="57" t="s">
        <v>616</v>
      </c>
      <c r="J1880" s="57" t="s">
        <v>101</v>
      </c>
      <c r="K1880" s="57">
        <v>102.35</v>
      </c>
      <c r="L1880" s="57" t="s">
        <v>101</v>
      </c>
      <c r="M1880" s="57">
        <v>3.54</v>
      </c>
      <c r="N1880" s="57">
        <v>3.7090000000000001</v>
      </c>
      <c r="O1880" s="53" t="s">
        <v>101</v>
      </c>
      <c r="P1880" s="57" t="s">
        <v>448</v>
      </c>
      <c r="Q1880" s="57" t="s">
        <v>2243</v>
      </c>
      <c r="R1880" s="59" t="s">
        <v>504</v>
      </c>
    </row>
    <row r="1881" spans="1:18" x14ac:dyDescent="0.5">
      <c r="A1881" s="52" t="str">
        <f>"41453DAK3"</f>
        <v>41453DAK3</v>
      </c>
      <c r="B1881" s="53" t="s">
        <v>451</v>
      </c>
      <c r="C1881" s="53" t="s">
        <v>2244</v>
      </c>
      <c r="D1881" s="53" t="s">
        <v>447</v>
      </c>
      <c r="E1881" s="53">
        <v>5</v>
      </c>
      <c r="F1881" s="54">
        <v>49249</v>
      </c>
      <c r="G1881" s="54" t="s">
        <v>101</v>
      </c>
      <c r="H1881" s="53" t="s">
        <v>624</v>
      </c>
      <c r="I1881" s="53" t="s">
        <v>105</v>
      </c>
      <c r="J1881" s="53" t="s">
        <v>101</v>
      </c>
      <c r="K1881" s="53">
        <v>112.19</v>
      </c>
      <c r="L1881" s="53" t="s">
        <v>101</v>
      </c>
      <c r="M1881" s="53">
        <v>3.5059999999999998</v>
      </c>
      <c r="N1881" s="53">
        <v>3.5059999999999998</v>
      </c>
      <c r="O1881" s="53" t="s">
        <v>101</v>
      </c>
      <c r="P1881" s="53" t="s">
        <v>448</v>
      </c>
      <c r="Q1881" s="53" t="s">
        <v>457</v>
      </c>
      <c r="R1881" s="55" t="s">
        <v>2245</v>
      </c>
    </row>
    <row r="1882" spans="1:18" x14ac:dyDescent="0.5">
      <c r="A1882" s="56" t="str">
        <f>"452152M99"</f>
        <v>452152M99</v>
      </c>
      <c r="B1882" s="57" t="s">
        <v>491</v>
      </c>
      <c r="C1882" s="57" t="s">
        <v>2246</v>
      </c>
      <c r="D1882" s="53" t="s">
        <v>447</v>
      </c>
      <c r="E1882" s="57">
        <v>5</v>
      </c>
      <c r="F1882" s="58">
        <v>49249</v>
      </c>
      <c r="G1882" s="58">
        <v>46327</v>
      </c>
      <c r="H1882" s="57" t="s">
        <v>627</v>
      </c>
      <c r="I1882" s="57" t="s">
        <v>713</v>
      </c>
      <c r="J1882" s="57" t="s">
        <v>101</v>
      </c>
      <c r="K1882" s="57">
        <v>102.25</v>
      </c>
      <c r="L1882" s="57" t="s">
        <v>101</v>
      </c>
      <c r="M1882" s="57">
        <v>3.6219999999999999</v>
      </c>
      <c r="N1882" s="57">
        <v>4.7080000000000002</v>
      </c>
      <c r="O1882" s="53" t="s">
        <v>101</v>
      </c>
      <c r="P1882" s="57" t="s">
        <v>448</v>
      </c>
      <c r="Q1882" s="57" t="s">
        <v>475</v>
      </c>
      <c r="R1882" s="59" t="s">
        <v>454</v>
      </c>
    </row>
    <row r="1883" spans="1:18" x14ac:dyDescent="0.5">
      <c r="A1883" s="52" t="str">
        <f>"671579E97"</f>
        <v>671579E97</v>
      </c>
      <c r="B1883" s="53" t="s">
        <v>491</v>
      </c>
      <c r="C1883" s="53" t="s">
        <v>2247</v>
      </c>
      <c r="D1883" s="53" t="s">
        <v>447</v>
      </c>
      <c r="E1883" s="53">
        <v>3.125</v>
      </c>
      <c r="F1883" s="54">
        <v>49249</v>
      </c>
      <c r="G1883" s="54">
        <v>45733</v>
      </c>
      <c r="H1883" s="53" t="s">
        <v>624</v>
      </c>
      <c r="I1883" s="53" t="s">
        <v>628</v>
      </c>
      <c r="J1883" s="53" t="s">
        <v>101</v>
      </c>
      <c r="K1883" s="53">
        <v>94.09</v>
      </c>
      <c r="L1883" s="53" t="s">
        <v>101</v>
      </c>
      <c r="M1883" s="53">
        <v>3.8610000000000002</v>
      </c>
      <c r="N1883" s="53">
        <v>3.8610000000000002</v>
      </c>
      <c r="O1883" s="53" t="s">
        <v>101</v>
      </c>
      <c r="P1883" s="53" t="s">
        <v>448</v>
      </c>
      <c r="Q1883" s="53" t="s">
        <v>1391</v>
      </c>
      <c r="R1883" s="55" t="s">
        <v>454</v>
      </c>
    </row>
    <row r="1884" spans="1:18" x14ac:dyDescent="0.5">
      <c r="A1884" s="56" t="str">
        <f>"671579ZJ2"</f>
        <v>671579ZJ2</v>
      </c>
      <c r="B1884" s="57" t="s">
        <v>491</v>
      </c>
      <c r="C1884" s="57" t="s">
        <v>2248</v>
      </c>
      <c r="D1884" s="53" t="s">
        <v>447</v>
      </c>
      <c r="E1884" s="57">
        <v>3.5</v>
      </c>
      <c r="F1884" s="58">
        <v>49249</v>
      </c>
      <c r="G1884" s="58">
        <v>45733</v>
      </c>
      <c r="H1884" s="57" t="s">
        <v>624</v>
      </c>
      <c r="I1884" s="57" t="s">
        <v>628</v>
      </c>
      <c r="J1884" s="57" t="s">
        <v>101</v>
      </c>
      <c r="K1884" s="57">
        <v>97.56</v>
      </c>
      <c r="L1884" s="57" t="s">
        <v>101</v>
      </c>
      <c r="M1884" s="57">
        <v>3.8029999999999999</v>
      </c>
      <c r="N1884" s="57">
        <v>3.8029999999999999</v>
      </c>
      <c r="O1884" s="53" t="s">
        <v>101</v>
      </c>
      <c r="P1884" s="57" t="s">
        <v>448</v>
      </c>
      <c r="Q1884" s="57" t="s">
        <v>538</v>
      </c>
      <c r="R1884" s="59" t="s">
        <v>454</v>
      </c>
    </row>
    <row r="1885" spans="1:18" x14ac:dyDescent="0.5">
      <c r="A1885" s="52" t="str">
        <f>"76958PAT3"</f>
        <v>76958PAT3</v>
      </c>
      <c r="B1885" s="53" t="s">
        <v>499</v>
      </c>
      <c r="C1885" s="53" t="s">
        <v>2249</v>
      </c>
      <c r="D1885" s="53" t="s">
        <v>447</v>
      </c>
      <c r="E1885" s="53">
        <v>3.125</v>
      </c>
      <c r="F1885" s="54">
        <v>49249</v>
      </c>
      <c r="G1885" s="54">
        <v>45962</v>
      </c>
      <c r="H1885" s="53" t="s">
        <v>105</v>
      </c>
      <c r="I1885" s="53" t="s">
        <v>658</v>
      </c>
      <c r="J1885" s="53" t="s">
        <v>101</v>
      </c>
      <c r="K1885" s="53">
        <v>93.625</v>
      </c>
      <c r="L1885" s="53" t="s">
        <v>101</v>
      </c>
      <c r="M1885" s="53">
        <v>3.9209999999999998</v>
      </c>
      <c r="N1885" s="53">
        <v>3.9209999999999998</v>
      </c>
      <c r="O1885" s="53" t="s">
        <v>101</v>
      </c>
      <c r="P1885" s="53" t="s">
        <v>448</v>
      </c>
      <c r="Q1885" s="53" t="s">
        <v>485</v>
      </c>
      <c r="R1885" s="55" t="s">
        <v>504</v>
      </c>
    </row>
    <row r="1886" spans="1:18" x14ac:dyDescent="0.5">
      <c r="A1886" s="56" t="str">
        <f>"979417BA9"</f>
        <v>979417BA9</v>
      </c>
      <c r="B1886" s="57" t="s">
        <v>491</v>
      </c>
      <c r="C1886" s="57" t="s">
        <v>2250</v>
      </c>
      <c r="D1886" s="53" t="s">
        <v>447</v>
      </c>
      <c r="E1886" s="57">
        <v>4</v>
      </c>
      <c r="F1886" s="58">
        <v>49249</v>
      </c>
      <c r="G1886" s="58">
        <v>47423</v>
      </c>
      <c r="H1886" s="57" t="s">
        <v>105</v>
      </c>
      <c r="I1886" s="57" t="s">
        <v>628</v>
      </c>
      <c r="J1886" s="57" t="s">
        <v>101</v>
      </c>
      <c r="K1886" s="57">
        <v>101.822</v>
      </c>
      <c r="L1886" s="57" t="s">
        <v>101</v>
      </c>
      <c r="M1886" s="57">
        <v>3.5750000000000002</v>
      </c>
      <c r="N1886" s="57">
        <v>3.7730000000000001</v>
      </c>
      <c r="O1886" s="53" t="s">
        <v>101</v>
      </c>
      <c r="P1886" s="57" t="s">
        <v>448</v>
      </c>
      <c r="Q1886" s="57" t="s">
        <v>479</v>
      </c>
      <c r="R1886" s="59" t="s">
        <v>630</v>
      </c>
    </row>
    <row r="1887" spans="1:18" x14ac:dyDescent="0.5">
      <c r="A1887" s="52" t="str">
        <f>"163222FG2"</f>
        <v>163222FG2</v>
      </c>
      <c r="B1887" s="53" t="s">
        <v>451</v>
      </c>
      <c r="C1887" s="53" t="s">
        <v>2251</v>
      </c>
      <c r="D1887" s="53" t="s">
        <v>447</v>
      </c>
      <c r="E1887" s="53">
        <v>3.25</v>
      </c>
      <c r="F1887" s="54">
        <v>49263</v>
      </c>
      <c r="G1887" s="54">
        <v>45733</v>
      </c>
      <c r="H1887" s="53" t="s">
        <v>105</v>
      </c>
      <c r="I1887" s="53" t="s">
        <v>628</v>
      </c>
      <c r="J1887" s="53" t="s">
        <v>101</v>
      </c>
      <c r="K1887" s="53">
        <v>96.513999999999996</v>
      </c>
      <c r="L1887" s="53" t="s">
        <v>101</v>
      </c>
      <c r="M1887" s="53">
        <v>3.6789999999999998</v>
      </c>
      <c r="N1887" s="53">
        <v>3.6789999999999998</v>
      </c>
      <c r="O1887" s="53" t="s">
        <v>101</v>
      </c>
      <c r="P1887" s="53" t="s">
        <v>448</v>
      </c>
      <c r="Q1887" s="53" t="s">
        <v>1227</v>
      </c>
      <c r="R1887" s="55" t="s">
        <v>630</v>
      </c>
    </row>
    <row r="1888" spans="1:18" x14ac:dyDescent="0.5">
      <c r="A1888" s="56" t="str">
        <f>"167615D34"</f>
        <v>167615D34</v>
      </c>
      <c r="B1888" s="57" t="s">
        <v>491</v>
      </c>
      <c r="C1888" s="57" t="s">
        <v>2252</v>
      </c>
      <c r="D1888" s="53" t="s">
        <v>447</v>
      </c>
      <c r="E1888" s="57">
        <v>4</v>
      </c>
      <c r="F1888" s="58">
        <v>49263</v>
      </c>
      <c r="G1888" s="58">
        <v>47437</v>
      </c>
      <c r="H1888" s="57" t="s">
        <v>105</v>
      </c>
      <c r="I1888" s="57" t="s">
        <v>628</v>
      </c>
      <c r="J1888" s="57" t="s">
        <v>101</v>
      </c>
      <c r="K1888" s="57">
        <v>100.929</v>
      </c>
      <c r="L1888" s="57" t="s">
        <v>101</v>
      </c>
      <c r="M1888" s="57">
        <v>3.7829999999999999</v>
      </c>
      <c r="N1888" s="57">
        <v>3.8839999999999999</v>
      </c>
      <c r="O1888" s="53" t="s">
        <v>101</v>
      </c>
      <c r="P1888" s="57" t="s">
        <v>448</v>
      </c>
      <c r="Q1888" s="57" t="s">
        <v>503</v>
      </c>
      <c r="R1888" s="59" t="s">
        <v>820</v>
      </c>
    </row>
    <row r="1889" spans="1:18" x14ac:dyDescent="0.5">
      <c r="A1889" s="52" t="str">
        <f>"34061QBA4"</f>
        <v>34061QBA4</v>
      </c>
      <c r="B1889" s="53" t="s">
        <v>499</v>
      </c>
      <c r="C1889" s="53" t="s">
        <v>2253</v>
      </c>
      <c r="D1889" s="53" t="s">
        <v>447</v>
      </c>
      <c r="E1889" s="53">
        <v>4</v>
      </c>
      <c r="F1889" s="54">
        <v>49263</v>
      </c>
      <c r="G1889" s="54">
        <v>48167</v>
      </c>
      <c r="H1889" s="53" t="s">
        <v>610</v>
      </c>
      <c r="I1889" s="53" t="s">
        <v>105</v>
      </c>
      <c r="J1889" s="53" t="s">
        <v>101</v>
      </c>
      <c r="K1889" s="53">
        <v>102.59099999999999</v>
      </c>
      <c r="L1889" s="53" t="s">
        <v>101</v>
      </c>
      <c r="M1889" s="53">
        <v>3.5640000000000001</v>
      </c>
      <c r="N1889" s="53">
        <v>3.681</v>
      </c>
      <c r="O1889" s="53" t="s">
        <v>101</v>
      </c>
      <c r="P1889" s="53" t="s">
        <v>448</v>
      </c>
      <c r="Q1889" s="53" t="s">
        <v>591</v>
      </c>
      <c r="R1889" s="55" t="s">
        <v>506</v>
      </c>
    </row>
    <row r="1890" spans="1:18" x14ac:dyDescent="0.5">
      <c r="A1890" s="56" t="str">
        <f>"87638QPL7"</f>
        <v>87638QPL7</v>
      </c>
      <c r="B1890" s="57" t="s">
        <v>451</v>
      </c>
      <c r="C1890" s="57" t="s">
        <v>2254</v>
      </c>
      <c r="D1890" s="53" t="s">
        <v>447</v>
      </c>
      <c r="E1890" s="57">
        <v>4</v>
      </c>
      <c r="F1890" s="58">
        <v>49263</v>
      </c>
      <c r="G1890" s="58">
        <v>46157</v>
      </c>
      <c r="H1890" s="57" t="s">
        <v>613</v>
      </c>
      <c r="I1890" s="57" t="s">
        <v>616</v>
      </c>
      <c r="J1890" s="57" t="s">
        <v>101</v>
      </c>
      <c r="K1890" s="57">
        <v>100.426</v>
      </c>
      <c r="L1890" s="57" t="s">
        <v>101</v>
      </c>
      <c r="M1890" s="57">
        <v>3.6419999999999999</v>
      </c>
      <c r="N1890" s="57">
        <v>3.9460000000000002</v>
      </c>
      <c r="O1890" s="53" t="s">
        <v>101</v>
      </c>
      <c r="P1890" s="57" t="s">
        <v>448</v>
      </c>
      <c r="Q1890" s="57" t="s">
        <v>2255</v>
      </c>
      <c r="R1890" s="59" t="s">
        <v>450</v>
      </c>
    </row>
    <row r="1891" spans="1:18" x14ac:dyDescent="0.5">
      <c r="A1891" s="52" t="str">
        <f>"041807CU0"</f>
        <v>041807CU0</v>
      </c>
      <c r="B1891" s="53" t="s">
        <v>451</v>
      </c>
      <c r="C1891" s="53" t="s">
        <v>2256</v>
      </c>
      <c r="D1891" s="53" t="s">
        <v>447</v>
      </c>
      <c r="E1891" s="53">
        <v>5</v>
      </c>
      <c r="F1891" s="54">
        <v>49279</v>
      </c>
      <c r="G1891" s="54">
        <v>48549</v>
      </c>
      <c r="H1891" s="53" t="s">
        <v>104</v>
      </c>
      <c r="I1891" s="53" t="s">
        <v>104</v>
      </c>
      <c r="J1891" s="53" t="s">
        <v>101</v>
      </c>
      <c r="K1891" s="53">
        <v>109.336</v>
      </c>
      <c r="L1891" s="53" t="s">
        <v>101</v>
      </c>
      <c r="M1891" s="53">
        <v>3.613</v>
      </c>
      <c r="N1891" s="53">
        <v>3.8450000000000002</v>
      </c>
      <c r="O1891" s="53" t="s">
        <v>101</v>
      </c>
      <c r="P1891" s="53" t="s">
        <v>448</v>
      </c>
      <c r="Q1891" s="53" t="s">
        <v>457</v>
      </c>
      <c r="R1891" s="55" t="s">
        <v>450</v>
      </c>
    </row>
    <row r="1892" spans="1:18" x14ac:dyDescent="0.5">
      <c r="A1892" s="56" t="str">
        <f>"158159CF8"</f>
        <v>158159CF8</v>
      </c>
      <c r="B1892" s="57" t="s">
        <v>491</v>
      </c>
      <c r="C1892" s="57" t="s">
        <v>2257</v>
      </c>
      <c r="D1892" s="53" t="s">
        <v>447</v>
      </c>
      <c r="E1892" s="57">
        <v>3</v>
      </c>
      <c r="F1892" s="58">
        <v>49279</v>
      </c>
      <c r="G1892" s="58">
        <v>46357</v>
      </c>
      <c r="H1892" s="57" t="s">
        <v>105</v>
      </c>
      <c r="I1892" s="57" t="s">
        <v>628</v>
      </c>
      <c r="J1892" s="57" t="s">
        <v>101</v>
      </c>
      <c r="K1892" s="57">
        <v>92.83</v>
      </c>
      <c r="L1892" s="57" t="s">
        <v>101</v>
      </c>
      <c r="M1892" s="57">
        <v>3.887</v>
      </c>
      <c r="N1892" s="57">
        <v>3.887</v>
      </c>
      <c r="O1892" s="53" t="s">
        <v>101</v>
      </c>
      <c r="P1892" s="57" t="s">
        <v>448</v>
      </c>
      <c r="Q1892" s="57" t="s">
        <v>782</v>
      </c>
      <c r="R1892" s="59" t="s">
        <v>482</v>
      </c>
    </row>
    <row r="1893" spans="1:18" x14ac:dyDescent="0.5">
      <c r="A1893" s="52" t="str">
        <f>"17239YLQ3"</f>
        <v>17239YLQ3</v>
      </c>
      <c r="B1893" s="53" t="s">
        <v>451</v>
      </c>
      <c r="C1893" s="53" t="s">
        <v>2258</v>
      </c>
      <c r="D1893" s="53" t="s">
        <v>447</v>
      </c>
      <c r="E1893" s="53">
        <v>3.625</v>
      </c>
      <c r="F1893" s="54">
        <v>49279</v>
      </c>
      <c r="G1893" s="54">
        <v>45733</v>
      </c>
      <c r="H1893" s="53" t="s">
        <v>105</v>
      </c>
      <c r="I1893" s="53" t="s">
        <v>628</v>
      </c>
      <c r="J1893" s="53" t="s">
        <v>101</v>
      </c>
      <c r="K1893" s="53">
        <v>98.91</v>
      </c>
      <c r="L1893" s="53" t="s">
        <v>101</v>
      </c>
      <c r="M1893" s="53">
        <v>3.7589999999999999</v>
      </c>
      <c r="N1893" s="53">
        <v>3.7589999999999999</v>
      </c>
      <c r="O1893" s="53" t="s">
        <v>101</v>
      </c>
      <c r="P1893" s="53" t="s">
        <v>448</v>
      </c>
      <c r="Q1893" s="53" t="s">
        <v>488</v>
      </c>
      <c r="R1893" s="55" t="s">
        <v>771</v>
      </c>
    </row>
    <row r="1894" spans="1:18" x14ac:dyDescent="0.5">
      <c r="A1894" s="56" t="str">
        <f>"213309NH6"</f>
        <v>213309NH6</v>
      </c>
      <c r="B1894" s="57" t="s">
        <v>491</v>
      </c>
      <c r="C1894" s="57" t="s">
        <v>2259</v>
      </c>
      <c r="D1894" s="53" t="s">
        <v>447</v>
      </c>
      <c r="E1894" s="57">
        <v>4</v>
      </c>
      <c r="F1894" s="58">
        <v>49279</v>
      </c>
      <c r="G1894" s="58">
        <v>47088</v>
      </c>
      <c r="H1894" s="57" t="s">
        <v>624</v>
      </c>
      <c r="I1894" s="57" t="s">
        <v>628</v>
      </c>
      <c r="J1894" s="57" t="s">
        <v>101</v>
      </c>
      <c r="K1894" s="57">
        <v>101.328</v>
      </c>
      <c r="L1894" s="57" t="s">
        <v>101</v>
      </c>
      <c r="M1894" s="57">
        <v>3.62</v>
      </c>
      <c r="N1894" s="57">
        <v>3.835</v>
      </c>
      <c r="O1894" s="53" t="s">
        <v>101</v>
      </c>
      <c r="P1894" s="57" t="s">
        <v>448</v>
      </c>
      <c r="Q1894" s="57" t="s">
        <v>457</v>
      </c>
      <c r="R1894" s="59" t="s">
        <v>630</v>
      </c>
    </row>
    <row r="1895" spans="1:18" x14ac:dyDescent="0.5">
      <c r="A1895" s="52" t="str">
        <f>"213309PJ0"</f>
        <v>213309PJ0</v>
      </c>
      <c r="B1895" s="53" t="s">
        <v>491</v>
      </c>
      <c r="C1895" s="53" t="s">
        <v>2260</v>
      </c>
      <c r="D1895" s="53" t="s">
        <v>447</v>
      </c>
      <c r="E1895" s="53">
        <v>4</v>
      </c>
      <c r="F1895" s="54">
        <v>49279</v>
      </c>
      <c r="G1895" s="54">
        <v>47088</v>
      </c>
      <c r="H1895" s="53" t="s">
        <v>624</v>
      </c>
      <c r="I1895" s="53" t="s">
        <v>628</v>
      </c>
      <c r="J1895" s="53" t="s">
        <v>101</v>
      </c>
      <c r="K1895" s="53">
        <v>101.54</v>
      </c>
      <c r="L1895" s="53" t="s">
        <v>101</v>
      </c>
      <c r="M1895" s="53">
        <v>3.56</v>
      </c>
      <c r="N1895" s="53">
        <v>3.8090000000000002</v>
      </c>
      <c r="O1895" s="53" t="s">
        <v>101</v>
      </c>
      <c r="P1895" s="53" t="s">
        <v>448</v>
      </c>
      <c r="Q1895" s="53" t="s">
        <v>479</v>
      </c>
      <c r="R1895" s="55" t="s">
        <v>680</v>
      </c>
    </row>
    <row r="1896" spans="1:18" x14ac:dyDescent="0.5">
      <c r="A1896" s="56" t="str">
        <f>"213669JW5"</f>
        <v>213669JW5</v>
      </c>
      <c r="B1896" s="57" t="s">
        <v>491</v>
      </c>
      <c r="C1896" s="57" t="s">
        <v>2261</v>
      </c>
      <c r="D1896" s="53" t="s">
        <v>447</v>
      </c>
      <c r="E1896" s="57">
        <v>3</v>
      </c>
      <c r="F1896" s="58">
        <v>49279</v>
      </c>
      <c r="G1896" s="58">
        <v>47818</v>
      </c>
      <c r="H1896" s="57" t="s">
        <v>540</v>
      </c>
      <c r="I1896" s="57" t="s">
        <v>105</v>
      </c>
      <c r="J1896" s="57" t="s">
        <v>101</v>
      </c>
      <c r="K1896" s="57">
        <v>94.037999999999997</v>
      </c>
      <c r="L1896" s="57" t="s">
        <v>101</v>
      </c>
      <c r="M1896" s="57">
        <v>3.7320000000000002</v>
      </c>
      <c r="N1896" s="57">
        <v>3.7320000000000002</v>
      </c>
      <c r="O1896" s="53" t="s">
        <v>101</v>
      </c>
      <c r="P1896" s="57" t="s">
        <v>448</v>
      </c>
      <c r="Q1896" s="57" t="s">
        <v>503</v>
      </c>
      <c r="R1896" s="59" t="s">
        <v>454</v>
      </c>
    </row>
    <row r="1897" spans="1:18" x14ac:dyDescent="0.5">
      <c r="A1897" s="52" t="str">
        <f>"215705HP2"</f>
        <v>215705HP2</v>
      </c>
      <c r="B1897" s="53" t="s">
        <v>491</v>
      </c>
      <c r="C1897" s="53" t="s">
        <v>2262</v>
      </c>
      <c r="D1897" s="53" t="s">
        <v>447</v>
      </c>
      <c r="E1897" s="53">
        <v>3.125</v>
      </c>
      <c r="F1897" s="54">
        <v>49279</v>
      </c>
      <c r="G1897" s="54">
        <v>45992</v>
      </c>
      <c r="H1897" s="53" t="s">
        <v>105</v>
      </c>
      <c r="I1897" s="53" t="s">
        <v>628</v>
      </c>
      <c r="J1897" s="53" t="s">
        <v>101</v>
      </c>
      <c r="K1897" s="53">
        <v>93.120999999999995</v>
      </c>
      <c r="L1897" s="53" t="s">
        <v>101</v>
      </c>
      <c r="M1897" s="53">
        <v>3.98</v>
      </c>
      <c r="N1897" s="53">
        <v>3.98</v>
      </c>
      <c r="O1897" s="53" t="s">
        <v>101</v>
      </c>
      <c r="P1897" s="53" t="s">
        <v>448</v>
      </c>
      <c r="Q1897" s="53" t="s">
        <v>503</v>
      </c>
      <c r="R1897" s="55" t="s">
        <v>482</v>
      </c>
    </row>
    <row r="1898" spans="1:18" x14ac:dyDescent="0.5">
      <c r="A1898" s="56" t="str">
        <f>"216048GA0"</f>
        <v>216048GA0</v>
      </c>
      <c r="B1898" s="57" t="s">
        <v>491</v>
      </c>
      <c r="C1898" s="57" t="s">
        <v>2263</v>
      </c>
      <c r="D1898" s="53" t="s">
        <v>447</v>
      </c>
      <c r="E1898" s="57">
        <v>3.375</v>
      </c>
      <c r="F1898" s="58">
        <v>49279</v>
      </c>
      <c r="G1898" s="58">
        <v>46357</v>
      </c>
      <c r="H1898" s="57" t="s">
        <v>624</v>
      </c>
      <c r="I1898" s="57" t="s">
        <v>628</v>
      </c>
      <c r="J1898" s="57" t="s">
        <v>101</v>
      </c>
      <c r="K1898" s="57">
        <v>96.23</v>
      </c>
      <c r="L1898" s="57" t="s">
        <v>101</v>
      </c>
      <c r="M1898" s="57">
        <v>3.84</v>
      </c>
      <c r="N1898" s="57">
        <v>3.84</v>
      </c>
      <c r="O1898" s="53" t="s">
        <v>101</v>
      </c>
      <c r="P1898" s="57" t="s">
        <v>448</v>
      </c>
      <c r="Q1898" s="57" t="s">
        <v>488</v>
      </c>
      <c r="R1898" s="59" t="s">
        <v>630</v>
      </c>
    </row>
    <row r="1899" spans="1:18" x14ac:dyDescent="0.5">
      <c r="A1899" s="52" t="str">
        <f>"213417DU9"</f>
        <v>213417DU9</v>
      </c>
      <c r="B1899" s="53" t="s">
        <v>491</v>
      </c>
      <c r="C1899" s="53" t="s">
        <v>2264</v>
      </c>
      <c r="D1899" s="53" t="s">
        <v>447</v>
      </c>
      <c r="E1899" s="53">
        <v>3.125</v>
      </c>
      <c r="F1899" s="54">
        <v>49279</v>
      </c>
      <c r="G1899" s="54">
        <v>46357</v>
      </c>
      <c r="H1899" s="53" t="s">
        <v>105</v>
      </c>
      <c r="I1899" s="53" t="s">
        <v>104</v>
      </c>
      <c r="J1899" s="53" t="s">
        <v>101</v>
      </c>
      <c r="K1899" s="53">
        <v>93.043999999999997</v>
      </c>
      <c r="L1899" s="53" t="s">
        <v>101</v>
      </c>
      <c r="M1899" s="53">
        <v>3.99</v>
      </c>
      <c r="N1899" s="53">
        <v>3.99</v>
      </c>
      <c r="O1899" s="53" t="s">
        <v>101</v>
      </c>
      <c r="P1899" s="53" t="s">
        <v>448</v>
      </c>
      <c r="Q1899" s="53" t="s">
        <v>485</v>
      </c>
      <c r="R1899" s="55" t="s">
        <v>482</v>
      </c>
    </row>
    <row r="1900" spans="1:18" x14ac:dyDescent="0.5">
      <c r="A1900" s="56" t="str">
        <f>"213759HK2"</f>
        <v>213759HK2</v>
      </c>
      <c r="B1900" s="57" t="s">
        <v>491</v>
      </c>
      <c r="C1900" s="57" t="s">
        <v>2265</v>
      </c>
      <c r="D1900" s="53" t="s">
        <v>447</v>
      </c>
      <c r="E1900" s="57">
        <v>4</v>
      </c>
      <c r="F1900" s="58">
        <v>49279</v>
      </c>
      <c r="G1900" s="58">
        <v>47088</v>
      </c>
      <c r="H1900" s="57" t="s">
        <v>624</v>
      </c>
      <c r="I1900" s="57" t="s">
        <v>105</v>
      </c>
      <c r="J1900" s="57" t="s">
        <v>101</v>
      </c>
      <c r="K1900" s="57">
        <v>101.69</v>
      </c>
      <c r="L1900" s="57" t="s">
        <v>101</v>
      </c>
      <c r="M1900" s="57">
        <v>3.5179999999999998</v>
      </c>
      <c r="N1900" s="57">
        <v>3.7909999999999999</v>
      </c>
      <c r="O1900" s="53" t="s">
        <v>101</v>
      </c>
      <c r="P1900" s="57" t="s">
        <v>448</v>
      </c>
      <c r="Q1900" s="57" t="s">
        <v>1466</v>
      </c>
      <c r="R1900" s="59" t="s">
        <v>482</v>
      </c>
    </row>
    <row r="1901" spans="1:18" x14ac:dyDescent="0.5">
      <c r="A1901" s="52" t="str">
        <f>"214165MD1"</f>
        <v>214165MD1</v>
      </c>
      <c r="B1901" s="53" t="s">
        <v>491</v>
      </c>
      <c r="C1901" s="53" t="s">
        <v>2266</v>
      </c>
      <c r="D1901" s="53" t="s">
        <v>447</v>
      </c>
      <c r="E1901" s="53">
        <v>3</v>
      </c>
      <c r="F1901" s="54">
        <v>49279</v>
      </c>
      <c r="G1901" s="54">
        <v>47818</v>
      </c>
      <c r="H1901" s="53" t="s">
        <v>105</v>
      </c>
      <c r="I1901" s="53" t="s">
        <v>628</v>
      </c>
      <c r="J1901" s="53" t="s">
        <v>101</v>
      </c>
      <c r="K1901" s="53">
        <v>92.117000000000004</v>
      </c>
      <c r="L1901" s="53" t="s">
        <v>101</v>
      </c>
      <c r="M1901" s="53">
        <v>3.98</v>
      </c>
      <c r="N1901" s="53">
        <v>3.98</v>
      </c>
      <c r="O1901" s="53" t="s">
        <v>101</v>
      </c>
      <c r="P1901" s="53" t="s">
        <v>448</v>
      </c>
      <c r="Q1901" s="53" t="s">
        <v>718</v>
      </c>
      <c r="R1901" s="55" t="s">
        <v>680</v>
      </c>
    </row>
    <row r="1902" spans="1:18" x14ac:dyDescent="0.5">
      <c r="A1902" s="56" t="str">
        <f>"214309GK6"</f>
        <v>214309GK6</v>
      </c>
      <c r="B1902" s="57" t="s">
        <v>491</v>
      </c>
      <c r="C1902" s="57" t="s">
        <v>2267</v>
      </c>
      <c r="D1902" s="53" t="s">
        <v>447</v>
      </c>
      <c r="E1902" s="57">
        <v>3.25</v>
      </c>
      <c r="F1902" s="58">
        <v>49279</v>
      </c>
      <c r="G1902" s="58">
        <v>46722</v>
      </c>
      <c r="H1902" s="57" t="s">
        <v>613</v>
      </c>
      <c r="I1902" s="57" t="s">
        <v>105</v>
      </c>
      <c r="J1902" s="57" t="s">
        <v>101</v>
      </c>
      <c r="K1902" s="57">
        <v>97.372</v>
      </c>
      <c r="L1902" s="57" t="s">
        <v>101</v>
      </c>
      <c r="M1902" s="57">
        <v>3.57</v>
      </c>
      <c r="N1902" s="57">
        <v>3.57</v>
      </c>
      <c r="O1902" s="53" t="s">
        <v>101</v>
      </c>
      <c r="P1902" s="57" t="s">
        <v>448</v>
      </c>
      <c r="Q1902" s="57" t="s">
        <v>790</v>
      </c>
      <c r="R1902" s="59" t="s">
        <v>454</v>
      </c>
    </row>
    <row r="1903" spans="1:18" x14ac:dyDescent="0.5">
      <c r="A1903" s="52" t="str">
        <f>"215021QC3"</f>
        <v>215021QC3</v>
      </c>
      <c r="B1903" s="53" t="s">
        <v>491</v>
      </c>
      <c r="C1903" s="53" t="s">
        <v>2268</v>
      </c>
      <c r="D1903" s="53" t="s">
        <v>447</v>
      </c>
      <c r="E1903" s="53">
        <v>4</v>
      </c>
      <c r="F1903" s="54">
        <v>49279</v>
      </c>
      <c r="G1903" s="54">
        <v>46174</v>
      </c>
      <c r="H1903" s="53" t="s">
        <v>610</v>
      </c>
      <c r="I1903" s="53" t="s">
        <v>628</v>
      </c>
      <c r="J1903" s="53" t="s">
        <v>101</v>
      </c>
      <c r="K1903" s="53">
        <v>100.569</v>
      </c>
      <c r="L1903" s="53" t="s">
        <v>101</v>
      </c>
      <c r="M1903" s="53">
        <v>3.54</v>
      </c>
      <c r="N1903" s="53">
        <v>3.9289999999999998</v>
      </c>
      <c r="O1903" s="53" t="s">
        <v>101</v>
      </c>
      <c r="P1903" s="53" t="s">
        <v>448</v>
      </c>
      <c r="Q1903" s="53" t="s">
        <v>790</v>
      </c>
      <c r="R1903" s="55" t="s">
        <v>680</v>
      </c>
    </row>
    <row r="1904" spans="1:18" x14ac:dyDescent="0.5">
      <c r="A1904" s="56" t="str">
        <f>"249015C89"</f>
        <v>249015C89</v>
      </c>
      <c r="B1904" s="57" t="s">
        <v>451</v>
      </c>
      <c r="C1904" s="57" t="s">
        <v>2269</v>
      </c>
      <c r="D1904" s="53" t="s">
        <v>447</v>
      </c>
      <c r="E1904" s="57">
        <v>5</v>
      </c>
      <c r="F1904" s="58">
        <v>49279</v>
      </c>
      <c r="G1904" s="58">
        <v>46357</v>
      </c>
      <c r="H1904" s="57" t="s">
        <v>105</v>
      </c>
      <c r="I1904" s="57" t="s">
        <v>658</v>
      </c>
      <c r="J1904" s="57" t="s">
        <v>101</v>
      </c>
      <c r="K1904" s="57">
        <v>102.35</v>
      </c>
      <c r="L1904" s="57" t="s">
        <v>101</v>
      </c>
      <c r="M1904" s="57">
        <v>3.6259999999999999</v>
      </c>
      <c r="N1904" s="57">
        <v>4.6970000000000001</v>
      </c>
      <c r="O1904" s="53" t="s">
        <v>101</v>
      </c>
      <c r="P1904" s="57" t="s">
        <v>448</v>
      </c>
      <c r="Q1904" s="57" t="s">
        <v>485</v>
      </c>
      <c r="R1904" s="59" t="s">
        <v>504</v>
      </c>
    </row>
    <row r="1905" spans="1:18" x14ac:dyDescent="0.5">
      <c r="A1905" s="52" t="str">
        <f>"299228DS2"</f>
        <v>299228DS2</v>
      </c>
      <c r="B1905" s="53" t="s">
        <v>491</v>
      </c>
      <c r="C1905" s="53" t="s">
        <v>2270</v>
      </c>
      <c r="D1905" s="53" t="s">
        <v>447</v>
      </c>
      <c r="E1905" s="53">
        <v>3.375</v>
      </c>
      <c r="F1905" s="54">
        <v>49279</v>
      </c>
      <c r="G1905" s="54">
        <v>46905</v>
      </c>
      <c r="H1905" s="53" t="s">
        <v>613</v>
      </c>
      <c r="I1905" s="53" t="s">
        <v>105</v>
      </c>
      <c r="J1905" s="53" t="s">
        <v>101</v>
      </c>
      <c r="K1905" s="53">
        <v>97.69</v>
      </c>
      <c r="L1905" s="53" t="s">
        <v>101</v>
      </c>
      <c r="M1905" s="53">
        <v>3.657</v>
      </c>
      <c r="N1905" s="53">
        <v>3.657</v>
      </c>
      <c r="O1905" s="53" t="s">
        <v>101</v>
      </c>
      <c r="P1905" s="53" t="s">
        <v>448</v>
      </c>
      <c r="Q1905" s="53" t="s">
        <v>457</v>
      </c>
      <c r="R1905" s="55" t="s">
        <v>454</v>
      </c>
    </row>
    <row r="1906" spans="1:18" x14ac:dyDescent="0.5">
      <c r="A1906" s="56" t="str">
        <f>"299228AT3"</f>
        <v>299228AT3</v>
      </c>
      <c r="B1906" s="57" t="s">
        <v>491</v>
      </c>
      <c r="C1906" s="57" t="s">
        <v>2271</v>
      </c>
      <c r="D1906" s="53" t="s">
        <v>447</v>
      </c>
      <c r="E1906" s="57">
        <v>2.625</v>
      </c>
      <c r="F1906" s="58">
        <v>49279</v>
      </c>
      <c r="G1906" s="58">
        <v>46357</v>
      </c>
      <c r="H1906" s="57" t="s">
        <v>613</v>
      </c>
      <c r="I1906" s="57" t="s">
        <v>105</v>
      </c>
      <c r="J1906" s="57" t="s">
        <v>101</v>
      </c>
      <c r="K1906" s="57">
        <v>87.463999999999999</v>
      </c>
      <c r="L1906" s="57" t="s">
        <v>101</v>
      </c>
      <c r="M1906" s="57">
        <v>4.2</v>
      </c>
      <c r="N1906" s="57">
        <v>4.2</v>
      </c>
      <c r="O1906" s="53" t="s">
        <v>101</v>
      </c>
      <c r="P1906" s="57" t="s">
        <v>448</v>
      </c>
      <c r="Q1906" s="57" t="s">
        <v>790</v>
      </c>
      <c r="R1906" s="59" t="s">
        <v>454</v>
      </c>
    </row>
    <row r="1907" spans="1:18" x14ac:dyDescent="0.5">
      <c r="A1907" s="52" t="str">
        <f>"299228BY1"</f>
        <v>299228BY1</v>
      </c>
      <c r="B1907" s="53" t="s">
        <v>491</v>
      </c>
      <c r="C1907" s="53" t="s">
        <v>2272</v>
      </c>
      <c r="D1907" s="53" t="s">
        <v>447</v>
      </c>
      <c r="E1907" s="53">
        <v>3.125</v>
      </c>
      <c r="F1907" s="54">
        <v>49279</v>
      </c>
      <c r="G1907" s="54">
        <v>46722</v>
      </c>
      <c r="H1907" s="53" t="s">
        <v>613</v>
      </c>
      <c r="I1907" s="53" t="s">
        <v>105</v>
      </c>
      <c r="J1907" s="53" t="s">
        <v>101</v>
      </c>
      <c r="K1907" s="53">
        <v>94.07</v>
      </c>
      <c r="L1907" s="53" t="s">
        <v>101</v>
      </c>
      <c r="M1907" s="53">
        <v>3.8580000000000001</v>
      </c>
      <c r="N1907" s="53">
        <v>3.8580000000000001</v>
      </c>
      <c r="O1907" s="53" t="s">
        <v>101</v>
      </c>
      <c r="P1907" s="53" t="s">
        <v>448</v>
      </c>
      <c r="Q1907" s="53" t="s">
        <v>457</v>
      </c>
      <c r="R1907" s="55" t="s">
        <v>454</v>
      </c>
    </row>
    <row r="1908" spans="1:18" x14ac:dyDescent="0.5">
      <c r="A1908" s="56" t="str">
        <f>"34682HSW7"</f>
        <v>34682HSW7</v>
      </c>
      <c r="B1908" s="57" t="s">
        <v>451</v>
      </c>
      <c r="C1908" s="57" t="s">
        <v>2273</v>
      </c>
      <c r="D1908" s="53" t="s">
        <v>447</v>
      </c>
      <c r="E1908" s="57">
        <v>2</v>
      </c>
      <c r="F1908" s="58">
        <v>49279</v>
      </c>
      <c r="G1908" s="58">
        <v>46357</v>
      </c>
      <c r="H1908" s="57" t="s">
        <v>105</v>
      </c>
      <c r="I1908" s="57" t="s">
        <v>628</v>
      </c>
      <c r="J1908" s="57" t="s">
        <v>101</v>
      </c>
      <c r="K1908" s="57">
        <v>83.602999999999994</v>
      </c>
      <c r="L1908" s="57" t="s">
        <v>101</v>
      </c>
      <c r="M1908" s="57">
        <v>4.0449999999999999</v>
      </c>
      <c r="N1908" s="57">
        <v>4.0449999999999999</v>
      </c>
      <c r="O1908" s="53" t="s">
        <v>101</v>
      </c>
      <c r="P1908" s="57" t="s">
        <v>448</v>
      </c>
      <c r="Q1908" s="57" t="s">
        <v>1797</v>
      </c>
      <c r="R1908" s="59" t="s">
        <v>771</v>
      </c>
    </row>
    <row r="1909" spans="1:18" x14ac:dyDescent="0.5">
      <c r="A1909" s="52" t="str">
        <f>"348073DM6"</f>
        <v>348073DM6</v>
      </c>
      <c r="B1909" s="53" t="s">
        <v>499</v>
      </c>
      <c r="C1909" s="53" t="s">
        <v>2274</v>
      </c>
      <c r="D1909" s="53" t="s">
        <v>447</v>
      </c>
      <c r="E1909" s="53">
        <v>4</v>
      </c>
      <c r="F1909" s="54">
        <v>49279</v>
      </c>
      <c r="G1909" s="54">
        <v>45992</v>
      </c>
      <c r="H1909" s="53" t="s">
        <v>624</v>
      </c>
      <c r="I1909" s="53" t="s">
        <v>628</v>
      </c>
      <c r="J1909" s="53" t="s">
        <v>101</v>
      </c>
      <c r="K1909" s="53">
        <v>100.36799999999999</v>
      </c>
      <c r="L1909" s="53" t="s">
        <v>101</v>
      </c>
      <c r="M1909" s="53">
        <v>3.516</v>
      </c>
      <c r="N1909" s="53">
        <v>3.9540000000000002</v>
      </c>
      <c r="O1909" s="53" t="s">
        <v>101</v>
      </c>
      <c r="P1909" s="53" t="s">
        <v>448</v>
      </c>
      <c r="Q1909" s="53" t="s">
        <v>457</v>
      </c>
      <c r="R1909" s="55" t="s">
        <v>504</v>
      </c>
    </row>
    <row r="1910" spans="1:18" x14ac:dyDescent="0.5">
      <c r="A1910" s="56" t="str">
        <f>"434452MC9"</f>
        <v>434452MC9</v>
      </c>
      <c r="B1910" s="57" t="s">
        <v>491</v>
      </c>
      <c r="C1910" s="57" t="s">
        <v>2275</v>
      </c>
      <c r="D1910" s="53" t="s">
        <v>447</v>
      </c>
      <c r="E1910" s="57">
        <v>3.125</v>
      </c>
      <c r="F1910" s="58">
        <v>49279</v>
      </c>
      <c r="G1910" s="58">
        <v>46357</v>
      </c>
      <c r="H1910" s="57" t="s">
        <v>105</v>
      </c>
      <c r="I1910" s="57" t="s">
        <v>509</v>
      </c>
      <c r="J1910" s="57" t="s">
        <v>101</v>
      </c>
      <c r="K1910" s="57">
        <v>94.043999999999997</v>
      </c>
      <c r="L1910" s="57" t="s">
        <v>101</v>
      </c>
      <c r="M1910" s="57">
        <v>3.8610000000000002</v>
      </c>
      <c r="N1910" s="57">
        <v>3.8610000000000002</v>
      </c>
      <c r="O1910" s="53" t="s">
        <v>101</v>
      </c>
      <c r="P1910" s="57" t="s">
        <v>448</v>
      </c>
      <c r="Q1910" s="57" t="s">
        <v>453</v>
      </c>
      <c r="R1910" s="59" t="s">
        <v>454</v>
      </c>
    </row>
    <row r="1911" spans="1:18" x14ac:dyDescent="0.5">
      <c r="A1911" s="52" t="str">
        <f>"45204EBU1"</f>
        <v>45204EBU1</v>
      </c>
      <c r="B1911" s="53" t="s">
        <v>491</v>
      </c>
      <c r="C1911" s="53" t="s">
        <v>2276</v>
      </c>
      <c r="D1911" s="53" t="s">
        <v>447</v>
      </c>
      <c r="E1911" s="53">
        <v>5</v>
      </c>
      <c r="F1911" s="54">
        <v>49279</v>
      </c>
      <c r="G1911" s="54">
        <v>46174</v>
      </c>
      <c r="H1911" s="53" t="s">
        <v>610</v>
      </c>
      <c r="I1911" s="53" t="s">
        <v>105</v>
      </c>
      <c r="J1911" s="53" t="s">
        <v>101</v>
      </c>
      <c r="K1911" s="53">
        <v>101.41</v>
      </c>
      <c r="L1911" s="53" t="s">
        <v>101</v>
      </c>
      <c r="M1911" s="53">
        <v>3.8610000000000002</v>
      </c>
      <c r="N1911" s="53">
        <v>4.8170000000000002</v>
      </c>
      <c r="O1911" s="53" t="s">
        <v>101</v>
      </c>
      <c r="P1911" s="53" t="s">
        <v>448</v>
      </c>
      <c r="Q1911" s="53" t="s">
        <v>503</v>
      </c>
      <c r="R1911" s="55" t="s">
        <v>450</v>
      </c>
    </row>
    <row r="1912" spans="1:18" x14ac:dyDescent="0.5">
      <c r="A1912" s="56" t="str">
        <f>"452153BY4"</f>
        <v>452153BY4</v>
      </c>
      <c r="B1912" s="57" t="s">
        <v>491</v>
      </c>
      <c r="C1912" s="57" t="s">
        <v>2277</v>
      </c>
      <c r="D1912" s="53" t="s">
        <v>447</v>
      </c>
      <c r="E1912" s="57">
        <v>4</v>
      </c>
      <c r="F1912" s="58">
        <v>49279</v>
      </c>
      <c r="G1912" s="58">
        <v>48183</v>
      </c>
      <c r="H1912" s="57" t="s">
        <v>627</v>
      </c>
      <c r="I1912" s="57" t="s">
        <v>713</v>
      </c>
      <c r="J1912" s="57" t="s">
        <v>101</v>
      </c>
      <c r="K1912" s="57">
        <v>101.486</v>
      </c>
      <c r="L1912" s="57" t="s">
        <v>101</v>
      </c>
      <c r="M1912" s="57">
        <v>3.7490000000000001</v>
      </c>
      <c r="N1912" s="57">
        <v>3.8159999999999998</v>
      </c>
      <c r="O1912" s="53" t="s">
        <v>101</v>
      </c>
      <c r="P1912" s="57" t="s">
        <v>448</v>
      </c>
      <c r="Q1912" s="57" t="s">
        <v>947</v>
      </c>
      <c r="R1912" s="59" t="s">
        <v>454</v>
      </c>
    </row>
    <row r="1913" spans="1:18" x14ac:dyDescent="0.5">
      <c r="A1913" s="52" t="str">
        <f>"508205JZ5"</f>
        <v>508205JZ5</v>
      </c>
      <c r="B1913" s="53" t="s">
        <v>491</v>
      </c>
      <c r="C1913" s="53" t="s">
        <v>2278</v>
      </c>
      <c r="D1913" s="53" t="s">
        <v>447</v>
      </c>
      <c r="E1913" s="53">
        <v>3</v>
      </c>
      <c r="F1913" s="54">
        <v>49279</v>
      </c>
      <c r="G1913" s="54">
        <v>47818</v>
      </c>
      <c r="H1913" s="53" t="s">
        <v>105</v>
      </c>
      <c r="I1913" s="53" t="s">
        <v>104</v>
      </c>
      <c r="J1913" s="53" t="s">
        <v>101</v>
      </c>
      <c r="K1913" s="53">
        <v>92.822999999999993</v>
      </c>
      <c r="L1913" s="53" t="s">
        <v>101</v>
      </c>
      <c r="M1913" s="53">
        <v>3.8879999999999999</v>
      </c>
      <c r="N1913" s="53">
        <v>3.8879999999999999</v>
      </c>
      <c r="O1913" s="53" t="s">
        <v>101</v>
      </c>
      <c r="P1913" s="53" t="s">
        <v>448</v>
      </c>
      <c r="Q1913" s="53" t="s">
        <v>503</v>
      </c>
      <c r="R1913" s="55" t="s">
        <v>454</v>
      </c>
    </row>
    <row r="1914" spans="1:18" x14ac:dyDescent="0.5">
      <c r="A1914" s="56" t="str">
        <f>"587737FA0"</f>
        <v>587737FA0</v>
      </c>
      <c r="B1914" s="57" t="s">
        <v>491</v>
      </c>
      <c r="C1914" s="57" t="s">
        <v>2279</v>
      </c>
      <c r="D1914" s="53" t="s">
        <v>447</v>
      </c>
      <c r="E1914" s="57">
        <v>3</v>
      </c>
      <c r="F1914" s="58">
        <v>49279</v>
      </c>
      <c r="G1914" s="58">
        <v>46357</v>
      </c>
      <c r="H1914" s="57" t="s">
        <v>105</v>
      </c>
      <c r="I1914" s="57" t="s">
        <v>628</v>
      </c>
      <c r="J1914" s="57" t="s">
        <v>101</v>
      </c>
      <c r="K1914" s="57">
        <v>91.91</v>
      </c>
      <c r="L1914" s="57" t="s">
        <v>101</v>
      </c>
      <c r="M1914" s="57">
        <v>4.0069999999999997</v>
      </c>
      <c r="N1914" s="57">
        <v>4.0069999999999997</v>
      </c>
      <c r="O1914" s="53" t="s">
        <v>101</v>
      </c>
      <c r="P1914" s="57" t="s">
        <v>448</v>
      </c>
      <c r="Q1914" s="57" t="s">
        <v>479</v>
      </c>
      <c r="R1914" s="59" t="s">
        <v>630</v>
      </c>
    </row>
    <row r="1915" spans="1:18" x14ac:dyDescent="0.5">
      <c r="A1915" s="52" t="str">
        <f>"622826VG7"</f>
        <v>622826VG7</v>
      </c>
      <c r="B1915" s="53" t="s">
        <v>491</v>
      </c>
      <c r="C1915" s="53" t="s">
        <v>2280</v>
      </c>
      <c r="D1915" s="53" t="s">
        <v>447</v>
      </c>
      <c r="E1915" s="53">
        <v>3.125</v>
      </c>
      <c r="F1915" s="54">
        <v>49279</v>
      </c>
      <c r="G1915" s="54">
        <v>45992</v>
      </c>
      <c r="H1915" s="53" t="s">
        <v>105</v>
      </c>
      <c r="I1915" s="53" t="s">
        <v>509</v>
      </c>
      <c r="J1915" s="53" t="s">
        <v>101</v>
      </c>
      <c r="K1915" s="53">
        <v>94.89</v>
      </c>
      <c r="L1915" s="53" t="s">
        <v>101</v>
      </c>
      <c r="M1915" s="53">
        <v>3.7530000000000001</v>
      </c>
      <c r="N1915" s="53">
        <v>3.7530000000000001</v>
      </c>
      <c r="O1915" s="53" t="s">
        <v>101</v>
      </c>
      <c r="P1915" s="53" t="s">
        <v>448</v>
      </c>
      <c r="Q1915" s="53" t="s">
        <v>538</v>
      </c>
      <c r="R1915" s="55" t="s">
        <v>454</v>
      </c>
    </row>
    <row r="1916" spans="1:18" x14ac:dyDescent="0.5">
      <c r="A1916" s="56" t="str">
        <f>"622826YP4"</f>
        <v>622826YP4</v>
      </c>
      <c r="B1916" s="57" t="s">
        <v>491</v>
      </c>
      <c r="C1916" s="57" t="s">
        <v>2281</v>
      </c>
      <c r="D1916" s="53" t="s">
        <v>447</v>
      </c>
      <c r="E1916" s="57">
        <v>3</v>
      </c>
      <c r="F1916" s="58">
        <v>49279</v>
      </c>
      <c r="G1916" s="58">
        <v>46357</v>
      </c>
      <c r="H1916" s="57" t="s">
        <v>105</v>
      </c>
      <c r="I1916" s="57" t="s">
        <v>509</v>
      </c>
      <c r="J1916" s="57" t="s">
        <v>101</v>
      </c>
      <c r="K1916" s="57">
        <v>92.61</v>
      </c>
      <c r="L1916" s="57" t="s">
        <v>101</v>
      </c>
      <c r="M1916" s="57">
        <v>3.9159999999999999</v>
      </c>
      <c r="N1916" s="57">
        <v>3.9159999999999999</v>
      </c>
      <c r="O1916" s="53" t="s">
        <v>101</v>
      </c>
      <c r="P1916" s="57" t="s">
        <v>448</v>
      </c>
      <c r="Q1916" s="57" t="s">
        <v>782</v>
      </c>
      <c r="R1916" s="59" t="s">
        <v>454</v>
      </c>
    </row>
    <row r="1917" spans="1:18" x14ac:dyDescent="0.5">
      <c r="A1917" s="52" t="str">
        <f>"665250CT1"</f>
        <v>665250CT1</v>
      </c>
      <c r="B1917" s="53" t="s">
        <v>491</v>
      </c>
      <c r="C1917" s="53" t="s">
        <v>2282</v>
      </c>
      <c r="D1917" s="53" t="s">
        <v>447</v>
      </c>
      <c r="E1917" s="53">
        <v>3</v>
      </c>
      <c r="F1917" s="54">
        <v>49279</v>
      </c>
      <c r="G1917" s="54">
        <v>46357</v>
      </c>
      <c r="H1917" s="53" t="s">
        <v>610</v>
      </c>
      <c r="I1917" s="53" t="s">
        <v>105</v>
      </c>
      <c r="J1917" s="53" t="s">
        <v>101</v>
      </c>
      <c r="K1917" s="53">
        <v>91.070999999999998</v>
      </c>
      <c r="L1917" s="53" t="s">
        <v>101</v>
      </c>
      <c r="M1917" s="53">
        <v>4.117</v>
      </c>
      <c r="N1917" s="53">
        <v>4.117</v>
      </c>
      <c r="O1917" s="53" t="s">
        <v>101</v>
      </c>
      <c r="P1917" s="53" t="s">
        <v>448</v>
      </c>
      <c r="Q1917" s="53" t="s">
        <v>2283</v>
      </c>
      <c r="R1917" s="55" t="s">
        <v>504</v>
      </c>
    </row>
    <row r="1918" spans="1:18" x14ac:dyDescent="0.5">
      <c r="A1918" s="56" t="str">
        <f>"665250DA1"</f>
        <v>665250DA1</v>
      </c>
      <c r="B1918" s="57" t="s">
        <v>491</v>
      </c>
      <c r="C1918" s="57" t="s">
        <v>2282</v>
      </c>
      <c r="D1918" s="53" t="s">
        <v>447</v>
      </c>
      <c r="E1918" s="57">
        <v>3</v>
      </c>
      <c r="F1918" s="58">
        <v>49279</v>
      </c>
      <c r="G1918" s="58">
        <v>46357</v>
      </c>
      <c r="H1918" s="57" t="s">
        <v>641</v>
      </c>
      <c r="I1918" s="57" t="s">
        <v>628</v>
      </c>
      <c r="J1918" s="57" t="s">
        <v>101</v>
      </c>
      <c r="K1918" s="57">
        <v>94.230999999999995</v>
      </c>
      <c r="L1918" s="57" t="s">
        <v>101</v>
      </c>
      <c r="M1918" s="57">
        <v>3.7080000000000002</v>
      </c>
      <c r="N1918" s="57">
        <v>3.7080000000000002</v>
      </c>
      <c r="O1918" s="53" t="s">
        <v>101</v>
      </c>
      <c r="P1918" s="57" t="s">
        <v>448</v>
      </c>
      <c r="Q1918" s="57" t="s">
        <v>663</v>
      </c>
      <c r="R1918" s="59" t="s">
        <v>2284</v>
      </c>
    </row>
    <row r="1919" spans="1:18" x14ac:dyDescent="0.5">
      <c r="A1919" s="52" t="str">
        <f>"686356SB3"</f>
        <v>686356SB3</v>
      </c>
      <c r="B1919" s="53" t="s">
        <v>491</v>
      </c>
      <c r="C1919" s="53" t="s">
        <v>2285</v>
      </c>
      <c r="D1919" s="53" t="s">
        <v>447</v>
      </c>
      <c r="E1919" s="53">
        <v>3</v>
      </c>
      <c r="F1919" s="54">
        <v>49279</v>
      </c>
      <c r="G1919" s="54">
        <v>47818</v>
      </c>
      <c r="H1919" s="53" t="s">
        <v>105</v>
      </c>
      <c r="I1919" s="53" t="s">
        <v>509</v>
      </c>
      <c r="J1919" s="53" t="s">
        <v>101</v>
      </c>
      <c r="K1919" s="53">
        <v>92.19</v>
      </c>
      <c r="L1919" s="53" t="s">
        <v>101</v>
      </c>
      <c r="M1919" s="53">
        <v>3.97</v>
      </c>
      <c r="N1919" s="53">
        <v>3.97</v>
      </c>
      <c r="O1919" s="53" t="s">
        <v>101</v>
      </c>
      <c r="P1919" s="53" t="s">
        <v>448</v>
      </c>
      <c r="Q1919" s="53" t="s">
        <v>565</v>
      </c>
      <c r="R1919" s="55" t="s">
        <v>504</v>
      </c>
    </row>
    <row r="1920" spans="1:18" x14ac:dyDescent="0.5">
      <c r="A1920" s="56" t="str">
        <f>"68825WGQ6"</f>
        <v>68825WGQ6</v>
      </c>
      <c r="B1920" s="57" t="s">
        <v>496</v>
      </c>
      <c r="C1920" s="57" t="s">
        <v>2286</v>
      </c>
      <c r="D1920" s="53" t="s">
        <v>447</v>
      </c>
      <c r="E1920" s="57">
        <v>2.75</v>
      </c>
      <c r="F1920" s="58">
        <v>49279</v>
      </c>
      <c r="G1920" s="58">
        <v>46722</v>
      </c>
      <c r="H1920" s="57" t="s">
        <v>624</v>
      </c>
      <c r="I1920" s="57" t="s">
        <v>105</v>
      </c>
      <c r="J1920" s="57" t="s">
        <v>101</v>
      </c>
      <c r="K1920" s="57">
        <v>88.554000000000002</v>
      </c>
      <c r="L1920" s="57" t="s">
        <v>101</v>
      </c>
      <c r="M1920" s="57">
        <v>4.1870000000000003</v>
      </c>
      <c r="N1920" s="57">
        <v>4.1870000000000003</v>
      </c>
      <c r="O1920" s="53" t="s">
        <v>101</v>
      </c>
      <c r="P1920" s="57" t="s">
        <v>448</v>
      </c>
      <c r="Q1920" s="57" t="s">
        <v>485</v>
      </c>
      <c r="R1920" s="59" t="s">
        <v>454</v>
      </c>
    </row>
    <row r="1921" spans="1:18" x14ac:dyDescent="0.5">
      <c r="A1921" s="52" t="str">
        <f>"702826LF3"</f>
        <v>702826LF3</v>
      </c>
      <c r="B1921" s="53" t="s">
        <v>477</v>
      </c>
      <c r="C1921" s="53" t="s">
        <v>2287</v>
      </c>
      <c r="D1921" s="53" t="s">
        <v>447</v>
      </c>
      <c r="E1921" s="53">
        <v>3</v>
      </c>
      <c r="F1921" s="54">
        <v>49279</v>
      </c>
      <c r="G1921" s="54">
        <v>47088</v>
      </c>
      <c r="H1921" s="53" t="s">
        <v>641</v>
      </c>
      <c r="I1921" s="53" t="s">
        <v>628</v>
      </c>
      <c r="J1921" s="53" t="s">
        <v>101</v>
      </c>
      <c r="K1921" s="53">
        <v>94.367999999999995</v>
      </c>
      <c r="L1921" s="53" t="s">
        <v>101</v>
      </c>
      <c r="M1921" s="53">
        <v>3.6909999999999998</v>
      </c>
      <c r="N1921" s="53">
        <v>3.6909999999999998</v>
      </c>
      <c r="O1921" s="53" t="s">
        <v>101</v>
      </c>
      <c r="P1921" s="53" t="s">
        <v>448</v>
      </c>
      <c r="Q1921" s="53" t="s">
        <v>503</v>
      </c>
      <c r="R1921" s="55" t="s">
        <v>771</v>
      </c>
    </row>
    <row r="1922" spans="1:18" x14ac:dyDescent="0.5">
      <c r="A1922" s="56" t="str">
        <f>"756299RM7"</f>
        <v>756299RM7</v>
      </c>
      <c r="B1922" s="57" t="s">
        <v>477</v>
      </c>
      <c r="C1922" s="57" t="s">
        <v>2288</v>
      </c>
      <c r="D1922" s="53" t="s">
        <v>447</v>
      </c>
      <c r="E1922" s="57">
        <v>2.375</v>
      </c>
      <c r="F1922" s="58">
        <v>49279</v>
      </c>
      <c r="G1922" s="58">
        <v>46357</v>
      </c>
      <c r="H1922" s="57" t="s">
        <v>624</v>
      </c>
      <c r="I1922" s="57" t="s">
        <v>105</v>
      </c>
      <c r="J1922" s="57" t="s">
        <v>101</v>
      </c>
      <c r="K1922" s="57">
        <v>86.594999999999999</v>
      </c>
      <c r="L1922" s="57" t="s">
        <v>101</v>
      </c>
      <c r="M1922" s="57">
        <v>4.0469999999999997</v>
      </c>
      <c r="N1922" s="57">
        <v>4.0469999999999997</v>
      </c>
      <c r="O1922" s="53" t="s">
        <v>101</v>
      </c>
      <c r="P1922" s="57" t="s">
        <v>448</v>
      </c>
      <c r="Q1922" s="57" t="s">
        <v>2289</v>
      </c>
      <c r="R1922" s="59" t="s">
        <v>454</v>
      </c>
    </row>
    <row r="1923" spans="1:18" x14ac:dyDescent="0.5">
      <c r="A1923" s="52" t="str">
        <f>"777543YH6"</f>
        <v>777543YH6</v>
      </c>
      <c r="B1923" s="53" t="s">
        <v>491</v>
      </c>
      <c r="C1923" s="53" t="s">
        <v>2290</v>
      </c>
      <c r="D1923" s="53" t="s">
        <v>447</v>
      </c>
      <c r="E1923" s="53">
        <v>3.375</v>
      </c>
      <c r="F1923" s="54">
        <v>49279</v>
      </c>
      <c r="G1923" s="54">
        <v>46722</v>
      </c>
      <c r="H1923" s="53" t="s">
        <v>670</v>
      </c>
      <c r="I1923" s="53" t="s">
        <v>628</v>
      </c>
      <c r="J1923" s="53" t="s">
        <v>101</v>
      </c>
      <c r="K1923" s="53">
        <v>96.661000000000001</v>
      </c>
      <c r="L1923" s="53" t="s">
        <v>101</v>
      </c>
      <c r="M1923" s="53">
        <v>3.786</v>
      </c>
      <c r="N1923" s="53">
        <v>3.786</v>
      </c>
      <c r="O1923" s="53" t="s">
        <v>101</v>
      </c>
      <c r="P1923" s="53" t="s">
        <v>448</v>
      </c>
      <c r="Q1923" s="53" t="s">
        <v>1349</v>
      </c>
      <c r="R1923" s="55" t="s">
        <v>630</v>
      </c>
    </row>
    <row r="1924" spans="1:18" x14ac:dyDescent="0.5">
      <c r="A1924" s="56" t="str">
        <f>"787758ZF1"</f>
        <v>787758ZF1</v>
      </c>
      <c r="B1924" s="57" t="s">
        <v>491</v>
      </c>
      <c r="C1924" s="57" t="s">
        <v>2291</v>
      </c>
      <c r="D1924" s="53" t="s">
        <v>447</v>
      </c>
      <c r="E1924" s="57">
        <v>3</v>
      </c>
      <c r="F1924" s="58">
        <v>49279</v>
      </c>
      <c r="G1924" s="58">
        <v>47088</v>
      </c>
      <c r="H1924" s="57" t="s">
        <v>540</v>
      </c>
      <c r="I1924" s="57" t="s">
        <v>105</v>
      </c>
      <c r="J1924" s="57" t="s">
        <v>101</v>
      </c>
      <c r="K1924" s="57">
        <v>92.36</v>
      </c>
      <c r="L1924" s="57" t="s">
        <v>101</v>
      </c>
      <c r="M1924" s="57">
        <v>3.948</v>
      </c>
      <c r="N1924" s="57">
        <v>3.948</v>
      </c>
      <c r="O1924" s="53" t="s">
        <v>101</v>
      </c>
      <c r="P1924" s="57" t="s">
        <v>448</v>
      </c>
      <c r="Q1924" s="57" t="s">
        <v>488</v>
      </c>
      <c r="R1924" s="59" t="s">
        <v>454</v>
      </c>
    </row>
    <row r="1925" spans="1:18" x14ac:dyDescent="0.5">
      <c r="A1925" s="52" t="str">
        <f>"104575CN3"</f>
        <v>104575CN3</v>
      </c>
      <c r="B1925" s="53" t="s">
        <v>491</v>
      </c>
      <c r="C1925" s="53" t="s">
        <v>2292</v>
      </c>
      <c r="D1925" s="53" t="s">
        <v>447</v>
      </c>
      <c r="E1925" s="53">
        <v>5</v>
      </c>
      <c r="F1925" s="54">
        <v>49293</v>
      </c>
      <c r="G1925" s="54">
        <v>48928</v>
      </c>
      <c r="H1925" s="53" t="s">
        <v>105</v>
      </c>
      <c r="I1925" s="53" t="s">
        <v>628</v>
      </c>
      <c r="J1925" s="53" t="s">
        <v>101</v>
      </c>
      <c r="K1925" s="53">
        <v>110.38800000000001</v>
      </c>
      <c r="L1925" s="53" t="s">
        <v>101</v>
      </c>
      <c r="M1925" s="53">
        <v>3.6139999999999999</v>
      </c>
      <c r="N1925" s="53">
        <v>3.7269999999999999</v>
      </c>
      <c r="O1925" s="53" t="s">
        <v>101</v>
      </c>
      <c r="P1925" s="53" t="s">
        <v>448</v>
      </c>
      <c r="Q1925" s="53" t="s">
        <v>488</v>
      </c>
      <c r="R1925" s="55" t="s">
        <v>771</v>
      </c>
    </row>
    <row r="1926" spans="1:18" x14ac:dyDescent="0.5">
      <c r="A1926" s="56" t="str">
        <f>"19057PGJ9"</f>
        <v>19057PGJ9</v>
      </c>
      <c r="B1926" s="57" t="s">
        <v>451</v>
      </c>
      <c r="C1926" s="57" t="s">
        <v>2293</v>
      </c>
      <c r="D1926" s="53" t="s">
        <v>447</v>
      </c>
      <c r="E1926" s="57">
        <v>4</v>
      </c>
      <c r="F1926" s="58">
        <v>49293</v>
      </c>
      <c r="G1926" s="58">
        <v>45733</v>
      </c>
      <c r="H1926" s="57" t="s">
        <v>105</v>
      </c>
      <c r="I1926" s="57" t="s">
        <v>628</v>
      </c>
      <c r="J1926" s="57" t="s">
        <v>101</v>
      </c>
      <c r="K1926" s="57">
        <v>99.974000000000004</v>
      </c>
      <c r="L1926" s="57" t="s">
        <v>101</v>
      </c>
      <c r="M1926" s="57">
        <v>4.0030000000000001</v>
      </c>
      <c r="N1926" s="57">
        <v>4.0030000000000001</v>
      </c>
      <c r="O1926" s="53" t="s">
        <v>101</v>
      </c>
      <c r="P1926" s="57" t="s">
        <v>448</v>
      </c>
      <c r="Q1926" s="57" t="s">
        <v>460</v>
      </c>
      <c r="R1926" s="59" t="s">
        <v>504</v>
      </c>
    </row>
    <row r="1927" spans="1:18" x14ac:dyDescent="0.5">
      <c r="A1927" s="52" t="str">
        <f>"229289MD2"</f>
        <v>229289MD2</v>
      </c>
      <c r="B1927" s="53" t="s">
        <v>491</v>
      </c>
      <c r="C1927" s="53" t="s">
        <v>2294</v>
      </c>
      <c r="D1927" s="53" t="s">
        <v>447</v>
      </c>
      <c r="E1927" s="53">
        <v>4</v>
      </c>
      <c r="F1927" s="54">
        <v>49293</v>
      </c>
      <c r="G1927" s="54">
        <v>48928</v>
      </c>
      <c r="H1927" s="53" t="s">
        <v>105</v>
      </c>
      <c r="I1927" s="53" t="s">
        <v>628</v>
      </c>
      <c r="J1927" s="53" t="s">
        <v>101</v>
      </c>
      <c r="K1927" s="53">
        <v>102.12</v>
      </c>
      <c r="L1927" s="53" t="s">
        <v>101</v>
      </c>
      <c r="M1927" s="53">
        <v>3.7149999999999999</v>
      </c>
      <c r="N1927" s="53">
        <v>3.74</v>
      </c>
      <c r="O1927" s="53" t="s">
        <v>101</v>
      </c>
      <c r="P1927" s="53" t="s">
        <v>448</v>
      </c>
      <c r="Q1927" s="53" t="s">
        <v>453</v>
      </c>
      <c r="R1927" s="55" t="s">
        <v>504</v>
      </c>
    </row>
    <row r="1928" spans="1:18" x14ac:dyDescent="0.5">
      <c r="A1928" s="56" t="str">
        <f>"408072HW9"</f>
        <v>408072HW9</v>
      </c>
      <c r="B1928" s="57" t="s">
        <v>477</v>
      </c>
      <c r="C1928" s="57" t="s">
        <v>2295</v>
      </c>
      <c r="D1928" s="53" t="s">
        <v>447</v>
      </c>
      <c r="E1928" s="57">
        <v>3</v>
      </c>
      <c r="F1928" s="58">
        <v>49293</v>
      </c>
      <c r="G1928" s="58">
        <v>46736</v>
      </c>
      <c r="H1928" s="57" t="s">
        <v>105</v>
      </c>
      <c r="I1928" s="57" t="s">
        <v>628</v>
      </c>
      <c r="J1928" s="57" t="s">
        <v>101</v>
      </c>
      <c r="K1928" s="57">
        <v>93.468000000000004</v>
      </c>
      <c r="L1928" s="57" t="s">
        <v>101</v>
      </c>
      <c r="M1928" s="57">
        <v>3.8029999999999999</v>
      </c>
      <c r="N1928" s="57">
        <v>3.8029999999999999</v>
      </c>
      <c r="O1928" s="53" t="s">
        <v>101</v>
      </c>
      <c r="P1928" s="57" t="s">
        <v>448</v>
      </c>
      <c r="Q1928" s="57" t="s">
        <v>453</v>
      </c>
      <c r="R1928" s="59" t="s">
        <v>454</v>
      </c>
    </row>
    <row r="1929" spans="1:18" x14ac:dyDescent="0.5">
      <c r="A1929" s="52" t="str">
        <f>"45204E7Z5"</f>
        <v>45204E7Z5</v>
      </c>
      <c r="B1929" s="53" t="s">
        <v>491</v>
      </c>
      <c r="C1929" s="53" t="s">
        <v>2296</v>
      </c>
      <c r="D1929" s="53" t="s">
        <v>447</v>
      </c>
      <c r="E1929" s="53">
        <v>4</v>
      </c>
      <c r="F1929" s="54">
        <v>49293</v>
      </c>
      <c r="G1929" s="54">
        <v>47467</v>
      </c>
      <c r="H1929" s="53" t="s">
        <v>105</v>
      </c>
      <c r="I1929" s="53" t="s">
        <v>509</v>
      </c>
      <c r="J1929" s="53" t="s">
        <v>101</v>
      </c>
      <c r="K1929" s="53">
        <v>101.52800000000001</v>
      </c>
      <c r="L1929" s="53" t="s">
        <v>101</v>
      </c>
      <c r="M1929" s="53">
        <v>3.6509999999999998</v>
      </c>
      <c r="N1929" s="53">
        <v>3.8119999999999998</v>
      </c>
      <c r="O1929" s="53" t="s">
        <v>101</v>
      </c>
      <c r="P1929" s="53" t="s">
        <v>448</v>
      </c>
      <c r="Q1929" s="53" t="s">
        <v>464</v>
      </c>
      <c r="R1929" s="55" t="s">
        <v>504</v>
      </c>
    </row>
    <row r="1930" spans="1:18" x14ac:dyDescent="0.5">
      <c r="A1930" s="56" t="str">
        <f>"483854HP3"</f>
        <v>483854HP3</v>
      </c>
      <c r="B1930" s="57" t="s">
        <v>491</v>
      </c>
      <c r="C1930" s="57" t="s">
        <v>2297</v>
      </c>
      <c r="D1930" s="53" t="s">
        <v>447</v>
      </c>
      <c r="E1930" s="57">
        <v>3</v>
      </c>
      <c r="F1930" s="58">
        <v>49293</v>
      </c>
      <c r="G1930" s="58">
        <v>46371</v>
      </c>
      <c r="H1930" s="57" t="s">
        <v>104</v>
      </c>
      <c r="I1930" s="57" t="s">
        <v>105</v>
      </c>
      <c r="J1930" s="57" t="s">
        <v>101</v>
      </c>
      <c r="K1930" s="57">
        <v>93.801000000000002</v>
      </c>
      <c r="L1930" s="57" t="s">
        <v>101</v>
      </c>
      <c r="M1930" s="57">
        <v>3.76</v>
      </c>
      <c r="N1930" s="57">
        <v>3.76</v>
      </c>
      <c r="O1930" s="53" t="s">
        <v>101</v>
      </c>
      <c r="P1930" s="57" t="s">
        <v>448</v>
      </c>
      <c r="Q1930" s="57" t="s">
        <v>512</v>
      </c>
      <c r="R1930" s="59" t="s">
        <v>454</v>
      </c>
    </row>
    <row r="1931" spans="1:18" x14ac:dyDescent="0.5">
      <c r="A1931" s="52" t="str">
        <f>"592248GK8"</f>
        <v>592248GK8</v>
      </c>
      <c r="B1931" s="53" t="s">
        <v>491</v>
      </c>
      <c r="C1931" s="53" t="s">
        <v>2298</v>
      </c>
      <c r="D1931" s="53" t="s">
        <v>447</v>
      </c>
      <c r="E1931" s="53">
        <v>0</v>
      </c>
      <c r="F1931" s="54">
        <v>49293</v>
      </c>
      <c r="G1931" s="54" t="s">
        <v>105</v>
      </c>
      <c r="H1931" s="53" t="s">
        <v>677</v>
      </c>
      <c r="I1931" s="53" t="s">
        <v>628</v>
      </c>
      <c r="J1931" s="53">
        <v>64.275999999999996</v>
      </c>
      <c r="K1931" s="53">
        <v>69.576999999999998</v>
      </c>
      <c r="L1931" s="53">
        <v>4.55</v>
      </c>
      <c r="M1931" s="53">
        <v>3.726</v>
      </c>
      <c r="N1931" s="53">
        <v>3.726</v>
      </c>
      <c r="O1931" s="53" t="s">
        <v>101</v>
      </c>
      <c r="P1931" s="53" t="s">
        <v>735</v>
      </c>
      <c r="Q1931" s="53" t="s">
        <v>527</v>
      </c>
      <c r="R1931" s="55" t="s">
        <v>736</v>
      </c>
    </row>
    <row r="1932" spans="1:18" x14ac:dyDescent="0.5">
      <c r="A1932" s="56" t="str">
        <f>"646136EX5"</f>
        <v>646136EX5</v>
      </c>
      <c r="B1932" s="57" t="s">
        <v>477</v>
      </c>
      <c r="C1932" s="57" t="s">
        <v>2299</v>
      </c>
      <c r="D1932" s="53" t="s">
        <v>447</v>
      </c>
      <c r="E1932" s="57">
        <v>0</v>
      </c>
      <c r="F1932" s="58">
        <v>49293</v>
      </c>
      <c r="G1932" s="58" t="s">
        <v>105</v>
      </c>
      <c r="H1932" s="57" t="s">
        <v>641</v>
      </c>
      <c r="I1932" s="57" t="s">
        <v>628</v>
      </c>
      <c r="J1932" s="57" t="s">
        <v>101</v>
      </c>
      <c r="K1932" s="57">
        <v>69.626000000000005</v>
      </c>
      <c r="L1932" s="57" t="s">
        <v>101</v>
      </c>
      <c r="M1932" s="57">
        <v>3.7189999999999999</v>
      </c>
      <c r="N1932" s="57">
        <v>3.7189999999999999</v>
      </c>
      <c r="O1932" s="53" t="s">
        <v>101</v>
      </c>
      <c r="P1932" s="57" t="s">
        <v>448</v>
      </c>
      <c r="Q1932" s="57" t="s">
        <v>591</v>
      </c>
      <c r="R1932" s="59" t="s">
        <v>896</v>
      </c>
    </row>
    <row r="1933" spans="1:18" x14ac:dyDescent="0.5">
      <c r="A1933" s="52" t="str">
        <f>"646136WR8"</f>
        <v>646136WR8</v>
      </c>
      <c r="B1933" s="53" t="s">
        <v>477</v>
      </c>
      <c r="C1933" s="53" t="s">
        <v>2300</v>
      </c>
      <c r="D1933" s="53" t="s">
        <v>447</v>
      </c>
      <c r="E1933" s="53">
        <v>0</v>
      </c>
      <c r="F1933" s="54">
        <v>49293</v>
      </c>
      <c r="G1933" s="54" t="s">
        <v>101</v>
      </c>
      <c r="H1933" s="53" t="s">
        <v>610</v>
      </c>
      <c r="I1933" s="53" t="s">
        <v>713</v>
      </c>
      <c r="J1933" s="53" t="s">
        <v>101</v>
      </c>
      <c r="K1933" s="53">
        <v>68.894999999999996</v>
      </c>
      <c r="L1933" s="53" t="s">
        <v>101</v>
      </c>
      <c r="M1933" s="53">
        <v>3.8279999999999998</v>
      </c>
      <c r="N1933" s="53">
        <v>3.8279999999999998</v>
      </c>
      <c r="O1933" s="53" t="s">
        <v>101</v>
      </c>
      <c r="P1933" s="53" t="s">
        <v>448</v>
      </c>
      <c r="Q1933" s="53" t="s">
        <v>460</v>
      </c>
      <c r="R1933" s="55" t="s">
        <v>450</v>
      </c>
    </row>
    <row r="1934" spans="1:18" x14ac:dyDescent="0.5">
      <c r="A1934" s="56" t="str">
        <f>"65944RSF0"</f>
        <v>65944RSF0</v>
      </c>
      <c r="B1934" s="57" t="s">
        <v>451</v>
      </c>
      <c r="C1934" s="57" t="s">
        <v>2301</v>
      </c>
      <c r="D1934" s="53" t="s">
        <v>447</v>
      </c>
      <c r="E1934" s="57">
        <v>4</v>
      </c>
      <c r="F1934" s="58">
        <v>49293</v>
      </c>
      <c r="G1934" s="58">
        <v>48197</v>
      </c>
      <c r="H1934" s="57" t="s">
        <v>105</v>
      </c>
      <c r="I1934" s="57" t="s">
        <v>628</v>
      </c>
      <c r="J1934" s="57" t="s">
        <v>101</v>
      </c>
      <c r="K1934" s="57">
        <v>102.789</v>
      </c>
      <c r="L1934" s="57" t="s">
        <v>101</v>
      </c>
      <c r="M1934" s="57">
        <v>3.536</v>
      </c>
      <c r="N1934" s="57">
        <v>3.6589999999999998</v>
      </c>
      <c r="O1934" s="53" t="s">
        <v>101</v>
      </c>
      <c r="P1934" s="57" t="s">
        <v>448</v>
      </c>
      <c r="Q1934" s="57" t="s">
        <v>485</v>
      </c>
      <c r="R1934" s="59" t="s">
        <v>771</v>
      </c>
    </row>
    <row r="1935" spans="1:18" x14ac:dyDescent="0.5">
      <c r="A1935" s="52" t="str">
        <f>"699891QG5"</f>
        <v>699891QG5</v>
      </c>
      <c r="B1935" s="53" t="s">
        <v>451</v>
      </c>
      <c r="C1935" s="53" t="s">
        <v>2302</v>
      </c>
      <c r="D1935" s="53" t="s">
        <v>447</v>
      </c>
      <c r="E1935" s="53">
        <v>3</v>
      </c>
      <c r="F1935" s="54">
        <v>49293</v>
      </c>
      <c r="G1935" s="54">
        <v>47832</v>
      </c>
      <c r="H1935" s="53" t="s">
        <v>624</v>
      </c>
      <c r="I1935" s="53" t="s">
        <v>628</v>
      </c>
      <c r="J1935" s="53" t="s">
        <v>101</v>
      </c>
      <c r="K1935" s="53">
        <v>93.701999999999998</v>
      </c>
      <c r="L1935" s="53" t="s">
        <v>101</v>
      </c>
      <c r="M1935" s="53">
        <v>3.7730000000000001</v>
      </c>
      <c r="N1935" s="53">
        <v>3.7730000000000001</v>
      </c>
      <c r="O1935" s="53" t="s">
        <v>101</v>
      </c>
      <c r="P1935" s="53" t="s">
        <v>448</v>
      </c>
      <c r="Q1935" s="53" t="s">
        <v>485</v>
      </c>
      <c r="R1935" s="55" t="s">
        <v>820</v>
      </c>
    </row>
    <row r="1936" spans="1:18" x14ac:dyDescent="0.5">
      <c r="A1936" s="56" t="str">
        <f>"71951EDM8"</f>
        <v>71951EDM8</v>
      </c>
      <c r="B1936" s="57" t="s">
        <v>491</v>
      </c>
      <c r="C1936" s="57" t="s">
        <v>2303</v>
      </c>
      <c r="D1936" s="53" t="s">
        <v>447</v>
      </c>
      <c r="E1936" s="57">
        <v>3</v>
      </c>
      <c r="F1936" s="58">
        <v>49293</v>
      </c>
      <c r="G1936" s="58">
        <v>47102</v>
      </c>
      <c r="H1936" s="57" t="s">
        <v>105</v>
      </c>
      <c r="I1936" s="57" t="s">
        <v>628</v>
      </c>
      <c r="J1936" s="57" t="s">
        <v>101</v>
      </c>
      <c r="K1936" s="57">
        <v>90.86</v>
      </c>
      <c r="L1936" s="57" t="s">
        <v>101</v>
      </c>
      <c r="M1936" s="57">
        <v>4.141</v>
      </c>
      <c r="N1936" s="57">
        <v>4.141</v>
      </c>
      <c r="O1936" s="53" t="s">
        <v>101</v>
      </c>
      <c r="P1936" s="57" t="s">
        <v>448</v>
      </c>
      <c r="Q1936" s="57" t="s">
        <v>453</v>
      </c>
      <c r="R1936" s="59" t="s">
        <v>630</v>
      </c>
    </row>
    <row r="1937" spans="1:18" x14ac:dyDescent="0.5">
      <c r="A1937" s="52" t="str">
        <f>"800711CY7"</f>
        <v>800711CY7</v>
      </c>
      <c r="B1937" s="53" t="s">
        <v>491</v>
      </c>
      <c r="C1937" s="53" t="s">
        <v>2304</v>
      </c>
      <c r="D1937" s="53" t="s">
        <v>447</v>
      </c>
      <c r="E1937" s="53">
        <v>3</v>
      </c>
      <c r="F1937" s="54">
        <v>49293</v>
      </c>
      <c r="G1937" s="54">
        <v>47467</v>
      </c>
      <c r="H1937" s="53" t="s">
        <v>105</v>
      </c>
      <c r="I1937" s="53" t="s">
        <v>628</v>
      </c>
      <c r="J1937" s="53" t="s">
        <v>101</v>
      </c>
      <c r="K1937" s="53">
        <v>91.846000000000004</v>
      </c>
      <c r="L1937" s="53" t="s">
        <v>101</v>
      </c>
      <c r="M1937" s="53">
        <v>4.0119999999999996</v>
      </c>
      <c r="N1937" s="53">
        <v>4.0119999999999996</v>
      </c>
      <c r="O1937" s="53" t="s">
        <v>101</v>
      </c>
      <c r="P1937" s="53" t="s">
        <v>448</v>
      </c>
      <c r="Q1937" s="53" t="s">
        <v>479</v>
      </c>
      <c r="R1937" s="55" t="s">
        <v>680</v>
      </c>
    </row>
    <row r="1938" spans="1:18" x14ac:dyDescent="0.5">
      <c r="A1938" s="56" t="str">
        <f>"070372NP8"</f>
        <v>070372NP8</v>
      </c>
      <c r="B1938" s="57" t="s">
        <v>491</v>
      </c>
      <c r="C1938" s="57" t="s">
        <v>2305</v>
      </c>
      <c r="D1938" s="53" t="s">
        <v>447</v>
      </c>
      <c r="E1938" s="57">
        <v>3.375</v>
      </c>
      <c r="F1938" s="58">
        <v>49310</v>
      </c>
      <c r="G1938" s="58">
        <v>45733</v>
      </c>
      <c r="H1938" s="57" t="s">
        <v>540</v>
      </c>
      <c r="I1938" s="57" t="s">
        <v>105</v>
      </c>
      <c r="J1938" s="57" t="s">
        <v>101</v>
      </c>
      <c r="K1938" s="57">
        <v>98.76</v>
      </c>
      <c r="L1938" s="57" t="s">
        <v>101</v>
      </c>
      <c r="M1938" s="57">
        <v>3.524</v>
      </c>
      <c r="N1938" s="57">
        <v>3.5249999999999999</v>
      </c>
      <c r="O1938" s="53" t="s">
        <v>101</v>
      </c>
      <c r="P1938" s="57" t="s">
        <v>448</v>
      </c>
      <c r="Q1938" s="57" t="s">
        <v>503</v>
      </c>
      <c r="R1938" s="59" t="s">
        <v>454</v>
      </c>
    </row>
    <row r="1939" spans="1:18" x14ac:dyDescent="0.5">
      <c r="A1939" s="52" t="str">
        <f>"167593A44"</f>
        <v>167593A44</v>
      </c>
      <c r="B1939" s="53" t="s">
        <v>491</v>
      </c>
      <c r="C1939" s="53" t="s">
        <v>2306</v>
      </c>
      <c r="D1939" s="53" t="s">
        <v>447</v>
      </c>
      <c r="E1939" s="53">
        <v>5</v>
      </c>
      <c r="F1939" s="54">
        <v>49310</v>
      </c>
      <c r="G1939" s="54">
        <v>46388</v>
      </c>
      <c r="H1939" s="53" t="s">
        <v>105</v>
      </c>
      <c r="I1939" s="53" t="s">
        <v>658</v>
      </c>
      <c r="J1939" s="53" t="s">
        <v>101</v>
      </c>
      <c r="K1939" s="53">
        <v>102.593</v>
      </c>
      <c r="L1939" s="53" t="s">
        <v>101</v>
      </c>
      <c r="M1939" s="53">
        <v>3.552</v>
      </c>
      <c r="N1939" s="53">
        <v>4.6680000000000001</v>
      </c>
      <c r="O1939" s="53" t="s">
        <v>101</v>
      </c>
      <c r="P1939" s="53" t="s">
        <v>448</v>
      </c>
      <c r="Q1939" s="53" t="s">
        <v>479</v>
      </c>
      <c r="R1939" s="55" t="s">
        <v>589</v>
      </c>
    </row>
    <row r="1940" spans="1:18" x14ac:dyDescent="0.5">
      <c r="A1940" s="56" t="str">
        <f>"167593P48"</f>
        <v>167593P48</v>
      </c>
      <c r="B1940" s="57" t="s">
        <v>491</v>
      </c>
      <c r="C1940" s="57" t="s">
        <v>2307</v>
      </c>
      <c r="D1940" s="53" t="s">
        <v>447</v>
      </c>
      <c r="E1940" s="57">
        <v>4</v>
      </c>
      <c r="F1940" s="58">
        <v>49310</v>
      </c>
      <c r="G1940" s="58">
        <v>47484</v>
      </c>
      <c r="H1940" s="57" t="s">
        <v>105</v>
      </c>
      <c r="I1940" s="57" t="s">
        <v>658</v>
      </c>
      <c r="J1940" s="57" t="s">
        <v>101</v>
      </c>
      <c r="K1940" s="57">
        <v>101.72</v>
      </c>
      <c r="L1940" s="57" t="s">
        <v>101</v>
      </c>
      <c r="M1940" s="57">
        <v>3.6110000000000002</v>
      </c>
      <c r="N1940" s="57">
        <v>3.7890000000000001</v>
      </c>
      <c r="O1940" s="53" t="s">
        <v>101</v>
      </c>
      <c r="P1940" s="57" t="s">
        <v>448</v>
      </c>
      <c r="Q1940" s="57" t="s">
        <v>527</v>
      </c>
      <c r="R1940" s="59" t="s">
        <v>589</v>
      </c>
    </row>
    <row r="1941" spans="1:18" x14ac:dyDescent="0.5">
      <c r="A1941" s="52" t="str">
        <f>"167615G49"</f>
        <v>167615G49</v>
      </c>
      <c r="B1941" s="53" t="s">
        <v>491</v>
      </c>
      <c r="C1941" s="53" t="s">
        <v>2308</v>
      </c>
      <c r="D1941" s="53" t="s">
        <v>447</v>
      </c>
      <c r="E1941" s="53">
        <v>5</v>
      </c>
      <c r="F1941" s="54">
        <v>49310</v>
      </c>
      <c r="G1941" s="54">
        <v>47484</v>
      </c>
      <c r="H1941" s="53" t="s">
        <v>105</v>
      </c>
      <c r="I1941" s="53" t="s">
        <v>616</v>
      </c>
      <c r="J1941" s="53" t="s">
        <v>101</v>
      </c>
      <c r="K1941" s="53">
        <v>106.154</v>
      </c>
      <c r="L1941" s="53" t="s">
        <v>101</v>
      </c>
      <c r="M1941" s="53">
        <v>3.61</v>
      </c>
      <c r="N1941" s="53">
        <v>4.2300000000000004</v>
      </c>
      <c r="O1941" s="53" t="s">
        <v>101</v>
      </c>
      <c r="P1941" s="53" t="s">
        <v>448</v>
      </c>
      <c r="Q1941" s="53" t="s">
        <v>464</v>
      </c>
      <c r="R1941" s="55" t="s">
        <v>504</v>
      </c>
    </row>
    <row r="1942" spans="1:18" x14ac:dyDescent="0.5">
      <c r="A1942" s="56" t="str">
        <f>"167615W58"</f>
        <v>167615W58</v>
      </c>
      <c r="B1942" s="57" t="s">
        <v>491</v>
      </c>
      <c r="C1942" s="57" t="s">
        <v>2309</v>
      </c>
      <c r="D1942" s="53" t="s">
        <v>447</v>
      </c>
      <c r="E1942" s="57">
        <v>4</v>
      </c>
      <c r="F1942" s="58">
        <v>49310</v>
      </c>
      <c r="G1942" s="58">
        <v>47484</v>
      </c>
      <c r="H1942" s="57" t="s">
        <v>105</v>
      </c>
      <c r="I1942" s="57" t="s">
        <v>616</v>
      </c>
      <c r="J1942" s="57" t="s">
        <v>101</v>
      </c>
      <c r="K1942" s="57">
        <v>101.319</v>
      </c>
      <c r="L1942" s="57" t="s">
        <v>101</v>
      </c>
      <c r="M1942" s="57">
        <v>3.7010000000000001</v>
      </c>
      <c r="N1942" s="57">
        <v>3.8380000000000001</v>
      </c>
      <c r="O1942" s="53" t="s">
        <v>101</v>
      </c>
      <c r="P1942" s="57" t="s">
        <v>448</v>
      </c>
      <c r="Q1942" s="57" t="s">
        <v>527</v>
      </c>
      <c r="R1942" s="59" t="s">
        <v>454</v>
      </c>
    </row>
    <row r="1943" spans="1:18" x14ac:dyDescent="0.5">
      <c r="A1943" s="52" t="str">
        <f>"1676153T8"</f>
        <v>1676153T8</v>
      </c>
      <c r="B1943" s="53" t="s">
        <v>491</v>
      </c>
      <c r="C1943" s="53" t="s">
        <v>2310</v>
      </c>
      <c r="D1943" s="53" t="s">
        <v>447</v>
      </c>
      <c r="E1943" s="53">
        <v>5</v>
      </c>
      <c r="F1943" s="54">
        <v>49310</v>
      </c>
      <c r="G1943" s="54">
        <v>48214</v>
      </c>
      <c r="H1943" s="53" t="s">
        <v>105</v>
      </c>
      <c r="I1943" s="53" t="s">
        <v>616</v>
      </c>
      <c r="J1943" s="53" t="s">
        <v>101</v>
      </c>
      <c r="K1943" s="53">
        <v>109.078</v>
      </c>
      <c r="L1943" s="53" t="s">
        <v>101</v>
      </c>
      <c r="M1943" s="53">
        <v>3.5009999999999999</v>
      </c>
      <c r="N1943" s="53">
        <v>3.883</v>
      </c>
      <c r="O1943" s="53" t="s">
        <v>101</v>
      </c>
      <c r="P1943" s="53" t="s">
        <v>448</v>
      </c>
      <c r="Q1943" s="53" t="s">
        <v>527</v>
      </c>
      <c r="R1943" s="55" t="s">
        <v>454</v>
      </c>
    </row>
    <row r="1944" spans="1:18" x14ac:dyDescent="0.5">
      <c r="A1944" s="56" t="str">
        <f>"213287BL8"</f>
        <v>213287BL8</v>
      </c>
      <c r="B1944" s="57" t="s">
        <v>491</v>
      </c>
      <c r="C1944" s="57" t="s">
        <v>2311</v>
      </c>
      <c r="D1944" s="53" t="s">
        <v>447</v>
      </c>
      <c r="E1944" s="57">
        <v>4</v>
      </c>
      <c r="F1944" s="58">
        <v>49310</v>
      </c>
      <c r="G1944" s="58">
        <v>47119</v>
      </c>
      <c r="H1944" s="57" t="s">
        <v>613</v>
      </c>
      <c r="I1944" s="57" t="s">
        <v>105</v>
      </c>
      <c r="J1944" s="57" t="s">
        <v>101</v>
      </c>
      <c r="K1944" s="57">
        <v>101.212</v>
      </c>
      <c r="L1944" s="57" t="s">
        <v>101</v>
      </c>
      <c r="M1944" s="57">
        <v>3.66</v>
      </c>
      <c r="N1944" s="57">
        <v>3.851</v>
      </c>
      <c r="O1944" s="53" t="s">
        <v>101</v>
      </c>
      <c r="P1944" s="57" t="s">
        <v>448</v>
      </c>
      <c r="Q1944" s="57" t="s">
        <v>453</v>
      </c>
      <c r="R1944" s="59" t="s">
        <v>482</v>
      </c>
    </row>
    <row r="1945" spans="1:18" x14ac:dyDescent="0.5">
      <c r="A1945" s="52" t="str">
        <f>"240685JM0"</f>
        <v>240685JM0</v>
      </c>
      <c r="B1945" s="53" t="s">
        <v>491</v>
      </c>
      <c r="C1945" s="53" t="s">
        <v>2312</v>
      </c>
      <c r="D1945" s="53" t="s">
        <v>447</v>
      </c>
      <c r="E1945" s="53">
        <v>3.25</v>
      </c>
      <c r="F1945" s="54">
        <v>49310</v>
      </c>
      <c r="G1945" s="54">
        <v>46023</v>
      </c>
      <c r="H1945" s="53" t="s">
        <v>613</v>
      </c>
      <c r="I1945" s="53" t="s">
        <v>105</v>
      </c>
      <c r="J1945" s="53" t="s">
        <v>101</v>
      </c>
      <c r="K1945" s="53">
        <v>94.32</v>
      </c>
      <c r="L1945" s="53" t="s">
        <v>101</v>
      </c>
      <c r="M1945" s="53">
        <v>3.95</v>
      </c>
      <c r="N1945" s="53">
        <v>3.95</v>
      </c>
      <c r="O1945" s="53" t="s">
        <v>101</v>
      </c>
      <c r="P1945" s="53" t="s">
        <v>448</v>
      </c>
      <c r="Q1945" s="53" t="s">
        <v>488</v>
      </c>
      <c r="R1945" s="55" t="s">
        <v>482</v>
      </c>
    </row>
    <row r="1946" spans="1:18" x14ac:dyDescent="0.5">
      <c r="A1946" s="56" t="str">
        <f>"240685JW8"</f>
        <v>240685JW8</v>
      </c>
      <c r="B1946" s="57" t="s">
        <v>491</v>
      </c>
      <c r="C1946" s="57" t="s">
        <v>2313</v>
      </c>
      <c r="D1946" s="53" t="s">
        <v>447</v>
      </c>
      <c r="E1946" s="57">
        <v>3.25</v>
      </c>
      <c r="F1946" s="58">
        <v>49310</v>
      </c>
      <c r="G1946" s="58">
        <v>46023</v>
      </c>
      <c r="H1946" s="57" t="s">
        <v>613</v>
      </c>
      <c r="I1946" s="57" t="s">
        <v>105</v>
      </c>
      <c r="J1946" s="57" t="s">
        <v>101</v>
      </c>
      <c r="K1946" s="57">
        <v>95.66</v>
      </c>
      <c r="L1946" s="57" t="s">
        <v>101</v>
      </c>
      <c r="M1946" s="57">
        <v>3.7810000000000001</v>
      </c>
      <c r="N1946" s="57">
        <v>3.7810000000000001</v>
      </c>
      <c r="O1946" s="53" t="s">
        <v>101</v>
      </c>
      <c r="P1946" s="57" t="s">
        <v>448</v>
      </c>
      <c r="Q1946" s="57" t="s">
        <v>453</v>
      </c>
      <c r="R1946" s="59" t="s">
        <v>454</v>
      </c>
    </row>
    <row r="1947" spans="1:18" x14ac:dyDescent="0.5">
      <c r="A1947" s="52" t="str">
        <f>"240685LZ8"</f>
        <v>240685LZ8</v>
      </c>
      <c r="B1947" s="53" t="s">
        <v>491</v>
      </c>
      <c r="C1947" s="53" t="s">
        <v>2314</v>
      </c>
      <c r="D1947" s="53" t="s">
        <v>447</v>
      </c>
      <c r="E1947" s="53">
        <v>5</v>
      </c>
      <c r="F1947" s="54">
        <v>49310</v>
      </c>
      <c r="G1947" s="54">
        <v>48580</v>
      </c>
      <c r="H1947" s="53" t="s">
        <v>613</v>
      </c>
      <c r="I1947" s="53" t="s">
        <v>105</v>
      </c>
      <c r="J1947" s="53" t="s">
        <v>101</v>
      </c>
      <c r="K1947" s="53">
        <v>109.51900000000001</v>
      </c>
      <c r="L1947" s="53" t="s">
        <v>101</v>
      </c>
      <c r="M1947" s="53">
        <v>3.6</v>
      </c>
      <c r="N1947" s="53">
        <v>3.8319999999999999</v>
      </c>
      <c r="O1947" s="53" t="s">
        <v>101</v>
      </c>
      <c r="P1947" s="53" t="s">
        <v>448</v>
      </c>
      <c r="Q1947" s="53" t="s">
        <v>488</v>
      </c>
      <c r="R1947" s="55" t="s">
        <v>454</v>
      </c>
    </row>
    <row r="1948" spans="1:18" x14ac:dyDescent="0.5">
      <c r="A1948" s="56" t="str">
        <f>"262588KM7"</f>
        <v>262588KM7</v>
      </c>
      <c r="B1948" s="57" t="s">
        <v>491</v>
      </c>
      <c r="C1948" s="57" t="s">
        <v>2315</v>
      </c>
      <c r="D1948" s="53" t="s">
        <v>447</v>
      </c>
      <c r="E1948" s="57">
        <v>3</v>
      </c>
      <c r="F1948" s="58">
        <v>49310</v>
      </c>
      <c r="G1948" s="58">
        <v>47119</v>
      </c>
      <c r="H1948" s="57" t="s">
        <v>105</v>
      </c>
      <c r="I1948" s="57" t="s">
        <v>509</v>
      </c>
      <c r="J1948" s="57" t="s">
        <v>101</v>
      </c>
      <c r="K1948" s="57">
        <v>93.15</v>
      </c>
      <c r="L1948" s="57" t="s">
        <v>101</v>
      </c>
      <c r="M1948" s="57">
        <v>3.84</v>
      </c>
      <c r="N1948" s="57">
        <v>3.84</v>
      </c>
      <c r="O1948" s="53" t="s">
        <v>101</v>
      </c>
      <c r="P1948" s="57" t="s">
        <v>448</v>
      </c>
      <c r="Q1948" s="57" t="s">
        <v>457</v>
      </c>
      <c r="R1948" s="59" t="s">
        <v>482</v>
      </c>
    </row>
    <row r="1949" spans="1:18" x14ac:dyDescent="0.5">
      <c r="A1949" s="52" t="str">
        <f>"262588KZ8"</f>
        <v>262588KZ8</v>
      </c>
      <c r="B1949" s="53" t="s">
        <v>491</v>
      </c>
      <c r="C1949" s="53" t="s">
        <v>2316</v>
      </c>
      <c r="D1949" s="53" t="s">
        <v>447</v>
      </c>
      <c r="E1949" s="53">
        <v>3</v>
      </c>
      <c r="F1949" s="54">
        <v>49310</v>
      </c>
      <c r="G1949" s="54">
        <v>47849</v>
      </c>
      <c r="H1949" s="53" t="s">
        <v>105</v>
      </c>
      <c r="I1949" s="53" t="s">
        <v>509</v>
      </c>
      <c r="J1949" s="53" t="s">
        <v>101</v>
      </c>
      <c r="K1949" s="53">
        <v>92.04</v>
      </c>
      <c r="L1949" s="53" t="s">
        <v>101</v>
      </c>
      <c r="M1949" s="53">
        <v>3.9830000000000001</v>
      </c>
      <c r="N1949" s="53">
        <v>3.9830000000000001</v>
      </c>
      <c r="O1949" s="53" t="s">
        <v>101</v>
      </c>
      <c r="P1949" s="53" t="s">
        <v>448</v>
      </c>
      <c r="Q1949" s="53" t="s">
        <v>457</v>
      </c>
      <c r="R1949" s="55" t="s">
        <v>482</v>
      </c>
    </row>
    <row r="1950" spans="1:18" x14ac:dyDescent="0.5">
      <c r="A1950" s="56" t="str">
        <f>"263381DZ5"</f>
        <v>263381DZ5</v>
      </c>
      <c r="B1950" s="57" t="s">
        <v>491</v>
      </c>
      <c r="C1950" s="57" t="s">
        <v>2317</v>
      </c>
      <c r="D1950" s="53" t="s">
        <v>447</v>
      </c>
      <c r="E1950" s="57">
        <v>3.5</v>
      </c>
      <c r="F1950" s="58">
        <v>49310</v>
      </c>
      <c r="G1950" s="58">
        <v>46388</v>
      </c>
      <c r="H1950" s="57" t="s">
        <v>624</v>
      </c>
      <c r="I1950" s="57" t="s">
        <v>105</v>
      </c>
      <c r="J1950" s="57" t="s">
        <v>101</v>
      </c>
      <c r="K1950" s="57">
        <v>99.143000000000001</v>
      </c>
      <c r="L1950" s="57" t="s">
        <v>101</v>
      </c>
      <c r="M1950" s="57">
        <v>3.6040000000000001</v>
      </c>
      <c r="N1950" s="57">
        <v>3.6040000000000001</v>
      </c>
      <c r="O1950" s="53" t="s">
        <v>101</v>
      </c>
      <c r="P1950" s="57" t="s">
        <v>448</v>
      </c>
      <c r="Q1950" s="57" t="s">
        <v>453</v>
      </c>
      <c r="R1950" s="59" t="s">
        <v>454</v>
      </c>
    </row>
    <row r="1951" spans="1:18" x14ac:dyDescent="0.5">
      <c r="A1951" s="52" t="str">
        <f>"483800VC9"</f>
        <v>483800VC9</v>
      </c>
      <c r="B1951" s="53" t="s">
        <v>491</v>
      </c>
      <c r="C1951" s="53" t="s">
        <v>2318</v>
      </c>
      <c r="D1951" s="53" t="s">
        <v>447</v>
      </c>
      <c r="E1951" s="53">
        <v>3.5</v>
      </c>
      <c r="F1951" s="54">
        <v>49310</v>
      </c>
      <c r="G1951" s="54">
        <v>46023</v>
      </c>
      <c r="H1951" s="53" t="s">
        <v>105</v>
      </c>
      <c r="I1951" s="53" t="s">
        <v>509</v>
      </c>
      <c r="J1951" s="53" t="s">
        <v>101</v>
      </c>
      <c r="K1951" s="53">
        <v>99.32</v>
      </c>
      <c r="L1951" s="53" t="s">
        <v>101</v>
      </c>
      <c r="M1951" s="53">
        <v>3.5819999999999999</v>
      </c>
      <c r="N1951" s="53">
        <v>3.5819999999999999</v>
      </c>
      <c r="O1951" s="53" t="s">
        <v>101</v>
      </c>
      <c r="P1951" s="53" t="s">
        <v>448</v>
      </c>
      <c r="Q1951" s="53" t="s">
        <v>457</v>
      </c>
      <c r="R1951" s="55" t="s">
        <v>454</v>
      </c>
    </row>
    <row r="1952" spans="1:18" x14ac:dyDescent="0.5">
      <c r="A1952" s="56" t="str">
        <f>"484080UU8"</f>
        <v>484080UU8</v>
      </c>
      <c r="B1952" s="57" t="s">
        <v>491</v>
      </c>
      <c r="C1952" s="57" t="s">
        <v>2319</v>
      </c>
      <c r="D1952" s="53" t="s">
        <v>447</v>
      </c>
      <c r="E1952" s="57">
        <v>3</v>
      </c>
      <c r="F1952" s="58">
        <v>49310</v>
      </c>
      <c r="G1952" s="58">
        <v>47484</v>
      </c>
      <c r="H1952" s="57" t="s">
        <v>105</v>
      </c>
      <c r="I1952" s="57" t="s">
        <v>628</v>
      </c>
      <c r="J1952" s="57" t="s">
        <v>101</v>
      </c>
      <c r="K1952" s="57">
        <v>91.65</v>
      </c>
      <c r="L1952" s="57" t="s">
        <v>101</v>
      </c>
      <c r="M1952" s="57">
        <v>4.0339999999999998</v>
      </c>
      <c r="N1952" s="57">
        <v>4.0339999999999998</v>
      </c>
      <c r="O1952" s="53" t="s">
        <v>101</v>
      </c>
      <c r="P1952" s="57" t="s">
        <v>448</v>
      </c>
      <c r="Q1952" s="57" t="s">
        <v>488</v>
      </c>
      <c r="R1952" s="59" t="s">
        <v>454</v>
      </c>
    </row>
    <row r="1953" spans="1:18" x14ac:dyDescent="0.5">
      <c r="A1953" s="52" t="str">
        <f>"562859EY0"</f>
        <v>562859EY0</v>
      </c>
      <c r="B1953" s="53" t="s">
        <v>491</v>
      </c>
      <c r="C1953" s="53" t="s">
        <v>2320</v>
      </c>
      <c r="D1953" s="53" t="s">
        <v>447</v>
      </c>
      <c r="E1953" s="53">
        <v>6</v>
      </c>
      <c r="F1953" s="54">
        <v>49310</v>
      </c>
      <c r="G1953" s="54" t="s">
        <v>105</v>
      </c>
      <c r="H1953" s="53" t="s">
        <v>105</v>
      </c>
      <c r="I1953" s="53" t="s">
        <v>628</v>
      </c>
      <c r="J1953" s="53" t="s">
        <v>101</v>
      </c>
      <c r="K1953" s="53">
        <v>119.86</v>
      </c>
      <c r="L1953" s="53" t="s">
        <v>101</v>
      </c>
      <c r="M1953" s="53">
        <v>3.5920000000000001</v>
      </c>
      <c r="N1953" s="53">
        <v>3.5920000000000001</v>
      </c>
      <c r="O1953" s="53" t="s">
        <v>101</v>
      </c>
      <c r="P1953" s="53" t="s">
        <v>448</v>
      </c>
      <c r="Q1953" s="53" t="s">
        <v>573</v>
      </c>
      <c r="R1953" s="55" t="s">
        <v>2321</v>
      </c>
    </row>
    <row r="1954" spans="1:18" x14ac:dyDescent="0.5">
      <c r="A1954" s="56" t="str">
        <f>"580773KY4"</f>
        <v>580773KY4</v>
      </c>
      <c r="B1954" s="57" t="s">
        <v>491</v>
      </c>
      <c r="C1954" s="57" t="s">
        <v>2322</v>
      </c>
      <c r="D1954" s="53" t="s">
        <v>447</v>
      </c>
      <c r="E1954" s="57">
        <v>3.375</v>
      </c>
      <c r="F1954" s="58">
        <v>49310</v>
      </c>
      <c r="G1954" s="58">
        <v>46023</v>
      </c>
      <c r="H1954" s="57" t="s">
        <v>105</v>
      </c>
      <c r="I1954" s="57" t="s">
        <v>628</v>
      </c>
      <c r="J1954" s="57" t="s">
        <v>101</v>
      </c>
      <c r="K1954" s="57">
        <v>96.51</v>
      </c>
      <c r="L1954" s="57" t="s">
        <v>101</v>
      </c>
      <c r="M1954" s="57">
        <v>3.802</v>
      </c>
      <c r="N1954" s="57">
        <v>3.802</v>
      </c>
      <c r="O1954" s="53" t="s">
        <v>101</v>
      </c>
      <c r="P1954" s="57" t="s">
        <v>448</v>
      </c>
      <c r="Q1954" s="57" t="s">
        <v>503</v>
      </c>
      <c r="R1954" s="59" t="s">
        <v>454</v>
      </c>
    </row>
    <row r="1955" spans="1:18" x14ac:dyDescent="0.5">
      <c r="A1955" s="52" t="str">
        <f>"66285WF84"</f>
        <v>66285WF84</v>
      </c>
      <c r="B1955" s="53" t="s">
        <v>451</v>
      </c>
      <c r="C1955" s="53" t="s">
        <v>2323</v>
      </c>
      <c r="D1955" s="53" t="s">
        <v>447</v>
      </c>
      <c r="E1955" s="53">
        <v>4</v>
      </c>
      <c r="F1955" s="54">
        <v>49310</v>
      </c>
      <c r="G1955" s="54">
        <v>47849</v>
      </c>
      <c r="H1955" s="53" t="s">
        <v>641</v>
      </c>
      <c r="I1955" s="53" t="s">
        <v>658</v>
      </c>
      <c r="J1955" s="53" t="s">
        <v>101</v>
      </c>
      <c r="K1955" s="53">
        <v>101.937</v>
      </c>
      <c r="L1955" s="53" t="s">
        <v>101</v>
      </c>
      <c r="M1955" s="53">
        <v>3.63</v>
      </c>
      <c r="N1955" s="53">
        <v>3.7629999999999999</v>
      </c>
      <c r="O1955" s="53" t="s">
        <v>101</v>
      </c>
      <c r="P1955" s="53" t="s">
        <v>448</v>
      </c>
      <c r="Q1955" s="53" t="s">
        <v>503</v>
      </c>
      <c r="R1955" s="55" t="s">
        <v>504</v>
      </c>
    </row>
    <row r="1956" spans="1:18" x14ac:dyDescent="0.5">
      <c r="A1956" s="56" t="str">
        <f>"66285WXG6"</f>
        <v>66285WXG6</v>
      </c>
      <c r="B1956" s="57" t="s">
        <v>451</v>
      </c>
      <c r="C1956" s="57" t="s">
        <v>2324</v>
      </c>
      <c r="D1956" s="53" t="s">
        <v>447</v>
      </c>
      <c r="E1956" s="57">
        <v>4</v>
      </c>
      <c r="F1956" s="58">
        <v>49310</v>
      </c>
      <c r="G1956" s="58">
        <v>46388</v>
      </c>
      <c r="H1956" s="57" t="s">
        <v>641</v>
      </c>
      <c r="I1956" s="57" t="s">
        <v>628</v>
      </c>
      <c r="J1956" s="57" t="s">
        <v>101</v>
      </c>
      <c r="K1956" s="57">
        <v>100.55</v>
      </c>
      <c r="L1956" s="57" t="s">
        <v>101</v>
      </c>
      <c r="M1956" s="57">
        <v>3.6909999999999998</v>
      </c>
      <c r="N1956" s="57">
        <v>3.9319999999999999</v>
      </c>
      <c r="O1956" s="53" t="s">
        <v>101</v>
      </c>
      <c r="P1956" s="57" t="s">
        <v>448</v>
      </c>
      <c r="Q1956" s="57" t="s">
        <v>503</v>
      </c>
      <c r="R1956" s="59" t="s">
        <v>771</v>
      </c>
    </row>
    <row r="1957" spans="1:18" x14ac:dyDescent="0.5">
      <c r="A1957" s="52" t="str">
        <f>"7131768M0"</f>
        <v>7131768M0</v>
      </c>
      <c r="B1957" s="53" t="s">
        <v>491</v>
      </c>
      <c r="C1957" s="53" t="s">
        <v>2325</v>
      </c>
      <c r="D1957" s="53" t="s">
        <v>447</v>
      </c>
      <c r="E1957" s="53">
        <v>3.5</v>
      </c>
      <c r="F1957" s="54">
        <v>49310</v>
      </c>
      <c r="G1957" s="54">
        <v>45733</v>
      </c>
      <c r="H1957" s="53" t="s">
        <v>610</v>
      </c>
      <c r="I1957" s="53" t="s">
        <v>658</v>
      </c>
      <c r="J1957" s="53" t="s">
        <v>101</v>
      </c>
      <c r="K1957" s="53">
        <v>95.409000000000006</v>
      </c>
      <c r="L1957" s="53" t="s">
        <v>101</v>
      </c>
      <c r="M1957" s="53">
        <v>4.069</v>
      </c>
      <c r="N1957" s="53">
        <v>4.069</v>
      </c>
      <c r="O1957" s="53" t="s">
        <v>101</v>
      </c>
      <c r="P1957" s="53" t="s">
        <v>448</v>
      </c>
      <c r="Q1957" s="53" t="s">
        <v>488</v>
      </c>
      <c r="R1957" s="55" t="s">
        <v>454</v>
      </c>
    </row>
    <row r="1958" spans="1:18" x14ac:dyDescent="0.5">
      <c r="A1958" s="56" t="str">
        <f>"713178FP1"</f>
        <v>713178FP1</v>
      </c>
      <c r="B1958" s="57" t="s">
        <v>491</v>
      </c>
      <c r="C1958" s="57" t="s">
        <v>2326</v>
      </c>
      <c r="D1958" s="53" t="s">
        <v>447</v>
      </c>
      <c r="E1958" s="57">
        <v>4</v>
      </c>
      <c r="F1958" s="58">
        <v>49310</v>
      </c>
      <c r="G1958" s="58">
        <v>47849</v>
      </c>
      <c r="H1958" s="57" t="s">
        <v>105</v>
      </c>
      <c r="I1958" s="57" t="s">
        <v>628</v>
      </c>
      <c r="J1958" s="57" t="s">
        <v>101</v>
      </c>
      <c r="K1958" s="57">
        <v>101.94</v>
      </c>
      <c r="L1958" s="57" t="s">
        <v>101</v>
      </c>
      <c r="M1958" s="57">
        <v>3.629</v>
      </c>
      <c r="N1958" s="57">
        <v>3.762</v>
      </c>
      <c r="O1958" s="53" t="s">
        <v>101</v>
      </c>
      <c r="P1958" s="57" t="s">
        <v>448</v>
      </c>
      <c r="Q1958" s="57" t="s">
        <v>453</v>
      </c>
      <c r="R1958" s="59" t="s">
        <v>630</v>
      </c>
    </row>
    <row r="1959" spans="1:18" x14ac:dyDescent="0.5">
      <c r="A1959" s="52" t="str">
        <f>"796352DP4"</f>
        <v>796352DP4</v>
      </c>
      <c r="B1959" s="53" t="s">
        <v>451</v>
      </c>
      <c r="C1959" s="53" t="s">
        <v>2327</v>
      </c>
      <c r="D1959" s="53" t="s">
        <v>447</v>
      </c>
      <c r="E1959" s="53">
        <v>3</v>
      </c>
      <c r="F1959" s="54">
        <v>49310</v>
      </c>
      <c r="G1959" s="54">
        <v>47484</v>
      </c>
      <c r="H1959" s="53" t="s">
        <v>105</v>
      </c>
      <c r="I1959" s="53" t="s">
        <v>616</v>
      </c>
      <c r="J1959" s="53" t="s">
        <v>101</v>
      </c>
      <c r="K1959" s="53">
        <v>91.236000000000004</v>
      </c>
      <c r="L1959" s="53" t="s">
        <v>101</v>
      </c>
      <c r="M1959" s="53">
        <v>4.0880000000000001</v>
      </c>
      <c r="N1959" s="53">
        <v>4.0880000000000001</v>
      </c>
      <c r="O1959" s="53" t="s">
        <v>101</v>
      </c>
      <c r="P1959" s="53" t="s">
        <v>448</v>
      </c>
      <c r="Q1959" s="53" t="s">
        <v>460</v>
      </c>
      <c r="R1959" s="55" t="s">
        <v>504</v>
      </c>
    </row>
    <row r="1960" spans="1:18" x14ac:dyDescent="0.5">
      <c r="A1960" s="56" t="str">
        <f>"960811DQ7"</f>
        <v>960811DQ7</v>
      </c>
      <c r="B1960" s="57" t="s">
        <v>491</v>
      </c>
      <c r="C1960" s="57" t="s">
        <v>2328</v>
      </c>
      <c r="D1960" s="53" t="s">
        <v>447</v>
      </c>
      <c r="E1960" s="57">
        <v>3.25</v>
      </c>
      <c r="F1960" s="58">
        <v>49310</v>
      </c>
      <c r="G1960" s="58">
        <v>46388</v>
      </c>
      <c r="H1960" s="57" t="s">
        <v>105</v>
      </c>
      <c r="I1960" s="57" t="s">
        <v>509</v>
      </c>
      <c r="J1960" s="57" t="s">
        <v>101</v>
      </c>
      <c r="K1960" s="57">
        <v>97.926000000000002</v>
      </c>
      <c r="L1960" s="57" t="s">
        <v>101</v>
      </c>
      <c r="M1960" s="57">
        <v>3.5</v>
      </c>
      <c r="N1960" s="57">
        <v>3.5</v>
      </c>
      <c r="O1960" s="53" t="s">
        <v>101</v>
      </c>
      <c r="P1960" s="57" t="s">
        <v>448</v>
      </c>
      <c r="Q1960" s="57" t="s">
        <v>457</v>
      </c>
      <c r="R1960" s="59" t="s">
        <v>589</v>
      </c>
    </row>
    <row r="1961" spans="1:18" x14ac:dyDescent="0.5">
      <c r="A1961" s="52" t="str">
        <f>"073186MC9"</f>
        <v>073186MC9</v>
      </c>
      <c r="B1961" s="53" t="s">
        <v>451</v>
      </c>
      <c r="C1961" s="53" t="s">
        <v>2329</v>
      </c>
      <c r="D1961" s="53" t="s">
        <v>447</v>
      </c>
      <c r="E1961" s="53">
        <v>3</v>
      </c>
      <c r="F1961" s="54">
        <v>49341</v>
      </c>
      <c r="G1961" s="54">
        <v>46054</v>
      </c>
      <c r="H1961" s="53" t="s">
        <v>613</v>
      </c>
      <c r="I1961" s="53" t="s">
        <v>628</v>
      </c>
      <c r="J1961" s="53" t="s">
        <v>101</v>
      </c>
      <c r="K1961" s="53">
        <v>91.668000000000006</v>
      </c>
      <c r="L1961" s="53" t="s">
        <v>101</v>
      </c>
      <c r="M1961" s="53">
        <v>4.024</v>
      </c>
      <c r="N1961" s="53">
        <v>4.024</v>
      </c>
      <c r="O1961" s="53" t="s">
        <v>101</v>
      </c>
      <c r="P1961" s="53" t="s">
        <v>448</v>
      </c>
      <c r="Q1961" s="53" t="s">
        <v>2330</v>
      </c>
      <c r="R1961" s="55" t="s">
        <v>504</v>
      </c>
    </row>
    <row r="1962" spans="1:18" x14ac:dyDescent="0.5">
      <c r="A1962" s="56" t="str">
        <f>"073186NT1"</f>
        <v>073186NT1</v>
      </c>
      <c r="B1962" s="57" t="s">
        <v>451</v>
      </c>
      <c r="C1962" s="57" t="s">
        <v>2331</v>
      </c>
      <c r="D1962" s="53" t="s">
        <v>447</v>
      </c>
      <c r="E1962" s="57">
        <v>3.125</v>
      </c>
      <c r="F1962" s="58">
        <v>49341</v>
      </c>
      <c r="G1962" s="58">
        <v>46784</v>
      </c>
      <c r="H1962" s="57" t="s">
        <v>613</v>
      </c>
      <c r="I1962" s="57" t="s">
        <v>628</v>
      </c>
      <c r="J1962" s="57" t="s">
        <v>101</v>
      </c>
      <c r="K1962" s="57">
        <v>94.341999999999999</v>
      </c>
      <c r="L1962" s="57" t="s">
        <v>101</v>
      </c>
      <c r="M1962" s="57">
        <v>3.8130000000000002</v>
      </c>
      <c r="N1962" s="57">
        <v>3.8130000000000002</v>
      </c>
      <c r="O1962" s="53" t="s">
        <v>101</v>
      </c>
      <c r="P1962" s="57" t="s">
        <v>448</v>
      </c>
      <c r="Q1962" s="57" t="s">
        <v>1054</v>
      </c>
      <c r="R1962" s="59" t="s">
        <v>504</v>
      </c>
    </row>
    <row r="1963" spans="1:18" x14ac:dyDescent="0.5">
      <c r="A1963" s="52" t="str">
        <f>"094171MM4"</f>
        <v>094171MM4</v>
      </c>
      <c r="B1963" s="53" t="s">
        <v>477</v>
      </c>
      <c r="C1963" s="53" t="s">
        <v>2332</v>
      </c>
      <c r="D1963" s="53" t="s">
        <v>447</v>
      </c>
      <c r="E1963" s="53">
        <v>3</v>
      </c>
      <c r="F1963" s="54">
        <v>49341</v>
      </c>
      <c r="G1963" s="54">
        <v>46419</v>
      </c>
      <c r="H1963" s="53" t="s">
        <v>624</v>
      </c>
      <c r="I1963" s="53" t="s">
        <v>105</v>
      </c>
      <c r="J1963" s="53" t="s">
        <v>101</v>
      </c>
      <c r="K1963" s="53">
        <v>92.623000000000005</v>
      </c>
      <c r="L1963" s="53" t="s">
        <v>101</v>
      </c>
      <c r="M1963" s="53">
        <v>3.9009999999999998</v>
      </c>
      <c r="N1963" s="53">
        <v>3.9009999999999998</v>
      </c>
      <c r="O1963" s="53" t="s">
        <v>101</v>
      </c>
      <c r="P1963" s="53" t="s">
        <v>448</v>
      </c>
      <c r="Q1963" s="53" t="s">
        <v>488</v>
      </c>
      <c r="R1963" s="55" t="s">
        <v>482</v>
      </c>
    </row>
    <row r="1964" spans="1:18" x14ac:dyDescent="0.5">
      <c r="A1964" s="56" t="str">
        <f>"240361QE8"</f>
        <v>240361QE8</v>
      </c>
      <c r="B1964" s="57" t="s">
        <v>491</v>
      </c>
      <c r="C1964" s="57" t="s">
        <v>2333</v>
      </c>
      <c r="D1964" s="53" t="s">
        <v>447</v>
      </c>
      <c r="E1964" s="57">
        <v>4</v>
      </c>
      <c r="F1964" s="58">
        <v>49341</v>
      </c>
      <c r="G1964" s="58">
        <v>46784</v>
      </c>
      <c r="H1964" s="57" t="s">
        <v>105</v>
      </c>
      <c r="I1964" s="57" t="s">
        <v>628</v>
      </c>
      <c r="J1964" s="57" t="s">
        <v>101</v>
      </c>
      <c r="K1964" s="57">
        <v>101.039</v>
      </c>
      <c r="L1964" s="57" t="s">
        <v>101</v>
      </c>
      <c r="M1964" s="57">
        <v>3.625</v>
      </c>
      <c r="N1964" s="57">
        <v>3.8730000000000002</v>
      </c>
      <c r="O1964" s="53" t="s">
        <v>101</v>
      </c>
      <c r="P1964" s="57" t="s">
        <v>448</v>
      </c>
      <c r="Q1964" s="57" t="s">
        <v>460</v>
      </c>
      <c r="R1964" s="59" t="s">
        <v>630</v>
      </c>
    </row>
    <row r="1965" spans="1:18" x14ac:dyDescent="0.5">
      <c r="A1965" s="52" t="str">
        <f>"240361RQ0"</f>
        <v>240361RQ0</v>
      </c>
      <c r="B1965" s="53" t="s">
        <v>491</v>
      </c>
      <c r="C1965" s="53" t="s">
        <v>2334</v>
      </c>
      <c r="D1965" s="53" t="s">
        <v>447</v>
      </c>
      <c r="E1965" s="53">
        <v>4</v>
      </c>
      <c r="F1965" s="54">
        <v>49341</v>
      </c>
      <c r="G1965" s="54">
        <v>47515</v>
      </c>
      <c r="H1965" s="53" t="s">
        <v>105</v>
      </c>
      <c r="I1965" s="53" t="s">
        <v>628</v>
      </c>
      <c r="J1965" s="53" t="s">
        <v>101</v>
      </c>
      <c r="K1965" s="53">
        <v>101.482</v>
      </c>
      <c r="L1965" s="53" t="s">
        <v>101</v>
      </c>
      <c r="M1965" s="53">
        <v>3.67</v>
      </c>
      <c r="N1965" s="53">
        <v>3.819</v>
      </c>
      <c r="O1965" s="53" t="s">
        <v>101</v>
      </c>
      <c r="P1965" s="53" t="s">
        <v>448</v>
      </c>
      <c r="Q1965" s="53" t="s">
        <v>556</v>
      </c>
      <c r="R1965" s="55" t="s">
        <v>630</v>
      </c>
    </row>
    <row r="1966" spans="1:18" x14ac:dyDescent="0.5">
      <c r="A1966" s="56" t="str">
        <f>"364195FJ1"</f>
        <v>364195FJ1</v>
      </c>
      <c r="B1966" s="57" t="s">
        <v>451</v>
      </c>
      <c r="C1966" s="57" t="s">
        <v>2335</v>
      </c>
      <c r="D1966" s="53" t="s">
        <v>447</v>
      </c>
      <c r="E1966" s="57">
        <v>3</v>
      </c>
      <c r="F1966" s="58">
        <v>49341</v>
      </c>
      <c r="G1966" s="58">
        <v>46419</v>
      </c>
      <c r="H1966" s="57" t="s">
        <v>104</v>
      </c>
      <c r="I1966" s="57" t="s">
        <v>105</v>
      </c>
      <c r="J1966" s="57" t="s">
        <v>101</v>
      </c>
      <c r="K1966" s="57">
        <v>94.135000000000005</v>
      </c>
      <c r="L1966" s="57" t="s">
        <v>101</v>
      </c>
      <c r="M1966" s="57">
        <v>3.71</v>
      </c>
      <c r="N1966" s="57">
        <v>3.71</v>
      </c>
      <c r="O1966" s="53" t="s">
        <v>101</v>
      </c>
      <c r="P1966" s="57" t="s">
        <v>448</v>
      </c>
      <c r="Q1966" s="57" t="s">
        <v>457</v>
      </c>
      <c r="R1966" s="59" t="s">
        <v>454</v>
      </c>
    </row>
    <row r="1967" spans="1:18" x14ac:dyDescent="0.5">
      <c r="A1967" s="52" t="str">
        <f>"452153KU2"</f>
        <v>452153KU2</v>
      </c>
      <c r="B1967" s="53" t="s">
        <v>491</v>
      </c>
      <c r="C1967" s="53" t="s">
        <v>2336</v>
      </c>
      <c r="D1967" s="53" t="s">
        <v>447</v>
      </c>
      <c r="E1967" s="53">
        <v>5</v>
      </c>
      <c r="F1967" s="54">
        <v>49341</v>
      </c>
      <c r="G1967" s="54">
        <v>49157</v>
      </c>
      <c r="H1967" s="53" t="s">
        <v>627</v>
      </c>
      <c r="I1967" s="53" t="s">
        <v>713</v>
      </c>
      <c r="J1967" s="53" t="s">
        <v>101</v>
      </c>
      <c r="K1967" s="53">
        <v>111.5</v>
      </c>
      <c r="L1967" s="53" t="s">
        <v>101</v>
      </c>
      <c r="M1967" s="53">
        <v>3.5569999999999999</v>
      </c>
      <c r="N1967" s="53">
        <v>3.6139999999999999</v>
      </c>
      <c r="O1967" s="53" t="s">
        <v>101</v>
      </c>
      <c r="P1967" s="53" t="s">
        <v>448</v>
      </c>
      <c r="Q1967" s="53" t="s">
        <v>790</v>
      </c>
      <c r="R1967" s="55" t="s">
        <v>454</v>
      </c>
    </row>
    <row r="1968" spans="1:18" x14ac:dyDescent="0.5">
      <c r="A1968" s="56" t="str">
        <f>"479772LN3"</f>
        <v>479772LN3</v>
      </c>
      <c r="B1968" s="57" t="s">
        <v>491</v>
      </c>
      <c r="C1968" s="57" t="s">
        <v>2337</v>
      </c>
      <c r="D1968" s="53" t="s">
        <v>447</v>
      </c>
      <c r="E1968" s="57">
        <v>5</v>
      </c>
      <c r="F1968" s="58">
        <v>49341</v>
      </c>
      <c r="G1968" s="58">
        <v>48611</v>
      </c>
      <c r="H1968" s="57" t="s">
        <v>105</v>
      </c>
      <c r="I1968" s="57" t="s">
        <v>628</v>
      </c>
      <c r="J1968" s="57" t="s">
        <v>101</v>
      </c>
      <c r="K1968" s="57">
        <v>109.44</v>
      </c>
      <c r="L1968" s="57" t="s">
        <v>101</v>
      </c>
      <c r="M1968" s="57">
        <v>3.6230000000000002</v>
      </c>
      <c r="N1968" s="57">
        <v>3.8490000000000002</v>
      </c>
      <c r="O1968" s="53" t="s">
        <v>101</v>
      </c>
      <c r="P1968" s="57" t="s">
        <v>448</v>
      </c>
      <c r="Q1968" s="57" t="s">
        <v>460</v>
      </c>
      <c r="R1968" s="59" t="s">
        <v>630</v>
      </c>
    </row>
    <row r="1969" spans="1:18" x14ac:dyDescent="0.5">
      <c r="A1969" s="52" t="str">
        <f>"530574PC0"</f>
        <v>530574PC0</v>
      </c>
      <c r="B1969" s="53" t="s">
        <v>451</v>
      </c>
      <c r="C1969" s="53" t="s">
        <v>2338</v>
      </c>
      <c r="D1969" s="53" t="s">
        <v>447</v>
      </c>
      <c r="E1969" s="53">
        <v>3</v>
      </c>
      <c r="F1969" s="54">
        <v>49341</v>
      </c>
      <c r="G1969" s="54">
        <v>47515</v>
      </c>
      <c r="H1969" s="53" t="s">
        <v>104</v>
      </c>
      <c r="I1969" s="53" t="s">
        <v>105</v>
      </c>
      <c r="J1969" s="53" t="s">
        <v>101</v>
      </c>
      <c r="K1969" s="53">
        <v>92.867999999999995</v>
      </c>
      <c r="L1969" s="53" t="s">
        <v>101</v>
      </c>
      <c r="M1969" s="53">
        <v>3.87</v>
      </c>
      <c r="N1969" s="53">
        <v>3.87</v>
      </c>
      <c r="O1969" s="53" t="s">
        <v>101</v>
      </c>
      <c r="P1969" s="53" t="s">
        <v>448</v>
      </c>
      <c r="Q1969" s="53" t="s">
        <v>2339</v>
      </c>
      <c r="R1969" s="55" t="s">
        <v>454</v>
      </c>
    </row>
    <row r="1970" spans="1:18" x14ac:dyDescent="0.5">
      <c r="A1970" s="56" t="str">
        <f>"537095US8"</f>
        <v>537095US8</v>
      </c>
      <c r="B1970" s="57" t="s">
        <v>451</v>
      </c>
      <c r="C1970" s="57" t="s">
        <v>2340</v>
      </c>
      <c r="D1970" s="53" t="s">
        <v>447</v>
      </c>
      <c r="E1970" s="57">
        <v>3.25</v>
      </c>
      <c r="F1970" s="58">
        <v>49341</v>
      </c>
      <c r="G1970" s="58">
        <v>46784</v>
      </c>
      <c r="H1970" s="57" t="s">
        <v>105</v>
      </c>
      <c r="I1970" s="57" t="s">
        <v>509</v>
      </c>
      <c r="J1970" s="57" t="s">
        <v>101</v>
      </c>
      <c r="K1970" s="57">
        <v>95.98</v>
      </c>
      <c r="L1970" s="57" t="s">
        <v>101</v>
      </c>
      <c r="M1970" s="57">
        <v>3.7370000000000001</v>
      </c>
      <c r="N1970" s="57">
        <v>3.7370000000000001</v>
      </c>
      <c r="O1970" s="53" t="s">
        <v>101</v>
      </c>
      <c r="P1970" s="57" t="s">
        <v>448</v>
      </c>
      <c r="Q1970" s="57" t="s">
        <v>488</v>
      </c>
      <c r="R1970" s="59" t="s">
        <v>504</v>
      </c>
    </row>
    <row r="1971" spans="1:18" x14ac:dyDescent="0.5">
      <c r="A1971" s="52" t="str">
        <f>"702755CX5"</f>
        <v>702755CX5</v>
      </c>
      <c r="B1971" s="53" t="s">
        <v>477</v>
      </c>
      <c r="C1971" s="53" t="s">
        <v>2341</v>
      </c>
      <c r="D1971" s="53" t="s">
        <v>447</v>
      </c>
      <c r="E1971" s="53">
        <v>3</v>
      </c>
      <c r="F1971" s="54">
        <v>49341</v>
      </c>
      <c r="G1971" s="54">
        <v>47515</v>
      </c>
      <c r="H1971" s="53" t="s">
        <v>540</v>
      </c>
      <c r="I1971" s="53" t="s">
        <v>105</v>
      </c>
      <c r="J1971" s="53" t="s">
        <v>101</v>
      </c>
      <c r="K1971" s="53">
        <v>93.55</v>
      </c>
      <c r="L1971" s="53" t="s">
        <v>101</v>
      </c>
      <c r="M1971" s="53">
        <v>3.7839999999999998</v>
      </c>
      <c r="N1971" s="53">
        <v>3.7839999999999998</v>
      </c>
      <c r="O1971" s="53" t="s">
        <v>101</v>
      </c>
      <c r="P1971" s="53" t="s">
        <v>448</v>
      </c>
      <c r="Q1971" s="53" t="s">
        <v>453</v>
      </c>
      <c r="R1971" s="55" t="s">
        <v>504</v>
      </c>
    </row>
    <row r="1972" spans="1:18" x14ac:dyDescent="0.5">
      <c r="A1972" s="56" t="str">
        <f>"774268RX6"</f>
        <v>774268RX6</v>
      </c>
      <c r="B1972" s="57" t="s">
        <v>451</v>
      </c>
      <c r="C1972" s="57" t="s">
        <v>2342</v>
      </c>
      <c r="D1972" s="53" t="s">
        <v>447</v>
      </c>
      <c r="E1972" s="57">
        <v>3</v>
      </c>
      <c r="F1972" s="58">
        <v>49341</v>
      </c>
      <c r="G1972" s="58">
        <v>47150</v>
      </c>
      <c r="H1972" s="57" t="s">
        <v>105</v>
      </c>
      <c r="I1972" s="57" t="s">
        <v>509</v>
      </c>
      <c r="J1972" s="57" t="s">
        <v>101</v>
      </c>
      <c r="K1972" s="57">
        <v>93.245999999999995</v>
      </c>
      <c r="L1972" s="57" t="s">
        <v>101</v>
      </c>
      <c r="M1972" s="57">
        <v>3.8220000000000001</v>
      </c>
      <c r="N1972" s="57">
        <v>3.8220000000000001</v>
      </c>
      <c r="O1972" s="53" t="s">
        <v>101</v>
      </c>
      <c r="P1972" s="57" t="s">
        <v>448</v>
      </c>
      <c r="Q1972" s="57" t="s">
        <v>503</v>
      </c>
      <c r="R1972" s="59" t="s">
        <v>454</v>
      </c>
    </row>
    <row r="1973" spans="1:18" x14ac:dyDescent="0.5">
      <c r="A1973" s="52" t="str">
        <f>"806645XX0"</f>
        <v>806645XX0</v>
      </c>
      <c r="B1973" s="53" t="s">
        <v>451</v>
      </c>
      <c r="C1973" s="53" t="s">
        <v>2343</v>
      </c>
      <c r="D1973" s="53" t="s">
        <v>447</v>
      </c>
      <c r="E1973" s="53">
        <v>3.25</v>
      </c>
      <c r="F1973" s="54">
        <v>49341</v>
      </c>
      <c r="G1973" s="54">
        <v>46784</v>
      </c>
      <c r="H1973" s="53" t="s">
        <v>105</v>
      </c>
      <c r="I1973" s="53" t="s">
        <v>509</v>
      </c>
      <c r="J1973" s="53" t="s">
        <v>101</v>
      </c>
      <c r="K1973" s="53">
        <v>94.816999999999993</v>
      </c>
      <c r="L1973" s="53" t="s">
        <v>101</v>
      </c>
      <c r="M1973" s="53">
        <v>3.883</v>
      </c>
      <c r="N1973" s="53">
        <v>3.883</v>
      </c>
      <c r="O1973" s="53" t="s">
        <v>101</v>
      </c>
      <c r="P1973" s="53" t="s">
        <v>448</v>
      </c>
      <c r="Q1973" s="53" t="s">
        <v>457</v>
      </c>
      <c r="R1973" s="55" t="s">
        <v>504</v>
      </c>
    </row>
    <row r="1974" spans="1:18" x14ac:dyDescent="0.5">
      <c r="A1974" s="56" t="str">
        <f>"880081RR7"</f>
        <v>880081RR7</v>
      </c>
      <c r="B1974" s="57" t="s">
        <v>451</v>
      </c>
      <c r="C1974" s="57" t="s">
        <v>2344</v>
      </c>
      <c r="D1974" s="53" t="s">
        <v>447</v>
      </c>
      <c r="E1974" s="57">
        <v>3</v>
      </c>
      <c r="F1974" s="58">
        <v>49341</v>
      </c>
      <c r="G1974" s="58">
        <v>47515</v>
      </c>
      <c r="H1974" s="57" t="s">
        <v>105</v>
      </c>
      <c r="I1974" s="57" t="s">
        <v>104</v>
      </c>
      <c r="J1974" s="57" t="s">
        <v>101</v>
      </c>
      <c r="K1974" s="57">
        <v>94.055000000000007</v>
      </c>
      <c r="L1974" s="57" t="s">
        <v>101</v>
      </c>
      <c r="M1974" s="57">
        <v>3.72</v>
      </c>
      <c r="N1974" s="57">
        <v>3.72</v>
      </c>
      <c r="O1974" s="53" t="s">
        <v>101</v>
      </c>
      <c r="P1974" s="57" t="s">
        <v>448</v>
      </c>
      <c r="Q1974" s="57" t="s">
        <v>1202</v>
      </c>
      <c r="R1974" s="59" t="s">
        <v>454</v>
      </c>
    </row>
    <row r="1975" spans="1:18" x14ac:dyDescent="0.5">
      <c r="A1975" s="52" t="str">
        <f>"895272EY4"</f>
        <v>895272EY4</v>
      </c>
      <c r="B1975" s="53" t="s">
        <v>451</v>
      </c>
      <c r="C1975" s="53" t="s">
        <v>2345</v>
      </c>
      <c r="D1975" s="53" t="s">
        <v>447</v>
      </c>
      <c r="E1975" s="53">
        <v>5</v>
      </c>
      <c r="F1975" s="54">
        <v>49341</v>
      </c>
      <c r="G1975" s="54">
        <v>48611</v>
      </c>
      <c r="H1975" s="53" t="s">
        <v>105</v>
      </c>
      <c r="I1975" s="53" t="s">
        <v>628</v>
      </c>
      <c r="J1975" s="53" t="s">
        <v>101</v>
      </c>
      <c r="K1975" s="53">
        <v>110.33199999999999</v>
      </c>
      <c r="L1975" s="53" t="s">
        <v>101</v>
      </c>
      <c r="M1975" s="53">
        <v>3.5</v>
      </c>
      <c r="N1975" s="53">
        <v>3.7469999999999999</v>
      </c>
      <c r="O1975" s="53" t="s">
        <v>101</v>
      </c>
      <c r="P1975" s="53" t="s">
        <v>448</v>
      </c>
      <c r="Q1975" s="53" t="s">
        <v>457</v>
      </c>
      <c r="R1975" s="55" t="s">
        <v>630</v>
      </c>
    </row>
    <row r="1976" spans="1:18" x14ac:dyDescent="0.5">
      <c r="A1976" s="56" t="str">
        <f>"896564WW7"</f>
        <v>896564WW7</v>
      </c>
      <c r="B1976" s="57" t="s">
        <v>451</v>
      </c>
      <c r="C1976" s="57" t="s">
        <v>2346</v>
      </c>
      <c r="D1976" s="53" t="s">
        <v>447</v>
      </c>
      <c r="E1976" s="57">
        <v>4</v>
      </c>
      <c r="F1976" s="58">
        <v>49341</v>
      </c>
      <c r="G1976" s="58">
        <v>46784</v>
      </c>
      <c r="H1976" s="57" t="s">
        <v>105</v>
      </c>
      <c r="I1976" s="57" t="s">
        <v>509</v>
      </c>
      <c r="J1976" s="57" t="s">
        <v>101</v>
      </c>
      <c r="K1976" s="57">
        <v>101.212</v>
      </c>
      <c r="L1976" s="57" t="s">
        <v>101</v>
      </c>
      <c r="M1976" s="57">
        <v>3.5630000000000002</v>
      </c>
      <c r="N1976" s="57">
        <v>3.8519999999999999</v>
      </c>
      <c r="O1976" s="53" t="s">
        <v>101</v>
      </c>
      <c r="P1976" s="57" t="s">
        <v>448</v>
      </c>
      <c r="Q1976" s="57" t="s">
        <v>573</v>
      </c>
      <c r="R1976" s="59" t="s">
        <v>589</v>
      </c>
    </row>
    <row r="1977" spans="1:18" x14ac:dyDescent="0.5">
      <c r="A1977" s="52" t="str">
        <f>"896564XR7"</f>
        <v>896564XR7</v>
      </c>
      <c r="B1977" s="53" t="s">
        <v>451</v>
      </c>
      <c r="C1977" s="53" t="s">
        <v>2347</v>
      </c>
      <c r="D1977" s="53" t="s">
        <v>447</v>
      </c>
      <c r="E1977" s="53">
        <v>3</v>
      </c>
      <c r="F1977" s="54">
        <v>49341</v>
      </c>
      <c r="G1977" s="54">
        <v>47515</v>
      </c>
      <c r="H1977" s="53" t="s">
        <v>105</v>
      </c>
      <c r="I1977" s="53" t="s">
        <v>509</v>
      </c>
      <c r="J1977" s="53" t="s">
        <v>101</v>
      </c>
      <c r="K1977" s="53">
        <v>92.74</v>
      </c>
      <c r="L1977" s="53" t="s">
        <v>101</v>
      </c>
      <c r="M1977" s="53">
        <v>3.8860000000000001</v>
      </c>
      <c r="N1977" s="53">
        <v>3.8860000000000001</v>
      </c>
      <c r="O1977" s="53" t="s">
        <v>101</v>
      </c>
      <c r="P1977" s="53" t="s">
        <v>448</v>
      </c>
      <c r="Q1977" s="53" t="s">
        <v>479</v>
      </c>
      <c r="R1977" s="55" t="s">
        <v>504</v>
      </c>
    </row>
    <row r="1978" spans="1:18" x14ac:dyDescent="0.5">
      <c r="A1978" s="56" t="str">
        <f>"929831KT1"</f>
        <v>929831KT1</v>
      </c>
      <c r="B1978" s="57" t="s">
        <v>451</v>
      </c>
      <c r="C1978" s="57" t="s">
        <v>2348</v>
      </c>
      <c r="D1978" s="53" t="s">
        <v>447</v>
      </c>
      <c r="E1978" s="57">
        <v>3</v>
      </c>
      <c r="F1978" s="58">
        <v>49341</v>
      </c>
      <c r="G1978" s="58">
        <v>45733</v>
      </c>
      <c r="H1978" s="57" t="s">
        <v>540</v>
      </c>
      <c r="I1978" s="57" t="s">
        <v>509</v>
      </c>
      <c r="J1978" s="57" t="s">
        <v>101</v>
      </c>
      <c r="K1978" s="57">
        <v>91.83</v>
      </c>
      <c r="L1978" s="57" t="s">
        <v>101</v>
      </c>
      <c r="M1978" s="57">
        <v>4.0030000000000001</v>
      </c>
      <c r="N1978" s="57">
        <v>4.0030000000000001</v>
      </c>
      <c r="O1978" s="53" t="s">
        <v>101</v>
      </c>
      <c r="P1978" s="57" t="s">
        <v>448</v>
      </c>
      <c r="Q1978" s="57" t="s">
        <v>503</v>
      </c>
      <c r="R1978" s="59" t="s">
        <v>589</v>
      </c>
    </row>
    <row r="1979" spans="1:18" x14ac:dyDescent="0.5">
      <c r="A1979" s="52" t="str">
        <f>"016249NQ3"</f>
        <v>016249NQ3</v>
      </c>
      <c r="B1979" s="53" t="s">
        <v>451</v>
      </c>
      <c r="C1979" s="53" t="s">
        <v>2349</v>
      </c>
      <c r="D1979" s="53" t="s">
        <v>447</v>
      </c>
      <c r="E1979" s="53">
        <v>3</v>
      </c>
      <c r="F1979" s="54">
        <v>49355</v>
      </c>
      <c r="G1979" s="54">
        <v>46068</v>
      </c>
      <c r="H1979" s="53" t="s">
        <v>104</v>
      </c>
      <c r="I1979" s="53" t="s">
        <v>105</v>
      </c>
      <c r="J1979" s="53" t="s">
        <v>101</v>
      </c>
      <c r="K1979" s="53">
        <v>92.274000000000001</v>
      </c>
      <c r="L1979" s="53" t="s">
        <v>101</v>
      </c>
      <c r="M1979" s="53">
        <v>3.9430000000000001</v>
      </c>
      <c r="N1979" s="53">
        <v>3.9430000000000001</v>
      </c>
      <c r="O1979" s="53" t="s">
        <v>101</v>
      </c>
      <c r="P1979" s="53" t="s">
        <v>448</v>
      </c>
      <c r="Q1979" s="53" t="s">
        <v>591</v>
      </c>
      <c r="R1979" s="55" t="s">
        <v>454</v>
      </c>
    </row>
    <row r="1980" spans="1:18" x14ac:dyDescent="0.5">
      <c r="A1980" s="56" t="str">
        <f>"021033FA8"</f>
        <v>021033FA8</v>
      </c>
      <c r="B1980" s="57" t="s">
        <v>451</v>
      </c>
      <c r="C1980" s="57" t="s">
        <v>2350</v>
      </c>
      <c r="D1980" s="53" t="s">
        <v>447</v>
      </c>
      <c r="E1980" s="57">
        <v>3</v>
      </c>
      <c r="F1980" s="58">
        <v>49355</v>
      </c>
      <c r="G1980" s="58">
        <v>46798</v>
      </c>
      <c r="H1980" s="57" t="s">
        <v>105</v>
      </c>
      <c r="I1980" s="57" t="s">
        <v>104</v>
      </c>
      <c r="J1980" s="57" t="s">
        <v>101</v>
      </c>
      <c r="K1980" s="57">
        <v>93.007000000000005</v>
      </c>
      <c r="L1980" s="57" t="s">
        <v>101</v>
      </c>
      <c r="M1980" s="57">
        <v>3.85</v>
      </c>
      <c r="N1980" s="57">
        <v>3.85</v>
      </c>
      <c r="O1980" s="53" t="s">
        <v>101</v>
      </c>
      <c r="P1980" s="57" t="s">
        <v>448</v>
      </c>
      <c r="Q1980" s="57" t="s">
        <v>2351</v>
      </c>
      <c r="R1980" s="59" t="s">
        <v>454</v>
      </c>
    </row>
    <row r="1981" spans="1:18" x14ac:dyDescent="0.5">
      <c r="A1981" s="52" t="str">
        <f>"034825ZS1"</f>
        <v>034825ZS1</v>
      </c>
      <c r="B1981" s="53" t="s">
        <v>451</v>
      </c>
      <c r="C1981" s="53" t="s">
        <v>2352</v>
      </c>
      <c r="D1981" s="53" t="s">
        <v>447</v>
      </c>
      <c r="E1981" s="53">
        <v>3</v>
      </c>
      <c r="F1981" s="54">
        <v>49355</v>
      </c>
      <c r="G1981" s="54">
        <v>46433</v>
      </c>
      <c r="H1981" s="53" t="s">
        <v>104</v>
      </c>
      <c r="I1981" s="53" t="s">
        <v>105</v>
      </c>
      <c r="J1981" s="53" t="s">
        <v>101</v>
      </c>
      <c r="K1981" s="53">
        <v>94.906999999999996</v>
      </c>
      <c r="L1981" s="53" t="s">
        <v>101</v>
      </c>
      <c r="M1981" s="53">
        <v>3.6120000000000001</v>
      </c>
      <c r="N1981" s="53">
        <v>3.6120000000000001</v>
      </c>
      <c r="O1981" s="53" t="s">
        <v>101</v>
      </c>
      <c r="P1981" s="53" t="s">
        <v>448</v>
      </c>
      <c r="Q1981" s="53" t="s">
        <v>1342</v>
      </c>
      <c r="R1981" s="55" t="s">
        <v>454</v>
      </c>
    </row>
    <row r="1982" spans="1:18" x14ac:dyDescent="0.5">
      <c r="A1982" s="56" t="str">
        <f>"070329R82"</f>
        <v>070329R82</v>
      </c>
      <c r="B1982" s="57" t="s">
        <v>451</v>
      </c>
      <c r="C1982" s="57" t="s">
        <v>2353</v>
      </c>
      <c r="D1982" s="53" t="s">
        <v>447</v>
      </c>
      <c r="E1982" s="57">
        <v>3</v>
      </c>
      <c r="F1982" s="58">
        <v>49355</v>
      </c>
      <c r="G1982" s="58">
        <v>47529</v>
      </c>
      <c r="H1982" s="57" t="s">
        <v>104</v>
      </c>
      <c r="I1982" s="57" t="s">
        <v>104</v>
      </c>
      <c r="J1982" s="57" t="s">
        <v>101</v>
      </c>
      <c r="K1982" s="57">
        <v>93.748999999999995</v>
      </c>
      <c r="L1982" s="57" t="s">
        <v>101</v>
      </c>
      <c r="M1982" s="57">
        <v>3.7559999999999998</v>
      </c>
      <c r="N1982" s="57">
        <v>3.7559999999999998</v>
      </c>
      <c r="O1982" s="53" t="s">
        <v>101</v>
      </c>
      <c r="P1982" s="57" t="s">
        <v>448</v>
      </c>
      <c r="Q1982" s="57" t="s">
        <v>479</v>
      </c>
      <c r="R1982" s="59" t="s">
        <v>454</v>
      </c>
    </row>
    <row r="1983" spans="1:18" x14ac:dyDescent="0.5">
      <c r="A1983" s="52" t="str">
        <f>"072149JB4"</f>
        <v>072149JB4</v>
      </c>
      <c r="B1983" s="53" t="s">
        <v>451</v>
      </c>
      <c r="C1983" s="53" t="s">
        <v>2354</v>
      </c>
      <c r="D1983" s="53" t="s">
        <v>447</v>
      </c>
      <c r="E1983" s="53">
        <v>3</v>
      </c>
      <c r="F1983" s="54">
        <v>49355</v>
      </c>
      <c r="G1983" s="54">
        <v>46433</v>
      </c>
      <c r="H1983" s="53" t="s">
        <v>105</v>
      </c>
      <c r="I1983" s="53" t="s">
        <v>104</v>
      </c>
      <c r="J1983" s="53" t="s">
        <v>101</v>
      </c>
      <c r="K1983" s="53">
        <v>92.9</v>
      </c>
      <c r="L1983" s="53" t="s">
        <v>101</v>
      </c>
      <c r="M1983" s="53">
        <v>3.863</v>
      </c>
      <c r="N1983" s="53">
        <v>3.863</v>
      </c>
      <c r="O1983" s="53" t="s">
        <v>101</v>
      </c>
      <c r="P1983" s="53" t="s">
        <v>448</v>
      </c>
      <c r="Q1983" s="53" t="s">
        <v>488</v>
      </c>
      <c r="R1983" s="55" t="s">
        <v>482</v>
      </c>
    </row>
    <row r="1984" spans="1:18" x14ac:dyDescent="0.5">
      <c r="A1984" s="56" t="str">
        <f>"074527SC7"</f>
        <v>074527SC7</v>
      </c>
      <c r="B1984" s="57" t="s">
        <v>451</v>
      </c>
      <c r="C1984" s="57" t="s">
        <v>2355</v>
      </c>
      <c r="D1984" s="53" t="s">
        <v>447</v>
      </c>
      <c r="E1984" s="57">
        <v>3</v>
      </c>
      <c r="F1984" s="58">
        <v>49355</v>
      </c>
      <c r="G1984" s="58">
        <v>46433</v>
      </c>
      <c r="H1984" s="57" t="s">
        <v>105</v>
      </c>
      <c r="I1984" s="57" t="s">
        <v>104</v>
      </c>
      <c r="J1984" s="57" t="s">
        <v>101</v>
      </c>
      <c r="K1984" s="57">
        <v>92.322000000000003</v>
      </c>
      <c r="L1984" s="57" t="s">
        <v>101</v>
      </c>
      <c r="M1984" s="57">
        <v>3.9369999999999998</v>
      </c>
      <c r="N1984" s="57">
        <v>3.9369999999999998</v>
      </c>
      <c r="O1984" s="53" t="s">
        <v>101</v>
      </c>
      <c r="P1984" s="57" t="s">
        <v>448</v>
      </c>
      <c r="Q1984" s="57" t="s">
        <v>464</v>
      </c>
      <c r="R1984" s="59" t="s">
        <v>482</v>
      </c>
    </row>
    <row r="1985" spans="1:18" x14ac:dyDescent="0.5">
      <c r="A1985" s="52" t="str">
        <f>"10624NDK7"</f>
        <v>10624NDK7</v>
      </c>
      <c r="B1985" s="53" t="s">
        <v>451</v>
      </c>
      <c r="C1985" s="53" t="s">
        <v>2356</v>
      </c>
      <c r="D1985" s="53" t="s">
        <v>447</v>
      </c>
      <c r="E1985" s="53">
        <v>3</v>
      </c>
      <c r="F1985" s="54">
        <v>49355</v>
      </c>
      <c r="G1985" s="54">
        <v>46068</v>
      </c>
      <c r="H1985" s="53" t="s">
        <v>613</v>
      </c>
      <c r="I1985" s="53" t="s">
        <v>616</v>
      </c>
      <c r="J1985" s="53" t="s">
        <v>101</v>
      </c>
      <c r="K1985" s="53">
        <v>91.638000000000005</v>
      </c>
      <c r="L1985" s="53" t="s">
        <v>101</v>
      </c>
      <c r="M1985" s="53">
        <v>4.0250000000000004</v>
      </c>
      <c r="N1985" s="53">
        <v>4.0250000000000004</v>
      </c>
      <c r="O1985" s="53" t="s">
        <v>101</v>
      </c>
      <c r="P1985" s="53" t="s">
        <v>448</v>
      </c>
      <c r="Q1985" s="53" t="s">
        <v>874</v>
      </c>
      <c r="R1985" s="55" t="s">
        <v>454</v>
      </c>
    </row>
    <row r="1986" spans="1:18" x14ac:dyDescent="0.5">
      <c r="A1986" s="56" t="str">
        <f>"117583F25"</f>
        <v>117583F25</v>
      </c>
      <c r="B1986" s="57" t="s">
        <v>451</v>
      </c>
      <c r="C1986" s="57" t="s">
        <v>2357</v>
      </c>
      <c r="D1986" s="53" t="s">
        <v>447</v>
      </c>
      <c r="E1986" s="57">
        <v>3.375</v>
      </c>
      <c r="F1986" s="58">
        <v>49355</v>
      </c>
      <c r="G1986" s="58">
        <v>46433</v>
      </c>
      <c r="H1986" s="57" t="s">
        <v>105</v>
      </c>
      <c r="I1986" s="57" t="s">
        <v>104</v>
      </c>
      <c r="J1986" s="57" t="s">
        <v>101</v>
      </c>
      <c r="K1986" s="57">
        <v>97.14</v>
      </c>
      <c r="L1986" s="57" t="s">
        <v>101</v>
      </c>
      <c r="M1986" s="57">
        <v>3.72</v>
      </c>
      <c r="N1986" s="57">
        <v>3.72</v>
      </c>
      <c r="O1986" s="53" t="s">
        <v>101</v>
      </c>
      <c r="P1986" s="57" t="s">
        <v>448</v>
      </c>
      <c r="Q1986" s="57" t="s">
        <v>488</v>
      </c>
      <c r="R1986" s="59" t="s">
        <v>454</v>
      </c>
    </row>
    <row r="1987" spans="1:18" x14ac:dyDescent="0.5">
      <c r="A1987" s="52" t="str">
        <f>"1333032U0"</f>
        <v>1333032U0</v>
      </c>
      <c r="B1987" s="53" t="s">
        <v>451</v>
      </c>
      <c r="C1987" s="53" t="s">
        <v>2358</v>
      </c>
      <c r="D1987" s="53" t="s">
        <v>447</v>
      </c>
      <c r="E1987" s="53">
        <v>3</v>
      </c>
      <c r="F1987" s="54">
        <v>49355</v>
      </c>
      <c r="G1987" s="54">
        <v>47529</v>
      </c>
      <c r="H1987" s="53" t="s">
        <v>624</v>
      </c>
      <c r="I1987" s="53" t="s">
        <v>105</v>
      </c>
      <c r="J1987" s="53" t="s">
        <v>101</v>
      </c>
      <c r="K1987" s="53">
        <v>92.41</v>
      </c>
      <c r="L1987" s="53" t="s">
        <v>101</v>
      </c>
      <c r="M1987" s="53">
        <v>3.9260000000000002</v>
      </c>
      <c r="N1987" s="53">
        <v>3.9260000000000002</v>
      </c>
      <c r="O1987" s="53" t="s">
        <v>101</v>
      </c>
      <c r="P1987" s="53" t="s">
        <v>448</v>
      </c>
      <c r="Q1987" s="53" t="s">
        <v>517</v>
      </c>
      <c r="R1987" s="55" t="s">
        <v>589</v>
      </c>
    </row>
    <row r="1988" spans="1:18" x14ac:dyDescent="0.5">
      <c r="A1988" s="56" t="str">
        <f>"145232EE0"</f>
        <v>145232EE0</v>
      </c>
      <c r="B1988" s="57" t="s">
        <v>451</v>
      </c>
      <c r="C1988" s="57" t="s">
        <v>2359</v>
      </c>
      <c r="D1988" s="53" t="s">
        <v>447</v>
      </c>
      <c r="E1988" s="57">
        <v>3</v>
      </c>
      <c r="F1988" s="58">
        <v>49355</v>
      </c>
      <c r="G1988" s="58">
        <v>46433</v>
      </c>
      <c r="H1988" s="57" t="s">
        <v>105</v>
      </c>
      <c r="I1988" s="57" t="s">
        <v>104</v>
      </c>
      <c r="J1988" s="57" t="s">
        <v>101</v>
      </c>
      <c r="K1988" s="57">
        <v>94.137</v>
      </c>
      <c r="L1988" s="57" t="s">
        <v>101</v>
      </c>
      <c r="M1988" s="57">
        <v>3.7080000000000002</v>
      </c>
      <c r="N1988" s="57">
        <v>3.7080000000000002</v>
      </c>
      <c r="O1988" s="53" t="s">
        <v>101</v>
      </c>
      <c r="P1988" s="57" t="s">
        <v>448</v>
      </c>
      <c r="Q1988" s="57" t="s">
        <v>453</v>
      </c>
      <c r="R1988" s="59" t="s">
        <v>454</v>
      </c>
    </row>
    <row r="1989" spans="1:18" x14ac:dyDescent="0.5">
      <c r="A1989" s="52" t="str">
        <f>"185477DF0"</f>
        <v>185477DF0</v>
      </c>
      <c r="B1989" s="53" t="s">
        <v>451</v>
      </c>
      <c r="C1989" s="53" t="s">
        <v>2360</v>
      </c>
      <c r="D1989" s="53" t="s">
        <v>447</v>
      </c>
      <c r="E1989" s="53">
        <v>5</v>
      </c>
      <c r="F1989" s="54">
        <v>49355</v>
      </c>
      <c r="G1989" s="54">
        <v>48625</v>
      </c>
      <c r="H1989" s="53" t="s">
        <v>105</v>
      </c>
      <c r="I1989" s="53" t="s">
        <v>628</v>
      </c>
      <c r="J1989" s="53" t="s">
        <v>101</v>
      </c>
      <c r="K1989" s="53">
        <v>110.23099999999999</v>
      </c>
      <c r="L1989" s="53" t="s">
        <v>101</v>
      </c>
      <c r="M1989" s="53">
        <v>3.52</v>
      </c>
      <c r="N1989" s="53">
        <v>3.762</v>
      </c>
      <c r="O1989" s="53" t="s">
        <v>101</v>
      </c>
      <c r="P1989" s="53" t="s">
        <v>448</v>
      </c>
      <c r="Q1989" s="53" t="s">
        <v>1696</v>
      </c>
      <c r="R1989" s="55" t="s">
        <v>2284</v>
      </c>
    </row>
    <row r="1990" spans="1:18" x14ac:dyDescent="0.5">
      <c r="A1990" s="56" t="str">
        <f>"193057CC8"</f>
        <v>193057CC8</v>
      </c>
      <c r="B1990" s="57" t="s">
        <v>451</v>
      </c>
      <c r="C1990" s="57" t="s">
        <v>2361</v>
      </c>
      <c r="D1990" s="53" t="s">
        <v>447</v>
      </c>
      <c r="E1990" s="57">
        <v>3</v>
      </c>
      <c r="F1990" s="58">
        <v>49355</v>
      </c>
      <c r="G1990" s="58">
        <v>46068</v>
      </c>
      <c r="H1990" s="57" t="s">
        <v>104</v>
      </c>
      <c r="I1990" s="57" t="s">
        <v>105</v>
      </c>
      <c r="J1990" s="57" t="s">
        <v>101</v>
      </c>
      <c r="K1990" s="57">
        <v>92.816000000000003</v>
      </c>
      <c r="L1990" s="57" t="s">
        <v>101</v>
      </c>
      <c r="M1990" s="57">
        <v>3.8740000000000001</v>
      </c>
      <c r="N1990" s="57">
        <v>3.8740000000000001</v>
      </c>
      <c r="O1990" s="53" t="s">
        <v>101</v>
      </c>
      <c r="P1990" s="57" t="s">
        <v>448</v>
      </c>
      <c r="Q1990" s="57" t="s">
        <v>485</v>
      </c>
      <c r="R1990" s="59" t="s">
        <v>454</v>
      </c>
    </row>
    <row r="1991" spans="1:18" x14ac:dyDescent="0.5">
      <c r="A1991" s="52" t="str">
        <f>"194469FU1"</f>
        <v>194469FU1</v>
      </c>
      <c r="B1991" s="53" t="s">
        <v>451</v>
      </c>
      <c r="C1991" s="53" t="s">
        <v>2362</v>
      </c>
      <c r="D1991" s="53" t="s">
        <v>447</v>
      </c>
      <c r="E1991" s="53">
        <v>3</v>
      </c>
      <c r="F1991" s="54">
        <v>49355</v>
      </c>
      <c r="G1991" s="54">
        <v>46433</v>
      </c>
      <c r="H1991" s="53" t="s">
        <v>540</v>
      </c>
      <c r="I1991" s="53" t="s">
        <v>509</v>
      </c>
      <c r="J1991" s="53" t="s">
        <v>101</v>
      </c>
      <c r="K1991" s="53">
        <v>91.296000000000006</v>
      </c>
      <c r="L1991" s="53" t="s">
        <v>101</v>
      </c>
      <c r="M1991" s="53">
        <v>4.069</v>
      </c>
      <c r="N1991" s="53">
        <v>4.069</v>
      </c>
      <c r="O1991" s="53" t="s">
        <v>101</v>
      </c>
      <c r="P1991" s="53" t="s">
        <v>448</v>
      </c>
      <c r="Q1991" s="53" t="s">
        <v>457</v>
      </c>
      <c r="R1991" s="55" t="s">
        <v>454</v>
      </c>
    </row>
    <row r="1992" spans="1:18" x14ac:dyDescent="0.5">
      <c r="A1992" s="56" t="str">
        <f>"194469GQ9"</f>
        <v>194469GQ9</v>
      </c>
      <c r="B1992" s="57" t="s">
        <v>451</v>
      </c>
      <c r="C1992" s="57" t="s">
        <v>2363</v>
      </c>
      <c r="D1992" s="53" t="s">
        <v>447</v>
      </c>
      <c r="E1992" s="57">
        <v>3</v>
      </c>
      <c r="F1992" s="58">
        <v>49355</v>
      </c>
      <c r="G1992" s="58">
        <v>46433</v>
      </c>
      <c r="H1992" s="57" t="s">
        <v>540</v>
      </c>
      <c r="I1992" s="57" t="s">
        <v>509</v>
      </c>
      <c r="J1992" s="57" t="s">
        <v>101</v>
      </c>
      <c r="K1992" s="57">
        <v>91.959000000000003</v>
      </c>
      <c r="L1992" s="57" t="s">
        <v>101</v>
      </c>
      <c r="M1992" s="57">
        <v>3.9830000000000001</v>
      </c>
      <c r="N1992" s="57">
        <v>3.9830000000000001</v>
      </c>
      <c r="O1992" s="53" t="s">
        <v>101</v>
      </c>
      <c r="P1992" s="57" t="s">
        <v>448</v>
      </c>
      <c r="Q1992" s="57" t="s">
        <v>453</v>
      </c>
      <c r="R1992" s="59" t="s">
        <v>504</v>
      </c>
    </row>
    <row r="1993" spans="1:18" x14ac:dyDescent="0.5">
      <c r="A1993" s="52" t="str">
        <f>"208418R47"</f>
        <v>208418R47</v>
      </c>
      <c r="B1993" s="53" t="s">
        <v>451</v>
      </c>
      <c r="C1993" s="53" t="s">
        <v>2364</v>
      </c>
      <c r="D1993" s="53" t="s">
        <v>447</v>
      </c>
      <c r="E1993" s="53">
        <v>3</v>
      </c>
      <c r="F1993" s="54">
        <v>49355</v>
      </c>
      <c r="G1993" s="54">
        <v>47529</v>
      </c>
      <c r="H1993" s="53" t="s">
        <v>104</v>
      </c>
      <c r="I1993" s="53" t="s">
        <v>104</v>
      </c>
      <c r="J1993" s="53" t="s">
        <v>101</v>
      </c>
      <c r="K1993" s="53">
        <v>92.945999999999998</v>
      </c>
      <c r="L1993" s="53" t="s">
        <v>101</v>
      </c>
      <c r="M1993" s="53">
        <v>3.8570000000000002</v>
      </c>
      <c r="N1993" s="53">
        <v>3.8570000000000002</v>
      </c>
      <c r="O1993" s="53" t="s">
        <v>101</v>
      </c>
      <c r="P1993" s="53" t="s">
        <v>448</v>
      </c>
      <c r="Q1993" s="53" t="s">
        <v>520</v>
      </c>
      <c r="R1993" s="55" t="s">
        <v>454</v>
      </c>
    </row>
    <row r="1994" spans="1:18" x14ac:dyDescent="0.5">
      <c r="A1994" s="56" t="str">
        <f>"208418YL1"</f>
        <v>208418YL1</v>
      </c>
      <c r="B1994" s="57" t="s">
        <v>451</v>
      </c>
      <c r="C1994" s="57" t="s">
        <v>2365</v>
      </c>
      <c r="D1994" s="53" t="s">
        <v>447</v>
      </c>
      <c r="E1994" s="57">
        <v>3.5</v>
      </c>
      <c r="F1994" s="58">
        <v>49355</v>
      </c>
      <c r="G1994" s="58">
        <v>45703</v>
      </c>
      <c r="H1994" s="57" t="s">
        <v>104</v>
      </c>
      <c r="I1994" s="57" t="s">
        <v>104</v>
      </c>
      <c r="J1994" s="57" t="s">
        <v>101</v>
      </c>
      <c r="K1994" s="57">
        <v>98.37</v>
      </c>
      <c r="L1994" s="57" t="s">
        <v>101</v>
      </c>
      <c r="M1994" s="57">
        <v>3.6970000000000001</v>
      </c>
      <c r="N1994" s="57">
        <v>3.6970000000000001</v>
      </c>
      <c r="O1994" s="53" t="s">
        <v>101</v>
      </c>
      <c r="P1994" s="57" t="s">
        <v>448</v>
      </c>
      <c r="Q1994" s="57" t="s">
        <v>488</v>
      </c>
      <c r="R1994" s="59" t="s">
        <v>454</v>
      </c>
    </row>
    <row r="1995" spans="1:18" x14ac:dyDescent="0.5">
      <c r="A1995" s="52" t="str">
        <f>"21885AMP5"</f>
        <v>21885AMP5</v>
      </c>
      <c r="B1995" s="53" t="s">
        <v>451</v>
      </c>
      <c r="C1995" s="53" t="s">
        <v>2366</v>
      </c>
      <c r="D1995" s="53" t="s">
        <v>447</v>
      </c>
      <c r="E1995" s="53">
        <v>3.125</v>
      </c>
      <c r="F1995" s="54">
        <v>49355</v>
      </c>
      <c r="G1995" s="54">
        <v>46798</v>
      </c>
      <c r="H1995" s="53" t="s">
        <v>613</v>
      </c>
      <c r="I1995" s="53" t="s">
        <v>509</v>
      </c>
      <c r="J1995" s="53" t="s">
        <v>101</v>
      </c>
      <c r="K1995" s="53">
        <v>93.543999999999997</v>
      </c>
      <c r="L1995" s="53" t="s">
        <v>101</v>
      </c>
      <c r="M1995" s="53">
        <v>3.9119999999999999</v>
      </c>
      <c r="N1995" s="53">
        <v>3.9119999999999999</v>
      </c>
      <c r="O1995" s="53" t="s">
        <v>101</v>
      </c>
      <c r="P1995" s="53" t="s">
        <v>448</v>
      </c>
      <c r="Q1995" s="53" t="s">
        <v>457</v>
      </c>
      <c r="R1995" s="55" t="s">
        <v>589</v>
      </c>
    </row>
    <row r="1996" spans="1:18" x14ac:dyDescent="0.5">
      <c r="A1996" s="56" t="str">
        <f>"232769FM6"</f>
        <v>232769FM6</v>
      </c>
      <c r="B1996" s="57" t="s">
        <v>451</v>
      </c>
      <c r="C1996" s="57" t="s">
        <v>2367</v>
      </c>
      <c r="D1996" s="53" t="s">
        <v>447</v>
      </c>
      <c r="E1996" s="57">
        <v>3</v>
      </c>
      <c r="F1996" s="58">
        <v>49355</v>
      </c>
      <c r="G1996" s="58">
        <v>47164</v>
      </c>
      <c r="H1996" s="57" t="s">
        <v>104</v>
      </c>
      <c r="I1996" s="57" t="s">
        <v>104</v>
      </c>
      <c r="J1996" s="57" t="s">
        <v>101</v>
      </c>
      <c r="K1996" s="57">
        <v>93.29</v>
      </c>
      <c r="L1996" s="57" t="s">
        <v>101</v>
      </c>
      <c r="M1996" s="57">
        <v>3.8140000000000001</v>
      </c>
      <c r="N1996" s="57">
        <v>3.8140000000000001</v>
      </c>
      <c r="O1996" s="53" t="s">
        <v>101</v>
      </c>
      <c r="P1996" s="57" t="s">
        <v>448</v>
      </c>
      <c r="Q1996" s="57" t="s">
        <v>488</v>
      </c>
      <c r="R1996" s="59" t="s">
        <v>482</v>
      </c>
    </row>
    <row r="1997" spans="1:18" x14ac:dyDescent="0.5">
      <c r="A1997" s="52" t="str">
        <f>"232769HE2"</f>
        <v>232769HE2</v>
      </c>
      <c r="B1997" s="53" t="s">
        <v>451</v>
      </c>
      <c r="C1997" s="53" t="s">
        <v>2368</v>
      </c>
      <c r="D1997" s="53" t="s">
        <v>447</v>
      </c>
      <c r="E1997" s="53">
        <v>3</v>
      </c>
      <c r="F1997" s="54">
        <v>49355</v>
      </c>
      <c r="G1997" s="54">
        <v>47894</v>
      </c>
      <c r="H1997" s="53" t="s">
        <v>104</v>
      </c>
      <c r="I1997" s="53" t="s">
        <v>104</v>
      </c>
      <c r="J1997" s="53" t="s">
        <v>101</v>
      </c>
      <c r="K1997" s="53">
        <v>92.539000000000001</v>
      </c>
      <c r="L1997" s="53" t="s">
        <v>101</v>
      </c>
      <c r="M1997" s="53">
        <v>3.9089999999999998</v>
      </c>
      <c r="N1997" s="53">
        <v>3.9089999999999998</v>
      </c>
      <c r="O1997" s="53" t="s">
        <v>101</v>
      </c>
      <c r="P1997" s="53" t="s">
        <v>448</v>
      </c>
      <c r="Q1997" s="53" t="s">
        <v>457</v>
      </c>
      <c r="R1997" s="55" t="s">
        <v>454</v>
      </c>
    </row>
    <row r="1998" spans="1:18" x14ac:dyDescent="0.5">
      <c r="A1998" s="56" t="str">
        <f>"235308WJ8"</f>
        <v>235308WJ8</v>
      </c>
      <c r="B1998" s="57" t="s">
        <v>451</v>
      </c>
      <c r="C1998" s="57" t="s">
        <v>2369</v>
      </c>
      <c r="D1998" s="53" t="s">
        <v>447</v>
      </c>
      <c r="E1998" s="57">
        <v>3</v>
      </c>
      <c r="F1998" s="58">
        <v>49355</v>
      </c>
      <c r="G1998" s="58">
        <v>45703</v>
      </c>
      <c r="H1998" s="57" t="s">
        <v>104</v>
      </c>
      <c r="I1998" s="57" t="s">
        <v>104</v>
      </c>
      <c r="J1998" s="57" t="s">
        <v>101</v>
      </c>
      <c r="K1998" s="57">
        <v>92.867000000000004</v>
      </c>
      <c r="L1998" s="57" t="s">
        <v>101</v>
      </c>
      <c r="M1998" s="57">
        <v>3.867</v>
      </c>
      <c r="N1998" s="57">
        <v>3.867</v>
      </c>
      <c r="O1998" s="53" t="s">
        <v>101</v>
      </c>
      <c r="P1998" s="57" t="s">
        <v>448</v>
      </c>
      <c r="Q1998" s="57" t="s">
        <v>479</v>
      </c>
      <c r="R1998" s="59" t="s">
        <v>482</v>
      </c>
    </row>
    <row r="1999" spans="1:18" x14ac:dyDescent="0.5">
      <c r="A1999" s="52" t="str">
        <f>"24170PUC0"</f>
        <v>24170PUC0</v>
      </c>
      <c r="B1999" s="53" t="s">
        <v>451</v>
      </c>
      <c r="C1999" s="53" t="s">
        <v>2370</v>
      </c>
      <c r="D1999" s="53" t="s">
        <v>447</v>
      </c>
      <c r="E1999" s="53">
        <v>3</v>
      </c>
      <c r="F1999" s="54">
        <v>49355</v>
      </c>
      <c r="G1999" s="54">
        <v>47529</v>
      </c>
      <c r="H1999" s="53" t="s">
        <v>105</v>
      </c>
      <c r="I1999" s="53" t="s">
        <v>628</v>
      </c>
      <c r="J1999" s="53" t="s">
        <v>101</v>
      </c>
      <c r="K1999" s="53">
        <v>92.570999999999998</v>
      </c>
      <c r="L1999" s="53" t="s">
        <v>101</v>
      </c>
      <c r="M1999" s="53">
        <v>3.9049999999999998</v>
      </c>
      <c r="N1999" s="53">
        <v>3.9049999999999998</v>
      </c>
      <c r="O1999" s="53" t="s">
        <v>101</v>
      </c>
      <c r="P1999" s="53" t="s">
        <v>448</v>
      </c>
      <c r="Q1999" s="53" t="s">
        <v>460</v>
      </c>
      <c r="R1999" s="55" t="s">
        <v>589</v>
      </c>
    </row>
    <row r="2000" spans="1:18" x14ac:dyDescent="0.5">
      <c r="A2000" s="56" t="str">
        <f>"24879YNQ2"</f>
        <v>24879YNQ2</v>
      </c>
      <c r="B2000" s="57" t="s">
        <v>451</v>
      </c>
      <c r="C2000" s="57" t="s">
        <v>2371</v>
      </c>
      <c r="D2000" s="53" t="s">
        <v>447</v>
      </c>
      <c r="E2000" s="57">
        <v>3.25</v>
      </c>
      <c r="F2000" s="58">
        <v>49355</v>
      </c>
      <c r="G2000" s="58">
        <v>45703</v>
      </c>
      <c r="H2000" s="57" t="s">
        <v>641</v>
      </c>
      <c r="I2000" s="57" t="s">
        <v>628</v>
      </c>
      <c r="J2000" s="57" t="s">
        <v>101</v>
      </c>
      <c r="K2000" s="57">
        <v>94.32</v>
      </c>
      <c r="L2000" s="57" t="s">
        <v>101</v>
      </c>
      <c r="M2000" s="57">
        <v>3.9430000000000001</v>
      </c>
      <c r="N2000" s="57">
        <v>3.9430000000000001</v>
      </c>
      <c r="O2000" s="53" t="s">
        <v>101</v>
      </c>
      <c r="P2000" s="57" t="s">
        <v>448</v>
      </c>
      <c r="Q2000" s="57" t="s">
        <v>858</v>
      </c>
      <c r="R2000" s="59" t="s">
        <v>630</v>
      </c>
    </row>
    <row r="2001" spans="1:18" x14ac:dyDescent="0.5">
      <c r="A2001" s="52" t="str">
        <f>"248866L60"</f>
        <v>248866L60</v>
      </c>
      <c r="B2001" s="53" t="s">
        <v>451</v>
      </c>
      <c r="C2001" s="53" t="s">
        <v>2372</v>
      </c>
      <c r="D2001" s="53" t="s">
        <v>447</v>
      </c>
      <c r="E2001" s="53">
        <v>3</v>
      </c>
      <c r="F2001" s="54">
        <v>49355</v>
      </c>
      <c r="G2001" s="54">
        <v>46068</v>
      </c>
      <c r="H2001" s="53" t="s">
        <v>105</v>
      </c>
      <c r="I2001" s="53" t="s">
        <v>509</v>
      </c>
      <c r="J2001" s="53" t="s">
        <v>101</v>
      </c>
      <c r="K2001" s="53">
        <v>91.68</v>
      </c>
      <c r="L2001" s="53" t="s">
        <v>101</v>
      </c>
      <c r="M2001" s="53">
        <v>4.0190000000000001</v>
      </c>
      <c r="N2001" s="53">
        <v>4.0190000000000001</v>
      </c>
      <c r="O2001" s="53" t="s">
        <v>101</v>
      </c>
      <c r="P2001" s="53" t="s">
        <v>448</v>
      </c>
      <c r="Q2001" s="53" t="s">
        <v>571</v>
      </c>
      <c r="R2001" s="55" t="s">
        <v>504</v>
      </c>
    </row>
    <row r="2002" spans="1:18" x14ac:dyDescent="0.5">
      <c r="A2002" s="56" t="str">
        <f>"2488663V5"</f>
        <v>2488663V5</v>
      </c>
      <c r="B2002" s="57" t="s">
        <v>451</v>
      </c>
      <c r="C2002" s="57" t="s">
        <v>2373</v>
      </c>
      <c r="D2002" s="53" t="s">
        <v>447</v>
      </c>
      <c r="E2002" s="57">
        <v>3.375</v>
      </c>
      <c r="F2002" s="58">
        <v>49355</v>
      </c>
      <c r="G2002" s="58">
        <v>46614</v>
      </c>
      <c r="H2002" s="57" t="s">
        <v>105</v>
      </c>
      <c r="I2002" s="57" t="s">
        <v>509</v>
      </c>
      <c r="J2002" s="57" t="s">
        <v>101</v>
      </c>
      <c r="K2002" s="57">
        <v>97.998000000000005</v>
      </c>
      <c r="L2002" s="57" t="s">
        <v>101</v>
      </c>
      <c r="M2002" s="57">
        <v>3.6150000000000002</v>
      </c>
      <c r="N2002" s="57">
        <v>3.6150000000000002</v>
      </c>
      <c r="O2002" s="53" t="s">
        <v>101</v>
      </c>
      <c r="P2002" s="57" t="s">
        <v>448</v>
      </c>
      <c r="Q2002" s="57" t="s">
        <v>488</v>
      </c>
      <c r="R2002" s="59" t="s">
        <v>504</v>
      </c>
    </row>
    <row r="2003" spans="1:18" x14ac:dyDescent="0.5">
      <c r="A2003" s="52" t="str">
        <f>"2488664Q5"</f>
        <v>2488664Q5</v>
      </c>
      <c r="B2003" s="53" t="s">
        <v>451</v>
      </c>
      <c r="C2003" s="53" t="s">
        <v>2374</v>
      </c>
      <c r="D2003" s="53" t="s">
        <v>447</v>
      </c>
      <c r="E2003" s="53">
        <v>3</v>
      </c>
      <c r="F2003" s="54">
        <v>49355</v>
      </c>
      <c r="G2003" s="54">
        <v>46798</v>
      </c>
      <c r="H2003" s="53" t="s">
        <v>105</v>
      </c>
      <c r="I2003" s="53" t="s">
        <v>509</v>
      </c>
      <c r="J2003" s="53" t="s">
        <v>101</v>
      </c>
      <c r="K2003" s="53">
        <v>91.334999999999994</v>
      </c>
      <c r="L2003" s="53" t="s">
        <v>101</v>
      </c>
      <c r="M2003" s="53">
        <v>4.0640000000000001</v>
      </c>
      <c r="N2003" s="53">
        <v>4.0640000000000001</v>
      </c>
      <c r="O2003" s="53" t="s">
        <v>101</v>
      </c>
      <c r="P2003" s="53" t="s">
        <v>448</v>
      </c>
      <c r="Q2003" s="53" t="s">
        <v>479</v>
      </c>
      <c r="R2003" s="55" t="s">
        <v>504</v>
      </c>
    </row>
    <row r="2004" spans="1:18" x14ac:dyDescent="0.5">
      <c r="A2004" s="56" t="str">
        <f>"2488662D6"</f>
        <v>2488662D6</v>
      </c>
      <c r="B2004" s="57" t="s">
        <v>451</v>
      </c>
      <c r="C2004" s="57" t="s">
        <v>2375</v>
      </c>
      <c r="D2004" s="53" t="s">
        <v>447</v>
      </c>
      <c r="E2004" s="57">
        <v>3.5</v>
      </c>
      <c r="F2004" s="58">
        <v>49355</v>
      </c>
      <c r="G2004" s="58">
        <v>46433</v>
      </c>
      <c r="H2004" s="57" t="s">
        <v>105</v>
      </c>
      <c r="I2004" s="57" t="s">
        <v>509</v>
      </c>
      <c r="J2004" s="57" t="s">
        <v>101</v>
      </c>
      <c r="K2004" s="57">
        <v>99.17</v>
      </c>
      <c r="L2004" s="57" t="s">
        <v>101</v>
      </c>
      <c r="M2004" s="57">
        <v>3.6</v>
      </c>
      <c r="N2004" s="57">
        <v>3.6</v>
      </c>
      <c r="O2004" s="53" t="s">
        <v>101</v>
      </c>
      <c r="P2004" s="57" t="s">
        <v>448</v>
      </c>
      <c r="Q2004" s="57" t="s">
        <v>538</v>
      </c>
      <c r="R2004" s="59" t="s">
        <v>504</v>
      </c>
    </row>
    <row r="2005" spans="1:18" x14ac:dyDescent="0.5">
      <c r="A2005" s="52" t="str">
        <f>"270424CL6"</f>
        <v>270424CL6</v>
      </c>
      <c r="B2005" s="53" t="s">
        <v>451</v>
      </c>
      <c r="C2005" s="53" t="s">
        <v>2376</v>
      </c>
      <c r="D2005" s="53" t="s">
        <v>447</v>
      </c>
      <c r="E2005" s="53">
        <v>4</v>
      </c>
      <c r="F2005" s="54">
        <v>49355</v>
      </c>
      <c r="G2005" s="54">
        <v>46068</v>
      </c>
      <c r="H2005" s="53" t="s">
        <v>105</v>
      </c>
      <c r="I2005" s="53" t="s">
        <v>628</v>
      </c>
      <c r="J2005" s="53" t="s">
        <v>101</v>
      </c>
      <c r="K2005" s="53">
        <v>100.419</v>
      </c>
      <c r="L2005" s="53" t="s">
        <v>101</v>
      </c>
      <c r="M2005" s="53">
        <v>3.5659999999999998</v>
      </c>
      <c r="N2005" s="53">
        <v>3.9489999999999998</v>
      </c>
      <c r="O2005" s="53" t="s">
        <v>101</v>
      </c>
      <c r="P2005" s="53" t="s">
        <v>448</v>
      </c>
      <c r="Q2005" s="53" t="s">
        <v>485</v>
      </c>
      <c r="R2005" s="55" t="s">
        <v>771</v>
      </c>
    </row>
    <row r="2006" spans="1:18" x14ac:dyDescent="0.5">
      <c r="A2006" s="56" t="str">
        <f>"298263Z98"</f>
        <v>298263Z98</v>
      </c>
      <c r="B2006" s="57" t="s">
        <v>451</v>
      </c>
      <c r="C2006" s="57" t="s">
        <v>2377</v>
      </c>
      <c r="D2006" s="53" t="s">
        <v>447</v>
      </c>
      <c r="E2006" s="57">
        <v>3.25</v>
      </c>
      <c r="F2006" s="58">
        <v>49355</v>
      </c>
      <c r="G2006" s="58">
        <v>46433</v>
      </c>
      <c r="H2006" s="57" t="s">
        <v>613</v>
      </c>
      <c r="I2006" s="57" t="s">
        <v>509</v>
      </c>
      <c r="J2006" s="57" t="s">
        <v>101</v>
      </c>
      <c r="K2006" s="57">
        <v>93.557000000000002</v>
      </c>
      <c r="L2006" s="57" t="s">
        <v>101</v>
      </c>
      <c r="M2006" s="57">
        <v>4.04</v>
      </c>
      <c r="N2006" s="57">
        <v>4.04</v>
      </c>
      <c r="O2006" s="53" t="s">
        <v>101</v>
      </c>
      <c r="P2006" s="57" t="s">
        <v>448</v>
      </c>
      <c r="Q2006" s="57" t="s">
        <v>488</v>
      </c>
      <c r="R2006" s="59" t="s">
        <v>482</v>
      </c>
    </row>
    <row r="2007" spans="1:18" x14ac:dyDescent="0.5">
      <c r="A2007" s="52" t="str">
        <f>"311893FC0"</f>
        <v>311893FC0</v>
      </c>
      <c r="B2007" s="53" t="s">
        <v>451</v>
      </c>
      <c r="C2007" s="53" t="s">
        <v>2378</v>
      </c>
      <c r="D2007" s="53" t="s">
        <v>447</v>
      </c>
      <c r="E2007" s="53">
        <v>3</v>
      </c>
      <c r="F2007" s="54">
        <v>49355</v>
      </c>
      <c r="G2007" s="54">
        <v>47894</v>
      </c>
      <c r="H2007" s="53" t="s">
        <v>105</v>
      </c>
      <c r="I2007" s="53" t="s">
        <v>628</v>
      </c>
      <c r="J2007" s="53" t="s">
        <v>101</v>
      </c>
      <c r="K2007" s="53">
        <v>94.049000000000007</v>
      </c>
      <c r="L2007" s="53" t="s">
        <v>101</v>
      </c>
      <c r="M2007" s="53">
        <v>3.7189999999999999</v>
      </c>
      <c r="N2007" s="53">
        <v>3.7189999999999999</v>
      </c>
      <c r="O2007" s="53" t="s">
        <v>101</v>
      </c>
      <c r="P2007" s="53" t="s">
        <v>448</v>
      </c>
      <c r="Q2007" s="53" t="s">
        <v>1509</v>
      </c>
      <c r="R2007" s="55" t="s">
        <v>454</v>
      </c>
    </row>
    <row r="2008" spans="1:18" x14ac:dyDescent="0.5">
      <c r="A2008" s="56" t="str">
        <f>"343784EN0"</f>
        <v>343784EN0</v>
      </c>
      <c r="B2008" s="57" t="s">
        <v>451</v>
      </c>
      <c r="C2008" s="57" t="s">
        <v>2379</v>
      </c>
      <c r="D2008" s="53" t="s">
        <v>447</v>
      </c>
      <c r="E2008" s="57">
        <v>3</v>
      </c>
      <c r="F2008" s="58">
        <v>49355</v>
      </c>
      <c r="G2008" s="58">
        <v>46433</v>
      </c>
      <c r="H2008" s="57" t="s">
        <v>105</v>
      </c>
      <c r="I2008" s="57" t="s">
        <v>104</v>
      </c>
      <c r="J2008" s="57" t="s">
        <v>101</v>
      </c>
      <c r="K2008" s="57">
        <v>92.793999999999997</v>
      </c>
      <c r="L2008" s="57" t="s">
        <v>101</v>
      </c>
      <c r="M2008" s="57">
        <v>3.8769999999999998</v>
      </c>
      <c r="N2008" s="57">
        <v>3.8769999999999998</v>
      </c>
      <c r="O2008" s="53" t="s">
        <v>101</v>
      </c>
      <c r="P2008" s="57" t="s">
        <v>448</v>
      </c>
      <c r="Q2008" s="57" t="s">
        <v>503</v>
      </c>
      <c r="R2008" s="59" t="s">
        <v>454</v>
      </c>
    </row>
    <row r="2009" spans="1:18" x14ac:dyDescent="0.5">
      <c r="A2009" s="52" t="str">
        <f>"349515ZK5"</f>
        <v>349515ZK5</v>
      </c>
      <c r="B2009" s="53" t="s">
        <v>451</v>
      </c>
      <c r="C2009" s="53" t="s">
        <v>2380</v>
      </c>
      <c r="D2009" s="53" t="s">
        <v>447</v>
      </c>
      <c r="E2009" s="53">
        <v>3.25</v>
      </c>
      <c r="F2009" s="54">
        <v>49355</v>
      </c>
      <c r="G2009" s="54">
        <v>46433</v>
      </c>
      <c r="H2009" s="53" t="s">
        <v>540</v>
      </c>
      <c r="I2009" s="53" t="s">
        <v>509</v>
      </c>
      <c r="J2009" s="53" t="s">
        <v>101</v>
      </c>
      <c r="K2009" s="53">
        <v>95.72</v>
      </c>
      <c r="L2009" s="53" t="s">
        <v>101</v>
      </c>
      <c r="M2009" s="53">
        <v>3.7679999999999998</v>
      </c>
      <c r="N2009" s="53">
        <v>3.7679999999999998</v>
      </c>
      <c r="O2009" s="53" t="s">
        <v>101</v>
      </c>
      <c r="P2009" s="53" t="s">
        <v>448</v>
      </c>
      <c r="Q2009" s="53" t="s">
        <v>488</v>
      </c>
      <c r="R2009" s="55" t="s">
        <v>504</v>
      </c>
    </row>
    <row r="2010" spans="1:18" x14ac:dyDescent="0.5">
      <c r="A2010" s="56" t="str">
        <f>"358781CK6"</f>
        <v>358781CK6</v>
      </c>
      <c r="B2010" s="57" t="s">
        <v>451</v>
      </c>
      <c r="C2010" s="57" t="s">
        <v>2381</v>
      </c>
      <c r="D2010" s="53" t="s">
        <v>447</v>
      </c>
      <c r="E2010" s="57">
        <v>4</v>
      </c>
      <c r="F2010" s="58">
        <v>49355</v>
      </c>
      <c r="G2010" s="58">
        <v>46068</v>
      </c>
      <c r="H2010" s="57" t="s">
        <v>104</v>
      </c>
      <c r="I2010" s="57" t="s">
        <v>628</v>
      </c>
      <c r="J2010" s="57" t="s">
        <v>101</v>
      </c>
      <c r="K2010" s="57">
        <v>100.449</v>
      </c>
      <c r="L2010" s="57" t="s">
        <v>101</v>
      </c>
      <c r="M2010" s="57">
        <v>3.5350000000000001</v>
      </c>
      <c r="N2010" s="57">
        <v>3.9449999999999998</v>
      </c>
      <c r="O2010" s="53" t="s">
        <v>101</v>
      </c>
      <c r="P2010" s="57" t="s">
        <v>448</v>
      </c>
      <c r="Q2010" s="57" t="s">
        <v>874</v>
      </c>
      <c r="R2010" s="59" t="s">
        <v>504</v>
      </c>
    </row>
    <row r="2011" spans="1:18" x14ac:dyDescent="0.5">
      <c r="A2011" s="52" t="str">
        <f>"358776QB1"</f>
        <v>358776QB1</v>
      </c>
      <c r="B2011" s="53" t="s">
        <v>451</v>
      </c>
      <c r="C2011" s="53" t="s">
        <v>2382</v>
      </c>
      <c r="D2011" s="53" t="s">
        <v>447</v>
      </c>
      <c r="E2011" s="53">
        <v>3.125</v>
      </c>
      <c r="F2011" s="54">
        <v>49355</v>
      </c>
      <c r="G2011" s="54">
        <v>46433</v>
      </c>
      <c r="H2011" s="53" t="s">
        <v>104</v>
      </c>
      <c r="I2011" s="53" t="s">
        <v>104</v>
      </c>
      <c r="J2011" s="53" t="s">
        <v>101</v>
      </c>
      <c r="K2011" s="53">
        <v>96.01</v>
      </c>
      <c r="L2011" s="53" t="s">
        <v>101</v>
      </c>
      <c r="M2011" s="53">
        <v>3.6040000000000001</v>
      </c>
      <c r="N2011" s="53">
        <v>3.6040000000000001</v>
      </c>
      <c r="O2011" s="53" t="s">
        <v>101</v>
      </c>
      <c r="P2011" s="53" t="s">
        <v>448</v>
      </c>
      <c r="Q2011" s="53" t="s">
        <v>947</v>
      </c>
      <c r="R2011" s="55" t="s">
        <v>482</v>
      </c>
    </row>
    <row r="2012" spans="1:18" x14ac:dyDescent="0.5">
      <c r="A2012" s="56" t="str">
        <f>"3661193Q6"</f>
        <v>3661193Q6</v>
      </c>
      <c r="B2012" s="57" t="s">
        <v>451</v>
      </c>
      <c r="C2012" s="57" t="s">
        <v>2383</v>
      </c>
      <c r="D2012" s="53" t="s">
        <v>447</v>
      </c>
      <c r="E2012" s="57">
        <v>3.375</v>
      </c>
      <c r="F2012" s="58">
        <v>49355</v>
      </c>
      <c r="G2012" s="58">
        <v>46798</v>
      </c>
      <c r="H2012" s="57" t="s">
        <v>105</v>
      </c>
      <c r="I2012" s="57" t="s">
        <v>509</v>
      </c>
      <c r="J2012" s="57" t="s">
        <v>101</v>
      </c>
      <c r="K2012" s="57">
        <v>97.01</v>
      </c>
      <c r="L2012" s="57" t="s">
        <v>101</v>
      </c>
      <c r="M2012" s="57">
        <v>3.7360000000000002</v>
      </c>
      <c r="N2012" s="57">
        <v>3.7360000000000002</v>
      </c>
      <c r="O2012" s="53" t="s">
        <v>101</v>
      </c>
      <c r="P2012" s="57" t="s">
        <v>448</v>
      </c>
      <c r="Q2012" s="57" t="s">
        <v>453</v>
      </c>
      <c r="R2012" s="59" t="s">
        <v>504</v>
      </c>
    </row>
    <row r="2013" spans="1:18" x14ac:dyDescent="0.5">
      <c r="A2013" s="52" t="str">
        <f>"382604X27"</f>
        <v>382604X27</v>
      </c>
      <c r="B2013" s="53" t="s">
        <v>451</v>
      </c>
      <c r="C2013" s="53" t="s">
        <v>2384</v>
      </c>
      <c r="D2013" s="53" t="s">
        <v>447</v>
      </c>
      <c r="E2013" s="53">
        <v>3</v>
      </c>
      <c r="F2013" s="54">
        <v>49355</v>
      </c>
      <c r="G2013" s="54">
        <v>47529</v>
      </c>
      <c r="H2013" s="53" t="s">
        <v>104</v>
      </c>
      <c r="I2013" s="53" t="s">
        <v>105</v>
      </c>
      <c r="J2013" s="53" t="s">
        <v>101</v>
      </c>
      <c r="K2013" s="53">
        <v>92.06</v>
      </c>
      <c r="L2013" s="53" t="s">
        <v>101</v>
      </c>
      <c r="M2013" s="53">
        <v>3.97</v>
      </c>
      <c r="N2013" s="53">
        <v>3.97</v>
      </c>
      <c r="O2013" s="53" t="s">
        <v>101</v>
      </c>
      <c r="P2013" s="53" t="s">
        <v>448</v>
      </c>
      <c r="Q2013" s="53" t="s">
        <v>453</v>
      </c>
      <c r="R2013" s="55" t="s">
        <v>482</v>
      </c>
    </row>
    <row r="2014" spans="1:18" x14ac:dyDescent="0.5">
      <c r="A2014" s="56" t="str">
        <f>"386166HX3"</f>
        <v>386166HX3</v>
      </c>
      <c r="B2014" s="57" t="s">
        <v>451</v>
      </c>
      <c r="C2014" s="57" t="s">
        <v>2385</v>
      </c>
      <c r="D2014" s="53" t="s">
        <v>447</v>
      </c>
      <c r="E2014" s="57">
        <v>3.25</v>
      </c>
      <c r="F2014" s="58">
        <v>49355</v>
      </c>
      <c r="G2014" s="58">
        <v>46068</v>
      </c>
      <c r="H2014" s="57" t="s">
        <v>105</v>
      </c>
      <c r="I2014" s="57" t="s">
        <v>616</v>
      </c>
      <c r="J2014" s="57" t="s">
        <v>101</v>
      </c>
      <c r="K2014" s="57">
        <v>95.613</v>
      </c>
      <c r="L2014" s="57" t="s">
        <v>101</v>
      </c>
      <c r="M2014" s="57">
        <v>3.7810000000000001</v>
      </c>
      <c r="N2014" s="57">
        <v>3.7810000000000001</v>
      </c>
      <c r="O2014" s="53" t="s">
        <v>101</v>
      </c>
      <c r="P2014" s="57" t="s">
        <v>448</v>
      </c>
      <c r="Q2014" s="57" t="s">
        <v>460</v>
      </c>
      <c r="R2014" s="59" t="s">
        <v>504</v>
      </c>
    </row>
    <row r="2015" spans="1:18" x14ac:dyDescent="0.5">
      <c r="A2015" s="52" t="str">
        <f>"421020J82"</f>
        <v>421020J82</v>
      </c>
      <c r="B2015" s="53" t="s">
        <v>451</v>
      </c>
      <c r="C2015" s="53" t="s">
        <v>2386</v>
      </c>
      <c r="D2015" s="53" t="s">
        <v>447</v>
      </c>
      <c r="E2015" s="53">
        <v>4</v>
      </c>
      <c r="F2015" s="54">
        <v>49355</v>
      </c>
      <c r="G2015" s="54">
        <v>46433</v>
      </c>
      <c r="H2015" s="53" t="s">
        <v>105</v>
      </c>
      <c r="I2015" s="53" t="s">
        <v>509</v>
      </c>
      <c r="J2015" s="53" t="s">
        <v>101</v>
      </c>
      <c r="K2015" s="53">
        <v>100.562</v>
      </c>
      <c r="L2015" s="53" t="s">
        <v>101</v>
      </c>
      <c r="M2015" s="53">
        <v>3.7050000000000001</v>
      </c>
      <c r="N2015" s="53">
        <v>3.931</v>
      </c>
      <c r="O2015" s="53" t="s">
        <v>101</v>
      </c>
      <c r="P2015" s="53" t="s">
        <v>691</v>
      </c>
      <c r="Q2015" s="53" t="s">
        <v>488</v>
      </c>
      <c r="R2015" s="55" t="s">
        <v>454</v>
      </c>
    </row>
    <row r="2016" spans="1:18" x14ac:dyDescent="0.5">
      <c r="A2016" s="56" t="str">
        <f>"42103QAT7"</f>
        <v>42103QAT7</v>
      </c>
      <c r="B2016" s="57" t="s">
        <v>451</v>
      </c>
      <c r="C2016" s="57" t="s">
        <v>2387</v>
      </c>
      <c r="D2016" s="53" t="s">
        <v>447</v>
      </c>
      <c r="E2016" s="57">
        <v>2.75</v>
      </c>
      <c r="F2016" s="58">
        <v>49355</v>
      </c>
      <c r="G2016" s="58">
        <v>45884</v>
      </c>
      <c r="H2016" s="57" t="s">
        <v>105</v>
      </c>
      <c r="I2016" s="57" t="s">
        <v>509</v>
      </c>
      <c r="J2016" s="57" t="s">
        <v>101</v>
      </c>
      <c r="K2016" s="57">
        <v>88.244</v>
      </c>
      <c r="L2016" s="57" t="s">
        <v>101</v>
      </c>
      <c r="M2016" s="57">
        <v>4.2030000000000003</v>
      </c>
      <c r="N2016" s="57">
        <v>4.2030000000000003</v>
      </c>
      <c r="O2016" s="53" t="s">
        <v>101</v>
      </c>
      <c r="P2016" s="57" t="s">
        <v>448</v>
      </c>
      <c r="Q2016" s="57" t="s">
        <v>810</v>
      </c>
      <c r="R2016" s="59" t="s">
        <v>504</v>
      </c>
    </row>
    <row r="2017" spans="1:18" x14ac:dyDescent="0.5">
      <c r="A2017" s="52" t="str">
        <f>"421020L97"</f>
        <v>421020L97</v>
      </c>
      <c r="B2017" s="53" t="s">
        <v>451</v>
      </c>
      <c r="C2017" s="53" t="s">
        <v>2388</v>
      </c>
      <c r="D2017" s="53" t="s">
        <v>447</v>
      </c>
      <c r="E2017" s="53">
        <v>3</v>
      </c>
      <c r="F2017" s="54">
        <v>49355</v>
      </c>
      <c r="G2017" s="54">
        <v>46798</v>
      </c>
      <c r="H2017" s="53" t="s">
        <v>105</v>
      </c>
      <c r="I2017" s="53" t="s">
        <v>509</v>
      </c>
      <c r="J2017" s="53" t="s">
        <v>101</v>
      </c>
      <c r="K2017" s="53">
        <v>93.512</v>
      </c>
      <c r="L2017" s="53" t="s">
        <v>101</v>
      </c>
      <c r="M2017" s="53">
        <v>3.786</v>
      </c>
      <c r="N2017" s="53">
        <v>3.786</v>
      </c>
      <c r="O2017" s="53" t="s">
        <v>101</v>
      </c>
      <c r="P2017" s="53" t="s">
        <v>448</v>
      </c>
      <c r="Q2017" s="53" t="s">
        <v>457</v>
      </c>
      <c r="R2017" s="55" t="s">
        <v>454</v>
      </c>
    </row>
    <row r="2018" spans="1:18" x14ac:dyDescent="0.5">
      <c r="A2018" s="56" t="str">
        <f>"430686QD0"</f>
        <v>430686QD0</v>
      </c>
      <c r="B2018" s="57" t="s">
        <v>451</v>
      </c>
      <c r="C2018" s="57" t="s">
        <v>2389</v>
      </c>
      <c r="D2018" s="53" t="s">
        <v>447</v>
      </c>
      <c r="E2018" s="57">
        <v>3</v>
      </c>
      <c r="F2018" s="58">
        <v>49355</v>
      </c>
      <c r="G2018" s="58">
        <v>45703</v>
      </c>
      <c r="H2018" s="57" t="s">
        <v>104</v>
      </c>
      <c r="I2018" s="57" t="s">
        <v>105</v>
      </c>
      <c r="J2018" s="57" t="s">
        <v>101</v>
      </c>
      <c r="K2018" s="57">
        <v>92.89</v>
      </c>
      <c r="L2018" s="57" t="s">
        <v>101</v>
      </c>
      <c r="M2018" s="57">
        <v>3.8650000000000002</v>
      </c>
      <c r="N2018" s="57">
        <v>3.8650000000000002</v>
      </c>
      <c r="O2018" s="53" t="s">
        <v>101</v>
      </c>
      <c r="P2018" s="57" t="s">
        <v>448</v>
      </c>
      <c r="Q2018" s="57" t="s">
        <v>503</v>
      </c>
      <c r="R2018" s="59" t="s">
        <v>454</v>
      </c>
    </row>
    <row r="2019" spans="1:18" x14ac:dyDescent="0.5">
      <c r="A2019" s="52" t="str">
        <f>"430686QX6"</f>
        <v>430686QX6</v>
      </c>
      <c r="B2019" s="53" t="s">
        <v>451</v>
      </c>
      <c r="C2019" s="53" t="s">
        <v>2390</v>
      </c>
      <c r="D2019" s="53" t="s">
        <v>447</v>
      </c>
      <c r="E2019" s="53">
        <v>3.25</v>
      </c>
      <c r="F2019" s="54">
        <v>49355</v>
      </c>
      <c r="G2019" s="54">
        <v>46433</v>
      </c>
      <c r="H2019" s="53" t="s">
        <v>104</v>
      </c>
      <c r="I2019" s="53" t="s">
        <v>105</v>
      </c>
      <c r="J2019" s="53" t="s">
        <v>101</v>
      </c>
      <c r="K2019" s="53">
        <v>96.513000000000005</v>
      </c>
      <c r="L2019" s="53" t="s">
        <v>101</v>
      </c>
      <c r="M2019" s="53">
        <v>3.67</v>
      </c>
      <c r="N2019" s="53">
        <v>3.67</v>
      </c>
      <c r="O2019" s="53" t="s">
        <v>101</v>
      </c>
      <c r="P2019" s="53" t="s">
        <v>448</v>
      </c>
      <c r="Q2019" s="53" t="s">
        <v>488</v>
      </c>
      <c r="R2019" s="55" t="s">
        <v>454</v>
      </c>
    </row>
    <row r="2020" spans="1:18" x14ac:dyDescent="0.5">
      <c r="A2020" s="56" t="str">
        <f>"444348YJ9"</f>
        <v>444348YJ9</v>
      </c>
      <c r="B2020" s="57" t="s">
        <v>451</v>
      </c>
      <c r="C2020" s="57" t="s">
        <v>2391</v>
      </c>
      <c r="D2020" s="53" t="s">
        <v>447</v>
      </c>
      <c r="E2020" s="57">
        <v>3.25</v>
      </c>
      <c r="F2020" s="58">
        <v>49355</v>
      </c>
      <c r="G2020" s="58">
        <v>46433</v>
      </c>
      <c r="H2020" s="57" t="s">
        <v>104</v>
      </c>
      <c r="I2020" s="57" t="s">
        <v>105</v>
      </c>
      <c r="J2020" s="57" t="s">
        <v>101</v>
      </c>
      <c r="K2020" s="57">
        <v>96.35</v>
      </c>
      <c r="L2020" s="57" t="s">
        <v>101</v>
      </c>
      <c r="M2020" s="57">
        <v>3.69</v>
      </c>
      <c r="N2020" s="57">
        <v>3.69</v>
      </c>
      <c r="O2020" s="53" t="s">
        <v>101</v>
      </c>
      <c r="P2020" s="57" t="s">
        <v>448</v>
      </c>
      <c r="Q2020" s="57" t="s">
        <v>479</v>
      </c>
      <c r="R2020" s="59" t="s">
        <v>454</v>
      </c>
    </row>
    <row r="2021" spans="1:18" x14ac:dyDescent="0.5">
      <c r="A2021" s="52" t="str">
        <f>"471146QY9"</f>
        <v>471146QY9</v>
      </c>
      <c r="B2021" s="53" t="s">
        <v>451</v>
      </c>
      <c r="C2021" s="53" t="s">
        <v>2392</v>
      </c>
      <c r="D2021" s="53" t="s">
        <v>447</v>
      </c>
      <c r="E2021" s="53">
        <v>3.25</v>
      </c>
      <c r="F2021" s="54">
        <v>49355</v>
      </c>
      <c r="G2021" s="54">
        <v>46798</v>
      </c>
      <c r="H2021" s="53" t="s">
        <v>105</v>
      </c>
      <c r="I2021" s="53" t="s">
        <v>104</v>
      </c>
      <c r="J2021" s="53" t="s">
        <v>101</v>
      </c>
      <c r="K2021" s="53">
        <v>95.89</v>
      </c>
      <c r="L2021" s="53" t="s">
        <v>101</v>
      </c>
      <c r="M2021" s="53">
        <v>3.7469999999999999</v>
      </c>
      <c r="N2021" s="53">
        <v>3.7469999999999999</v>
      </c>
      <c r="O2021" s="53" t="s">
        <v>101</v>
      </c>
      <c r="P2021" s="53" t="s">
        <v>448</v>
      </c>
      <c r="Q2021" s="53" t="s">
        <v>479</v>
      </c>
      <c r="R2021" s="55" t="s">
        <v>454</v>
      </c>
    </row>
    <row r="2022" spans="1:18" x14ac:dyDescent="0.5">
      <c r="A2022" s="56" t="str">
        <f>"486188LB9"</f>
        <v>486188LB9</v>
      </c>
      <c r="B2022" s="57" t="s">
        <v>451</v>
      </c>
      <c r="C2022" s="57" t="s">
        <v>2393</v>
      </c>
      <c r="D2022" s="53" t="s">
        <v>447</v>
      </c>
      <c r="E2022" s="57">
        <v>4</v>
      </c>
      <c r="F2022" s="58">
        <v>49355</v>
      </c>
      <c r="G2022" s="58">
        <v>47894</v>
      </c>
      <c r="H2022" s="57" t="s">
        <v>105</v>
      </c>
      <c r="I2022" s="57" t="s">
        <v>616</v>
      </c>
      <c r="J2022" s="57" t="s">
        <v>101</v>
      </c>
      <c r="K2022" s="57">
        <v>102.05500000000001</v>
      </c>
      <c r="L2022" s="57" t="s">
        <v>101</v>
      </c>
      <c r="M2022" s="57">
        <v>3.6150000000000002</v>
      </c>
      <c r="N2022" s="57">
        <v>3.7509999999999999</v>
      </c>
      <c r="O2022" s="53" t="s">
        <v>101</v>
      </c>
      <c r="P2022" s="57" t="s">
        <v>448</v>
      </c>
      <c r="Q2022" s="57" t="s">
        <v>457</v>
      </c>
      <c r="R2022" s="59" t="s">
        <v>454</v>
      </c>
    </row>
    <row r="2023" spans="1:18" x14ac:dyDescent="0.5">
      <c r="A2023" s="52" t="str">
        <f>"504102R63"</f>
        <v>504102R63</v>
      </c>
      <c r="B2023" s="53" t="s">
        <v>451</v>
      </c>
      <c r="C2023" s="53" t="s">
        <v>2394</v>
      </c>
      <c r="D2023" s="53" t="s">
        <v>447</v>
      </c>
      <c r="E2023" s="53">
        <v>3</v>
      </c>
      <c r="F2023" s="54">
        <v>49355</v>
      </c>
      <c r="G2023" s="54">
        <v>46068</v>
      </c>
      <c r="H2023" s="53" t="s">
        <v>104</v>
      </c>
      <c r="I2023" s="53" t="s">
        <v>104</v>
      </c>
      <c r="J2023" s="53" t="s">
        <v>101</v>
      </c>
      <c r="K2023" s="53">
        <v>92.98</v>
      </c>
      <c r="L2023" s="53" t="s">
        <v>101</v>
      </c>
      <c r="M2023" s="53">
        <v>3.8530000000000002</v>
      </c>
      <c r="N2023" s="53">
        <v>3.8530000000000002</v>
      </c>
      <c r="O2023" s="53" t="s">
        <v>101</v>
      </c>
      <c r="P2023" s="53" t="s">
        <v>448</v>
      </c>
      <c r="Q2023" s="53" t="s">
        <v>573</v>
      </c>
      <c r="R2023" s="55" t="s">
        <v>454</v>
      </c>
    </row>
    <row r="2024" spans="1:18" x14ac:dyDescent="0.5">
      <c r="A2024" s="56" t="str">
        <f>"513174ZJ4"</f>
        <v>513174ZJ4</v>
      </c>
      <c r="B2024" s="57" t="s">
        <v>451</v>
      </c>
      <c r="C2024" s="57" t="s">
        <v>2395</v>
      </c>
      <c r="D2024" s="53" t="s">
        <v>447</v>
      </c>
      <c r="E2024" s="57">
        <v>3</v>
      </c>
      <c r="F2024" s="58">
        <v>49355</v>
      </c>
      <c r="G2024" s="58">
        <v>47894</v>
      </c>
      <c r="H2024" s="57" t="s">
        <v>104</v>
      </c>
      <c r="I2024" s="57" t="s">
        <v>104</v>
      </c>
      <c r="J2024" s="57" t="s">
        <v>101</v>
      </c>
      <c r="K2024" s="57">
        <v>93.51</v>
      </c>
      <c r="L2024" s="57" t="s">
        <v>101</v>
      </c>
      <c r="M2024" s="57">
        <v>3.786</v>
      </c>
      <c r="N2024" s="57">
        <v>3.786</v>
      </c>
      <c r="O2024" s="53" t="s">
        <v>101</v>
      </c>
      <c r="P2024" s="57" t="s">
        <v>448</v>
      </c>
      <c r="Q2024" s="57" t="s">
        <v>2396</v>
      </c>
      <c r="R2024" s="59" t="s">
        <v>454</v>
      </c>
    </row>
    <row r="2025" spans="1:18" x14ac:dyDescent="0.5">
      <c r="A2025" s="52" t="str">
        <f>"514444L97"</f>
        <v>514444L97</v>
      </c>
      <c r="B2025" s="53" t="s">
        <v>451</v>
      </c>
      <c r="C2025" s="53" t="s">
        <v>2397</v>
      </c>
      <c r="D2025" s="53" t="s">
        <v>447</v>
      </c>
      <c r="E2025" s="53">
        <v>4</v>
      </c>
      <c r="F2025" s="54">
        <v>49355</v>
      </c>
      <c r="G2025" s="54">
        <v>47164</v>
      </c>
      <c r="H2025" s="53" t="s">
        <v>613</v>
      </c>
      <c r="I2025" s="53" t="s">
        <v>628</v>
      </c>
      <c r="J2025" s="53" t="s">
        <v>101</v>
      </c>
      <c r="K2025" s="53">
        <v>101.771</v>
      </c>
      <c r="L2025" s="53" t="s">
        <v>101</v>
      </c>
      <c r="M2025" s="53">
        <v>3.52</v>
      </c>
      <c r="N2025" s="53">
        <v>3.7850000000000001</v>
      </c>
      <c r="O2025" s="53" t="s">
        <v>101</v>
      </c>
      <c r="P2025" s="53" t="s">
        <v>448</v>
      </c>
      <c r="Q2025" s="53" t="s">
        <v>488</v>
      </c>
      <c r="R2025" s="55" t="s">
        <v>482</v>
      </c>
    </row>
    <row r="2026" spans="1:18" x14ac:dyDescent="0.5">
      <c r="A2026" s="56" t="str">
        <f>"521769AT6"</f>
        <v>521769AT6</v>
      </c>
      <c r="B2026" s="57" t="s">
        <v>451</v>
      </c>
      <c r="C2026" s="57" t="s">
        <v>2398</v>
      </c>
      <c r="D2026" s="53" t="s">
        <v>447</v>
      </c>
      <c r="E2026" s="57">
        <v>3.125</v>
      </c>
      <c r="F2026" s="58">
        <v>49355</v>
      </c>
      <c r="G2026" s="58">
        <v>46433</v>
      </c>
      <c r="H2026" s="57" t="s">
        <v>540</v>
      </c>
      <c r="I2026" s="57" t="s">
        <v>509</v>
      </c>
      <c r="J2026" s="57" t="s">
        <v>101</v>
      </c>
      <c r="K2026" s="57">
        <v>94.787999999999997</v>
      </c>
      <c r="L2026" s="57" t="s">
        <v>101</v>
      </c>
      <c r="M2026" s="57">
        <v>3.7549999999999999</v>
      </c>
      <c r="N2026" s="57">
        <v>3.7549999999999999</v>
      </c>
      <c r="O2026" s="53" t="s">
        <v>101</v>
      </c>
      <c r="P2026" s="57" t="s">
        <v>448</v>
      </c>
      <c r="Q2026" s="57" t="s">
        <v>1349</v>
      </c>
      <c r="R2026" s="59" t="s">
        <v>504</v>
      </c>
    </row>
    <row r="2027" spans="1:18" x14ac:dyDescent="0.5">
      <c r="A2027" s="52" t="str">
        <f>"521769FF1"</f>
        <v>521769FF1</v>
      </c>
      <c r="B2027" s="53" t="s">
        <v>451</v>
      </c>
      <c r="C2027" s="53" t="s">
        <v>2399</v>
      </c>
      <c r="D2027" s="53" t="s">
        <v>447</v>
      </c>
      <c r="E2027" s="53">
        <v>3</v>
      </c>
      <c r="F2027" s="54">
        <v>49355</v>
      </c>
      <c r="G2027" s="54">
        <v>47529</v>
      </c>
      <c r="H2027" s="53" t="s">
        <v>540</v>
      </c>
      <c r="I2027" s="53" t="s">
        <v>509</v>
      </c>
      <c r="J2027" s="53" t="s">
        <v>101</v>
      </c>
      <c r="K2027" s="53">
        <v>93.716999999999999</v>
      </c>
      <c r="L2027" s="53" t="s">
        <v>101</v>
      </c>
      <c r="M2027" s="53">
        <v>3.76</v>
      </c>
      <c r="N2027" s="53">
        <v>3.76</v>
      </c>
      <c r="O2027" s="53" t="s">
        <v>101</v>
      </c>
      <c r="P2027" s="53" t="s">
        <v>448</v>
      </c>
      <c r="Q2027" s="53" t="s">
        <v>457</v>
      </c>
      <c r="R2027" s="55" t="s">
        <v>482</v>
      </c>
    </row>
    <row r="2028" spans="1:18" x14ac:dyDescent="0.5">
      <c r="A2028" s="56" t="str">
        <f>"542264JS6"</f>
        <v>542264JS6</v>
      </c>
      <c r="B2028" s="57" t="s">
        <v>451</v>
      </c>
      <c r="C2028" s="57" t="s">
        <v>2400</v>
      </c>
      <c r="D2028" s="53" t="s">
        <v>447</v>
      </c>
      <c r="E2028" s="57">
        <v>3</v>
      </c>
      <c r="F2028" s="58">
        <v>49355</v>
      </c>
      <c r="G2028" s="58">
        <v>47894</v>
      </c>
      <c r="H2028" s="57" t="s">
        <v>105</v>
      </c>
      <c r="I2028" s="57" t="s">
        <v>104</v>
      </c>
      <c r="J2028" s="57" t="s">
        <v>101</v>
      </c>
      <c r="K2028" s="57">
        <v>93.31</v>
      </c>
      <c r="L2028" s="57" t="s">
        <v>101</v>
      </c>
      <c r="M2028" s="57">
        <v>3.8109999999999999</v>
      </c>
      <c r="N2028" s="57">
        <v>3.8109999999999999</v>
      </c>
      <c r="O2028" s="53" t="s">
        <v>101</v>
      </c>
      <c r="P2028" s="57" t="s">
        <v>448</v>
      </c>
      <c r="Q2028" s="57" t="s">
        <v>488</v>
      </c>
      <c r="R2028" s="59" t="s">
        <v>482</v>
      </c>
    </row>
    <row r="2029" spans="1:18" x14ac:dyDescent="0.5">
      <c r="A2029" s="52" t="str">
        <f>"542269DR3"</f>
        <v>542269DR3</v>
      </c>
      <c r="B2029" s="53" t="s">
        <v>451</v>
      </c>
      <c r="C2029" s="53" t="s">
        <v>2401</v>
      </c>
      <c r="D2029" s="53" t="s">
        <v>447</v>
      </c>
      <c r="E2029" s="53">
        <v>4</v>
      </c>
      <c r="F2029" s="54">
        <v>49355</v>
      </c>
      <c r="G2029" s="54">
        <v>47894</v>
      </c>
      <c r="H2029" s="53" t="s">
        <v>105</v>
      </c>
      <c r="I2029" s="53" t="s">
        <v>104</v>
      </c>
      <c r="J2029" s="53" t="s">
        <v>101</v>
      </c>
      <c r="K2029" s="53">
        <v>102.6</v>
      </c>
      <c r="L2029" s="53" t="s">
        <v>101</v>
      </c>
      <c r="M2029" s="53">
        <v>3.5150000000000001</v>
      </c>
      <c r="N2029" s="53">
        <v>3.6869999999999998</v>
      </c>
      <c r="O2029" s="53" t="s">
        <v>101</v>
      </c>
      <c r="P2029" s="53" t="s">
        <v>448</v>
      </c>
      <c r="Q2029" s="53" t="s">
        <v>503</v>
      </c>
      <c r="R2029" s="55" t="s">
        <v>504</v>
      </c>
    </row>
    <row r="2030" spans="1:18" x14ac:dyDescent="0.5">
      <c r="A2030" s="56" t="str">
        <f>"549108YC6"</f>
        <v>549108YC6</v>
      </c>
      <c r="B2030" s="57" t="s">
        <v>451</v>
      </c>
      <c r="C2030" s="57" t="s">
        <v>2402</v>
      </c>
      <c r="D2030" s="53" t="s">
        <v>447</v>
      </c>
      <c r="E2030" s="57">
        <v>4</v>
      </c>
      <c r="F2030" s="58">
        <v>49355</v>
      </c>
      <c r="G2030" s="58">
        <v>47894</v>
      </c>
      <c r="H2030" s="57" t="s">
        <v>105</v>
      </c>
      <c r="I2030" s="57" t="s">
        <v>104</v>
      </c>
      <c r="J2030" s="57" t="s">
        <v>101</v>
      </c>
      <c r="K2030" s="57">
        <v>102.68</v>
      </c>
      <c r="L2030" s="57" t="s">
        <v>101</v>
      </c>
      <c r="M2030" s="57">
        <v>3.5</v>
      </c>
      <c r="N2030" s="57">
        <v>3.677</v>
      </c>
      <c r="O2030" s="53" t="s">
        <v>101</v>
      </c>
      <c r="P2030" s="57" t="s">
        <v>448</v>
      </c>
      <c r="Q2030" s="57" t="s">
        <v>485</v>
      </c>
      <c r="R2030" s="59" t="s">
        <v>454</v>
      </c>
    </row>
    <row r="2031" spans="1:18" x14ac:dyDescent="0.5">
      <c r="A2031" s="52" t="str">
        <f>"549188P95"</f>
        <v>549188P95</v>
      </c>
      <c r="B2031" s="53" t="s">
        <v>451</v>
      </c>
      <c r="C2031" s="53" t="s">
        <v>2403</v>
      </c>
      <c r="D2031" s="53" t="s">
        <v>447</v>
      </c>
      <c r="E2031" s="53">
        <v>4</v>
      </c>
      <c r="F2031" s="54">
        <v>49355</v>
      </c>
      <c r="G2031" s="54">
        <v>46798</v>
      </c>
      <c r="H2031" s="53" t="s">
        <v>105</v>
      </c>
      <c r="I2031" s="53" t="s">
        <v>509</v>
      </c>
      <c r="J2031" s="53" t="s">
        <v>101</v>
      </c>
      <c r="K2031" s="53">
        <v>101.062</v>
      </c>
      <c r="L2031" s="53" t="s">
        <v>101</v>
      </c>
      <c r="M2031" s="53">
        <v>3.6219999999999999</v>
      </c>
      <c r="N2031" s="53">
        <v>3.871</v>
      </c>
      <c r="O2031" s="53" t="s">
        <v>101</v>
      </c>
      <c r="P2031" s="53" t="s">
        <v>448</v>
      </c>
      <c r="Q2031" s="53" t="s">
        <v>488</v>
      </c>
      <c r="R2031" s="55" t="s">
        <v>504</v>
      </c>
    </row>
    <row r="2032" spans="1:18" x14ac:dyDescent="0.5">
      <c r="A2032" s="56" t="str">
        <f>"549233CX0"</f>
        <v>549233CX0</v>
      </c>
      <c r="B2032" s="57" t="s">
        <v>451</v>
      </c>
      <c r="C2032" s="57" t="s">
        <v>2404</v>
      </c>
      <c r="D2032" s="53" t="s">
        <v>447</v>
      </c>
      <c r="E2032" s="57">
        <v>4</v>
      </c>
      <c r="F2032" s="58">
        <v>49355</v>
      </c>
      <c r="G2032" s="58">
        <v>47164</v>
      </c>
      <c r="H2032" s="57" t="s">
        <v>105</v>
      </c>
      <c r="I2032" s="57" t="s">
        <v>628</v>
      </c>
      <c r="J2032" s="57" t="s">
        <v>101</v>
      </c>
      <c r="K2032" s="57">
        <v>101.366</v>
      </c>
      <c r="L2032" s="57" t="s">
        <v>101</v>
      </c>
      <c r="M2032" s="57">
        <v>3.629</v>
      </c>
      <c r="N2032" s="57">
        <v>3.8340000000000001</v>
      </c>
      <c r="O2032" s="53" t="s">
        <v>101</v>
      </c>
      <c r="P2032" s="57" t="s">
        <v>448</v>
      </c>
      <c r="Q2032" s="57" t="s">
        <v>485</v>
      </c>
      <c r="R2032" s="59" t="s">
        <v>504</v>
      </c>
    </row>
    <row r="2033" spans="1:18" x14ac:dyDescent="0.5">
      <c r="A2033" s="52" t="str">
        <f>"564378FN2"</f>
        <v>564378FN2</v>
      </c>
      <c r="B2033" s="53" t="s">
        <v>451</v>
      </c>
      <c r="C2033" s="53" t="s">
        <v>2405</v>
      </c>
      <c r="D2033" s="53" t="s">
        <v>447</v>
      </c>
      <c r="E2033" s="53">
        <v>3.625</v>
      </c>
      <c r="F2033" s="54">
        <v>49355</v>
      </c>
      <c r="G2033" s="54">
        <v>46068</v>
      </c>
      <c r="H2033" s="53" t="s">
        <v>540</v>
      </c>
      <c r="I2033" s="53" t="s">
        <v>104</v>
      </c>
      <c r="J2033" s="53" t="s">
        <v>101</v>
      </c>
      <c r="K2033" s="53">
        <v>99.17</v>
      </c>
      <c r="L2033" s="53" t="s">
        <v>101</v>
      </c>
      <c r="M2033" s="53">
        <v>3.7250000000000001</v>
      </c>
      <c r="N2033" s="53">
        <v>3.7250000000000001</v>
      </c>
      <c r="O2033" s="53" t="s">
        <v>101</v>
      </c>
      <c r="P2033" s="53" t="s">
        <v>448</v>
      </c>
      <c r="Q2033" s="53" t="s">
        <v>475</v>
      </c>
      <c r="R2033" s="55" t="s">
        <v>504</v>
      </c>
    </row>
    <row r="2034" spans="1:18" x14ac:dyDescent="0.5">
      <c r="A2034" s="56" t="str">
        <f>"579100TU2"</f>
        <v>579100TU2</v>
      </c>
      <c r="B2034" s="57" t="s">
        <v>451</v>
      </c>
      <c r="C2034" s="57" t="s">
        <v>2406</v>
      </c>
      <c r="D2034" s="53" t="s">
        <v>447</v>
      </c>
      <c r="E2034" s="57">
        <v>4</v>
      </c>
      <c r="F2034" s="58">
        <v>49355</v>
      </c>
      <c r="G2034" s="58">
        <v>47164</v>
      </c>
      <c r="H2034" s="57" t="s">
        <v>613</v>
      </c>
      <c r="I2034" s="57" t="s">
        <v>105</v>
      </c>
      <c r="J2034" s="57" t="s">
        <v>101</v>
      </c>
      <c r="K2034" s="57">
        <v>101.77</v>
      </c>
      <c r="L2034" s="57" t="s">
        <v>101</v>
      </c>
      <c r="M2034" s="57">
        <v>3.5209999999999999</v>
      </c>
      <c r="N2034" s="57">
        <v>3.786</v>
      </c>
      <c r="O2034" s="53" t="s">
        <v>101</v>
      </c>
      <c r="P2034" s="57" t="s">
        <v>448</v>
      </c>
      <c r="Q2034" s="57" t="s">
        <v>457</v>
      </c>
      <c r="R2034" s="59" t="s">
        <v>482</v>
      </c>
    </row>
    <row r="2035" spans="1:18" x14ac:dyDescent="0.5">
      <c r="A2035" s="52" t="str">
        <f>"581664GP8"</f>
        <v>581664GP8</v>
      </c>
      <c r="B2035" s="53" t="s">
        <v>451</v>
      </c>
      <c r="C2035" s="53" t="s">
        <v>2407</v>
      </c>
      <c r="D2035" s="53" t="s">
        <v>447</v>
      </c>
      <c r="E2035" s="53">
        <v>2.75</v>
      </c>
      <c r="F2035" s="54">
        <v>49355</v>
      </c>
      <c r="G2035" s="54">
        <v>46068</v>
      </c>
      <c r="H2035" s="53" t="s">
        <v>104</v>
      </c>
      <c r="I2035" s="53" t="s">
        <v>104</v>
      </c>
      <c r="J2035" s="53" t="s">
        <v>101</v>
      </c>
      <c r="K2035" s="53">
        <v>89.251000000000005</v>
      </c>
      <c r="L2035" s="53" t="s">
        <v>101</v>
      </c>
      <c r="M2035" s="53">
        <v>4.07</v>
      </c>
      <c r="N2035" s="53">
        <v>4.07</v>
      </c>
      <c r="O2035" s="53" t="s">
        <v>101</v>
      </c>
      <c r="P2035" s="53" t="s">
        <v>448</v>
      </c>
      <c r="Q2035" s="53" t="s">
        <v>503</v>
      </c>
      <c r="R2035" s="55" t="s">
        <v>454</v>
      </c>
    </row>
    <row r="2036" spans="1:18" x14ac:dyDescent="0.5">
      <c r="A2036" s="56" t="str">
        <f>"585483VY3"</f>
        <v>585483VY3</v>
      </c>
      <c r="B2036" s="57" t="s">
        <v>451</v>
      </c>
      <c r="C2036" s="57" t="s">
        <v>2408</v>
      </c>
      <c r="D2036" s="53" t="s">
        <v>447</v>
      </c>
      <c r="E2036" s="57">
        <v>4</v>
      </c>
      <c r="F2036" s="58">
        <v>49355</v>
      </c>
      <c r="G2036" s="58">
        <v>47894</v>
      </c>
      <c r="H2036" s="57" t="s">
        <v>105</v>
      </c>
      <c r="I2036" s="57" t="s">
        <v>628</v>
      </c>
      <c r="J2036" s="57" t="s">
        <v>101</v>
      </c>
      <c r="K2036" s="57">
        <v>102.45699999999999</v>
      </c>
      <c r="L2036" s="57" t="s">
        <v>101</v>
      </c>
      <c r="M2036" s="57">
        <v>3.5409999999999999</v>
      </c>
      <c r="N2036" s="57">
        <v>3.7040000000000002</v>
      </c>
      <c r="O2036" s="53" t="s">
        <v>101</v>
      </c>
      <c r="P2036" s="57" t="s">
        <v>448</v>
      </c>
      <c r="Q2036" s="57" t="s">
        <v>485</v>
      </c>
      <c r="R2036" s="59" t="s">
        <v>589</v>
      </c>
    </row>
    <row r="2037" spans="1:18" x14ac:dyDescent="0.5">
      <c r="A2037" s="52" t="str">
        <f>"587839H61"</f>
        <v>587839H61</v>
      </c>
      <c r="B2037" s="53" t="s">
        <v>477</v>
      </c>
      <c r="C2037" s="53" t="s">
        <v>2409</v>
      </c>
      <c r="D2037" s="53" t="s">
        <v>447</v>
      </c>
      <c r="E2037" s="53">
        <v>3</v>
      </c>
      <c r="F2037" s="54">
        <v>49355</v>
      </c>
      <c r="G2037" s="54">
        <v>46433</v>
      </c>
      <c r="H2037" s="53" t="s">
        <v>105</v>
      </c>
      <c r="I2037" s="53" t="s">
        <v>628</v>
      </c>
      <c r="J2037" s="53" t="s">
        <v>101</v>
      </c>
      <c r="K2037" s="53">
        <v>95.694000000000003</v>
      </c>
      <c r="L2037" s="53" t="s">
        <v>101</v>
      </c>
      <c r="M2037" s="53">
        <v>3.5150000000000001</v>
      </c>
      <c r="N2037" s="53">
        <v>3.5150000000000001</v>
      </c>
      <c r="O2037" s="53" t="s">
        <v>101</v>
      </c>
      <c r="P2037" s="53" t="s">
        <v>448</v>
      </c>
      <c r="Q2037" s="53" t="s">
        <v>790</v>
      </c>
      <c r="R2037" s="55" t="s">
        <v>454</v>
      </c>
    </row>
    <row r="2038" spans="1:18" x14ac:dyDescent="0.5">
      <c r="A2038" s="56" t="str">
        <f>"626752TW9"</f>
        <v>626752TW9</v>
      </c>
      <c r="B2038" s="57" t="s">
        <v>451</v>
      </c>
      <c r="C2038" s="57" t="s">
        <v>2410</v>
      </c>
      <c r="D2038" s="53" t="s">
        <v>447</v>
      </c>
      <c r="E2038" s="57">
        <v>3</v>
      </c>
      <c r="F2038" s="58">
        <v>49355</v>
      </c>
      <c r="G2038" s="58">
        <v>46433</v>
      </c>
      <c r="H2038" s="57" t="s">
        <v>105</v>
      </c>
      <c r="I2038" s="57" t="s">
        <v>509</v>
      </c>
      <c r="J2038" s="57" t="s">
        <v>101</v>
      </c>
      <c r="K2038" s="57">
        <v>95.158000000000001</v>
      </c>
      <c r="L2038" s="57" t="s">
        <v>101</v>
      </c>
      <c r="M2038" s="57">
        <v>3.581</v>
      </c>
      <c r="N2038" s="57">
        <v>3.581</v>
      </c>
      <c r="O2038" s="53" t="s">
        <v>101</v>
      </c>
      <c r="P2038" s="57" t="s">
        <v>448</v>
      </c>
      <c r="Q2038" s="57" t="s">
        <v>874</v>
      </c>
      <c r="R2038" s="59" t="s">
        <v>454</v>
      </c>
    </row>
    <row r="2039" spans="1:18" x14ac:dyDescent="0.5">
      <c r="A2039" s="52" t="str">
        <f>"667826BG5"</f>
        <v>667826BG5</v>
      </c>
      <c r="B2039" s="53" t="s">
        <v>451</v>
      </c>
      <c r="C2039" s="53" t="s">
        <v>2411</v>
      </c>
      <c r="D2039" s="53" t="s">
        <v>447</v>
      </c>
      <c r="E2039" s="53">
        <v>3</v>
      </c>
      <c r="F2039" s="54">
        <v>49355</v>
      </c>
      <c r="G2039" s="54">
        <v>47529</v>
      </c>
      <c r="H2039" s="53" t="s">
        <v>104</v>
      </c>
      <c r="I2039" s="53" t="s">
        <v>105</v>
      </c>
      <c r="J2039" s="53" t="s">
        <v>101</v>
      </c>
      <c r="K2039" s="53">
        <v>92.736000000000004</v>
      </c>
      <c r="L2039" s="53" t="s">
        <v>101</v>
      </c>
      <c r="M2039" s="53">
        <v>3.8839999999999999</v>
      </c>
      <c r="N2039" s="53">
        <v>3.8839999999999999</v>
      </c>
      <c r="O2039" s="53" t="s">
        <v>101</v>
      </c>
      <c r="P2039" s="53" t="s">
        <v>448</v>
      </c>
      <c r="Q2039" s="53" t="s">
        <v>1384</v>
      </c>
      <c r="R2039" s="55" t="s">
        <v>454</v>
      </c>
    </row>
    <row r="2040" spans="1:18" x14ac:dyDescent="0.5">
      <c r="A2040" s="56" t="str">
        <f>"670386RD5"</f>
        <v>670386RD5</v>
      </c>
      <c r="B2040" s="57" t="s">
        <v>451</v>
      </c>
      <c r="C2040" s="57" t="s">
        <v>2412</v>
      </c>
      <c r="D2040" s="53" t="s">
        <v>447</v>
      </c>
      <c r="E2040" s="57">
        <v>4</v>
      </c>
      <c r="F2040" s="58">
        <v>49355</v>
      </c>
      <c r="G2040" s="58">
        <v>47345</v>
      </c>
      <c r="H2040" s="57" t="s">
        <v>613</v>
      </c>
      <c r="I2040" s="57" t="s">
        <v>105</v>
      </c>
      <c r="J2040" s="57" t="s">
        <v>101</v>
      </c>
      <c r="K2040" s="57">
        <v>101.727</v>
      </c>
      <c r="L2040" s="57" t="s">
        <v>101</v>
      </c>
      <c r="M2040" s="57">
        <v>3.58</v>
      </c>
      <c r="N2040" s="57">
        <v>3.7909999999999999</v>
      </c>
      <c r="O2040" s="53" t="s">
        <v>101</v>
      </c>
      <c r="P2040" s="57" t="s">
        <v>448</v>
      </c>
      <c r="Q2040" s="57" t="s">
        <v>457</v>
      </c>
      <c r="R2040" s="59" t="s">
        <v>454</v>
      </c>
    </row>
    <row r="2041" spans="1:18" x14ac:dyDescent="0.5">
      <c r="A2041" s="52" t="str">
        <f>"670386RU7"</f>
        <v>670386RU7</v>
      </c>
      <c r="B2041" s="53" t="s">
        <v>451</v>
      </c>
      <c r="C2041" s="53" t="s">
        <v>2413</v>
      </c>
      <c r="D2041" s="53" t="s">
        <v>447</v>
      </c>
      <c r="E2041" s="53">
        <v>4</v>
      </c>
      <c r="F2041" s="54">
        <v>49355</v>
      </c>
      <c r="G2041" s="54">
        <v>47894</v>
      </c>
      <c r="H2041" s="53" t="s">
        <v>613</v>
      </c>
      <c r="I2041" s="53" t="s">
        <v>628</v>
      </c>
      <c r="J2041" s="53" t="s">
        <v>101</v>
      </c>
      <c r="K2041" s="53">
        <v>102.64400000000001</v>
      </c>
      <c r="L2041" s="53" t="s">
        <v>101</v>
      </c>
      <c r="M2041" s="53">
        <v>3.5070000000000001</v>
      </c>
      <c r="N2041" s="53">
        <v>3.681</v>
      </c>
      <c r="O2041" s="53" t="s">
        <v>101</v>
      </c>
      <c r="P2041" s="53" t="s">
        <v>448</v>
      </c>
      <c r="Q2041" s="53" t="s">
        <v>479</v>
      </c>
      <c r="R2041" s="55" t="s">
        <v>454</v>
      </c>
    </row>
    <row r="2042" spans="1:18" x14ac:dyDescent="0.5">
      <c r="A2042" s="56" t="str">
        <f>"698538BT1"</f>
        <v>698538BT1</v>
      </c>
      <c r="B2042" s="57" t="s">
        <v>451</v>
      </c>
      <c r="C2042" s="57" t="s">
        <v>2414</v>
      </c>
      <c r="D2042" s="53" t="s">
        <v>447</v>
      </c>
      <c r="E2042" s="57">
        <v>3.5</v>
      </c>
      <c r="F2042" s="58">
        <v>49355</v>
      </c>
      <c r="G2042" s="58">
        <v>45733</v>
      </c>
      <c r="H2042" s="57" t="s">
        <v>105</v>
      </c>
      <c r="I2042" s="57" t="s">
        <v>628</v>
      </c>
      <c r="J2042" s="57" t="s">
        <v>101</v>
      </c>
      <c r="K2042" s="57">
        <v>98.33</v>
      </c>
      <c r="L2042" s="57" t="s">
        <v>101</v>
      </c>
      <c r="M2042" s="57">
        <v>3.7010000000000001</v>
      </c>
      <c r="N2042" s="57">
        <v>3.7010000000000001</v>
      </c>
      <c r="O2042" s="53" t="s">
        <v>101</v>
      </c>
      <c r="P2042" s="57" t="s">
        <v>448</v>
      </c>
      <c r="Q2042" s="57" t="s">
        <v>488</v>
      </c>
      <c r="R2042" s="59" t="s">
        <v>630</v>
      </c>
    </row>
    <row r="2043" spans="1:18" x14ac:dyDescent="0.5">
      <c r="A2043" s="52" t="str">
        <f>"702317CR7"</f>
        <v>702317CR7</v>
      </c>
      <c r="B2043" s="53" t="s">
        <v>451</v>
      </c>
      <c r="C2043" s="53" t="s">
        <v>2415</v>
      </c>
      <c r="D2043" s="53" t="s">
        <v>447</v>
      </c>
      <c r="E2043" s="53">
        <v>4</v>
      </c>
      <c r="F2043" s="54">
        <v>49355</v>
      </c>
      <c r="G2043" s="54">
        <v>47894</v>
      </c>
      <c r="H2043" s="53" t="s">
        <v>105</v>
      </c>
      <c r="I2043" s="53" t="s">
        <v>628</v>
      </c>
      <c r="J2043" s="53" t="s">
        <v>101</v>
      </c>
      <c r="K2043" s="53">
        <v>102.645</v>
      </c>
      <c r="L2043" s="53" t="s">
        <v>101</v>
      </c>
      <c r="M2043" s="53">
        <v>3.5070000000000001</v>
      </c>
      <c r="N2043" s="53">
        <v>3.681</v>
      </c>
      <c r="O2043" s="53" t="s">
        <v>101</v>
      </c>
      <c r="P2043" s="53" t="s">
        <v>448</v>
      </c>
      <c r="Q2043" s="53" t="s">
        <v>479</v>
      </c>
      <c r="R2043" s="55" t="s">
        <v>504</v>
      </c>
    </row>
    <row r="2044" spans="1:18" x14ac:dyDescent="0.5">
      <c r="A2044" s="56" t="str">
        <f>"702317BF4"</f>
        <v>702317BF4</v>
      </c>
      <c r="B2044" s="57" t="s">
        <v>451</v>
      </c>
      <c r="C2044" s="57" t="s">
        <v>2416</v>
      </c>
      <c r="D2044" s="53" t="s">
        <v>447</v>
      </c>
      <c r="E2044" s="57">
        <v>3</v>
      </c>
      <c r="F2044" s="58">
        <v>49355</v>
      </c>
      <c r="G2044" s="58">
        <v>46433</v>
      </c>
      <c r="H2044" s="57" t="s">
        <v>105</v>
      </c>
      <c r="I2044" s="57" t="s">
        <v>628</v>
      </c>
      <c r="J2044" s="57" t="s">
        <v>101</v>
      </c>
      <c r="K2044" s="57">
        <v>94.733999999999995</v>
      </c>
      <c r="L2044" s="57" t="s">
        <v>101</v>
      </c>
      <c r="M2044" s="57">
        <v>3.633</v>
      </c>
      <c r="N2044" s="57">
        <v>3.633</v>
      </c>
      <c r="O2044" s="53" t="s">
        <v>101</v>
      </c>
      <c r="P2044" s="57" t="s">
        <v>448</v>
      </c>
      <c r="Q2044" s="57" t="s">
        <v>2417</v>
      </c>
      <c r="R2044" s="59" t="s">
        <v>504</v>
      </c>
    </row>
    <row r="2045" spans="1:18" x14ac:dyDescent="0.5">
      <c r="A2045" s="52" t="str">
        <f>"727199D65"</f>
        <v>727199D65</v>
      </c>
      <c r="B2045" s="53" t="s">
        <v>451</v>
      </c>
      <c r="C2045" s="53" t="s">
        <v>2418</v>
      </c>
      <c r="D2045" s="53" t="s">
        <v>447</v>
      </c>
      <c r="E2045" s="53">
        <v>3.5</v>
      </c>
      <c r="F2045" s="54">
        <v>49355</v>
      </c>
      <c r="G2045" s="54">
        <v>46068</v>
      </c>
      <c r="H2045" s="53" t="s">
        <v>105</v>
      </c>
      <c r="I2045" s="53" t="s">
        <v>104</v>
      </c>
      <c r="J2045" s="53" t="s">
        <v>101</v>
      </c>
      <c r="K2045" s="53">
        <v>98.35</v>
      </c>
      <c r="L2045" s="53" t="s">
        <v>101</v>
      </c>
      <c r="M2045" s="53">
        <v>3.6989999999999998</v>
      </c>
      <c r="N2045" s="53">
        <v>3.6989999999999998</v>
      </c>
      <c r="O2045" s="53" t="s">
        <v>101</v>
      </c>
      <c r="P2045" s="53" t="s">
        <v>448</v>
      </c>
      <c r="Q2045" s="53" t="s">
        <v>488</v>
      </c>
      <c r="R2045" s="55" t="s">
        <v>454</v>
      </c>
    </row>
    <row r="2046" spans="1:18" x14ac:dyDescent="0.5">
      <c r="A2046" s="56" t="str">
        <f>"743600WX2"</f>
        <v>743600WX2</v>
      </c>
      <c r="B2046" s="57" t="s">
        <v>451</v>
      </c>
      <c r="C2046" s="57" t="s">
        <v>2419</v>
      </c>
      <c r="D2046" s="53" t="s">
        <v>447</v>
      </c>
      <c r="E2046" s="57">
        <v>3</v>
      </c>
      <c r="F2046" s="58">
        <v>49355</v>
      </c>
      <c r="G2046" s="58">
        <v>46068</v>
      </c>
      <c r="H2046" s="57" t="s">
        <v>104</v>
      </c>
      <c r="I2046" s="57" t="s">
        <v>104</v>
      </c>
      <c r="J2046" s="57" t="s">
        <v>101</v>
      </c>
      <c r="K2046" s="57">
        <v>92.91</v>
      </c>
      <c r="L2046" s="57" t="s">
        <v>101</v>
      </c>
      <c r="M2046" s="57">
        <v>3.8620000000000001</v>
      </c>
      <c r="N2046" s="57">
        <v>3.8620000000000001</v>
      </c>
      <c r="O2046" s="53" t="s">
        <v>101</v>
      </c>
      <c r="P2046" s="57" t="s">
        <v>448</v>
      </c>
      <c r="Q2046" s="57" t="s">
        <v>538</v>
      </c>
      <c r="R2046" s="59" t="s">
        <v>454</v>
      </c>
    </row>
    <row r="2047" spans="1:18" x14ac:dyDescent="0.5">
      <c r="A2047" s="52" t="str">
        <f>"779699CY1"</f>
        <v>779699CY1</v>
      </c>
      <c r="B2047" s="53" t="s">
        <v>451</v>
      </c>
      <c r="C2047" s="53" t="s">
        <v>2420</v>
      </c>
      <c r="D2047" s="53" t="s">
        <v>447</v>
      </c>
      <c r="E2047" s="53">
        <v>3.125</v>
      </c>
      <c r="F2047" s="54">
        <v>49355</v>
      </c>
      <c r="G2047" s="54">
        <v>46433</v>
      </c>
      <c r="H2047" s="53" t="s">
        <v>613</v>
      </c>
      <c r="I2047" s="53" t="s">
        <v>509</v>
      </c>
      <c r="J2047" s="53" t="s">
        <v>101</v>
      </c>
      <c r="K2047" s="53">
        <v>94.227000000000004</v>
      </c>
      <c r="L2047" s="53" t="s">
        <v>101</v>
      </c>
      <c r="M2047" s="53">
        <v>3.8260000000000001</v>
      </c>
      <c r="N2047" s="53">
        <v>3.8260000000000001</v>
      </c>
      <c r="O2047" s="53" t="s">
        <v>101</v>
      </c>
      <c r="P2047" s="53" t="s">
        <v>448</v>
      </c>
      <c r="Q2047" s="53" t="s">
        <v>460</v>
      </c>
      <c r="R2047" s="55" t="s">
        <v>454</v>
      </c>
    </row>
    <row r="2048" spans="1:18" x14ac:dyDescent="0.5">
      <c r="A2048" s="56" t="str">
        <f>"780699RE6"</f>
        <v>780699RE6</v>
      </c>
      <c r="B2048" s="57" t="s">
        <v>451</v>
      </c>
      <c r="C2048" s="57" t="s">
        <v>2421</v>
      </c>
      <c r="D2048" s="53" t="s">
        <v>447</v>
      </c>
      <c r="E2048" s="57">
        <v>3.25</v>
      </c>
      <c r="F2048" s="58">
        <v>49355</v>
      </c>
      <c r="G2048" s="58">
        <v>46433</v>
      </c>
      <c r="H2048" s="57" t="s">
        <v>105</v>
      </c>
      <c r="I2048" s="57" t="s">
        <v>104</v>
      </c>
      <c r="J2048" s="57" t="s">
        <v>101</v>
      </c>
      <c r="K2048" s="57">
        <v>96.64</v>
      </c>
      <c r="L2048" s="57" t="s">
        <v>101</v>
      </c>
      <c r="M2048" s="57">
        <v>3.6539999999999999</v>
      </c>
      <c r="N2048" s="57">
        <v>3.6539999999999999</v>
      </c>
      <c r="O2048" s="53" t="s">
        <v>101</v>
      </c>
      <c r="P2048" s="57" t="s">
        <v>448</v>
      </c>
      <c r="Q2048" s="57" t="s">
        <v>1342</v>
      </c>
      <c r="R2048" s="59" t="s">
        <v>454</v>
      </c>
    </row>
    <row r="2049" spans="1:18" x14ac:dyDescent="0.5">
      <c r="A2049" s="52" t="str">
        <f>"785751PY8"</f>
        <v>785751PY8</v>
      </c>
      <c r="B2049" s="53" t="s">
        <v>451</v>
      </c>
      <c r="C2049" s="53" t="s">
        <v>2422</v>
      </c>
      <c r="D2049" s="53" t="s">
        <v>447</v>
      </c>
      <c r="E2049" s="53">
        <v>3</v>
      </c>
      <c r="F2049" s="54">
        <v>49355</v>
      </c>
      <c r="G2049" s="54">
        <v>46433</v>
      </c>
      <c r="H2049" s="53" t="s">
        <v>540</v>
      </c>
      <c r="I2049" s="53" t="s">
        <v>509</v>
      </c>
      <c r="J2049" s="53" t="s">
        <v>101</v>
      </c>
      <c r="K2049" s="53">
        <v>92.813999999999993</v>
      </c>
      <c r="L2049" s="53" t="s">
        <v>101</v>
      </c>
      <c r="M2049" s="53">
        <v>3.8740000000000001</v>
      </c>
      <c r="N2049" s="53">
        <v>3.8740000000000001</v>
      </c>
      <c r="O2049" s="53" t="s">
        <v>101</v>
      </c>
      <c r="P2049" s="53" t="s">
        <v>691</v>
      </c>
      <c r="Q2049" s="53" t="s">
        <v>503</v>
      </c>
      <c r="R2049" s="55" t="s">
        <v>504</v>
      </c>
    </row>
    <row r="2050" spans="1:18" x14ac:dyDescent="0.5">
      <c r="A2050" s="56" t="str">
        <f>"796099P45"</f>
        <v>796099P45</v>
      </c>
      <c r="B2050" s="57" t="s">
        <v>451</v>
      </c>
      <c r="C2050" s="57" t="s">
        <v>2423</v>
      </c>
      <c r="D2050" s="53" t="s">
        <v>447</v>
      </c>
      <c r="E2050" s="57">
        <v>3.125</v>
      </c>
      <c r="F2050" s="58">
        <v>49355</v>
      </c>
      <c r="G2050" s="58">
        <v>46068</v>
      </c>
      <c r="H2050" s="57" t="s">
        <v>105</v>
      </c>
      <c r="I2050" s="57" t="s">
        <v>628</v>
      </c>
      <c r="J2050" s="57" t="s">
        <v>101</v>
      </c>
      <c r="K2050" s="57">
        <v>93.236999999999995</v>
      </c>
      <c r="L2050" s="57" t="s">
        <v>101</v>
      </c>
      <c r="M2050" s="57">
        <v>3.9510000000000001</v>
      </c>
      <c r="N2050" s="57">
        <v>3.9510000000000001</v>
      </c>
      <c r="O2050" s="53" t="s">
        <v>101</v>
      </c>
      <c r="P2050" s="57" t="s">
        <v>448</v>
      </c>
      <c r="Q2050" s="57" t="s">
        <v>556</v>
      </c>
      <c r="R2050" s="59" t="s">
        <v>504</v>
      </c>
    </row>
    <row r="2051" spans="1:18" x14ac:dyDescent="0.5">
      <c r="A2051" s="52" t="str">
        <f>"798025RQ7"</f>
        <v>798025RQ7</v>
      </c>
      <c r="B2051" s="53" t="s">
        <v>451</v>
      </c>
      <c r="C2051" s="53" t="s">
        <v>2424</v>
      </c>
      <c r="D2051" s="53" t="s">
        <v>447</v>
      </c>
      <c r="E2051" s="53">
        <v>3</v>
      </c>
      <c r="F2051" s="54">
        <v>49355</v>
      </c>
      <c r="G2051" s="54">
        <v>48259</v>
      </c>
      <c r="H2051" s="53" t="s">
        <v>613</v>
      </c>
      <c r="I2051" s="53" t="s">
        <v>509</v>
      </c>
      <c r="J2051" s="53" t="s">
        <v>101</v>
      </c>
      <c r="K2051" s="53">
        <v>93.489000000000004</v>
      </c>
      <c r="L2051" s="53" t="s">
        <v>101</v>
      </c>
      <c r="M2051" s="53">
        <v>3.7890000000000001</v>
      </c>
      <c r="N2051" s="53">
        <v>3.7890000000000001</v>
      </c>
      <c r="O2051" s="53" t="s">
        <v>101</v>
      </c>
      <c r="P2051" s="53" t="s">
        <v>448</v>
      </c>
      <c r="Q2051" s="53" t="s">
        <v>573</v>
      </c>
      <c r="R2051" s="55" t="s">
        <v>454</v>
      </c>
    </row>
    <row r="2052" spans="1:18" x14ac:dyDescent="0.5">
      <c r="A2052" s="56" t="str">
        <f>"8225162U3"</f>
        <v>8225162U3</v>
      </c>
      <c r="B2052" s="57" t="s">
        <v>451</v>
      </c>
      <c r="C2052" s="57" t="s">
        <v>2425</v>
      </c>
      <c r="D2052" s="53" t="s">
        <v>447</v>
      </c>
      <c r="E2052" s="57">
        <v>3.125</v>
      </c>
      <c r="F2052" s="58">
        <v>49355</v>
      </c>
      <c r="G2052" s="58">
        <v>45703</v>
      </c>
      <c r="H2052" s="57" t="s">
        <v>104</v>
      </c>
      <c r="I2052" s="57" t="s">
        <v>105</v>
      </c>
      <c r="J2052" s="57" t="s">
        <v>101</v>
      </c>
      <c r="K2052" s="57">
        <v>93.864999999999995</v>
      </c>
      <c r="L2052" s="57" t="s">
        <v>101</v>
      </c>
      <c r="M2052" s="57">
        <v>3.871</v>
      </c>
      <c r="N2052" s="57">
        <v>3.871</v>
      </c>
      <c r="O2052" s="53" t="s">
        <v>101</v>
      </c>
      <c r="P2052" s="57" t="s">
        <v>448</v>
      </c>
      <c r="Q2052" s="57" t="s">
        <v>460</v>
      </c>
      <c r="R2052" s="59" t="s">
        <v>454</v>
      </c>
    </row>
    <row r="2053" spans="1:18" x14ac:dyDescent="0.5">
      <c r="A2053" s="52" t="str">
        <f>"8225165U0"</f>
        <v>8225165U0</v>
      </c>
      <c r="B2053" s="53" t="s">
        <v>451</v>
      </c>
      <c r="C2053" s="53" t="s">
        <v>2426</v>
      </c>
      <c r="D2053" s="53" t="s">
        <v>447</v>
      </c>
      <c r="E2053" s="53">
        <v>3</v>
      </c>
      <c r="F2053" s="54">
        <v>49355</v>
      </c>
      <c r="G2053" s="54">
        <v>46798</v>
      </c>
      <c r="H2053" s="53" t="s">
        <v>104</v>
      </c>
      <c r="I2053" s="53" t="s">
        <v>105</v>
      </c>
      <c r="J2053" s="53" t="s">
        <v>101</v>
      </c>
      <c r="K2053" s="53">
        <v>93</v>
      </c>
      <c r="L2053" s="53" t="s">
        <v>101</v>
      </c>
      <c r="M2053" s="53">
        <v>3.851</v>
      </c>
      <c r="N2053" s="53">
        <v>3.851</v>
      </c>
      <c r="O2053" s="53" t="s">
        <v>101</v>
      </c>
      <c r="P2053" s="53" t="s">
        <v>448</v>
      </c>
      <c r="Q2053" s="53" t="s">
        <v>782</v>
      </c>
      <c r="R2053" s="55" t="s">
        <v>454</v>
      </c>
    </row>
    <row r="2054" spans="1:18" x14ac:dyDescent="0.5">
      <c r="A2054" s="56" t="str">
        <f>"844425CF3"</f>
        <v>844425CF3</v>
      </c>
      <c r="B2054" s="57" t="s">
        <v>451</v>
      </c>
      <c r="C2054" s="57" t="s">
        <v>2427</v>
      </c>
      <c r="D2054" s="53" t="s">
        <v>447</v>
      </c>
      <c r="E2054" s="57">
        <v>3.125</v>
      </c>
      <c r="F2054" s="58">
        <v>49355</v>
      </c>
      <c r="G2054" s="58">
        <v>46068</v>
      </c>
      <c r="H2054" s="57" t="s">
        <v>104</v>
      </c>
      <c r="I2054" s="57" t="s">
        <v>628</v>
      </c>
      <c r="J2054" s="57" t="s">
        <v>101</v>
      </c>
      <c r="K2054" s="57">
        <v>95.48</v>
      </c>
      <c r="L2054" s="57" t="s">
        <v>101</v>
      </c>
      <c r="M2054" s="57">
        <v>3.669</v>
      </c>
      <c r="N2054" s="57">
        <v>3.669</v>
      </c>
      <c r="O2054" s="53" t="s">
        <v>101</v>
      </c>
      <c r="P2054" s="57" t="s">
        <v>448</v>
      </c>
      <c r="Q2054" s="57" t="s">
        <v>682</v>
      </c>
      <c r="R2054" s="59" t="s">
        <v>771</v>
      </c>
    </row>
    <row r="2055" spans="1:18" x14ac:dyDescent="0.5">
      <c r="A2055" s="52" t="str">
        <f>"881830J95"</f>
        <v>881830J95</v>
      </c>
      <c r="B2055" s="53" t="s">
        <v>451</v>
      </c>
      <c r="C2055" s="53" t="s">
        <v>2428</v>
      </c>
      <c r="D2055" s="53" t="s">
        <v>447</v>
      </c>
      <c r="E2055" s="53">
        <v>3.375</v>
      </c>
      <c r="F2055" s="54">
        <v>49355</v>
      </c>
      <c r="G2055" s="54">
        <v>46433</v>
      </c>
      <c r="H2055" s="53" t="s">
        <v>105</v>
      </c>
      <c r="I2055" s="53" t="s">
        <v>616</v>
      </c>
      <c r="J2055" s="53" t="s">
        <v>101</v>
      </c>
      <c r="K2055" s="53">
        <v>95.873000000000005</v>
      </c>
      <c r="L2055" s="53" t="s">
        <v>101</v>
      </c>
      <c r="M2055" s="53">
        <v>3.8769999999999998</v>
      </c>
      <c r="N2055" s="53">
        <v>3.8769999999999998</v>
      </c>
      <c r="O2055" s="53" t="s">
        <v>101</v>
      </c>
      <c r="P2055" s="53" t="s">
        <v>448</v>
      </c>
      <c r="Q2055" s="53" t="s">
        <v>457</v>
      </c>
      <c r="R2055" s="55" t="s">
        <v>504</v>
      </c>
    </row>
    <row r="2056" spans="1:18" x14ac:dyDescent="0.5">
      <c r="A2056" s="56" t="str">
        <f>"932440DB3"</f>
        <v>932440DB3</v>
      </c>
      <c r="B2056" s="57" t="s">
        <v>451</v>
      </c>
      <c r="C2056" s="57" t="s">
        <v>2429</v>
      </c>
      <c r="D2056" s="53" t="s">
        <v>447</v>
      </c>
      <c r="E2056" s="57">
        <v>3.375</v>
      </c>
      <c r="F2056" s="58">
        <v>49355</v>
      </c>
      <c r="G2056" s="58">
        <v>46433</v>
      </c>
      <c r="H2056" s="57" t="s">
        <v>105</v>
      </c>
      <c r="I2056" s="57" t="s">
        <v>628</v>
      </c>
      <c r="J2056" s="57" t="s">
        <v>101</v>
      </c>
      <c r="K2056" s="57">
        <v>96.494</v>
      </c>
      <c r="L2056" s="57" t="s">
        <v>101</v>
      </c>
      <c r="M2056" s="57">
        <v>3.8</v>
      </c>
      <c r="N2056" s="57">
        <v>3.8</v>
      </c>
      <c r="O2056" s="53" t="s">
        <v>101</v>
      </c>
      <c r="P2056" s="57" t="s">
        <v>448</v>
      </c>
      <c r="Q2056" s="57" t="s">
        <v>2430</v>
      </c>
      <c r="R2056" s="59" t="s">
        <v>454</v>
      </c>
    </row>
    <row r="2057" spans="1:18" x14ac:dyDescent="0.5">
      <c r="A2057" s="52" t="str">
        <f>"950868TT6"</f>
        <v>950868TT6</v>
      </c>
      <c r="B2057" s="53" t="s">
        <v>451</v>
      </c>
      <c r="C2057" s="53" t="s">
        <v>2431</v>
      </c>
      <c r="D2057" s="53" t="s">
        <v>447</v>
      </c>
      <c r="E2057" s="53">
        <v>3</v>
      </c>
      <c r="F2057" s="54">
        <v>49355</v>
      </c>
      <c r="G2057" s="54">
        <v>47529</v>
      </c>
      <c r="H2057" s="53" t="s">
        <v>105</v>
      </c>
      <c r="I2057" s="53" t="s">
        <v>616</v>
      </c>
      <c r="J2057" s="53" t="s">
        <v>101</v>
      </c>
      <c r="K2057" s="53">
        <v>91.382000000000005</v>
      </c>
      <c r="L2057" s="53" t="s">
        <v>101</v>
      </c>
      <c r="M2057" s="53">
        <v>4.0579999999999998</v>
      </c>
      <c r="N2057" s="53">
        <v>4.0579999999999998</v>
      </c>
      <c r="O2057" s="53" t="s">
        <v>101</v>
      </c>
      <c r="P2057" s="53" t="s">
        <v>448</v>
      </c>
      <c r="Q2057" s="53" t="s">
        <v>488</v>
      </c>
      <c r="R2057" s="55" t="s">
        <v>589</v>
      </c>
    </row>
    <row r="2058" spans="1:18" x14ac:dyDescent="0.5">
      <c r="A2058" t="str">
        <f>"00440EAS6"</f>
        <v>00440EAS6</v>
      </c>
      <c r="B2058" t="s">
        <v>101</v>
      </c>
      <c r="C2058" t="s">
        <v>2432</v>
      </c>
      <c r="D2058" t="s">
        <v>2433</v>
      </c>
      <c r="E2058">
        <v>3.15</v>
      </c>
      <c r="F2058" s="2">
        <v>45731</v>
      </c>
      <c r="G2058" s="2" t="s">
        <v>101</v>
      </c>
      <c r="H2058" t="s">
        <v>610</v>
      </c>
      <c r="I2058" t="s">
        <v>611</v>
      </c>
      <c r="J2058">
        <v>99.94</v>
      </c>
      <c r="K2058">
        <v>99.989000000000004</v>
      </c>
      <c r="L2058">
        <v>10.198</v>
      </c>
      <c r="M2058">
        <v>4.4020000000000001</v>
      </c>
      <c r="N2058">
        <v>4.4020000000000001</v>
      </c>
      <c r="O2058" t="s">
        <v>101</v>
      </c>
      <c r="P2058" t="s">
        <v>2434</v>
      </c>
      <c r="Q2058" t="s">
        <v>2435</v>
      </c>
      <c r="R2058" t="s">
        <v>2436</v>
      </c>
    </row>
    <row r="2059" spans="1:18" x14ac:dyDescent="0.5">
      <c r="A2059" t="str">
        <f>"512807AN8"</f>
        <v>512807AN8</v>
      </c>
      <c r="B2059" t="s">
        <v>101</v>
      </c>
      <c r="C2059" t="s">
        <v>2437</v>
      </c>
      <c r="D2059" t="s">
        <v>2433</v>
      </c>
      <c r="E2059">
        <v>3.8</v>
      </c>
      <c r="F2059" s="2">
        <v>45731</v>
      </c>
      <c r="G2059" s="2" t="s">
        <v>101</v>
      </c>
      <c r="H2059" t="s">
        <v>610</v>
      </c>
      <c r="I2059" t="s">
        <v>713</v>
      </c>
      <c r="J2059">
        <v>99.86</v>
      </c>
      <c r="K2059">
        <v>99.99</v>
      </c>
      <c r="L2059">
        <v>20.25</v>
      </c>
      <c r="M2059">
        <v>4.9089999999999998</v>
      </c>
      <c r="N2059">
        <v>4.9089999999999998</v>
      </c>
      <c r="O2059" t="s">
        <v>101</v>
      </c>
      <c r="P2059" t="s">
        <v>2438</v>
      </c>
      <c r="Q2059" t="s">
        <v>2438</v>
      </c>
      <c r="R2059" t="s">
        <v>2439</v>
      </c>
    </row>
    <row r="2060" spans="1:18" x14ac:dyDescent="0.5">
      <c r="A2060" t="str">
        <f>"30231GBH4"</f>
        <v>30231GBH4</v>
      </c>
      <c r="B2060" t="s">
        <v>101</v>
      </c>
      <c r="C2060" t="s">
        <v>2440</v>
      </c>
      <c r="D2060" t="s">
        <v>2433</v>
      </c>
      <c r="E2060">
        <v>2.992</v>
      </c>
      <c r="F2060" s="2">
        <v>45735</v>
      </c>
      <c r="G2060" s="2" t="s">
        <v>101</v>
      </c>
      <c r="H2060" t="s">
        <v>613</v>
      </c>
      <c r="I2060" t="s">
        <v>616</v>
      </c>
      <c r="J2060">
        <v>99.962000000000003</v>
      </c>
      <c r="K2060">
        <v>99.968999999999994</v>
      </c>
      <c r="L2060">
        <v>4.8780000000000001</v>
      </c>
      <c r="M2060">
        <v>4.5229999999999997</v>
      </c>
      <c r="N2060">
        <v>4.5229999999999997</v>
      </c>
      <c r="O2060" t="s">
        <v>101</v>
      </c>
      <c r="P2060" t="s">
        <v>2434</v>
      </c>
      <c r="Q2060" t="s">
        <v>2441</v>
      </c>
      <c r="R2060" t="s">
        <v>2436</v>
      </c>
    </row>
    <row r="2061" spans="1:18" x14ac:dyDescent="0.5">
      <c r="A2061" t="str">
        <f>"254687FN1"</f>
        <v>254687FN1</v>
      </c>
      <c r="B2061" t="s">
        <v>101</v>
      </c>
      <c r="C2061" t="s">
        <v>2442</v>
      </c>
      <c r="D2061" t="s">
        <v>2433</v>
      </c>
      <c r="E2061">
        <v>3.35</v>
      </c>
      <c r="F2061" s="2">
        <v>45740</v>
      </c>
      <c r="G2061" s="2" t="s">
        <v>101</v>
      </c>
      <c r="H2061" t="s">
        <v>610</v>
      </c>
      <c r="I2061" t="s">
        <v>611</v>
      </c>
      <c r="J2061">
        <v>99.887</v>
      </c>
      <c r="K2061">
        <v>99.957999999999998</v>
      </c>
      <c r="L2061">
        <v>6.6440000000000001</v>
      </c>
      <c r="M2061">
        <v>4.5410000000000004</v>
      </c>
      <c r="N2061">
        <v>4.5410000000000004</v>
      </c>
      <c r="O2061" t="s">
        <v>101</v>
      </c>
      <c r="P2061" t="s">
        <v>2443</v>
      </c>
      <c r="Q2061" t="s">
        <v>2444</v>
      </c>
      <c r="R2061" t="s">
        <v>2436</v>
      </c>
    </row>
    <row r="2062" spans="1:18" x14ac:dyDescent="0.5">
      <c r="A2062" t="str">
        <f>"168863BW7"</f>
        <v>168863BW7</v>
      </c>
      <c r="B2062" t="s">
        <v>101</v>
      </c>
      <c r="C2062" t="s">
        <v>2445</v>
      </c>
      <c r="D2062" t="s">
        <v>2433</v>
      </c>
      <c r="E2062">
        <v>3.125</v>
      </c>
      <c r="F2062" s="2">
        <v>45743</v>
      </c>
      <c r="G2062" s="2" t="s">
        <v>101</v>
      </c>
      <c r="H2062" t="s">
        <v>610</v>
      </c>
      <c r="I2062" t="s">
        <v>611</v>
      </c>
      <c r="J2062" t="s">
        <v>101</v>
      </c>
      <c r="K2062">
        <v>99.96</v>
      </c>
      <c r="L2062" t="s">
        <v>101</v>
      </c>
      <c r="M2062">
        <v>4.0289999999999999</v>
      </c>
      <c r="N2062">
        <v>4.0289999999999999</v>
      </c>
      <c r="O2062" t="s">
        <v>101</v>
      </c>
      <c r="P2062" t="s">
        <v>448</v>
      </c>
      <c r="Q2062" t="s">
        <v>228</v>
      </c>
      <c r="R2062" t="s">
        <v>2439</v>
      </c>
    </row>
    <row r="2063" spans="1:18" x14ac:dyDescent="0.5">
      <c r="A2063" t="str">
        <f>"654106AH6"</f>
        <v>654106AH6</v>
      </c>
      <c r="B2063" t="s">
        <v>101</v>
      </c>
      <c r="C2063" t="s">
        <v>2446</v>
      </c>
      <c r="D2063" t="s">
        <v>2433</v>
      </c>
      <c r="E2063">
        <v>2.4</v>
      </c>
      <c r="F2063" s="2">
        <v>45743</v>
      </c>
      <c r="G2063" s="2">
        <v>45738</v>
      </c>
      <c r="H2063" t="s">
        <v>641</v>
      </c>
      <c r="I2063" t="s">
        <v>616</v>
      </c>
      <c r="J2063">
        <v>99.863</v>
      </c>
      <c r="K2063">
        <v>99.924000000000007</v>
      </c>
      <c r="L2063">
        <v>5.6289999999999996</v>
      </c>
      <c r="M2063">
        <v>4.181</v>
      </c>
      <c r="N2063">
        <v>4.181</v>
      </c>
      <c r="O2063" t="s">
        <v>101</v>
      </c>
      <c r="P2063" t="s">
        <v>2447</v>
      </c>
      <c r="Q2063" t="s">
        <v>2448</v>
      </c>
      <c r="R2063" t="s">
        <v>2436</v>
      </c>
    </row>
    <row r="2064" spans="1:18" x14ac:dyDescent="0.5">
      <c r="A2064" t="str">
        <f>"12189LAV3"</f>
        <v>12189LAV3</v>
      </c>
      <c r="B2064" t="s">
        <v>101</v>
      </c>
      <c r="C2064" t="s">
        <v>2449</v>
      </c>
      <c r="D2064" t="s">
        <v>2433</v>
      </c>
      <c r="E2064">
        <v>3</v>
      </c>
      <c r="F2064" s="2">
        <v>45748</v>
      </c>
      <c r="G2064" s="2">
        <v>45738</v>
      </c>
      <c r="H2064" t="s">
        <v>610</v>
      </c>
      <c r="I2064" t="s">
        <v>616</v>
      </c>
      <c r="J2064">
        <v>99.875</v>
      </c>
      <c r="K2064">
        <v>99.927000000000007</v>
      </c>
      <c r="L2064">
        <v>5.3040000000000003</v>
      </c>
      <c r="M2064">
        <v>4.3280000000000003</v>
      </c>
      <c r="N2064">
        <v>4.3280000000000003</v>
      </c>
      <c r="O2064" t="s">
        <v>101</v>
      </c>
      <c r="P2064" t="s">
        <v>2450</v>
      </c>
      <c r="Q2064" t="s">
        <v>2451</v>
      </c>
      <c r="R2064" t="s">
        <v>2436</v>
      </c>
    </row>
    <row r="2065" spans="1:18" x14ac:dyDescent="0.5">
      <c r="A2065" t="str">
        <f>"26875PAM3"</f>
        <v>26875PAM3</v>
      </c>
      <c r="B2065" t="s">
        <v>101</v>
      </c>
      <c r="C2065" t="s">
        <v>2452</v>
      </c>
      <c r="D2065" t="s">
        <v>2433</v>
      </c>
      <c r="E2065">
        <v>3.15</v>
      </c>
      <c r="F2065" s="2">
        <v>45748</v>
      </c>
      <c r="G2065" s="2" t="s">
        <v>101</v>
      </c>
      <c r="H2065" t="s">
        <v>627</v>
      </c>
      <c r="I2065" t="s">
        <v>713</v>
      </c>
      <c r="J2065">
        <v>99.85</v>
      </c>
      <c r="K2065">
        <v>99.905000000000001</v>
      </c>
      <c r="L2065">
        <v>5.9180000000000001</v>
      </c>
      <c r="M2065">
        <v>4.8860000000000001</v>
      </c>
      <c r="N2065">
        <v>4.8860000000000001</v>
      </c>
      <c r="O2065" t="s">
        <v>101</v>
      </c>
      <c r="P2065" t="s">
        <v>2434</v>
      </c>
      <c r="Q2065" t="s">
        <v>605</v>
      </c>
      <c r="R2065" t="s">
        <v>2436</v>
      </c>
    </row>
    <row r="2066" spans="1:18" x14ac:dyDescent="0.5">
      <c r="A2066" t="str">
        <f>"75972YAA9"</f>
        <v>75972YAA9</v>
      </c>
      <c r="B2066" t="s">
        <v>101</v>
      </c>
      <c r="C2066" t="s">
        <v>2453</v>
      </c>
      <c r="D2066" t="s">
        <v>2433</v>
      </c>
      <c r="E2066">
        <v>3.7</v>
      </c>
      <c r="F2066" s="2">
        <v>45748</v>
      </c>
      <c r="G2066" s="2" t="s">
        <v>101</v>
      </c>
      <c r="H2066" t="s">
        <v>627</v>
      </c>
      <c r="I2066" t="s">
        <v>713</v>
      </c>
      <c r="J2066">
        <v>99.846000000000004</v>
      </c>
      <c r="K2066">
        <v>99.962000000000003</v>
      </c>
      <c r="L2066">
        <v>6.52</v>
      </c>
      <c r="M2066">
        <v>4.3499999999999996</v>
      </c>
      <c r="N2066">
        <v>4.3499999999999996</v>
      </c>
      <c r="O2066" t="s">
        <v>101</v>
      </c>
      <c r="P2066" t="s">
        <v>2454</v>
      </c>
      <c r="Q2066" t="s">
        <v>1702</v>
      </c>
      <c r="R2066" t="s">
        <v>2436</v>
      </c>
    </row>
    <row r="2067" spans="1:18" x14ac:dyDescent="0.5">
      <c r="A2067" t="str">
        <f>"808513BV6"</f>
        <v>808513BV6</v>
      </c>
      <c r="B2067" t="s">
        <v>101</v>
      </c>
      <c r="C2067" t="s">
        <v>2455</v>
      </c>
      <c r="D2067" t="s">
        <v>2433</v>
      </c>
      <c r="E2067">
        <v>3.625</v>
      </c>
      <c r="F2067" s="2">
        <v>45748</v>
      </c>
      <c r="G2067" s="2">
        <v>45738</v>
      </c>
      <c r="H2067" t="s">
        <v>610</v>
      </c>
      <c r="I2067" t="s">
        <v>713</v>
      </c>
      <c r="J2067">
        <v>99.841999999999999</v>
      </c>
      <c r="K2067">
        <v>99.962999999999994</v>
      </c>
      <c r="L2067">
        <v>6.5229999999999997</v>
      </c>
      <c r="M2067">
        <v>4.2590000000000003</v>
      </c>
      <c r="N2067">
        <v>4.2590000000000003</v>
      </c>
      <c r="O2067" t="s">
        <v>101</v>
      </c>
      <c r="P2067" t="s">
        <v>2454</v>
      </c>
      <c r="Q2067" t="s">
        <v>1702</v>
      </c>
      <c r="R2067" t="s">
        <v>2436</v>
      </c>
    </row>
    <row r="2068" spans="1:18" x14ac:dyDescent="0.5">
      <c r="A2068" t="str">
        <f>"911312BX3"</f>
        <v>911312BX3</v>
      </c>
      <c r="B2068" t="s">
        <v>101</v>
      </c>
      <c r="C2068" t="s">
        <v>2456</v>
      </c>
      <c r="D2068" t="s">
        <v>2433</v>
      </c>
      <c r="E2068">
        <v>3.9</v>
      </c>
      <c r="F2068" s="2">
        <v>45748</v>
      </c>
      <c r="G2068" s="2">
        <v>45738</v>
      </c>
      <c r="H2068" t="s">
        <v>610</v>
      </c>
      <c r="I2068" t="s">
        <v>611</v>
      </c>
      <c r="J2068">
        <v>99.875</v>
      </c>
      <c r="K2068">
        <v>99.974000000000004</v>
      </c>
      <c r="L2068">
        <v>6.1689999999999996</v>
      </c>
      <c r="M2068">
        <v>4.3179999999999996</v>
      </c>
      <c r="N2068">
        <v>4.3179999999999996</v>
      </c>
      <c r="O2068" t="s">
        <v>101</v>
      </c>
      <c r="P2068" t="s">
        <v>2457</v>
      </c>
      <c r="Q2068" t="s">
        <v>1236</v>
      </c>
      <c r="R2068" t="s">
        <v>2436</v>
      </c>
    </row>
    <row r="2069" spans="1:18" x14ac:dyDescent="0.5">
      <c r="A2069" t="str">
        <f>"03076CAK2"</f>
        <v>03076CAK2</v>
      </c>
      <c r="B2069" t="s">
        <v>101</v>
      </c>
      <c r="C2069" t="s">
        <v>2458</v>
      </c>
      <c r="D2069" t="s">
        <v>2433</v>
      </c>
      <c r="E2069">
        <v>3</v>
      </c>
      <c r="F2069" s="2">
        <v>45749</v>
      </c>
      <c r="G2069" s="2">
        <v>45743</v>
      </c>
      <c r="H2069" t="s">
        <v>627</v>
      </c>
      <c r="I2069" t="s">
        <v>713</v>
      </c>
      <c r="J2069">
        <v>99.855000000000004</v>
      </c>
      <c r="K2069">
        <v>99.882000000000005</v>
      </c>
      <c r="L2069">
        <v>5.5380000000000003</v>
      </c>
      <c r="M2069">
        <v>5.0620000000000003</v>
      </c>
      <c r="N2069">
        <v>5.0620000000000003</v>
      </c>
      <c r="O2069" t="s">
        <v>101</v>
      </c>
      <c r="P2069" t="s">
        <v>2447</v>
      </c>
      <c r="Q2069" t="s">
        <v>1702</v>
      </c>
      <c r="R2069" t="s">
        <v>2436</v>
      </c>
    </row>
    <row r="2070" spans="1:18" x14ac:dyDescent="0.5">
      <c r="A2070" t="str">
        <f>"29446MAD4"</f>
        <v>29446MAD4</v>
      </c>
      <c r="B2070" t="s">
        <v>101</v>
      </c>
      <c r="C2070" t="s">
        <v>2459</v>
      </c>
      <c r="D2070" t="s">
        <v>2433</v>
      </c>
      <c r="E2070">
        <v>2.875</v>
      </c>
      <c r="F2070" s="2">
        <v>45753</v>
      </c>
      <c r="G2070" s="2" t="s">
        <v>101</v>
      </c>
      <c r="H2070" t="s">
        <v>613</v>
      </c>
      <c r="I2070" t="s">
        <v>616</v>
      </c>
      <c r="J2070">
        <v>99.805999999999997</v>
      </c>
      <c r="K2070">
        <v>99.893000000000001</v>
      </c>
      <c r="L2070">
        <v>5.7190000000000003</v>
      </c>
      <c r="M2070">
        <v>4.43</v>
      </c>
      <c r="N2070">
        <v>4.43</v>
      </c>
      <c r="O2070" t="s">
        <v>101</v>
      </c>
      <c r="P2070" t="s">
        <v>2460</v>
      </c>
      <c r="Q2070" t="s">
        <v>2461</v>
      </c>
      <c r="R2070" t="s">
        <v>2436</v>
      </c>
    </row>
    <row r="2071" spans="1:18" x14ac:dyDescent="0.5">
      <c r="A2071" t="str">
        <f>"023135CE4"</f>
        <v>023135CE4</v>
      </c>
      <c r="B2071" t="s">
        <v>101</v>
      </c>
      <c r="C2071" t="s">
        <v>2462</v>
      </c>
      <c r="D2071" t="s">
        <v>2433</v>
      </c>
      <c r="E2071">
        <v>3</v>
      </c>
      <c r="F2071" s="2">
        <v>45760</v>
      </c>
      <c r="G2071" s="2" t="s">
        <v>101</v>
      </c>
      <c r="H2071" t="s">
        <v>641</v>
      </c>
      <c r="I2071" t="s">
        <v>628</v>
      </c>
      <c r="J2071">
        <v>99.733000000000004</v>
      </c>
      <c r="K2071">
        <v>99.897000000000006</v>
      </c>
      <c r="L2071">
        <v>6.0419999999999998</v>
      </c>
      <c r="M2071">
        <v>4.149</v>
      </c>
      <c r="N2071">
        <v>4.149</v>
      </c>
      <c r="O2071" t="s">
        <v>101</v>
      </c>
      <c r="P2071" t="s">
        <v>2463</v>
      </c>
      <c r="Q2071" t="s">
        <v>2438</v>
      </c>
      <c r="R2071" t="s">
        <v>2436</v>
      </c>
    </row>
    <row r="2072" spans="1:18" x14ac:dyDescent="0.5">
      <c r="A2072" t="str">
        <f>"78016EZ59"</f>
        <v>78016EZ59</v>
      </c>
      <c r="B2072" t="s">
        <v>101</v>
      </c>
      <c r="C2072" t="s">
        <v>2464</v>
      </c>
      <c r="D2072" t="s">
        <v>2433</v>
      </c>
      <c r="E2072">
        <v>3.375</v>
      </c>
      <c r="F2072" s="2">
        <v>45761</v>
      </c>
      <c r="G2072" s="2" t="s">
        <v>105</v>
      </c>
      <c r="H2072" t="s">
        <v>641</v>
      </c>
      <c r="I2072" t="s">
        <v>611</v>
      </c>
      <c r="J2072">
        <v>99.849000000000004</v>
      </c>
      <c r="K2072">
        <v>99.918000000000006</v>
      </c>
      <c r="L2072">
        <v>5.0119999999999996</v>
      </c>
      <c r="M2072">
        <v>4.242</v>
      </c>
      <c r="N2072">
        <v>4.242</v>
      </c>
      <c r="O2072" t="s">
        <v>101</v>
      </c>
      <c r="P2072" t="s">
        <v>2434</v>
      </c>
      <c r="Q2072" t="s">
        <v>1702</v>
      </c>
      <c r="R2072" t="s">
        <v>2465</v>
      </c>
    </row>
    <row r="2073" spans="1:18" x14ac:dyDescent="0.5">
      <c r="A2073" t="str">
        <f>"084659AT8"</f>
        <v>084659AT8</v>
      </c>
      <c r="B2073" t="s">
        <v>101</v>
      </c>
      <c r="C2073" t="s">
        <v>2466</v>
      </c>
      <c r="D2073" t="s">
        <v>2433</v>
      </c>
      <c r="E2073">
        <v>4.05</v>
      </c>
      <c r="F2073" s="2">
        <v>45762</v>
      </c>
      <c r="G2073" s="2">
        <v>45731</v>
      </c>
      <c r="H2073" t="s">
        <v>627</v>
      </c>
      <c r="I2073" t="s">
        <v>713</v>
      </c>
      <c r="J2073">
        <v>99.853999999999999</v>
      </c>
      <c r="K2073">
        <v>99.947999999999993</v>
      </c>
      <c r="L2073">
        <v>5.5590000000000002</v>
      </c>
      <c r="M2073">
        <v>4.5439999999999996</v>
      </c>
      <c r="N2073">
        <v>4.5439999999999996</v>
      </c>
      <c r="O2073" t="s">
        <v>101</v>
      </c>
      <c r="P2073" t="s">
        <v>2434</v>
      </c>
      <c r="Q2073" t="s">
        <v>2467</v>
      </c>
      <c r="R2073" t="s">
        <v>2436</v>
      </c>
    </row>
    <row r="2074" spans="1:18" x14ac:dyDescent="0.5">
      <c r="A2074" t="str">
        <f>"115637AS9"</f>
        <v>115637AS9</v>
      </c>
      <c r="B2074" t="s">
        <v>101</v>
      </c>
      <c r="C2074" t="s">
        <v>2468</v>
      </c>
      <c r="D2074" t="s">
        <v>2433</v>
      </c>
      <c r="E2074">
        <v>3.5</v>
      </c>
      <c r="F2074" s="2">
        <v>45762</v>
      </c>
      <c r="G2074" s="2">
        <v>45743</v>
      </c>
      <c r="H2074" t="s">
        <v>641</v>
      </c>
      <c r="I2074" t="s">
        <v>713</v>
      </c>
      <c r="J2074">
        <v>99.813999999999993</v>
      </c>
      <c r="K2074">
        <v>99.938999999999993</v>
      </c>
      <c r="L2074">
        <v>5.4610000000000003</v>
      </c>
      <c r="M2074">
        <v>4.109</v>
      </c>
      <c r="N2074">
        <v>4.109</v>
      </c>
      <c r="O2074" t="s">
        <v>101</v>
      </c>
      <c r="P2074" t="s">
        <v>1064</v>
      </c>
      <c r="Q2074" t="s">
        <v>1064</v>
      </c>
      <c r="R2074" t="s">
        <v>2436</v>
      </c>
    </row>
    <row r="2075" spans="1:18" x14ac:dyDescent="0.5">
      <c r="A2075" t="str">
        <f>"244199BH7"</f>
        <v>244199BH7</v>
      </c>
      <c r="B2075" t="s">
        <v>101</v>
      </c>
      <c r="C2075" t="s">
        <v>2469</v>
      </c>
      <c r="D2075" t="s">
        <v>2433</v>
      </c>
      <c r="E2075">
        <v>2.75</v>
      </c>
      <c r="F2075" s="2">
        <v>45762</v>
      </c>
      <c r="G2075" s="2">
        <v>45731</v>
      </c>
      <c r="H2075" t="s">
        <v>641</v>
      </c>
      <c r="I2075" t="s">
        <v>611</v>
      </c>
      <c r="J2075">
        <v>99.77</v>
      </c>
      <c r="K2075">
        <v>99.873999999999995</v>
      </c>
      <c r="L2075">
        <v>5.2130000000000001</v>
      </c>
      <c r="M2075">
        <v>4.0839999999999996</v>
      </c>
      <c r="N2075">
        <v>4.0839999999999996</v>
      </c>
      <c r="O2075" t="s">
        <v>101</v>
      </c>
      <c r="P2075" t="s">
        <v>790</v>
      </c>
      <c r="Q2075" t="s">
        <v>2470</v>
      </c>
      <c r="R2075" t="s">
        <v>2436</v>
      </c>
    </row>
    <row r="2076" spans="1:18" x14ac:dyDescent="0.5">
      <c r="A2076" t="str">
        <f>"437076CM2"</f>
        <v>437076CM2</v>
      </c>
      <c r="B2076" t="s">
        <v>101</v>
      </c>
      <c r="C2076" t="s">
        <v>2471</v>
      </c>
      <c r="D2076" t="s">
        <v>2433</v>
      </c>
      <c r="E2076">
        <v>2.7</v>
      </c>
      <c r="F2076" s="2">
        <v>45762</v>
      </c>
      <c r="G2076" s="2">
        <v>45731</v>
      </c>
      <c r="H2076" t="s">
        <v>610</v>
      </c>
      <c r="I2076" t="s">
        <v>611</v>
      </c>
      <c r="J2076">
        <v>99.730999999999995</v>
      </c>
      <c r="K2076">
        <v>99.869</v>
      </c>
      <c r="L2076">
        <v>5.5860000000000003</v>
      </c>
      <c r="M2076">
        <v>4.0839999999999996</v>
      </c>
      <c r="N2076">
        <v>4.0890000000000004</v>
      </c>
      <c r="O2076" t="s">
        <v>101</v>
      </c>
      <c r="P2076" t="s">
        <v>2472</v>
      </c>
      <c r="Q2076" t="s">
        <v>2473</v>
      </c>
      <c r="R2076" t="s">
        <v>2436</v>
      </c>
    </row>
    <row r="2077" spans="1:18" x14ac:dyDescent="0.5">
      <c r="A2077" t="str">
        <f>"756109AV6"</f>
        <v>756109AV6</v>
      </c>
      <c r="B2077" t="s">
        <v>101</v>
      </c>
      <c r="C2077" t="s">
        <v>2474</v>
      </c>
      <c r="D2077" t="s">
        <v>2433</v>
      </c>
      <c r="E2077">
        <v>3.875</v>
      </c>
      <c r="F2077" s="2">
        <v>45762</v>
      </c>
      <c r="G2077" s="2">
        <v>45758</v>
      </c>
      <c r="H2077" t="s">
        <v>627</v>
      </c>
      <c r="I2077" t="s">
        <v>713</v>
      </c>
      <c r="J2077">
        <v>99.905000000000001</v>
      </c>
      <c r="K2077">
        <v>99.971999999999994</v>
      </c>
      <c r="L2077">
        <v>4.8390000000000004</v>
      </c>
      <c r="M2077">
        <v>4.1159999999999997</v>
      </c>
      <c r="N2077">
        <v>4.1159999999999997</v>
      </c>
      <c r="O2077" t="s">
        <v>101</v>
      </c>
      <c r="P2077" t="s">
        <v>2447</v>
      </c>
      <c r="Q2077" t="s">
        <v>2475</v>
      </c>
      <c r="R2077" t="s">
        <v>2436</v>
      </c>
    </row>
    <row r="2078" spans="1:18" x14ac:dyDescent="0.5">
      <c r="A2078" t="str">
        <f>"87612EBL9"</f>
        <v>87612EBL9</v>
      </c>
      <c r="B2078" t="s">
        <v>101</v>
      </c>
      <c r="C2078" t="s">
        <v>2476</v>
      </c>
      <c r="D2078" t="s">
        <v>2433</v>
      </c>
      <c r="E2078">
        <v>2.25</v>
      </c>
      <c r="F2078" s="2">
        <v>45762</v>
      </c>
      <c r="G2078" s="2">
        <v>45731</v>
      </c>
      <c r="H2078" t="s">
        <v>610</v>
      </c>
      <c r="I2078" t="s">
        <v>611</v>
      </c>
      <c r="J2078">
        <v>99.747</v>
      </c>
      <c r="K2078">
        <v>99.790999999999997</v>
      </c>
      <c r="L2078">
        <v>4.9770000000000003</v>
      </c>
      <c r="M2078">
        <v>4.4969999999999999</v>
      </c>
      <c r="N2078">
        <v>4.4980000000000002</v>
      </c>
      <c r="O2078" t="s">
        <v>101</v>
      </c>
      <c r="P2078" t="s">
        <v>2477</v>
      </c>
      <c r="Q2078" t="s">
        <v>2478</v>
      </c>
      <c r="R2078" t="s">
        <v>2436</v>
      </c>
    </row>
    <row r="2079" spans="1:18" x14ac:dyDescent="0.5">
      <c r="A2079" t="str">
        <f>"125523AV2"</f>
        <v>125523AV2</v>
      </c>
      <c r="B2079" t="s">
        <v>101</v>
      </c>
      <c r="C2079" t="s">
        <v>2479</v>
      </c>
      <c r="D2079" t="s">
        <v>2433</v>
      </c>
      <c r="E2079">
        <v>3.25</v>
      </c>
      <c r="F2079" s="2">
        <v>45762</v>
      </c>
      <c r="G2079" s="2">
        <v>45743</v>
      </c>
      <c r="H2079" t="s">
        <v>670</v>
      </c>
      <c r="I2079" t="s">
        <v>713</v>
      </c>
      <c r="J2079">
        <v>99.808000000000007</v>
      </c>
      <c r="K2079">
        <v>99.908000000000001</v>
      </c>
      <c r="L2079">
        <v>5.2850000000000001</v>
      </c>
      <c r="M2079">
        <v>4.202</v>
      </c>
      <c r="N2079">
        <v>4.202</v>
      </c>
      <c r="O2079" t="s">
        <v>101</v>
      </c>
      <c r="P2079" t="s">
        <v>2434</v>
      </c>
      <c r="Q2079" t="s">
        <v>1702</v>
      </c>
      <c r="R2079" t="s">
        <v>2436</v>
      </c>
    </row>
    <row r="2080" spans="1:18" x14ac:dyDescent="0.5">
      <c r="A2080" t="str">
        <f>"06406RAN7"</f>
        <v>06406RAN7</v>
      </c>
      <c r="B2080" t="s">
        <v>101</v>
      </c>
      <c r="C2080" t="s">
        <v>2480</v>
      </c>
      <c r="D2080" t="s">
        <v>2433</v>
      </c>
      <c r="E2080">
        <v>1.6</v>
      </c>
      <c r="F2080" s="2">
        <v>45771</v>
      </c>
      <c r="G2080" s="2">
        <v>45740</v>
      </c>
      <c r="H2080" t="s">
        <v>624</v>
      </c>
      <c r="I2080" t="s">
        <v>611</v>
      </c>
      <c r="J2080">
        <v>99.572000000000003</v>
      </c>
      <c r="K2080">
        <v>99.715999999999994</v>
      </c>
      <c r="L2080">
        <v>5.2590000000000003</v>
      </c>
      <c r="M2080">
        <v>4.0209999999999999</v>
      </c>
      <c r="N2080">
        <v>4.0209999999999999</v>
      </c>
      <c r="O2080" t="s">
        <v>101</v>
      </c>
      <c r="P2080" t="s">
        <v>2481</v>
      </c>
      <c r="Q2080" t="s">
        <v>2482</v>
      </c>
      <c r="R2080" t="s">
        <v>2436</v>
      </c>
    </row>
    <row r="2081" spans="1:18" x14ac:dyDescent="0.5">
      <c r="A2081" t="str">
        <f>"78016FZY3"</f>
        <v>78016FZY3</v>
      </c>
      <c r="B2081" t="s">
        <v>101</v>
      </c>
      <c r="C2081" t="s">
        <v>2483</v>
      </c>
      <c r="D2081" t="s">
        <v>2433</v>
      </c>
      <c r="E2081">
        <v>4.95</v>
      </c>
      <c r="F2081" s="2">
        <v>45772</v>
      </c>
      <c r="G2081" s="2" t="s">
        <v>105</v>
      </c>
      <c r="H2081" t="s">
        <v>641</v>
      </c>
      <c r="I2081" t="s">
        <v>611</v>
      </c>
      <c r="J2081">
        <v>99.962999999999994</v>
      </c>
      <c r="K2081">
        <v>100.068</v>
      </c>
      <c r="L2081">
        <v>5.1639999999999997</v>
      </c>
      <c r="M2081">
        <v>4.2969999999999997</v>
      </c>
      <c r="N2081">
        <v>4.2969999999999997</v>
      </c>
      <c r="O2081" t="s">
        <v>101</v>
      </c>
      <c r="P2081" t="s">
        <v>2454</v>
      </c>
      <c r="Q2081" t="s">
        <v>2484</v>
      </c>
      <c r="R2081" t="s">
        <v>2465</v>
      </c>
    </row>
    <row r="2082" spans="1:18" x14ac:dyDescent="0.5">
      <c r="A2082" t="str">
        <f>"13607LNF6"</f>
        <v>13607LNF6</v>
      </c>
      <c r="B2082" t="s">
        <v>101</v>
      </c>
      <c r="C2082" t="s">
        <v>2485</v>
      </c>
      <c r="D2082" t="s">
        <v>2433</v>
      </c>
      <c r="E2082">
        <v>5.1440000000000001</v>
      </c>
      <c r="F2082" s="2">
        <v>45775</v>
      </c>
      <c r="G2082" s="2" t="s">
        <v>101</v>
      </c>
      <c r="H2082" t="s">
        <v>610</v>
      </c>
      <c r="I2082" t="s">
        <v>713</v>
      </c>
      <c r="J2082">
        <v>99.989000000000004</v>
      </c>
      <c r="K2082">
        <v>100.066</v>
      </c>
      <c r="L2082">
        <v>5.1319999999999997</v>
      </c>
      <c r="M2082">
        <v>4.5380000000000003</v>
      </c>
      <c r="N2082">
        <v>4.5380000000000003</v>
      </c>
      <c r="O2082" t="s">
        <v>101</v>
      </c>
      <c r="P2082" t="s">
        <v>2454</v>
      </c>
      <c r="Q2082" t="s">
        <v>2486</v>
      </c>
      <c r="R2082" t="s">
        <v>2436</v>
      </c>
    </row>
    <row r="2083" spans="1:18" x14ac:dyDescent="0.5">
      <c r="A2083" t="str">
        <f>"437076CU4"</f>
        <v>437076CU4</v>
      </c>
      <c r="B2083" t="s">
        <v>101</v>
      </c>
      <c r="C2083" t="s">
        <v>2487</v>
      </c>
      <c r="D2083" t="s">
        <v>2433</v>
      </c>
      <c r="E2083">
        <v>5.125</v>
      </c>
      <c r="F2083" s="2">
        <v>45777</v>
      </c>
      <c r="G2083" s="2" t="s">
        <v>101</v>
      </c>
      <c r="H2083" t="s">
        <v>610</v>
      </c>
      <c r="I2083" t="s">
        <v>611</v>
      </c>
      <c r="J2083">
        <v>99.918000000000006</v>
      </c>
      <c r="K2083">
        <v>100.136</v>
      </c>
      <c r="L2083">
        <v>5.6390000000000002</v>
      </c>
      <c r="M2083">
        <v>4.024</v>
      </c>
      <c r="N2083">
        <v>4.024</v>
      </c>
      <c r="O2083" t="s">
        <v>101</v>
      </c>
      <c r="P2083" t="s">
        <v>2488</v>
      </c>
      <c r="Q2083" t="s">
        <v>2489</v>
      </c>
      <c r="R2083" t="s">
        <v>2436</v>
      </c>
    </row>
    <row r="2084" spans="1:18" x14ac:dyDescent="0.5">
      <c r="A2084" t="str">
        <f>"713448CT3"</f>
        <v>713448CT3</v>
      </c>
      <c r="B2084" t="s">
        <v>101</v>
      </c>
      <c r="C2084" t="s">
        <v>2490</v>
      </c>
      <c r="D2084" t="s">
        <v>2433</v>
      </c>
      <c r="E2084">
        <v>2.75</v>
      </c>
      <c r="F2084" s="2">
        <v>45777</v>
      </c>
      <c r="G2084" s="2">
        <v>45758</v>
      </c>
      <c r="H2084" t="s">
        <v>641</v>
      </c>
      <c r="I2084" t="s">
        <v>658</v>
      </c>
      <c r="J2084">
        <v>99.718999999999994</v>
      </c>
      <c r="K2084">
        <v>99.825999999999993</v>
      </c>
      <c r="L2084">
        <v>4.8220000000000001</v>
      </c>
      <c r="M2084">
        <v>4.0209999999999999</v>
      </c>
      <c r="N2084">
        <v>4.0209999999999999</v>
      </c>
      <c r="O2084" t="s">
        <v>101</v>
      </c>
      <c r="P2084" t="s">
        <v>1236</v>
      </c>
      <c r="Q2084" t="s">
        <v>2491</v>
      </c>
      <c r="R2084" t="s">
        <v>2436</v>
      </c>
    </row>
    <row r="2085" spans="1:18" x14ac:dyDescent="0.5">
      <c r="A2085" t="str">
        <f>"06367WB85"</f>
        <v>06367WB85</v>
      </c>
      <c r="B2085" t="s">
        <v>101</v>
      </c>
      <c r="C2085" t="s">
        <v>2492</v>
      </c>
      <c r="D2085" t="s">
        <v>2433</v>
      </c>
      <c r="E2085">
        <v>1.85</v>
      </c>
      <c r="F2085" s="2">
        <v>45778</v>
      </c>
      <c r="G2085" s="2" t="s">
        <v>101</v>
      </c>
      <c r="H2085" t="s">
        <v>610</v>
      </c>
      <c r="I2085" t="s">
        <v>713</v>
      </c>
      <c r="J2085">
        <v>99.578000000000003</v>
      </c>
      <c r="K2085">
        <v>99.680999999999997</v>
      </c>
      <c r="L2085">
        <v>4.9379999999999997</v>
      </c>
      <c r="M2085">
        <v>4.1790000000000003</v>
      </c>
      <c r="N2085">
        <v>4.1790000000000003</v>
      </c>
      <c r="O2085" t="s">
        <v>101</v>
      </c>
      <c r="P2085" t="s">
        <v>2493</v>
      </c>
      <c r="Q2085" t="s">
        <v>2494</v>
      </c>
      <c r="R2085" t="s">
        <v>2436</v>
      </c>
    </row>
    <row r="2086" spans="1:18" x14ac:dyDescent="0.5">
      <c r="A2086" t="str">
        <f>"718172CN7"</f>
        <v>718172CN7</v>
      </c>
      <c r="B2086" t="s">
        <v>101</v>
      </c>
      <c r="C2086" t="s">
        <v>2495</v>
      </c>
      <c r="D2086" t="s">
        <v>2433</v>
      </c>
      <c r="E2086">
        <v>1.5</v>
      </c>
      <c r="F2086" s="2">
        <v>45778</v>
      </c>
      <c r="G2086" s="2">
        <v>45748</v>
      </c>
      <c r="H2086" t="s">
        <v>610</v>
      </c>
      <c r="I2086" t="s">
        <v>713</v>
      </c>
      <c r="J2086">
        <v>99.552999999999997</v>
      </c>
      <c r="K2086">
        <v>99.647999999999996</v>
      </c>
      <c r="L2086">
        <v>4.7789999999999999</v>
      </c>
      <c r="M2086">
        <v>4.0780000000000003</v>
      </c>
      <c r="N2086">
        <v>4.0780000000000003</v>
      </c>
      <c r="O2086" t="s">
        <v>101</v>
      </c>
      <c r="P2086" t="s">
        <v>1702</v>
      </c>
      <c r="Q2086" t="s">
        <v>1391</v>
      </c>
      <c r="R2086" t="s">
        <v>2436</v>
      </c>
    </row>
    <row r="2087" spans="1:18" x14ac:dyDescent="0.5">
      <c r="A2087" t="str">
        <f>"867914BS1"</f>
        <v>867914BS1</v>
      </c>
      <c r="B2087" t="s">
        <v>101</v>
      </c>
      <c r="C2087" t="s">
        <v>2496</v>
      </c>
      <c r="D2087" t="s">
        <v>2433</v>
      </c>
      <c r="E2087">
        <v>4</v>
      </c>
      <c r="F2087" s="2">
        <v>45778</v>
      </c>
      <c r="G2087" s="2">
        <v>45738</v>
      </c>
      <c r="H2087" t="s">
        <v>670</v>
      </c>
      <c r="I2087" t="s">
        <v>713</v>
      </c>
      <c r="J2087">
        <v>99.876000000000005</v>
      </c>
      <c r="K2087">
        <v>99.915999999999997</v>
      </c>
      <c r="L2087">
        <v>4.8460000000000001</v>
      </c>
      <c r="M2087">
        <v>4.5549999999999997</v>
      </c>
      <c r="N2087">
        <v>4.5549999999999997</v>
      </c>
      <c r="O2087" t="s">
        <v>101</v>
      </c>
      <c r="P2087" t="s">
        <v>2497</v>
      </c>
      <c r="Q2087" t="s">
        <v>2498</v>
      </c>
      <c r="R2087" t="s">
        <v>2436</v>
      </c>
    </row>
    <row r="2088" spans="1:18" x14ac:dyDescent="0.5">
      <c r="A2088" t="str">
        <f>"037833DT4"</f>
        <v>037833DT4</v>
      </c>
      <c r="B2088" t="s">
        <v>101</v>
      </c>
      <c r="C2088" t="s">
        <v>2499</v>
      </c>
      <c r="D2088" t="s">
        <v>2433</v>
      </c>
      <c r="E2088">
        <v>1.125</v>
      </c>
      <c r="F2088" s="2">
        <v>45788</v>
      </c>
      <c r="G2088" s="2">
        <v>45758</v>
      </c>
      <c r="H2088" t="s">
        <v>104</v>
      </c>
      <c r="I2088" t="s">
        <v>509</v>
      </c>
      <c r="J2088">
        <v>99.441999999999993</v>
      </c>
      <c r="K2088">
        <v>99.498999999999995</v>
      </c>
      <c r="L2088">
        <v>4.5380000000000003</v>
      </c>
      <c r="M2088">
        <v>4.1870000000000003</v>
      </c>
      <c r="N2088">
        <v>4.1870000000000003</v>
      </c>
      <c r="O2088" t="s">
        <v>101</v>
      </c>
      <c r="P2088" t="s">
        <v>2500</v>
      </c>
      <c r="Q2088" t="s">
        <v>2501</v>
      </c>
      <c r="R2088" t="s">
        <v>2436</v>
      </c>
    </row>
    <row r="2089" spans="1:18" x14ac:dyDescent="0.5">
      <c r="A2089" t="str">
        <f>"166764BW9"</f>
        <v>166764BW9</v>
      </c>
      <c r="B2089" t="s">
        <v>101</v>
      </c>
      <c r="C2089" t="s">
        <v>2502</v>
      </c>
      <c r="D2089" t="s">
        <v>2433</v>
      </c>
      <c r="E2089">
        <v>1.554</v>
      </c>
      <c r="F2089" s="2">
        <v>45788</v>
      </c>
      <c r="G2089" s="2">
        <v>45758</v>
      </c>
      <c r="H2089" t="s">
        <v>613</v>
      </c>
      <c r="I2089" t="s">
        <v>616</v>
      </c>
      <c r="J2089">
        <v>99.468999999999994</v>
      </c>
      <c r="K2089">
        <v>99.539000000000001</v>
      </c>
      <c r="L2089">
        <v>4.7939999999999996</v>
      </c>
      <c r="M2089">
        <v>4.3639999999999999</v>
      </c>
      <c r="N2089">
        <v>4.3639999999999999</v>
      </c>
      <c r="O2089" t="s">
        <v>101</v>
      </c>
      <c r="P2089" t="s">
        <v>1702</v>
      </c>
      <c r="Q2089" t="s">
        <v>1838</v>
      </c>
      <c r="R2089" t="s">
        <v>2436</v>
      </c>
    </row>
    <row r="2090" spans="1:18" x14ac:dyDescent="0.5">
      <c r="A2090" t="str">
        <f>"822582BD3"</f>
        <v>822582BD3</v>
      </c>
      <c r="B2090" t="s">
        <v>101</v>
      </c>
      <c r="C2090" t="s">
        <v>2503</v>
      </c>
      <c r="D2090" t="s">
        <v>2433</v>
      </c>
      <c r="E2090">
        <v>3.25</v>
      </c>
      <c r="F2090" s="2">
        <v>45788</v>
      </c>
      <c r="G2090" s="2" t="s">
        <v>101</v>
      </c>
      <c r="H2090" t="s">
        <v>613</v>
      </c>
      <c r="I2090" t="s">
        <v>658</v>
      </c>
      <c r="J2090">
        <v>99.74</v>
      </c>
      <c r="K2090">
        <v>99.798000000000002</v>
      </c>
      <c r="L2090">
        <v>4.7969999999999997</v>
      </c>
      <c r="M2090">
        <v>4.4429999999999996</v>
      </c>
      <c r="N2090">
        <v>4.4429999999999996</v>
      </c>
      <c r="O2090" t="s">
        <v>101</v>
      </c>
      <c r="P2090" t="s">
        <v>2434</v>
      </c>
      <c r="Q2090" t="s">
        <v>2504</v>
      </c>
      <c r="R2090" t="s">
        <v>2436</v>
      </c>
    </row>
    <row r="2091" spans="1:18" x14ac:dyDescent="0.5">
      <c r="A2091" t="str">
        <f>"91159HHZ6"</f>
        <v>91159HHZ6</v>
      </c>
      <c r="B2091" t="s">
        <v>101</v>
      </c>
      <c r="C2091" t="s">
        <v>2505</v>
      </c>
      <c r="D2091" t="s">
        <v>2433</v>
      </c>
      <c r="E2091">
        <v>1.45</v>
      </c>
      <c r="F2091" s="2">
        <v>45789</v>
      </c>
      <c r="G2091" s="2">
        <v>45758</v>
      </c>
      <c r="H2091" t="s">
        <v>627</v>
      </c>
      <c r="I2091" t="s">
        <v>611</v>
      </c>
      <c r="J2091">
        <v>99.435000000000002</v>
      </c>
      <c r="K2091">
        <v>99.543999999999997</v>
      </c>
      <c r="L2091">
        <v>4.8440000000000003</v>
      </c>
      <c r="M2091">
        <v>4.1849999999999996</v>
      </c>
      <c r="N2091">
        <v>4.1849999999999996</v>
      </c>
      <c r="O2091" t="s">
        <v>101</v>
      </c>
      <c r="P2091" t="s">
        <v>2506</v>
      </c>
      <c r="Q2091" t="s">
        <v>2507</v>
      </c>
      <c r="R2091" t="s">
        <v>2436</v>
      </c>
    </row>
    <row r="2092" spans="1:18" x14ac:dyDescent="0.5">
      <c r="A2092" t="str">
        <f>"037833BG4"</f>
        <v>037833BG4</v>
      </c>
      <c r="B2092" t="s">
        <v>101</v>
      </c>
      <c r="C2092" t="s">
        <v>2508</v>
      </c>
      <c r="D2092" t="s">
        <v>2433</v>
      </c>
      <c r="E2092">
        <v>3.2</v>
      </c>
      <c r="F2092" s="2">
        <v>45790</v>
      </c>
      <c r="G2092" s="2" t="s">
        <v>101</v>
      </c>
      <c r="H2092" t="s">
        <v>104</v>
      </c>
      <c r="I2092" t="s">
        <v>509</v>
      </c>
      <c r="J2092">
        <v>99.731999999999999</v>
      </c>
      <c r="K2092">
        <v>99.819000000000003</v>
      </c>
      <c r="L2092">
        <v>4.7439999999999998</v>
      </c>
      <c r="M2092">
        <v>4.2309999999999999</v>
      </c>
      <c r="N2092">
        <v>4.2309999999999999</v>
      </c>
      <c r="O2092" t="s">
        <v>101</v>
      </c>
      <c r="P2092" t="s">
        <v>2434</v>
      </c>
      <c r="Q2092" t="s">
        <v>2509</v>
      </c>
      <c r="R2092" t="s">
        <v>2436</v>
      </c>
    </row>
    <row r="2093" spans="1:18" x14ac:dyDescent="0.5">
      <c r="A2093" t="str">
        <f>"14913R2V8"</f>
        <v>14913R2V8</v>
      </c>
      <c r="B2093" t="s">
        <v>101</v>
      </c>
      <c r="C2093" t="s">
        <v>2510</v>
      </c>
      <c r="D2093" t="s">
        <v>2433</v>
      </c>
      <c r="E2093">
        <v>3.4</v>
      </c>
      <c r="F2093" s="2">
        <v>45790</v>
      </c>
      <c r="G2093" s="2" t="s">
        <v>101</v>
      </c>
      <c r="H2093" t="s">
        <v>610</v>
      </c>
      <c r="I2093" t="s">
        <v>611</v>
      </c>
      <c r="J2093">
        <v>99.772999999999996</v>
      </c>
      <c r="K2093">
        <v>99.876999999999995</v>
      </c>
      <c r="L2093">
        <v>4.6980000000000004</v>
      </c>
      <c r="M2093">
        <v>4.085</v>
      </c>
      <c r="N2093">
        <v>4.085</v>
      </c>
      <c r="O2093" t="s">
        <v>101</v>
      </c>
      <c r="P2093" t="s">
        <v>2434</v>
      </c>
      <c r="Q2093" t="s">
        <v>2511</v>
      </c>
      <c r="R2093" t="s">
        <v>2436</v>
      </c>
    </row>
    <row r="2094" spans="1:18" x14ac:dyDescent="0.5">
      <c r="A2094" t="str">
        <f>"00287YAQ2"</f>
        <v>00287YAQ2</v>
      </c>
      <c r="B2094" t="s">
        <v>101</v>
      </c>
      <c r="C2094" t="s">
        <v>2512</v>
      </c>
      <c r="D2094" t="s">
        <v>2433</v>
      </c>
      <c r="E2094">
        <v>3.6</v>
      </c>
      <c r="F2094" s="2">
        <v>45791</v>
      </c>
      <c r="G2094" s="2">
        <v>45758</v>
      </c>
      <c r="H2094" t="s">
        <v>627</v>
      </c>
      <c r="I2094" t="s">
        <v>713</v>
      </c>
      <c r="J2094">
        <v>99.744</v>
      </c>
      <c r="K2094">
        <v>99.822000000000003</v>
      </c>
      <c r="L2094">
        <v>5.04</v>
      </c>
      <c r="M2094">
        <v>4.5880000000000001</v>
      </c>
      <c r="N2094">
        <v>4.5880000000000001</v>
      </c>
      <c r="O2094" t="s">
        <v>101</v>
      </c>
      <c r="P2094" t="s">
        <v>2513</v>
      </c>
      <c r="Q2094" t="s">
        <v>2514</v>
      </c>
      <c r="R2094" t="s">
        <v>2436</v>
      </c>
    </row>
    <row r="2095" spans="1:18" x14ac:dyDescent="0.5">
      <c r="A2095" t="str">
        <f>"53944VAH2"</f>
        <v>53944VAH2</v>
      </c>
      <c r="B2095" t="s">
        <v>101</v>
      </c>
      <c r="C2095" t="s">
        <v>2515</v>
      </c>
      <c r="D2095" t="s">
        <v>2433</v>
      </c>
      <c r="E2095">
        <v>3.5</v>
      </c>
      <c r="F2095" s="2">
        <v>45791</v>
      </c>
      <c r="G2095" s="2" t="s">
        <v>101</v>
      </c>
      <c r="H2095" t="s">
        <v>641</v>
      </c>
      <c r="I2095" t="s">
        <v>658</v>
      </c>
      <c r="J2095">
        <v>99.650999999999996</v>
      </c>
      <c r="K2095">
        <v>99.885000000000005</v>
      </c>
      <c r="L2095">
        <v>5.4829999999999997</v>
      </c>
      <c r="M2095">
        <v>4.125</v>
      </c>
      <c r="N2095">
        <v>4.125</v>
      </c>
      <c r="O2095" t="s">
        <v>101</v>
      </c>
      <c r="P2095" t="s">
        <v>2516</v>
      </c>
      <c r="Q2095" t="s">
        <v>542</v>
      </c>
      <c r="R2095" t="s">
        <v>2436</v>
      </c>
    </row>
    <row r="2096" spans="1:18" x14ac:dyDescent="0.5">
      <c r="A2096" t="str">
        <f>"14913R2C0"</f>
        <v>14913R2C0</v>
      </c>
      <c r="B2096" t="s">
        <v>101</v>
      </c>
      <c r="C2096" t="s">
        <v>2517</v>
      </c>
      <c r="D2096" t="s">
        <v>2433</v>
      </c>
      <c r="E2096">
        <v>1.45</v>
      </c>
      <c r="F2096" s="2">
        <v>45792</v>
      </c>
      <c r="G2096" s="2" t="s">
        <v>101</v>
      </c>
      <c r="H2096" t="s">
        <v>610</v>
      </c>
      <c r="I2096" t="s">
        <v>611</v>
      </c>
      <c r="J2096">
        <v>99.331999999999994</v>
      </c>
      <c r="K2096">
        <v>99.516000000000005</v>
      </c>
      <c r="L2096">
        <v>5.2779999999999996</v>
      </c>
      <c r="M2096">
        <v>4.2160000000000002</v>
      </c>
      <c r="N2096">
        <v>4.2160000000000002</v>
      </c>
      <c r="O2096" t="s">
        <v>101</v>
      </c>
      <c r="P2096" t="s">
        <v>2507</v>
      </c>
      <c r="Q2096" t="s">
        <v>2518</v>
      </c>
      <c r="R2096" t="s">
        <v>2436</v>
      </c>
    </row>
    <row r="2097" spans="1:18" x14ac:dyDescent="0.5">
      <c r="A2097" t="str">
        <f>"20826FAG1"</f>
        <v>20826FAG1</v>
      </c>
      <c r="B2097" t="s">
        <v>101</v>
      </c>
      <c r="C2097" t="s">
        <v>2519</v>
      </c>
      <c r="D2097" t="s">
        <v>2433</v>
      </c>
      <c r="E2097">
        <v>3.35</v>
      </c>
      <c r="F2097" s="2">
        <v>45792</v>
      </c>
      <c r="G2097" s="2">
        <v>45758</v>
      </c>
      <c r="H2097" t="s">
        <v>610</v>
      </c>
      <c r="I2097" t="s">
        <v>713</v>
      </c>
      <c r="J2097">
        <v>99.63</v>
      </c>
      <c r="K2097">
        <v>99.858999999999995</v>
      </c>
      <c r="L2097">
        <v>5.4249999999999998</v>
      </c>
      <c r="M2097">
        <v>4.1139999999999999</v>
      </c>
      <c r="N2097">
        <v>4.117</v>
      </c>
      <c r="O2097" t="s">
        <v>101</v>
      </c>
      <c r="P2097" t="s">
        <v>2434</v>
      </c>
      <c r="Q2097" t="s">
        <v>2520</v>
      </c>
      <c r="R2097" t="s">
        <v>2436</v>
      </c>
    </row>
    <row r="2098" spans="1:18" x14ac:dyDescent="0.5">
      <c r="A2098" t="str">
        <f>"369550BG2"</f>
        <v>369550BG2</v>
      </c>
      <c r="B2098" t="s">
        <v>101</v>
      </c>
      <c r="C2098" t="s">
        <v>2521</v>
      </c>
      <c r="D2098" t="s">
        <v>2433</v>
      </c>
      <c r="E2098">
        <v>3.5</v>
      </c>
      <c r="F2098" s="2">
        <v>45792</v>
      </c>
      <c r="G2098" s="2">
        <v>45731</v>
      </c>
      <c r="H2098" t="s">
        <v>610</v>
      </c>
      <c r="I2098" t="s">
        <v>611</v>
      </c>
      <c r="J2098">
        <v>99.753</v>
      </c>
      <c r="K2098">
        <v>99.89</v>
      </c>
      <c r="L2098">
        <v>4.8680000000000003</v>
      </c>
      <c r="M2098">
        <v>4.0869999999999997</v>
      </c>
      <c r="N2098">
        <v>4.0869999999999997</v>
      </c>
      <c r="O2098" t="s">
        <v>101</v>
      </c>
      <c r="P2098" t="s">
        <v>2434</v>
      </c>
      <c r="Q2098" t="s">
        <v>2522</v>
      </c>
      <c r="R2098" t="s">
        <v>2436</v>
      </c>
    </row>
    <row r="2099" spans="1:18" x14ac:dyDescent="0.5">
      <c r="A2099" t="str">
        <f>"377372AM9"</f>
        <v>377372AM9</v>
      </c>
      <c r="B2099" t="s">
        <v>101</v>
      </c>
      <c r="C2099" t="s">
        <v>2523</v>
      </c>
      <c r="D2099" t="s">
        <v>2433</v>
      </c>
      <c r="E2099">
        <v>3.625</v>
      </c>
      <c r="F2099" s="2">
        <v>45792</v>
      </c>
      <c r="G2099" s="2" t="s">
        <v>101</v>
      </c>
      <c r="H2099" t="s">
        <v>610</v>
      </c>
      <c r="I2099" t="s">
        <v>611</v>
      </c>
      <c r="J2099">
        <v>99.7</v>
      </c>
      <c r="K2099">
        <v>99.864000000000004</v>
      </c>
      <c r="L2099">
        <v>5.2930000000000001</v>
      </c>
      <c r="M2099">
        <v>4.3570000000000002</v>
      </c>
      <c r="N2099">
        <v>4.3570000000000002</v>
      </c>
      <c r="O2099" t="s">
        <v>101</v>
      </c>
      <c r="P2099" t="s">
        <v>1702</v>
      </c>
      <c r="Q2099" t="s">
        <v>1702</v>
      </c>
      <c r="R2099" t="s">
        <v>2436</v>
      </c>
    </row>
    <row r="2100" spans="1:18" x14ac:dyDescent="0.5">
      <c r="A2100" t="str">
        <f>"74251VAK8"</f>
        <v>74251VAK8</v>
      </c>
      <c r="B2100" t="s">
        <v>101</v>
      </c>
      <c r="C2100" t="s">
        <v>2524</v>
      </c>
      <c r="D2100" t="s">
        <v>2433</v>
      </c>
      <c r="E2100">
        <v>3.4</v>
      </c>
      <c r="F2100" s="2">
        <v>45792</v>
      </c>
      <c r="G2100" s="2">
        <v>45758</v>
      </c>
      <c r="H2100" t="s">
        <v>670</v>
      </c>
      <c r="I2100" t="s">
        <v>713</v>
      </c>
      <c r="J2100">
        <v>99.694999999999993</v>
      </c>
      <c r="K2100">
        <v>99.756</v>
      </c>
      <c r="L2100">
        <v>5.1020000000000003</v>
      </c>
      <c r="M2100">
        <v>4.7530000000000001</v>
      </c>
      <c r="N2100">
        <v>4.7530000000000001</v>
      </c>
      <c r="O2100" t="s">
        <v>101</v>
      </c>
      <c r="P2100" t="s">
        <v>2434</v>
      </c>
      <c r="Q2100" t="s">
        <v>2525</v>
      </c>
      <c r="R2100" t="s">
        <v>2436</v>
      </c>
    </row>
    <row r="2101" spans="1:18" x14ac:dyDescent="0.5">
      <c r="A2101" t="str">
        <f>"744448CL3"</f>
        <v>744448CL3</v>
      </c>
      <c r="B2101" t="s">
        <v>101</v>
      </c>
      <c r="C2101" t="s">
        <v>2526</v>
      </c>
      <c r="D2101" t="s">
        <v>2433</v>
      </c>
      <c r="E2101">
        <v>2.9</v>
      </c>
      <c r="F2101" s="2">
        <v>45792</v>
      </c>
      <c r="G2101" s="2">
        <v>45758</v>
      </c>
      <c r="H2101" t="s">
        <v>641</v>
      </c>
      <c r="I2101" t="s">
        <v>611</v>
      </c>
      <c r="J2101">
        <v>99.516000000000005</v>
      </c>
      <c r="K2101">
        <v>99.793000000000006</v>
      </c>
      <c r="L2101">
        <v>5.64</v>
      </c>
      <c r="M2101">
        <v>4.0529999999999999</v>
      </c>
      <c r="N2101">
        <v>4.0529999999999999</v>
      </c>
      <c r="O2101" t="s">
        <v>101</v>
      </c>
      <c r="P2101" t="s">
        <v>2289</v>
      </c>
      <c r="Q2101" t="s">
        <v>2527</v>
      </c>
      <c r="R2101" t="s">
        <v>2436</v>
      </c>
    </row>
    <row r="2102" spans="1:18" x14ac:dyDescent="0.5">
      <c r="A2102" t="str">
        <f>"74456QBL9"</f>
        <v>74456QBL9</v>
      </c>
      <c r="B2102" t="s">
        <v>101</v>
      </c>
      <c r="C2102" t="s">
        <v>2528</v>
      </c>
      <c r="D2102" t="s">
        <v>2433</v>
      </c>
      <c r="E2102">
        <v>3</v>
      </c>
      <c r="F2102" s="2">
        <v>45792</v>
      </c>
      <c r="G2102" s="2">
        <v>45758</v>
      </c>
      <c r="H2102" t="s">
        <v>641</v>
      </c>
      <c r="I2102" t="s">
        <v>611</v>
      </c>
      <c r="J2102">
        <v>99.585999999999999</v>
      </c>
      <c r="K2102">
        <v>99.783000000000001</v>
      </c>
      <c r="L2102">
        <v>5.3360000000000003</v>
      </c>
      <c r="M2102">
        <v>4.2080000000000002</v>
      </c>
      <c r="N2102">
        <v>4.2080000000000002</v>
      </c>
      <c r="O2102" t="s">
        <v>101</v>
      </c>
      <c r="P2102" t="s">
        <v>2434</v>
      </c>
      <c r="Q2102" t="s">
        <v>2529</v>
      </c>
      <c r="R2102" t="s">
        <v>2436</v>
      </c>
    </row>
    <row r="2103" spans="1:18" x14ac:dyDescent="0.5">
      <c r="A2103" t="str">
        <f>"880591EW8"</f>
        <v>880591EW8</v>
      </c>
      <c r="B2103" t="s">
        <v>101</v>
      </c>
      <c r="C2103" t="s">
        <v>2530</v>
      </c>
      <c r="D2103" t="s">
        <v>2433</v>
      </c>
      <c r="E2103">
        <v>0.75</v>
      </c>
      <c r="F2103" s="2">
        <v>45792</v>
      </c>
      <c r="G2103" s="2" t="s">
        <v>105</v>
      </c>
      <c r="H2103" t="s">
        <v>104</v>
      </c>
      <c r="I2103" t="s">
        <v>509</v>
      </c>
      <c r="J2103">
        <v>99.361999999999995</v>
      </c>
      <c r="K2103">
        <v>99.376000000000005</v>
      </c>
      <c r="L2103">
        <v>4.4130000000000003</v>
      </c>
      <c r="M2103">
        <v>4.3319999999999999</v>
      </c>
      <c r="N2103">
        <v>4.3319999999999999</v>
      </c>
      <c r="O2103" t="s">
        <v>101</v>
      </c>
      <c r="P2103" t="s">
        <v>2531</v>
      </c>
      <c r="Q2103" t="s">
        <v>2532</v>
      </c>
      <c r="R2103" t="s">
        <v>2465</v>
      </c>
    </row>
    <row r="2104" spans="1:18" x14ac:dyDescent="0.5">
      <c r="A2104" t="str">
        <f>"716973AA0"</f>
        <v>716973AA0</v>
      </c>
      <c r="B2104" t="s">
        <v>101</v>
      </c>
      <c r="C2104" t="s">
        <v>2533</v>
      </c>
      <c r="D2104" t="s">
        <v>2433</v>
      </c>
      <c r="E2104">
        <v>4.6500000000000004</v>
      </c>
      <c r="F2104" s="2">
        <v>45796</v>
      </c>
      <c r="G2104" s="2" t="s">
        <v>101</v>
      </c>
      <c r="H2104" t="s">
        <v>610</v>
      </c>
      <c r="I2104" t="s">
        <v>611</v>
      </c>
      <c r="J2104">
        <v>99.960999999999999</v>
      </c>
      <c r="K2104">
        <v>100.02500000000001</v>
      </c>
      <c r="L2104">
        <v>4.7910000000000004</v>
      </c>
      <c r="M2104">
        <v>4.45</v>
      </c>
      <c r="N2104">
        <v>4.45</v>
      </c>
      <c r="O2104" t="s">
        <v>101</v>
      </c>
      <c r="P2104" t="s">
        <v>2534</v>
      </c>
      <c r="Q2104" t="s">
        <v>1702</v>
      </c>
      <c r="R2104" t="s">
        <v>2436</v>
      </c>
    </row>
    <row r="2105" spans="1:18" x14ac:dyDescent="0.5">
      <c r="A2105" t="str">
        <f>"747525AF0"</f>
        <v>747525AF0</v>
      </c>
      <c r="B2105" t="s">
        <v>101</v>
      </c>
      <c r="C2105" t="s">
        <v>2535</v>
      </c>
      <c r="D2105" t="s">
        <v>2433</v>
      </c>
      <c r="E2105">
        <v>3.45</v>
      </c>
      <c r="F2105" s="2">
        <v>45797</v>
      </c>
      <c r="G2105" s="2">
        <v>45758</v>
      </c>
      <c r="H2105" t="s">
        <v>610</v>
      </c>
      <c r="I2105" t="s">
        <v>611</v>
      </c>
      <c r="J2105">
        <v>99.700999999999993</v>
      </c>
      <c r="K2105">
        <v>99.819000000000003</v>
      </c>
      <c r="L2105">
        <v>4.9939999999999998</v>
      </c>
      <c r="M2105">
        <v>4.3689999999999998</v>
      </c>
      <c r="N2105">
        <v>4.3689999999999998</v>
      </c>
      <c r="O2105" t="s">
        <v>101</v>
      </c>
      <c r="P2105" t="s">
        <v>2454</v>
      </c>
      <c r="Q2105" t="s">
        <v>2536</v>
      </c>
      <c r="R2105" t="s">
        <v>2436</v>
      </c>
    </row>
    <row r="2106" spans="1:18" x14ac:dyDescent="0.5">
      <c r="A2106" t="str">
        <f>"808513AX3"</f>
        <v>808513AX3</v>
      </c>
      <c r="B2106" t="s">
        <v>101</v>
      </c>
      <c r="C2106" t="s">
        <v>2537</v>
      </c>
      <c r="D2106" t="s">
        <v>2433</v>
      </c>
      <c r="E2106">
        <v>3.85</v>
      </c>
      <c r="F2106" s="2">
        <v>45798</v>
      </c>
      <c r="G2106" s="2">
        <v>45737</v>
      </c>
      <c r="H2106" t="s">
        <v>610</v>
      </c>
      <c r="I2106" t="s">
        <v>713</v>
      </c>
      <c r="J2106">
        <v>99.825000000000003</v>
      </c>
      <c r="K2106">
        <v>99.900999999999996</v>
      </c>
      <c r="L2106">
        <v>4.7149999999999999</v>
      </c>
      <c r="M2106">
        <v>4.32</v>
      </c>
      <c r="N2106">
        <v>4.32</v>
      </c>
      <c r="O2106" t="s">
        <v>101</v>
      </c>
      <c r="P2106" t="s">
        <v>2497</v>
      </c>
      <c r="Q2106" t="s">
        <v>2538</v>
      </c>
      <c r="R2106" t="s">
        <v>2436</v>
      </c>
    </row>
    <row r="2107" spans="1:18" x14ac:dyDescent="0.5">
      <c r="A2107" t="str">
        <f>"02665WEJ6"</f>
        <v>02665WEJ6</v>
      </c>
      <c r="B2107" t="s">
        <v>101</v>
      </c>
      <c r="C2107" t="s">
        <v>2539</v>
      </c>
      <c r="D2107" t="s">
        <v>2433</v>
      </c>
      <c r="E2107">
        <v>5</v>
      </c>
      <c r="F2107" s="2">
        <v>45800</v>
      </c>
      <c r="G2107" s="2" t="s">
        <v>101</v>
      </c>
      <c r="H2107" t="s">
        <v>627</v>
      </c>
      <c r="I2107" t="s">
        <v>713</v>
      </c>
      <c r="J2107">
        <v>99.965999999999994</v>
      </c>
      <c r="K2107">
        <v>100.092</v>
      </c>
      <c r="L2107">
        <v>5.0970000000000004</v>
      </c>
      <c r="M2107">
        <v>4.4619999999999997</v>
      </c>
      <c r="N2107">
        <v>4.4619999999999997</v>
      </c>
      <c r="O2107" t="s">
        <v>101</v>
      </c>
      <c r="P2107" t="s">
        <v>2540</v>
      </c>
      <c r="Q2107" t="s">
        <v>2541</v>
      </c>
      <c r="R2107" t="s">
        <v>2436</v>
      </c>
    </row>
    <row r="2108" spans="1:18" x14ac:dyDescent="0.5">
      <c r="A2108" t="str">
        <f>"45866FAT1"</f>
        <v>45866FAT1</v>
      </c>
      <c r="B2108" t="s">
        <v>101</v>
      </c>
      <c r="C2108" t="s">
        <v>2542</v>
      </c>
      <c r="D2108" t="s">
        <v>2433</v>
      </c>
      <c r="E2108">
        <v>3.65</v>
      </c>
      <c r="F2108" s="2">
        <v>45800</v>
      </c>
      <c r="G2108" s="2" t="s">
        <v>101</v>
      </c>
      <c r="H2108" t="s">
        <v>627</v>
      </c>
      <c r="I2108" t="s">
        <v>713</v>
      </c>
      <c r="J2108">
        <v>99.676000000000002</v>
      </c>
      <c r="K2108">
        <v>99.805999999999997</v>
      </c>
      <c r="L2108">
        <v>5.2519999999999998</v>
      </c>
      <c r="M2108">
        <v>4.5919999999999996</v>
      </c>
      <c r="N2108">
        <v>4.5919999999999996</v>
      </c>
      <c r="O2108" t="s">
        <v>101</v>
      </c>
      <c r="P2108" t="s">
        <v>2434</v>
      </c>
      <c r="Q2108" t="s">
        <v>2438</v>
      </c>
      <c r="R2108" t="s">
        <v>2436</v>
      </c>
    </row>
    <row r="2109" spans="1:18" x14ac:dyDescent="0.5">
      <c r="A2109" t="str">
        <f>"670346AX3"</f>
        <v>670346AX3</v>
      </c>
      <c r="B2109" t="s">
        <v>101</v>
      </c>
      <c r="C2109" t="s">
        <v>2543</v>
      </c>
      <c r="D2109" t="s">
        <v>2433</v>
      </c>
      <c r="E2109">
        <v>3.95</v>
      </c>
      <c r="F2109" s="2">
        <v>45800</v>
      </c>
      <c r="G2109" s="2" t="s">
        <v>101</v>
      </c>
      <c r="H2109" t="s">
        <v>670</v>
      </c>
      <c r="I2109" t="s">
        <v>713</v>
      </c>
      <c r="J2109">
        <v>99.802999999999997</v>
      </c>
      <c r="K2109">
        <v>99.906000000000006</v>
      </c>
      <c r="L2109">
        <v>4.9000000000000004</v>
      </c>
      <c r="M2109">
        <v>4.3780000000000001</v>
      </c>
      <c r="N2109">
        <v>4.3780000000000001</v>
      </c>
      <c r="O2109" t="s">
        <v>101</v>
      </c>
      <c r="P2109" t="s">
        <v>2544</v>
      </c>
      <c r="Q2109" t="s">
        <v>790</v>
      </c>
      <c r="R2109" t="s">
        <v>2436</v>
      </c>
    </row>
    <row r="2110" spans="1:18" x14ac:dyDescent="0.5">
      <c r="A2110" t="str">
        <f>"05971KAE9"</f>
        <v>05971KAE9</v>
      </c>
      <c r="B2110" t="s">
        <v>101</v>
      </c>
      <c r="C2110" t="s">
        <v>2545</v>
      </c>
      <c r="D2110" t="s">
        <v>2433</v>
      </c>
      <c r="E2110">
        <v>2.746</v>
      </c>
      <c r="F2110" s="2">
        <v>45805</v>
      </c>
      <c r="G2110" s="2" t="s">
        <v>101</v>
      </c>
      <c r="H2110" t="s">
        <v>670</v>
      </c>
      <c r="I2110" t="s">
        <v>713</v>
      </c>
      <c r="J2110">
        <v>99.528000000000006</v>
      </c>
      <c r="K2110">
        <v>99.584000000000003</v>
      </c>
      <c r="L2110">
        <v>4.9660000000000002</v>
      </c>
      <c r="M2110">
        <v>4.6989999999999998</v>
      </c>
      <c r="N2110">
        <v>4.6989999999999998</v>
      </c>
      <c r="O2110" t="s">
        <v>101</v>
      </c>
      <c r="P2110" t="s">
        <v>228</v>
      </c>
      <c r="Q2110" t="s">
        <v>2546</v>
      </c>
      <c r="R2110" t="s">
        <v>2436</v>
      </c>
    </row>
    <row r="2111" spans="1:18" x14ac:dyDescent="0.5">
      <c r="A2111" t="str">
        <f>"717081EX7"</f>
        <v>717081EX7</v>
      </c>
      <c r="B2111" t="s">
        <v>101</v>
      </c>
      <c r="C2111" t="s">
        <v>2547</v>
      </c>
      <c r="D2111" t="s">
        <v>2433</v>
      </c>
      <c r="E2111">
        <v>0.8</v>
      </c>
      <c r="F2111" s="2">
        <v>45805</v>
      </c>
      <c r="G2111" s="2">
        <v>45775</v>
      </c>
      <c r="H2111" t="s">
        <v>610</v>
      </c>
      <c r="I2111" t="s">
        <v>611</v>
      </c>
      <c r="J2111">
        <v>99.102000000000004</v>
      </c>
      <c r="K2111">
        <v>99.289000000000001</v>
      </c>
      <c r="L2111">
        <v>5.0880000000000001</v>
      </c>
      <c r="M2111">
        <v>4.1879999999999997</v>
      </c>
      <c r="N2111">
        <v>4.1879999999999997</v>
      </c>
      <c r="O2111" t="s">
        <v>101</v>
      </c>
      <c r="P2111" t="s">
        <v>1236</v>
      </c>
      <c r="Q2111" t="s">
        <v>1236</v>
      </c>
      <c r="R2111" t="s">
        <v>2436</v>
      </c>
    </row>
    <row r="2112" spans="1:18" x14ac:dyDescent="0.5">
      <c r="A2112" t="str">
        <f>"05348EAV1"</f>
        <v>05348EAV1</v>
      </c>
      <c r="B2112" t="s">
        <v>101</v>
      </c>
      <c r="C2112" t="s">
        <v>2548</v>
      </c>
      <c r="D2112" t="s">
        <v>2433</v>
      </c>
      <c r="E2112">
        <v>3.45</v>
      </c>
      <c r="F2112" s="2">
        <v>45809</v>
      </c>
      <c r="G2112" s="2">
        <v>45743</v>
      </c>
      <c r="H2112" t="s">
        <v>627</v>
      </c>
      <c r="I2112" t="s">
        <v>713</v>
      </c>
      <c r="J2112">
        <v>99.71</v>
      </c>
      <c r="K2112">
        <v>99.766000000000005</v>
      </c>
      <c r="L2112">
        <v>4.7389999999999999</v>
      </c>
      <c r="M2112">
        <v>4.4820000000000002</v>
      </c>
      <c r="N2112">
        <v>4.4829999999999997</v>
      </c>
      <c r="O2112" t="s">
        <v>101</v>
      </c>
      <c r="P2112" t="s">
        <v>1702</v>
      </c>
      <c r="Q2112" t="s">
        <v>2549</v>
      </c>
      <c r="R2112" t="s">
        <v>2436</v>
      </c>
    </row>
    <row r="2113" spans="1:18" x14ac:dyDescent="0.5">
      <c r="A2113" t="str">
        <f>"101137AZ0"</f>
        <v>101137AZ0</v>
      </c>
      <c r="B2113" t="s">
        <v>101</v>
      </c>
      <c r="C2113" t="s">
        <v>2550</v>
      </c>
      <c r="D2113" t="s">
        <v>2433</v>
      </c>
      <c r="E2113">
        <v>1.9</v>
      </c>
      <c r="F2113" s="2">
        <v>45809</v>
      </c>
      <c r="G2113" s="2">
        <v>45778</v>
      </c>
      <c r="H2113" t="s">
        <v>670</v>
      </c>
      <c r="I2113" t="s">
        <v>713</v>
      </c>
      <c r="J2113">
        <v>99.323999999999998</v>
      </c>
      <c r="K2113">
        <v>99.415000000000006</v>
      </c>
      <c r="L2113">
        <v>4.9880000000000004</v>
      </c>
      <c r="M2113">
        <v>4.5679999999999996</v>
      </c>
      <c r="N2113">
        <v>4.5679999999999996</v>
      </c>
      <c r="O2113" t="s">
        <v>101</v>
      </c>
      <c r="P2113" t="s">
        <v>2551</v>
      </c>
      <c r="Q2113" t="s">
        <v>2552</v>
      </c>
      <c r="R2113" t="s">
        <v>2436</v>
      </c>
    </row>
    <row r="2114" spans="1:18" x14ac:dyDescent="0.5">
      <c r="A2114" t="str">
        <f>"278058AQ5"</f>
        <v>278058AQ5</v>
      </c>
      <c r="B2114" t="s">
        <v>101</v>
      </c>
      <c r="C2114" t="s">
        <v>2553</v>
      </c>
      <c r="D2114" t="s">
        <v>2433</v>
      </c>
      <c r="E2114">
        <v>6.5</v>
      </c>
      <c r="F2114" s="2">
        <v>45809</v>
      </c>
      <c r="G2114" s="2" t="s">
        <v>105</v>
      </c>
      <c r="H2114" t="s">
        <v>627</v>
      </c>
      <c r="I2114" t="s">
        <v>713</v>
      </c>
      <c r="J2114">
        <v>100.26</v>
      </c>
      <c r="K2114">
        <v>100.473</v>
      </c>
      <c r="L2114">
        <v>5.2069999999999999</v>
      </c>
      <c r="M2114">
        <v>4.2469999999999999</v>
      </c>
      <c r="N2114">
        <v>4.2469999999999999</v>
      </c>
      <c r="O2114" t="s">
        <v>101</v>
      </c>
      <c r="P2114" t="s">
        <v>1064</v>
      </c>
      <c r="Q2114" t="s">
        <v>2549</v>
      </c>
      <c r="R2114" t="s">
        <v>2465</v>
      </c>
    </row>
    <row r="2115" spans="1:18" x14ac:dyDescent="0.5">
      <c r="A2115" t="str">
        <f>"532457BH0"</f>
        <v>532457BH0</v>
      </c>
      <c r="B2115" t="s">
        <v>101</v>
      </c>
      <c r="C2115" t="s">
        <v>2554</v>
      </c>
      <c r="D2115" t="s">
        <v>2433</v>
      </c>
      <c r="E2115">
        <v>2.75</v>
      </c>
      <c r="F2115" s="2">
        <v>45809</v>
      </c>
      <c r="G2115" s="2">
        <v>45758</v>
      </c>
      <c r="H2115" t="s">
        <v>624</v>
      </c>
      <c r="I2115" t="s">
        <v>658</v>
      </c>
      <c r="J2115">
        <v>99.543999999999997</v>
      </c>
      <c r="K2115">
        <v>99.72</v>
      </c>
      <c r="L2115">
        <v>4.8129999999999997</v>
      </c>
      <c r="M2115">
        <v>4.0060000000000002</v>
      </c>
      <c r="N2115">
        <v>4.0060000000000002</v>
      </c>
      <c r="O2115" t="s">
        <v>101</v>
      </c>
      <c r="P2115" t="s">
        <v>2434</v>
      </c>
      <c r="Q2115" t="s">
        <v>2555</v>
      </c>
      <c r="R2115" t="s">
        <v>2436</v>
      </c>
    </row>
    <row r="2116" spans="1:18" x14ac:dyDescent="0.5">
      <c r="A2116" t="str">
        <f>"291011BG8"</f>
        <v>291011BG8</v>
      </c>
      <c r="B2116" t="s">
        <v>101</v>
      </c>
      <c r="C2116" t="s">
        <v>2556</v>
      </c>
      <c r="D2116" t="s">
        <v>2433</v>
      </c>
      <c r="E2116">
        <v>3.15</v>
      </c>
      <c r="F2116" s="2">
        <v>45809</v>
      </c>
      <c r="G2116" s="2">
        <v>45758</v>
      </c>
      <c r="H2116" t="s">
        <v>610</v>
      </c>
      <c r="I2116" t="s">
        <v>611</v>
      </c>
      <c r="J2116">
        <v>99.582999999999998</v>
      </c>
      <c r="K2116">
        <v>99.778000000000006</v>
      </c>
      <c r="L2116">
        <v>5.0270000000000001</v>
      </c>
      <c r="M2116">
        <v>4.1340000000000003</v>
      </c>
      <c r="N2116">
        <v>4.1340000000000003</v>
      </c>
      <c r="O2116" t="s">
        <v>101</v>
      </c>
      <c r="P2116" t="s">
        <v>2438</v>
      </c>
      <c r="Q2116" t="s">
        <v>2438</v>
      </c>
      <c r="R2116" t="s">
        <v>2436</v>
      </c>
    </row>
    <row r="2117" spans="1:18" x14ac:dyDescent="0.5">
      <c r="A2117" t="str">
        <f>"26884ABD4"</f>
        <v>26884ABD4</v>
      </c>
      <c r="B2117" t="s">
        <v>101</v>
      </c>
      <c r="C2117" t="s">
        <v>2557</v>
      </c>
      <c r="D2117" t="s">
        <v>2433</v>
      </c>
      <c r="E2117">
        <v>3.375</v>
      </c>
      <c r="F2117" s="2">
        <v>45809</v>
      </c>
      <c r="G2117" s="2">
        <v>45743</v>
      </c>
      <c r="H2117" t="s">
        <v>627</v>
      </c>
      <c r="I2117" t="s">
        <v>713</v>
      </c>
      <c r="J2117">
        <v>99.567999999999998</v>
      </c>
      <c r="K2117">
        <v>99.683999999999997</v>
      </c>
      <c r="L2117">
        <v>5.3159999999999998</v>
      </c>
      <c r="M2117">
        <v>4.7850000000000001</v>
      </c>
      <c r="N2117">
        <v>4.7850000000000001</v>
      </c>
      <c r="O2117" t="s">
        <v>101</v>
      </c>
      <c r="P2117" t="s">
        <v>2460</v>
      </c>
      <c r="Q2117" t="s">
        <v>1236</v>
      </c>
      <c r="R2117" t="s">
        <v>2436</v>
      </c>
    </row>
    <row r="2118" spans="1:18" x14ac:dyDescent="0.5">
      <c r="A2118" t="str">
        <f>"427866BF4"</f>
        <v>427866BF4</v>
      </c>
      <c r="B2118" t="s">
        <v>101</v>
      </c>
      <c r="C2118" t="s">
        <v>2558</v>
      </c>
      <c r="D2118" t="s">
        <v>2433</v>
      </c>
      <c r="E2118">
        <v>0.9</v>
      </c>
      <c r="F2118" s="2">
        <v>45809</v>
      </c>
      <c r="G2118" s="2">
        <v>45778</v>
      </c>
      <c r="H2118" t="s">
        <v>641</v>
      </c>
      <c r="I2118" t="s">
        <v>611</v>
      </c>
      <c r="J2118">
        <v>99.093000000000004</v>
      </c>
      <c r="K2118">
        <v>99.271000000000001</v>
      </c>
      <c r="L2118">
        <v>5.0659999999999998</v>
      </c>
      <c r="M2118">
        <v>4.242</v>
      </c>
      <c r="N2118">
        <v>4.242</v>
      </c>
      <c r="O2118" t="s">
        <v>101</v>
      </c>
      <c r="P2118" t="s">
        <v>1064</v>
      </c>
      <c r="Q2118" t="s">
        <v>858</v>
      </c>
      <c r="R2118" t="s">
        <v>2436</v>
      </c>
    </row>
    <row r="2119" spans="1:18" x14ac:dyDescent="0.5">
      <c r="A2119" t="str">
        <f>"438516CB0"</f>
        <v>438516CB0</v>
      </c>
      <c r="B2119" t="s">
        <v>101</v>
      </c>
      <c r="C2119" t="s">
        <v>2559</v>
      </c>
      <c r="D2119" t="s">
        <v>2433</v>
      </c>
      <c r="E2119">
        <v>1.35</v>
      </c>
      <c r="F2119" s="2">
        <v>45809</v>
      </c>
      <c r="G2119" s="2">
        <v>45778</v>
      </c>
      <c r="H2119" t="s">
        <v>610</v>
      </c>
      <c r="I2119" t="s">
        <v>611</v>
      </c>
      <c r="J2119">
        <v>99.236999999999995</v>
      </c>
      <c r="K2119">
        <v>99.332999999999998</v>
      </c>
      <c r="L2119">
        <v>4.8460000000000001</v>
      </c>
      <c r="M2119">
        <v>4.4020000000000001</v>
      </c>
      <c r="N2119">
        <v>4.4020000000000001</v>
      </c>
      <c r="O2119" t="s">
        <v>101</v>
      </c>
      <c r="P2119" t="s">
        <v>2434</v>
      </c>
      <c r="Q2119" t="s">
        <v>666</v>
      </c>
      <c r="R2119" t="s">
        <v>2436</v>
      </c>
    </row>
    <row r="2120" spans="1:18" x14ac:dyDescent="0.5">
      <c r="A2120" t="str">
        <f>"670346AR6"</f>
        <v>670346AR6</v>
      </c>
      <c r="B2120" t="s">
        <v>101</v>
      </c>
      <c r="C2120" t="s">
        <v>2560</v>
      </c>
      <c r="D2120" t="s">
        <v>2433</v>
      </c>
      <c r="E2120">
        <v>2</v>
      </c>
      <c r="F2120" s="2">
        <v>45809</v>
      </c>
      <c r="G2120" s="2">
        <v>45778</v>
      </c>
      <c r="H2120" t="s">
        <v>670</v>
      </c>
      <c r="I2120" t="s">
        <v>713</v>
      </c>
      <c r="J2120">
        <v>99.305000000000007</v>
      </c>
      <c r="K2120">
        <v>99.415999999999997</v>
      </c>
      <c r="L2120">
        <v>5.1740000000000004</v>
      </c>
      <c r="M2120">
        <v>4.6619999999999999</v>
      </c>
      <c r="N2120">
        <v>4.6619999999999999</v>
      </c>
      <c r="O2120" t="s">
        <v>101</v>
      </c>
      <c r="P2120" t="s">
        <v>2561</v>
      </c>
      <c r="Q2120" t="s">
        <v>2562</v>
      </c>
      <c r="R2120" t="s">
        <v>2436</v>
      </c>
    </row>
    <row r="2121" spans="1:18" x14ac:dyDescent="0.5">
      <c r="A2121" t="str">
        <f>"70450YAG8"</f>
        <v>70450YAG8</v>
      </c>
      <c r="B2121" t="s">
        <v>101</v>
      </c>
      <c r="C2121" t="s">
        <v>2563</v>
      </c>
      <c r="D2121" t="s">
        <v>2433</v>
      </c>
      <c r="E2121">
        <v>1.65</v>
      </c>
      <c r="F2121" s="2">
        <v>45809</v>
      </c>
      <c r="G2121" s="2">
        <v>45778</v>
      </c>
      <c r="H2121" t="s">
        <v>627</v>
      </c>
      <c r="I2121" t="s">
        <v>713</v>
      </c>
      <c r="J2121">
        <v>99.292000000000002</v>
      </c>
      <c r="K2121">
        <v>99.432000000000002</v>
      </c>
      <c r="L2121">
        <v>4.8879999999999999</v>
      </c>
      <c r="M2121">
        <v>4.2430000000000003</v>
      </c>
      <c r="N2121">
        <v>4.2430000000000003</v>
      </c>
      <c r="O2121" t="s">
        <v>101</v>
      </c>
      <c r="P2121" t="s">
        <v>2564</v>
      </c>
      <c r="Q2121" t="s">
        <v>2454</v>
      </c>
      <c r="R2121" t="s">
        <v>2436</v>
      </c>
    </row>
    <row r="2122" spans="1:18" x14ac:dyDescent="0.5">
      <c r="A2122" t="str">
        <f>"69353REQ7"</f>
        <v>69353REQ7</v>
      </c>
      <c r="B2122" t="s">
        <v>101</v>
      </c>
      <c r="C2122" t="s">
        <v>2565</v>
      </c>
      <c r="D2122" t="s">
        <v>2433</v>
      </c>
      <c r="E2122">
        <v>3.25</v>
      </c>
      <c r="F2122" s="2">
        <v>45809</v>
      </c>
      <c r="G2122" s="2">
        <v>45778</v>
      </c>
      <c r="H2122" t="s">
        <v>610</v>
      </c>
      <c r="I2122" t="s">
        <v>611</v>
      </c>
      <c r="J2122">
        <v>99.671000000000006</v>
      </c>
      <c r="K2122">
        <v>99.804000000000002</v>
      </c>
      <c r="L2122">
        <v>4.7220000000000004</v>
      </c>
      <c r="M2122">
        <v>4.1139999999999999</v>
      </c>
      <c r="N2122">
        <v>4.1139999999999999</v>
      </c>
      <c r="O2122" t="s">
        <v>101</v>
      </c>
      <c r="P2122" t="s">
        <v>2434</v>
      </c>
      <c r="Q2122" t="s">
        <v>2566</v>
      </c>
      <c r="R2122" t="s">
        <v>2436</v>
      </c>
    </row>
    <row r="2123" spans="1:18" x14ac:dyDescent="0.5">
      <c r="A2123" t="str">
        <f>"842400HP1"</f>
        <v>842400HP1</v>
      </c>
      <c r="B2123" t="s">
        <v>101</v>
      </c>
      <c r="C2123" t="s">
        <v>2567</v>
      </c>
      <c r="D2123" t="s">
        <v>2433</v>
      </c>
      <c r="E2123">
        <v>4.2</v>
      </c>
      <c r="F2123" s="2">
        <v>45809</v>
      </c>
      <c r="G2123" s="2" t="s">
        <v>101</v>
      </c>
      <c r="H2123" t="s">
        <v>610</v>
      </c>
      <c r="I2123" t="s">
        <v>713</v>
      </c>
      <c r="J2123">
        <v>99.700999999999993</v>
      </c>
      <c r="K2123">
        <v>99.929000000000002</v>
      </c>
      <c r="L2123">
        <v>5.5140000000000002</v>
      </c>
      <c r="M2123">
        <v>4.4740000000000002</v>
      </c>
      <c r="N2123">
        <v>4.4740000000000002</v>
      </c>
      <c r="O2123" t="s">
        <v>101</v>
      </c>
      <c r="P2123" t="s">
        <v>1702</v>
      </c>
      <c r="Q2123" t="s">
        <v>1391</v>
      </c>
      <c r="R2123" t="s">
        <v>2436</v>
      </c>
    </row>
    <row r="2124" spans="1:18" x14ac:dyDescent="0.5">
      <c r="A2124" t="str">
        <f>"023135BQ8"</f>
        <v>023135BQ8</v>
      </c>
      <c r="B2124" t="s">
        <v>101</v>
      </c>
      <c r="C2124" t="s">
        <v>2568</v>
      </c>
      <c r="D2124" t="s">
        <v>2433</v>
      </c>
      <c r="E2124">
        <v>0.8</v>
      </c>
      <c r="F2124" s="2">
        <v>45811</v>
      </c>
      <c r="G2124" s="2">
        <v>45780</v>
      </c>
      <c r="H2124" t="s">
        <v>641</v>
      </c>
      <c r="I2124" t="s">
        <v>628</v>
      </c>
      <c r="J2124">
        <v>99.114000000000004</v>
      </c>
      <c r="K2124">
        <v>99.186999999999998</v>
      </c>
      <c r="L2124">
        <v>4.7699999999999996</v>
      </c>
      <c r="M2124">
        <v>4.4400000000000004</v>
      </c>
      <c r="N2124">
        <v>4.4400000000000004</v>
      </c>
      <c r="O2124" t="s">
        <v>101</v>
      </c>
      <c r="P2124" t="s">
        <v>2434</v>
      </c>
      <c r="Q2124" t="s">
        <v>2569</v>
      </c>
      <c r="R2124" t="s">
        <v>2436</v>
      </c>
    </row>
    <row r="2125" spans="1:18" x14ac:dyDescent="0.5">
      <c r="A2125" t="str">
        <f>"05531FBE2"</f>
        <v>05531FBE2</v>
      </c>
      <c r="B2125" t="s">
        <v>101</v>
      </c>
      <c r="C2125" t="s">
        <v>2570</v>
      </c>
      <c r="D2125" t="s">
        <v>2433</v>
      </c>
      <c r="E2125">
        <v>3.7</v>
      </c>
      <c r="F2125" s="2">
        <v>45813</v>
      </c>
      <c r="G2125" s="2">
        <v>45782</v>
      </c>
      <c r="H2125" t="s">
        <v>670</v>
      </c>
      <c r="I2125" t="s">
        <v>713</v>
      </c>
      <c r="J2125">
        <v>99.734999999999999</v>
      </c>
      <c r="K2125">
        <v>99.82</v>
      </c>
      <c r="L2125">
        <v>4.8140000000000001</v>
      </c>
      <c r="M2125">
        <v>4.444</v>
      </c>
      <c r="N2125">
        <v>4.444</v>
      </c>
      <c r="O2125" t="s">
        <v>101</v>
      </c>
      <c r="P2125" t="s">
        <v>2571</v>
      </c>
      <c r="Q2125" t="s">
        <v>1702</v>
      </c>
      <c r="R2125" t="s">
        <v>2436</v>
      </c>
    </row>
    <row r="2126" spans="1:18" x14ac:dyDescent="0.5">
      <c r="A2126" t="str">
        <f>"24422EWF2"</f>
        <v>24422EWF2</v>
      </c>
      <c r="B2126" t="s">
        <v>101</v>
      </c>
      <c r="C2126" t="s">
        <v>2572</v>
      </c>
      <c r="D2126" t="s">
        <v>2433</v>
      </c>
      <c r="E2126">
        <v>3.4</v>
      </c>
      <c r="F2126" s="2">
        <v>45814</v>
      </c>
      <c r="G2126" s="2" t="s">
        <v>105</v>
      </c>
      <c r="H2126" t="s">
        <v>641</v>
      </c>
      <c r="I2126" t="s">
        <v>611</v>
      </c>
      <c r="J2126">
        <v>99.649000000000001</v>
      </c>
      <c r="K2126">
        <v>99.813000000000002</v>
      </c>
      <c r="L2126">
        <v>4.8769999999999998</v>
      </c>
      <c r="M2126">
        <v>4.1710000000000003</v>
      </c>
      <c r="N2126">
        <v>4.1710000000000003</v>
      </c>
      <c r="O2126" t="s">
        <v>101</v>
      </c>
      <c r="P2126" t="s">
        <v>858</v>
      </c>
      <c r="Q2126" t="s">
        <v>2573</v>
      </c>
      <c r="R2126" t="s">
        <v>2465</v>
      </c>
    </row>
    <row r="2127" spans="1:18" x14ac:dyDescent="0.5">
      <c r="A2127" t="str">
        <f>"89115A2A9"</f>
        <v>89115A2A9</v>
      </c>
      <c r="B2127" t="s">
        <v>101</v>
      </c>
      <c r="C2127" t="s">
        <v>2574</v>
      </c>
      <c r="D2127" t="s">
        <v>2433</v>
      </c>
      <c r="E2127">
        <v>3.766</v>
      </c>
      <c r="F2127" s="2">
        <v>45814</v>
      </c>
      <c r="G2127" s="2" t="s">
        <v>101</v>
      </c>
      <c r="H2127" t="s">
        <v>610</v>
      </c>
      <c r="I2127" t="s">
        <v>713</v>
      </c>
      <c r="J2127">
        <v>99.72</v>
      </c>
      <c r="K2127">
        <v>99.84</v>
      </c>
      <c r="L2127">
        <v>4.93</v>
      </c>
      <c r="M2127">
        <v>4.4139999999999997</v>
      </c>
      <c r="N2127">
        <v>4.4139999999999997</v>
      </c>
      <c r="O2127" t="s">
        <v>101</v>
      </c>
      <c r="P2127" t="s">
        <v>2454</v>
      </c>
      <c r="Q2127" t="s">
        <v>2575</v>
      </c>
      <c r="R2127" t="s">
        <v>2436</v>
      </c>
    </row>
    <row r="2128" spans="1:18" x14ac:dyDescent="0.5">
      <c r="A2128" t="str">
        <f>"06368D3S1"</f>
        <v>06368D3S1</v>
      </c>
      <c r="B2128" t="s">
        <v>101</v>
      </c>
      <c r="C2128" t="s">
        <v>2576</v>
      </c>
      <c r="D2128" t="s">
        <v>2433</v>
      </c>
      <c r="E2128">
        <v>3.7</v>
      </c>
      <c r="F2128" s="2">
        <v>45815</v>
      </c>
      <c r="G2128" s="2" t="s">
        <v>101</v>
      </c>
      <c r="H2128" t="s">
        <v>610</v>
      </c>
      <c r="I2128" t="s">
        <v>713</v>
      </c>
      <c r="J2128">
        <v>99.74</v>
      </c>
      <c r="K2128">
        <v>99.793000000000006</v>
      </c>
      <c r="L2128">
        <v>4.7670000000000003</v>
      </c>
      <c r="M2128">
        <v>4.5419999999999998</v>
      </c>
      <c r="N2128">
        <v>4.5419999999999998</v>
      </c>
      <c r="O2128" t="s">
        <v>101</v>
      </c>
      <c r="P2128" t="s">
        <v>2551</v>
      </c>
      <c r="Q2128" t="s">
        <v>2577</v>
      </c>
      <c r="R2128" t="s">
        <v>2436</v>
      </c>
    </row>
    <row r="2129" spans="1:18" x14ac:dyDescent="0.5">
      <c r="A2129" t="str">
        <f>"78015K7H1"</f>
        <v>78015K7H1</v>
      </c>
      <c r="B2129" t="s">
        <v>101</v>
      </c>
      <c r="C2129" t="s">
        <v>2578</v>
      </c>
      <c r="D2129" t="s">
        <v>2433</v>
      </c>
      <c r="E2129">
        <v>1.1499999999999999</v>
      </c>
      <c r="F2129" s="2">
        <v>45818</v>
      </c>
      <c r="G2129" s="2" t="s">
        <v>105</v>
      </c>
      <c r="H2129" t="s">
        <v>641</v>
      </c>
      <c r="I2129" t="s">
        <v>611</v>
      </c>
      <c r="J2129">
        <v>99.097999999999999</v>
      </c>
      <c r="K2129">
        <v>99.174999999999997</v>
      </c>
      <c r="L2129">
        <v>4.87</v>
      </c>
      <c r="M2129">
        <v>4.5490000000000004</v>
      </c>
      <c r="N2129">
        <v>4.5490000000000004</v>
      </c>
      <c r="O2129" t="s">
        <v>101</v>
      </c>
      <c r="P2129" t="s">
        <v>2454</v>
      </c>
      <c r="Q2129" t="s">
        <v>2579</v>
      </c>
      <c r="R2129" t="s">
        <v>2465</v>
      </c>
    </row>
    <row r="2130" spans="1:18" x14ac:dyDescent="0.5">
      <c r="A2130" t="str">
        <f>"064159VL7"</f>
        <v>064159VL7</v>
      </c>
      <c r="B2130" t="s">
        <v>101</v>
      </c>
      <c r="C2130" t="s">
        <v>2580</v>
      </c>
      <c r="D2130" t="s">
        <v>2433</v>
      </c>
      <c r="E2130">
        <v>1.3</v>
      </c>
      <c r="F2130" s="2">
        <v>45819</v>
      </c>
      <c r="G2130" s="2" t="s">
        <v>101</v>
      </c>
      <c r="H2130" t="s">
        <v>610</v>
      </c>
      <c r="I2130" t="s">
        <v>713</v>
      </c>
      <c r="J2130">
        <v>99.12</v>
      </c>
      <c r="K2130">
        <v>99.25</v>
      </c>
      <c r="L2130">
        <v>4.8860000000000001</v>
      </c>
      <c r="M2130">
        <v>4.3520000000000003</v>
      </c>
      <c r="N2130">
        <v>4.3520000000000003</v>
      </c>
      <c r="O2130" t="s">
        <v>101</v>
      </c>
      <c r="P2130" t="s">
        <v>2488</v>
      </c>
      <c r="Q2130" t="s">
        <v>2581</v>
      </c>
      <c r="R2130" t="s">
        <v>2436</v>
      </c>
    </row>
    <row r="2131" spans="1:18" x14ac:dyDescent="0.5">
      <c r="A2131" t="str">
        <f>"06418GAC1"</f>
        <v>06418GAC1</v>
      </c>
      <c r="B2131" t="s">
        <v>101</v>
      </c>
      <c r="C2131" t="s">
        <v>2582</v>
      </c>
      <c r="D2131" t="s">
        <v>2433</v>
      </c>
      <c r="E2131">
        <v>5.45</v>
      </c>
      <c r="F2131" s="2">
        <v>45820</v>
      </c>
      <c r="G2131" s="2" t="s">
        <v>101</v>
      </c>
      <c r="H2131" t="s">
        <v>610</v>
      </c>
      <c r="I2131" t="s">
        <v>713</v>
      </c>
      <c r="J2131">
        <v>100.182</v>
      </c>
      <c r="K2131">
        <v>100.22</v>
      </c>
      <c r="L2131">
        <v>4.6500000000000004</v>
      </c>
      <c r="M2131">
        <v>4.4989999999999997</v>
      </c>
      <c r="N2131">
        <v>4.4989999999999997</v>
      </c>
      <c r="O2131" t="s">
        <v>101</v>
      </c>
      <c r="P2131" t="s">
        <v>2497</v>
      </c>
      <c r="Q2131" t="s">
        <v>2583</v>
      </c>
      <c r="R2131" t="s">
        <v>2436</v>
      </c>
    </row>
    <row r="2132" spans="1:18" x14ac:dyDescent="0.5">
      <c r="A2132" t="str">
        <f>"89114QCH9"</f>
        <v>89114QCH9</v>
      </c>
      <c r="B2132" t="s">
        <v>101</v>
      </c>
      <c r="C2132" t="s">
        <v>2584</v>
      </c>
      <c r="D2132" t="s">
        <v>2433</v>
      </c>
      <c r="E2132">
        <v>1.1499999999999999</v>
      </c>
      <c r="F2132" s="2">
        <v>45820</v>
      </c>
      <c r="G2132" s="2" t="s">
        <v>101</v>
      </c>
      <c r="H2132" t="s">
        <v>610</v>
      </c>
      <c r="I2132" t="s">
        <v>713</v>
      </c>
      <c r="J2132">
        <v>99.075000000000003</v>
      </c>
      <c r="K2132">
        <v>99.188000000000002</v>
      </c>
      <c r="L2132">
        <v>4.8810000000000002</v>
      </c>
      <c r="M2132">
        <v>4.4210000000000003</v>
      </c>
      <c r="N2132">
        <v>4.4210000000000003</v>
      </c>
      <c r="O2132" t="s">
        <v>101</v>
      </c>
      <c r="P2132" t="s">
        <v>2454</v>
      </c>
      <c r="Q2132" t="s">
        <v>2585</v>
      </c>
      <c r="R2132" t="s">
        <v>2436</v>
      </c>
    </row>
    <row r="2133" spans="1:18" x14ac:dyDescent="0.5">
      <c r="A2133" t="str">
        <f>"17275RAW2"</f>
        <v>17275RAW2</v>
      </c>
      <c r="B2133" t="s">
        <v>101</v>
      </c>
      <c r="C2133" t="s">
        <v>2586</v>
      </c>
      <c r="D2133" t="s">
        <v>2433</v>
      </c>
      <c r="E2133">
        <v>3.5</v>
      </c>
      <c r="F2133" s="2">
        <v>45823</v>
      </c>
      <c r="G2133" s="2" t="s">
        <v>101</v>
      </c>
      <c r="H2133" t="s">
        <v>641</v>
      </c>
      <c r="I2133" t="s">
        <v>616</v>
      </c>
      <c r="J2133">
        <v>99.623000000000005</v>
      </c>
      <c r="K2133">
        <v>99.798000000000002</v>
      </c>
      <c r="L2133">
        <v>4.9359999999999999</v>
      </c>
      <c r="M2133">
        <v>4.2549999999999999</v>
      </c>
      <c r="N2133">
        <v>4.2549999999999999</v>
      </c>
      <c r="O2133" t="s">
        <v>101</v>
      </c>
      <c r="P2133" t="s">
        <v>2438</v>
      </c>
      <c r="Q2133" t="s">
        <v>2587</v>
      </c>
      <c r="R2133" t="s">
        <v>2436</v>
      </c>
    </row>
    <row r="2134" spans="1:18" x14ac:dyDescent="0.5">
      <c r="A2134" t="str">
        <f>"63743HFE7"</f>
        <v>63743HFE7</v>
      </c>
      <c r="B2134" t="s">
        <v>101</v>
      </c>
      <c r="C2134" t="s">
        <v>2588</v>
      </c>
      <c r="D2134" t="s">
        <v>2433</v>
      </c>
      <c r="E2134">
        <v>3.45</v>
      </c>
      <c r="F2134" s="2">
        <v>45823</v>
      </c>
      <c r="G2134" s="2" t="s">
        <v>101</v>
      </c>
      <c r="H2134" t="s">
        <v>610</v>
      </c>
      <c r="I2134" t="s">
        <v>713</v>
      </c>
      <c r="J2134">
        <v>99.649000000000001</v>
      </c>
      <c r="K2134">
        <v>99.804000000000002</v>
      </c>
      <c r="L2134">
        <v>4.7859999999999996</v>
      </c>
      <c r="M2134">
        <v>4.1820000000000004</v>
      </c>
      <c r="N2134">
        <v>4.1820000000000004</v>
      </c>
      <c r="O2134" t="s">
        <v>101</v>
      </c>
      <c r="P2134" t="s">
        <v>1702</v>
      </c>
      <c r="Q2134" t="s">
        <v>1702</v>
      </c>
      <c r="R2134" t="s">
        <v>2436</v>
      </c>
    </row>
    <row r="2135" spans="1:18" x14ac:dyDescent="0.5">
      <c r="A2135" t="str">
        <f>"842434CP5"</f>
        <v>842434CP5</v>
      </c>
      <c r="B2135" t="s">
        <v>101</v>
      </c>
      <c r="C2135" t="s">
        <v>2589</v>
      </c>
      <c r="D2135" t="s">
        <v>2433</v>
      </c>
      <c r="E2135">
        <v>3.2</v>
      </c>
      <c r="F2135" s="2">
        <v>45823</v>
      </c>
      <c r="G2135" s="2">
        <v>45731</v>
      </c>
      <c r="H2135" t="s">
        <v>624</v>
      </c>
      <c r="I2135" t="s">
        <v>611</v>
      </c>
      <c r="J2135">
        <v>99.503</v>
      </c>
      <c r="K2135">
        <v>99.683000000000007</v>
      </c>
      <c r="L2135">
        <v>5.1100000000000003</v>
      </c>
      <c r="M2135">
        <v>4.407</v>
      </c>
      <c r="N2135">
        <v>4.407</v>
      </c>
      <c r="O2135" t="s">
        <v>101</v>
      </c>
      <c r="P2135" t="s">
        <v>2507</v>
      </c>
      <c r="Q2135" t="s">
        <v>2590</v>
      </c>
      <c r="R2135" t="s">
        <v>2436</v>
      </c>
    </row>
    <row r="2136" spans="1:18" x14ac:dyDescent="0.5">
      <c r="A2136" t="str">
        <f>"931142ED1"</f>
        <v>931142ED1</v>
      </c>
      <c r="B2136" t="s">
        <v>101</v>
      </c>
      <c r="C2136" t="s">
        <v>2591</v>
      </c>
      <c r="D2136" t="s">
        <v>2433</v>
      </c>
      <c r="E2136">
        <v>3.55</v>
      </c>
      <c r="F2136" s="2">
        <v>45834</v>
      </c>
      <c r="G2136" s="2">
        <v>45773</v>
      </c>
      <c r="H2136" t="s">
        <v>613</v>
      </c>
      <c r="I2136" t="s">
        <v>628</v>
      </c>
      <c r="J2136">
        <v>99.682000000000002</v>
      </c>
      <c r="K2136">
        <v>99.789000000000001</v>
      </c>
      <c r="L2136">
        <v>4.6310000000000002</v>
      </c>
      <c r="M2136">
        <v>4.2569999999999997</v>
      </c>
      <c r="N2136">
        <v>4.2569999999999997</v>
      </c>
      <c r="O2136" t="s">
        <v>101</v>
      </c>
      <c r="P2136" t="s">
        <v>2447</v>
      </c>
      <c r="Q2136" t="s">
        <v>2592</v>
      </c>
      <c r="R2136" t="s">
        <v>2436</v>
      </c>
    </row>
    <row r="2137" spans="1:18" x14ac:dyDescent="0.5">
      <c r="A2137" t="str">
        <f>"17330PU98"</f>
        <v>17330PU98</v>
      </c>
      <c r="B2137" t="s">
        <v>101</v>
      </c>
      <c r="C2137" t="s">
        <v>2593</v>
      </c>
      <c r="D2137" t="s">
        <v>2433</v>
      </c>
      <c r="E2137">
        <v>4.75</v>
      </c>
      <c r="F2137" s="2">
        <v>45838</v>
      </c>
      <c r="G2137" s="2">
        <v>45747</v>
      </c>
      <c r="H2137" t="s">
        <v>610</v>
      </c>
      <c r="I2137" t="s">
        <v>611</v>
      </c>
      <c r="J2137">
        <v>99.784000000000006</v>
      </c>
      <c r="K2137">
        <v>100.021</v>
      </c>
      <c r="L2137">
        <v>5.43</v>
      </c>
      <c r="M2137">
        <v>4.2880000000000003</v>
      </c>
      <c r="N2137">
        <v>4.6349999999999998</v>
      </c>
      <c r="O2137" t="s">
        <v>101</v>
      </c>
      <c r="P2137" t="s">
        <v>2594</v>
      </c>
      <c r="Q2137" t="s">
        <v>2595</v>
      </c>
      <c r="R2137" t="s">
        <v>2436</v>
      </c>
    </row>
    <row r="2138" spans="1:18" x14ac:dyDescent="0.5">
      <c r="A2138" t="str">
        <f>"89236TKC8"</f>
        <v>89236TKC8</v>
      </c>
      <c r="B2138" t="s">
        <v>101</v>
      </c>
      <c r="C2138" t="s">
        <v>2596</v>
      </c>
      <c r="D2138" t="s">
        <v>2433</v>
      </c>
      <c r="E2138">
        <v>3.95</v>
      </c>
      <c r="F2138" s="2">
        <v>45838</v>
      </c>
      <c r="G2138" s="2" t="s">
        <v>105</v>
      </c>
      <c r="H2138" t="s">
        <v>641</v>
      </c>
      <c r="I2138" t="s">
        <v>658</v>
      </c>
      <c r="J2138">
        <v>99.786000000000001</v>
      </c>
      <c r="K2138">
        <v>99.897999999999996</v>
      </c>
      <c r="L2138">
        <v>4.6369999999999996</v>
      </c>
      <c r="M2138">
        <v>4.2610000000000001</v>
      </c>
      <c r="N2138">
        <v>4.2610000000000001</v>
      </c>
      <c r="O2138" t="s">
        <v>101</v>
      </c>
      <c r="P2138" t="s">
        <v>2597</v>
      </c>
      <c r="Q2138" t="s">
        <v>2598</v>
      </c>
      <c r="R2138" t="s">
        <v>2465</v>
      </c>
    </row>
    <row r="2139" spans="1:18" x14ac:dyDescent="0.5">
      <c r="A2139" t="str">
        <f>"665772BN8"</f>
        <v>665772BN8</v>
      </c>
      <c r="B2139" t="s">
        <v>101</v>
      </c>
      <c r="C2139" t="s">
        <v>2599</v>
      </c>
      <c r="D2139" t="s">
        <v>2433</v>
      </c>
      <c r="E2139">
        <v>7.125</v>
      </c>
      <c r="F2139" s="2">
        <v>45839</v>
      </c>
      <c r="G2139" s="2" t="s">
        <v>105</v>
      </c>
      <c r="H2139" t="s">
        <v>624</v>
      </c>
      <c r="I2139" t="s">
        <v>611</v>
      </c>
      <c r="J2139">
        <v>100.568</v>
      </c>
      <c r="K2139">
        <v>100.84399999999999</v>
      </c>
      <c r="L2139">
        <v>5.1470000000000002</v>
      </c>
      <c r="M2139">
        <v>4.242</v>
      </c>
      <c r="N2139">
        <v>4.242</v>
      </c>
      <c r="O2139" t="s">
        <v>101</v>
      </c>
      <c r="P2139" t="s">
        <v>2600</v>
      </c>
      <c r="Q2139" t="s">
        <v>2601</v>
      </c>
      <c r="R2139" t="s">
        <v>2465</v>
      </c>
    </row>
    <row r="2140" spans="1:18" x14ac:dyDescent="0.5">
      <c r="A2140" t="str">
        <f>"695114CS5"</f>
        <v>695114CS5</v>
      </c>
      <c r="B2140" t="s">
        <v>101</v>
      </c>
      <c r="C2140" t="s">
        <v>2602</v>
      </c>
      <c r="D2140" t="s">
        <v>2433</v>
      </c>
      <c r="E2140">
        <v>3.35</v>
      </c>
      <c r="F2140" s="2">
        <v>45839</v>
      </c>
      <c r="G2140" s="2">
        <v>45748</v>
      </c>
      <c r="H2140" t="s">
        <v>610</v>
      </c>
      <c r="I2140" t="s">
        <v>611</v>
      </c>
      <c r="J2140">
        <v>99.385999999999996</v>
      </c>
      <c r="K2140">
        <v>99.739000000000004</v>
      </c>
      <c r="L2140">
        <v>5.375</v>
      </c>
      <c r="M2140">
        <v>4.1950000000000003</v>
      </c>
      <c r="N2140">
        <v>4.1950000000000003</v>
      </c>
      <c r="O2140" t="s">
        <v>101</v>
      </c>
      <c r="P2140" t="s">
        <v>2454</v>
      </c>
      <c r="Q2140" t="s">
        <v>2603</v>
      </c>
      <c r="R2140" t="s">
        <v>2436</v>
      </c>
    </row>
    <row r="2141" spans="1:18" x14ac:dyDescent="0.5">
      <c r="A2141" t="str">
        <f>"61760LEG6"</f>
        <v>61760LEG6</v>
      </c>
      <c r="B2141" t="s">
        <v>101</v>
      </c>
      <c r="C2141" t="s">
        <v>2604</v>
      </c>
      <c r="D2141" t="s">
        <v>2433</v>
      </c>
      <c r="E2141">
        <v>4.5</v>
      </c>
      <c r="F2141" s="2">
        <v>45843</v>
      </c>
      <c r="G2141" s="2" t="s">
        <v>105</v>
      </c>
      <c r="H2141" t="s">
        <v>641</v>
      </c>
      <c r="I2141" t="s">
        <v>713</v>
      </c>
      <c r="J2141">
        <v>99.71</v>
      </c>
      <c r="K2141">
        <v>100.124</v>
      </c>
      <c r="L2141">
        <v>5.3940000000000001</v>
      </c>
      <c r="M2141">
        <v>4.0659999999999998</v>
      </c>
      <c r="N2141">
        <v>4.0659999999999998</v>
      </c>
      <c r="O2141" t="s">
        <v>101</v>
      </c>
      <c r="P2141" t="s">
        <v>2595</v>
      </c>
      <c r="Q2141" t="s">
        <v>2552</v>
      </c>
      <c r="R2141" t="s">
        <v>2465</v>
      </c>
    </row>
    <row r="2142" spans="1:18" x14ac:dyDescent="0.5">
      <c r="A2142" t="str">
        <f>"02665WDL2"</f>
        <v>02665WDL2</v>
      </c>
      <c r="B2142" t="s">
        <v>101</v>
      </c>
      <c r="C2142" t="s">
        <v>2605</v>
      </c>
      <c r="D2142" t="s">
        <v>2433</v>
      </c>
      <c r="E2142">
        <v>1.2</v>
      </c>
      <c r="F2142" s="2">
        <v>45846</v>
      </c>
      <c r="G2142" s="2" t="s">
        <v>101</v>
      </c>
      <c r="H2142" t="s">
        <v>627</v>
      </c>
      <c r="I2142" t="s">
        <v>713</v>
      </c>
      <c r="J2142">
        <v>98.826999999999998</v>
      </c>
      <c r="K2142">
        <v>98.963999999999999</v>
      </c>
      <c r="L2142">
        <v>4.8869999999999996</v>
      </c>
      <c r="M2142">
        <v>4.452</v>
      </c>
      <c r="N2142">
        <v>4.452</v>
      </c>
      <c r="O2142" t="s">
        <v>101</v>
      </c>
      <c r="P2142" t="s">
        <v>2454</v>
      </c>
      <c r="Q2142" t="s">
        <v>2606</v>
      </c>
      <c r="R2142" t="s">
        <v>2436</v>
      </c>
    </row>
    <row r="2143" spans="1:18" x14ac:dyDescent="0.5">
      <c r="A2143" t="str">
        <f>"86562MCA6"</f>
        <v>86562MCA6</v>
      </c>
      <c r="B2143" t="s">
        <v>101</v>
      </c>
      <c r="C2143" t="s">
        <v>2607</v>
      </c>
      <c r="D2143" t="s">
        <v>2433</v>
      </c>
      <c r="E2143">
        <v>1.474</v>
      </c>
      <c r="F2143" s="2">
        <v>45846</v>
      </c>
      <c r="G2143" s="2" t="s">
        <v>101</v>
      </c>
      <c r="H2143" t="s">
        <v>641</v>
      </c>
      <c r="I2143" t="s">
        <v>713</v>
      </c>
      <c r="J2143">
        <v>98.947000000000003</v>
      </c>
      <c r="K2143">
        <v>99.131</v>
      </c>
      <c r="L2143">
        <v>4.78</v>
      </c>
      <c r="M2143">
        <v>4.1959999999999997</v>
      </c>
      <c r="N2143">
        <v>4.1959999999999997</v>
      </c>
      <c r="O2143" t="s">
        <v>101</v>
      </c>
      <c r="P2143" t="s">
        <v>2434</v>
      </c>
      <c r="Q2143" t="s">
        <v>2608</v>
      </c>
      <c r="R2143" t="s">
        <v>2436</v>
      </c>
    </row>
    <row r="2144" spans="1:18" x14ac:dyDescent="0.5">
      <c r="A2144" t="str">
        <f>"14912HRW2"</f>
        <v>14912HRW2</v>
      </c>
      <c r="B2144" t="s">
        <v>101</v>
      </c>
      <c r="C2144" t="s">
        <v>2609</v>
      </c>
      <c r="D2144" t="s">
        <v>2433</v>
      </c>
      <c r="E2144">
        <v>3.25</v>
      </c>
      <c r="F2144" s="2">
        <v>45853</v>
      </c>
      <c r="G2144" s="2" t="s">
        <v>105</v>
      </c>
      <c r="H2144" t="s">
        <v>610</v>
      </c>
      <c r="I2144" t="s">
        <v>611</v>
      </c>
      <c r="J2144">
        <v>99.302000000000007</v>
      </c>
      <c r="K2144">
        <v>99.638999999999996</v>
      </c>
      <c r="L2144">
        <v>5.3029999999999999</v>
      </c>
      <c r="M2144">
        <v>4.3</v>
      </c>
      <c r="N2144">
        <v>4.3</v>
      </c>
      <c r="O2144" t="s">
        <v>101</v>
      </c>
      <c r="P2144" t="s">
        <v>858</v>
      </c>
      <c r="Q2144" t="s">
        <v>538</v>
      </c>
      <c r="R2144" t="s">
        <v>2610</v>
      </c>
    </row>
    <row r="2145" spans="1:18" x14ac:dyDescent="0.5">
      <c r="A2145" t="str">
        <f>"263534CN7"</f>
        <v>263534CN7</v>
      </c>
      <c r="B2145" t="s">
        <v>101</v>
      </c>
      <c r="C2145" t="s">
        <v>2611</v>
      </c>
      <c r="D2145" t="s">
        <v>2433</v>
      </c>
      <c r="E2145">
        <v>1.7</v>
      </c>
      <c r="F2145" s="2">
        <v>45853</v>
      </c>
      <c r="G2145" s="2">
        <v>45823</v>
      </c>
      <c r="H2145" t="s">
        <v>627</v>
      </c>
      <c r="I2145" t="s">
        <v>713</v>
      </c>
      <c r="J2145">
        <v>98.87</v>
      </c>
      <c r="K2145">
        <v>98.989000000000004</v>
      </c>
      <c r="L2145">
        <v>5.0510000000000002</v>
      </c>
      <c r="M2145">
        <v>4.694</v>
      </c>
      <c r="N2145">
        <v>4.694</v>
      </c>
      <c r="O2145" t="s">
        <v>101</v>
      </c>
      <c r="P2145" t="s">
        <v>2491</v>
      </c>
      <c r="Q2145" t="s">
        <v>2612</v>
      </c>
      <c r="R2145" t="s">
        <v>2436</v>
      </c>
    </row>
    <row r="2146" spans="1:18" x14ac:dyDescent="0.5">
      <c r="A2146" t="str">
        <f>"46124HAB2"</f>
        <v>46124HAB2</v>
      </c>
      <c r="B2146" t="s">
        <v>101</v>
      </c>
      <c r="C2146" t="s">
        <v>2613</v>
      </c>
      <c r="D2146" t="s">
        <v>2433</v>
      </c>
      <c r="E2146">
        <v>0.95</v>
      </c>
      <c r="F2146" s="2">
        <v>45853</v>
      </c>
      <c r="G2146" s="2">
        <v>45823</v>
      </c>
      <c r="H2146" t="s">
        <v>627</v>
      </c>
      <c r="I2146" t="s">
        <v>713</v>
      </c>
      <c r="J2146">
        <v>98.658000000000001</v>
      </c>
      <c r="K2146">
        <v>98.790999999999997</v>
      </c>
      <c r="L2146">
        <v>4.9370000000000003</v>
      </c>
      <c r="M2146">
        <v>4.5369999999999999</v>
      </c>
      <c r="N2146">
        <v>4.5369999999999999</v>
      </c>
      <c r="O2146" t="s">
        <v>101</v>
      </c>
      <c r="P2146" t="s">
        <v>2454</v>
      </c>
      <c r="Q2146" t="s">
        <v>2614</v>
      </c>
      <c r="R2146" t="s">
        <v>2436</v>
      </c>
    </row>
    <row r="2147" spans="1:18" x14ac:dyDescent="0.5">
      <c r="A2147" t="str">
        <f>"059438AG6"</f>
        <v>059438AG6</v>
      </c>
      <c r="B2147" t="s">
        <v>101</v>
      </c>
      <c r="C2147" t="s">
        <v>2615</v>
      </c>
      <c r="D2147" t="s">
        <v>2433</v>
      </c>
      <c r="E2147">
        <v>7.75</v>
      </c>
      <c r="F2147" s="2">
        <v>45853</v>
      </c>
      <c r="G2147" s="2" t="s">
        <v>105</v>
      </c>
      <c r="H2147" t="s">
        <v>627</v>
      </c>
      <c r="I2147" t="s">
        <v>713</v>
      </c>
      <c r="J2147">
        <v>100.955</v>
      </c>
      <c r="K2147">
        <v>101.16500000000001</v>
      </c>
      <c r="L2147">
        <v>4.8490000000000002</v>
      </c>
      <c r="M2147">
        <v>4.2389999999999999</v>
      </c>
      <c r="N2147">
        <v>4.2389999999999999</v>
      </c>
      <c r="O2147" t="s">
        <v>101</v>
      </c>
      <c r="P2147" t="s">
        <v>2507</v>
      </c>
      <c r="Q2147" t="s">
        <v>2616</v>
      </c>
      <c r="R2147" t="s">
        <v>2465</v>
      </c>
    </row>
    <row r="2148" spans="1:18" x14ac:dyDescent="0.5">
      <c r="A2148" t="str">
        <f>"46625HMN7"</f>
        <v>46625HMN7</v>
      </c>
      <c r="B2148" t="s">
        <v>101</v>
      </c>
      <c r="C2148" t="s">
        <v>2617</v>
      </c>
      <c r="D2148" t="s">
        <v>2433</v>
      </c>
      <c r="E2148">
        <v>3.9</v>
      </c>
      <c r="F2148" s="2">
        <v>45853</v>
      </c>
      <c r="G2148" s="2">
        <v>45762</v>
      </c>
      <c r="H2148" t="s">
        <v>641</v>
      </c>
      <c r="I2148" t="s">
        <v>611</v>
      </c>
      <c r="J2148">
        <v>99.745999999999995</v>
      </c>
      <c r="K2148">
        <v>99.816000000000003</v>
      </c>
      <c r="L2148">
        <v>4.6269999999999998</v>
      </c>
      <c r="M2148">
        <v>4.4189999999999996</v>
      </c>
      <c r="N2148">
        <v>4.4189999999999996</v>
      </c>
      <c r="O2148" t="s">
        <v>101</v>
      </c>
      <c r="P2148" t="s">
        <v>2618</v>
      </c>
      <c r="Q2148" t="s">
        <v>722</v>
      </c>
      <c r="R2148" t="s">
        <v>2436</v>
      </c>
    </row>
    <row r="2149" spans="1:18" x14ac:dyDescent="0.5">
      <c r="A2149" t="str">
        <f>"907818ES3"</f>
        <v>907818ES3</v>
      </c>
      <c r="B2149" t="s">
        <v>101</v>
      </c>
      <c r="C2149" t="s">
        <v>2619</v>
      </c>
      <c r="D2149" t="s">
        <v>2433</v>
      </c>
      <c r="E2149">
        <v>3.75</v>
      </c>
      <c r="F2149" s="2">
        <v>45853</v>
      </c>
      <c r="G2149" s="2">
        <v>45792</v>
      </c>
      <c r="H2149" t="s">
        <v>627</v>
      </c>
      <c r="I2149" t="s">
        <v>713</v>
      </c>
      <c r="J2149">
        <v>99.64</v>
      </c>
      <c r="K2149">
        <v>99.826999999999998</v>
      </c>
      <c r="L2149">
        <v>4.7919999999999998</v>
      </c>
      <c r="M2149">
        <v>4.2389999999999999</v>
      </c>
      <c r="N2149">
        <v>4.2389999999999999</v>
      </c>
      <c r="O2149" t="s">
        <v>101</v>
      </c>
      <c r="P2149" t="s">
        <v>2507</v>
      </c>
      <c r="Q2149" t="s">
        <v>2620</v>
      </c>
      <c r="R2149" t="s">
        <v>2436</v>
      </c>
    </row>
    <row r="2150" spans="1:18" x14ac:dyDescent="0.5">
      <c r="A2150" t="str">
        <f>"91324PCP5"</f>
        <v>91324PCP5</v>
      </c>
      <c r="B2150" t="s">
        <v>101</v>
      </c>
      <c r="C2150" t="s">
        <v>2621</v>
      </c>
      <c r="D2150" t="s">
        <v>2433</v>
      </c>
      <c r="E2150">
        <v>3.75</v>
      </c>
      <c r="F2150" s="2">
        <v>45853</v>
      </c>
      <c r="G2150" s="2" t="s">
        <v>101</v>
      </c>
      <c r="H2150" t="s">
        <v>610</v>
      </c>
      <c r="I2150" t="s">
        <v>658</v>
      </c>
      <c r="J2150">
        <v>99.594999999999999</v>
      </c>
      <c r="K2150">
        <v>99.801000000000002</v>
      </c>
      <c r="L2150">
        <v>4.9260000000000002</v>
      </c>
      <c r="M2150">
        <v>4.3150000000000004</v>
      </c>
      <c r="N2150">
        <v>4.3150000000000004</v>
      </c>
      <c r="O2150" t="s">
        <v>101</v>
      </c>
      <c r="P2150" t="s">
        <v>1702</v>
      </c>
      <c r="Q2150" t="s">
        <v>2491</v>
      </c>
      <c r="R2150" t="s">
        <v>2436</v>
      </c>
    </row>
    <row r="2151" spans="1:18" x14ac:dyDescent="0.5">
      <c r="A2151" t="str">
        <f>"61690U7U8"</f>
        <v>61690U7U8</v>
      </c>
      <c r="B2151" t="s">
        <v>101</v>
      </c>
      <c r="C2151" t="s">
        <v>2622</v>
      </c>
      <c r="D2151" t="s">
        <v>2433</v>
      </c>
      <c r="E2151">
        <v>5.4790000000000001</v>
      </c>
      <c r="F2151" s="2">
        <v>45854</v>
      </c>
      <c r="G2151" s="2">
        <v>45824</v>
      </c>
      <c r="H2151" t="s">
        <v>624</v>
      </c>
      <c r="I2151" t="s">
        <v>658</v>
      </c>
      <c r="J2151">
        <v>100.152</v>
      </c>
      <c r="K2151">
        <v>100.298</v>
      </c>
      <c r="L2151">
        <v>4.8479999999999999</v>
      </c>
      <c r="M2151">
        <v>4.2880000000000003</v>
      </c>
      <c r="N2151">
        <v>4.5609999999999999</v>
      </c>
      <c r="O2151" t="s">
        <v>101</v>
      </c>
      <c r="P2151" t="s">
        <v>2623</v>
      </c>
      <c r="Q2151" t="s">
        <v>2564</v>
      </c>
      <c r="R2151" t="s">
        <v>2436</v>
      </c>
    </row>
    <row r="2152" spans="1:18" x14ac:dyDescent="0.5">
      <c r="A2152" t="str">
        <f>"606822BS2"</f>
        <v>606822BS2</v>
      </c>
      <c r="B2152" t="s">
        <v>101</v>
      </c>
      <c r="C2152" t="s">
        <v>2624</v>
      </c>
      <c r="D2152" t="s">
        <v>2433</v>
      </c>
      <c r="E2152">
        <v>1.4119999999999999</v>
      </c>
      <c r="F2152" s="2">
        <v>45855</v>
      </c>
      <c r="G2152" s="2" t="s">
        <v>101</v>
      </c>
      <c r="H2152" t="s">
        <v>641</v>
      </c>
      <c r="I2152" t="s">
        <v>713</v>
      </c>
      <c r="J2152">
        <v>98.813999999999993</v>
      </c>
      <c r="K2152">
        <v>99.006</v>
      </c>
      <c r="L2152">
        <v>4.875</v>
      </c>
      <c r="M2152">
        <v>4.3079999999999998</v>
      </c>
      <c r="N2152">
        <v>4.3079999999999998</v>
      </c>
      <c r="O2152" t="s">
        <v>101</v>
      </c>
      <c r="P2152" t="s">
        <v>2625</v>
      </c>
      <c r="Q2152" t="s">
        <v>2626</v>
      </c>
      <c r="R2152" t="s">
        <v>2436</v>
      </c>
    </row>
    <row r="2153" spans="1:18" x14ac:dyDescent="0.5">
      <c r="A2153" t="str">
        <f>"713448CY2"</f>
        <v>713448CY2</v>
      </c>
      <c r="B2153" t="s">
        <v>101</v>
      </c>
      <c r="C2153" t="s">
        <v>2627</v>
      </c>
      <c r="D2153" t="s">
        <v>2433</v>
      </c>
      <c r="E2153">
        <v>3.5</v>
      </c>
      <c r="F2153" s="2">
        <v>45855</v>
      </c>
      <c r="G2153" s="2">
        <v>45764</v>
      </c>
      <c r="H2153" t="s">
        <v>641</v>
      </c>
      <c r="I2153" t="s">
        <v>658</v>
      </c>
      <c r="J2153">
        <v>99.619</v>
      </c>
      <c r="K2153">
        <v>99.793000000000006</v>
      </c>
      <c r="L2153">
        <v>4.59</v>
      </c>
      <c r="M2153">
        <v>4.0830000000000002</v>
      </c>
      <c r="N2153">
        <v>4.0830000000000002</v>
      </c>
      <c r="O2153" t="s">
        <v>101</v>
      </c>
      <c r="P2153" t="s">
        <v>1236</v>
      </c>
      <c r="Q2153" t="s">
        <v>2628</v>
      </c>
      <c r="R2153" t="s">
        <v>2436</v>
      </c>
    </row>
    <row r="2154" spans="1:18" x14ac:dyDescent="0.5">
      <c r="A2154" t="str">
        <f>"13607XKE6"</f>
        <v>13607XKE6</v>
      </c>
      <c r="B2154" t="s">
        <v>101</v>
      </c>
      <c r="C2154" t="s">
        <v>2629</v>
      </c>
      <c r="D2154" t="s">
        <v>2433</v>
      </c>
      <c r="E2154">
        <v>6</v>
      </c>
      <c r="F2154" s="2">
        <v>45859</v>
      </c>
      <c r="G2154" s="2" t="s">
        <v>101</v>
      </c>
      <c r="H2154" t="s">
        <v>610</v>
      </c>
      <c r="I2154" t="s">
        <v>713</v>
      </c>
      <c r="J2154">
        <v>100.045</v>
      </c>
      <c r="K2154">
        <v>100.461</v>
      </c>
      <c r="L2154">
        <v>5.8220000000000001</v>
      </c>
      <c r="M2154">
        <v>4.6520000000000001</v>
      </c>
      <c r="N2154">
        <v>4.6520000000000001</v>
      </c>
      <c r="O2154" t="s">
        <v>101</v>
      </c>
      <c r="P2154" t="s">
        <v>1702</v>
      </c>
      <c r="Q2154" t="s">
        <v>2594</v>
      </c>
      <c r="R2154" t="s">
        <v>2436</v>
      </c>
    </row>
    <row r="2155" spans="1:18" x14ac:dyDescent="0.5">
      <c r="A2155" t="str">
        <f>"6174468C6"</f>
        <v>6174468C6</v>
      </c>
      <c r="B2155" t="s">
        <v>101</v>
      </c>
      <c r="C2155" t="s">
        <v>2630</v>
      </c>
      <c r="D2155" t="s">
        <v>2433</v>
      </c>
      <c r="E2155">
        <v>4</v>
      </c>
      <c r="F2155" s="2">
        <v>45861</v>
      </c>
      <c r="G2155" s="2" t="s">
        <v>101</v>
      </c>
      <c r="H2155" t="s">
        <v>641</v>
      </c>
      <c r="I2155" t="s">
        <v>713</v>
      </c>
      <c r="J2155">
        <v>99.72</v>
      </c>
      <c r="K2155">
        <v>99.786000000000001</v>
      </c>
      <c r="L2155">
        <v>4.7569999999999997</v>
      </c>
      <c r="M2155">
        <v>4.5730000000000004</v>
      </c>
      <c r="N2155">
        <v>4.5730000000000004</v>
      </c>
      <c r="O2155" t="s">
        <v>101</v>
      </c>
      <c r="P2155" t="s">
        <v>2631</v>
      </c>
      <c r="Q2155" t="s">
        <v>2632</v>
      </c>
      <c r="R2155" t="s">
        <v>2436</v>
      </c>
    </row>
    <row r="2156" spans="1:18" x14ac:dyDescent="0.5">
      <c r="A2156" t="str">
        <f>"459200KS9"</f>
        <v>459200KS9</v>
      </c>
      <c r="B2156" t="s">
        <v>101</v>
      </c>
      <c r="C2156" t="s">
        <v>2633</v>
      </c>
      <c r="D2156" t="s">
        <v>2433</v>
      </c>
      <c r="E2156">
        <v>4</v>
      </c>
      <c r="F2156" s="2">
        <v>45865</v>
      </c>
      <c r="G2156" s="2" t="s">
        <v>101</v>
      </c>
      <c r="H2156" t="s">
        <v>627</v>
      </c>
      <c r="I2156" t="s">
        <v>713</v>
      </c>
      <c r="J2156">
        <v>99.694999999999993</v>
      </c>
      <c r="K2156">
        <v>99.903000000000006</v>
      </c>
      <c r="L2156">
        <v>4.8040000000000003</v>
      </c>
      <c r="M2156">
        <v>4.242</v>
      </c>
      <c r="N2156">
        <v>4.242</v>
      </c>
      <c r="O2156" t="s">
        <v>101</v>
      </c>
      <c r="P2156" t="s">
        <v>2634</v>
      </c>
      <c r="Q2156" t="s">
        <v>2635</v>
      </c>
      <c r="R2156" t="s">
        <v>2436</v>
      </c>
    </row>
    <row r="2157" spans="1:18" x14ac:dyDescent="0.5">
      <c r="A2157" t="str">
        <f>"904764AS6"</f>
        <v>904764AS6</v>
      </c>
      <c r="B2157" t="s">
        <v>101</v>
      </c>
      <c r="C2157" t="s">
        <v>2636</v>
      </c>
      <c r="D2157" t="s">
        <v>2433</v>
      </c>
      <c r="E2157">
        <v>3.1</v>
      </c>
      <c r="F2157" s="2">
        <v>45868</v>
      </c>
      <c r="G2157" s="2" t="s">
        <v>101</v>
      </c>
      <c r="H2157" t="s">
        <v>641</v>
      </c>
      <c r="I2157" t="s">
        <v>658</v>
      </c>
      <c r="J2157">
        <v>99.438999999999993</v>
      </c>
      <c r="K2157">
        <v>99.554000000000002</v>
      </c>
      <c r="L2157">
        <v>4.5730000000000004</v>
      </c>
      <c r="M2157">
        <v>4.2670000000000003</v>
      </c>
      <c r="N2157">
        <v>4.2670000000000003</v>
      </c>
      <c r="O2157" t="s">
        <v>101</v>
      </c>
      <c r="P2157" t="s">
        <v>2635</v>
      </c>
      <c r="Q2157" t="s">
        <v>1797</v>
      </c>
      <c r="R2157" t="s">
        <v>2436</v>
      </c>
    </row>
    <row r="2158" spans="1:18" x14ac:dyDescent="0.5">
      <c r="A2158" t="str">
        <f>"025816CY3"</f>
        <v>025816CY3</v>
      </c>
      <c r="B2158" t="s">
        <v>101</v>
      </c>
      <c r="C2158" t="s">
        <v>2637</v>
      </c>
      <c r="D2158" t="s">
        <v>2433</v>
      </c>
      <c r="E2158">
        <v>3.95</v>
      </c>
      <c r="F2158" s="2">
        <v>45870</v>
      </c>
      <c r="G2158" s="2">
        <v>45839</v>
      </c>
      <c r="H2158" t="s">
        <v>610</v>
      </c>
      <c r="I2158" t="s">
        <v>713</v>
      </c>
      <c r="J2158">
        <v>99.7</v>
      </c>
      <c r="K2158">
        <v>99.774000000000001</v>
      </c>
      <c r="L2158">
        <v>4.72</v>
      </c>
      <c r="M2158">
        <v>4.5250000000000004</v>
      </c>
      <c r="N2158">
        <v>4.5250000000000004</v>
      </c>
      <c r="O2158" t="s">
        <v>101</v>
      </c>
      <c r="P2158" t="s">
        <v>2497</v>
      </c>
      <c r="Q2158" t="s">
        <v>1702</v>
      </c>
      <c r="R2158" t="s">
        <v>2436</v>
      </c>
    </row>
    <row r="2159" spans="1:18" x14ac:dyDescent="0.5">
      <c r="A2159" t="str">
        <f>"06051GFS3"</f>
        <v>06051GFS3</v>
      </c>
      <c r="B2159" t="s">
        <v>101</v>
      </c>
      <c r="C2159" t="s">
        <v>2638</v>
      </c>
      <c r="D2159" t="s">
        <v>2433</v>
      </c>
      <c r="E2159">
        <v>3.875</v>
      </c>
      <c r="F2159" s="2">
        <v>45870</v>
      </c>
      <c r="G2159" s="2" t="s">
        <v>105</v>
      </c>
      <c r="H2159" t="s">
        <v>641</v>
      </c>
      <c r="I2159" t="s">
        <v>713</v>
      </c>
      <c r="J2159">
        <v>99.74</v>
      </c>
      <c r="K2159">
        <v>99.77</v>
      </c>
      <c r="L2159">
        <v>4.54</v>
      </c>
      <c r="M2159">
        <v>4.4610000000000003</v>
      </c>
      <c r="N2159">
        <v>4.4610000000000003</v>
      </c>
      <c r="O2159" t="s">
        <v>101</v>
      </c>
      <c r="P2159" t="s">
        <v>2639</v>
      </c>
      <c r="Q2159" t="s">
        <v>2640</v>
      </c>
      <c r="R2159" t="s">
        <v>2465</v>
      </c>
    </row>
    <row r="2160" spans="1:18" x14ac:dyDescent="0.5">
      <c r="A2160" t="str">
        <f>"842400GN7"</f>
        <v>842400GN7</v>
      </c>
      <c r="B2160" t="s">
        <v>101</v>
      </c>
      <c r="C2160" t="s">
        <v>2641</v>
      </c>
      <c r="D2160" t="s">
        <v>2433</v>
      </c>
      <c r="E2160">
        <v>3.7</v>
      </c>
      <c r="F2160" s="2">
        <v>45870</v>
      </c>
      <c r="G2160" s="2">
        <v>45809</v>
      </c>
      <c r="H2160" t="s">
        <v>610</v>
      </c>
      <c r="I2160" t="s">
        <v>713</v>
      </c>
      <c r="J2160">
        <v>99.350999999999999</v>
      </c>
      <c r="K2160">
        <v>99.582999999999998</v>
      </c>
      <c r="L2160">
        <v>5.3929999999999998</v>
      </c>
      <c r="M2160">
        <v>4.78</v>
      </c>
      <c r="N2160">
        <v>4.78</v>
      </c>
      <c r="O2160" t="s">
        <v>101</v>
      </c>
      <c r="P2160" t="s">
        <v>2595</v>
      </c>
      <c r="Q2160" t="s">
        <v>2642</v>
      </c>
      <c r="R2160" t="s">
        <v>2436</v>
      </c>
    </row>
    <row r="2161" spans="1:18" x14ac:dyDescent="0.5">
      <c r="A2161" t="str">
        <f>"13607H6M9"</f>
        <v>13607H6M9</v>
      </c>
      <c r="B2161" t="s">
        <v>101</v>
      </c>
      <c r="C2161" t="s">
        <v>2643</v>
      </c>
      <c r="D2161" t="s">
        <v>2433</v>
      </c>
      <c r="E2161">
        <v>3.9449999999999998</v>
      </c>
      <c r="F2161" s="2">
        <v>45873</v>
      </c>
      <c r="G2161" s="2" t="s">
        <v>101</v>
      </c>
      <c r="H2161" t="s">
        <v>610</v>
      </c>
      <c r="I2161" t="s">
        <v>713</v>
      </c>
      <c r="J2161">
        <v>99.727000000000004</v>
      </c>
      <c r="K2161">
        <v>99.781000000000006</v>
      </c>
      <c r="L2161">
        <v>4.63</v>
      </c>
      <c r="M2161">
        <v>4.4909999999999997</v>
      </c>
      <c r="N2161">
        <v>4.4909999999999997</v>
      </c>
      <c r="O2161" t="s">
        <v>101</v>
      </c>
      <c r="P2161" t="s">
        <v>2434</v>
      </c>
      <c r="Q2161" t="s">
        <v>2644</v>
      </c>
      <c r="R2161" t="s">
        <v>2436</v>
      </c>
    </row>
    <row r="2162" spans="1:18" x14ac:dyDescent="0.5">
      <c r="A2162" t="str">
        <f>"89788MAA0"</f>
        <v>89788MAA0</v>
      </c>
      <c r="B2162" t="s">
        <v>101</v>
      </c>
      <c r="C2162" t="s">
        <v>2645</v>
      </c>
      <c r="D2162" t="s">
        <v>2433</v>
      </c>
      <c r="E2162">
        <v>1.2</v>
      </c>
      <c r="F2162" s="2">
        <v>45874</v>
      </c>
      <c r="G2162" s="2">
        <v>45841</v>
      </c>
      <c r="H2162" t="s">
        <v>670</v>
      </c>
      <c r="I2162" t="s">
        <v>713</v>
      </c>
      <c r="J2162">
        <v>98.587999999999994</v>
      </c>
      <c r="K2162">
        <v>98.739000000000004</v>
      </c>
      <c r="L2162">
        <v>4.8170000000000002</v>
      </c>
      <c r="M2162">
        <v>4.4249999999999998</v>
      </c>
      <c r="N2162">
        <v>4.4249999999999998</v>
      </c>
      <c r="O2162" t="s">
        <v>101</v>
      </c>
      <c r="P2162" t="s">
        <v>2454</v>
      </c>
      <c r="Q2162" t="s">
        <v>2522</v>
      </c>
      <c r="R2162" t="s">
        <v>2436</v>
      </c>
    </row>
    <row r="2163" spans="1:18" x14ac:dyDescent="0.5">
      <c r="A2163" t="str">
        <f>"14913UAB6"</f>
        <v>14913UAB6</v>
      </c>
      <c r="B2163" t="s">
        <v>101</v>
      </c>
      <c r="C2163" t="s">
        <v>2646</v>
      </c>
      <c r="D2163" t="s">
        <v>2433</v>
      </c>
      <c r="E2163">
        <v>5.15</v>
      </c>
      <c r="F2163" s="2">
        <v>45880</v>
      </c>
      <c r="G2163" s="2" t="s">
        <v>101</v>
      </c>
      <c r="H2163" t="s">
        <v>610</v>
      </c>
      <c r="I2163" t="s">
        <v>611</v>
      </c>
      <c r="J2163">
        <v>100.137</v>
      </c>
      <c r="K2163">
        <v>100.358</v>
      </c>
      <c r="L2163">
        <v>4.7910000000000004</v>
      </c>
      <c r="M2163">
        <v>4.2510000000000003</v>
      </c>
      <c r="N2163">
        <v>4.2510000000000003</v>
      </c>
      <c r="O2163" t="s">
        <v>101</v>
      </c>
      <c r="P2163" t="s">
        <v>2438</v>
      </c>
      <c r="Q2163" t="s">
        <v>2507</v>
      </c>
      <c r="R2163" t="s">
        <v>2436</v>
      </c>
    </row>
    <row r="2164" spans="1:18" x14ac:dyDescent="0.5">
      <c r="A2164" t="str">
        <f>"69371RR99"</f>
        <v>69371RR99</v>
      </c>
      <c r="B2164" t="s">
        <v>101</v>
      </c>
      <c r="C2164" t="s">
        <v>2647</v>
      </c>
      <c r="D2164" t="s">
        <v>2433</v>
      </c>
      <c r="E2164">
        <v>3.55</v>
      </c>
      <c r="F2164" s="2">
        <v>45880</v>
      </c>
      <c r="G2164" s="2" t="s">
        <v>105</v>
      </c>
      <c r="H2164" t="s">
        <v>641</v>
      </c>
      <c r="I2164" t="s">
        <v>658</v>
      </c>
      <c r="J2164">
        <v>99.492000000000004</v>
      </c>
      <c r="K2164">
        <v>99.784999999999997</v>
      </c>
      <c r="L2164">
        <v>4.7869999999999999</v>
      </c>
      <c r="M2164">
        <v>4.0659999999999998</v>
      </c>
      <c r="N2164">
        <v>4.0659999999999998</v>
      </c>
      <c r="O2164" t="s">
        <v>101</v>
      </c>
      <c r="P2164" t="s">
        <v>2488</v>
      </c>
      <c r="Q2164" t="s">
        <v>2549</v>
      </c>
      <c r="R2164" t="s">
        <v>2465</v>
      </c>
    </row>
    <row r="2165" spans="1:18" x14ac:dyDescent="0.5">
      <c r="A2165" t="str">
        <f>"718172BQ1"</f>
        <v>718172BQ1</v>
      </c>
      <c r="B2165" t="s">
        <v>101</v>
      </c>
      <c r="C2165" t="s">
        <v>2648</v>
      </c>
      <c r="D2165" t="s">
        <v>2433</v>
      </c>
      <c r="E2165">
        <v>3.375</v>
      </c>
      <c r="F2165" s="2">
        <v>45880</v>
      </c>
      <c r="G2165" s="2">
        <v>45788</v>
      </c>
      <c r="H2165" t="s">
        <v>610</v>
      </c>
      <c r="I2165" t="s">
        <v>713</v>
      </c>
      <c r="J2165">
        <v>99.465000000000003</v>
      </c>
      <c r="K2165">
        <v>99.546999999999997</v>
      </c>
      <c r="L2165">
        <v>4.6790000000000003</v>
      </c>
      <c r="M2165">
        <v>4.4770000000000003</v>
      </c>
      <c r="N2165">
        <v>4.4770000000000003</v>
      </c>
      <c r="O2165" t="s">
        <v>101</v>
      </c>
      <c r="P2165" t="s">
        <v>2595</v>
      </c>
      <c r="Q2165" t="s">
        <v>2595</v>
      </c>
      <c r="R2165" t="s">
        <v>2436</v>
      </c>
    </row>
    <row r="2166" spans="1:18" x14ac:dyDescent="0.5">
      <c r="A2166" t="str">
        <f>"14913R2Z9"</f>
        <v>14913R2Z9</v>
      </c>
      <c r="B2166" t="s">
        <v>101</v>
      </c>
      <c r="C2166" t="s">
        <v>2649</v>
      </c>
      <c r="D2166" t="s">
        <v>2433</v>
      </c>
      <c r="E2166">
        <v>3.65</v>
      </c>
      <c r="F2166" s="2">
        <v>45881</v>
      </c>
      <c r="G2166" s="2" t="s">
        <v>101</v>
      </c>
      <c r="H2166" t="s">
        <v>610</v>
      </c>
      <c r="I2166" t="s">
        <v>611</v>
      </c>
      <c r="J2166">
        <v>99.597999999999999</v>
      </c>
      <c r="K2166">
        <v>99.73</v>
      </c>
      <c r="L2166">
        <v>4.6189999999999998</v>
      </c>
      <c r="M2166">
        <v>4.2969999999999997</v>
      </c>
      <c r="N2166">
        <v>4.2969999999999997</v>
      </c>
      <c r="O2166" t="s">
        <v>101</v>
      </c>
      <c r="P2166" t="s">
        <v>790</v>
      </c>
      <c r="Q2166" t="s">
        <v>2650</v>
      </c>
      <c r="R2166" t="s">
        <v>2436</v>
      </c>
    </row>
    <row r="2167" spans="1:18" x14ac:dyDescent="0.5">
      <c r="A2167" t="str">
        <f>"166756AE6"</f>
        <v>166756AE6</v>
      </c>
      <c r="B2167" t="s">
        <v>101</v>
      </c>
      <c r="C2167" t="s">
        <v>2651</v>
      </c>
      <c r="D2167" t="s">
        <v>2433</v>
      </c>
      <c r="E2167">
        <v>0.68700000000000006</v>
      </c>
      <c r="F2167" s="2">
        <v>45881</v>
      </c>
      <c r="G2167" s="2">
        <v>45850</v>
      </c>
      <c r="H2167" t="s">
        <v>613</v>
      </c>
      <c r="I2167" t="s">
        <v>616</v>
      </c>
      <c r="J2167">
        <v>98.38</v>
      </c>
      <c r="K2167">
        <v>98.460999999999999</v>
      </c>
      <c r="L2167">
        <v>4.6479999999999997</v>
      </c>
      <c r="M2167">
        <v>4.4459999999999997</v>
      </c>
      <c r="N2167">
        <v>4.4459999999999997</v>
      </c>
      <c r="O2167" t="s">
        <v>101</v>
      </c>
      <c r="P2167" t="s">
        <v>2552</v>
      </c>
      <c r="Q2167" t="s">
        <v>2652</v>
      </c>
      <c r="R2167" t="s">
        <v>2436</v>
      </c>
    </row>
    <row r="2168" spans="1:18" x14ac:dyDescent="0.5">
      <c r="A2168" t="str">
        <f>"02079KAH0"</f>
        <v>02079KAH0</v>
      </c>
      <c r="B2168" t="s">
        <v>101</v>
      </c>
      <c r="C2168" t="s">
        <v>2653</v>
      </c>
      <c r="D2168" t="s">
        <v>2433</v>
      </c>
      <c r="E2168">
        <v>0.45</v>
      </c>
      <c r="F2168" s="2">
        <v>45884</v>
      </c>
      <c r="G2168" s="2">
        <v>45853</v>
      </c>
      <c r="H2168" t="s">
        <v>613</v>
      </c>
      <c r="I2168" t="s">
        <v>509</v>
      </c>
      <c r="J2168">
        <v>98.234999999999999</v>
      </c>
      <c r="K2168">
        <v>98.435000000000002</v>
      </c>
      <c r="L2168">
        <v>4.6840000000000002</v>
      </c>
      <c r="M2168">
        <v>4.1970000000000001</v>
      </c>
      <c r="N2168">
        <v>4.1970000000000001</v>
      </c>
      <c r="O2168" t="s">
        <v>101</v>
      </c>
      <c r="P2168" t="s">
        <v>2454</v>
      </c>
      <c r="Q2168" t="s">
        <v>2438</v>
      </c>
      <c r="R2168" t="s">
        <v>2436</v>
      </c>
    </row>
    <row r="2169" spans="1:18" x14ac:dyDescent="0.5">
      <c r="A2169" t="str">
        <f>"194162AM5"</f>
        <v>194162AM5</v>
      </c>
      <c r="B2169" t="s">
        <v>101</v>
      </c>
      <c r="C2169" t="s">
        <v>2654</v>
      </c>
      <c r="D2169" t="s">
        <v>2433</v>
      </c>
      <c r="E2169">
        <v>3.1</v>
      </c>
      <c r="F2169" s="2">
        <v>45884</v>
      </c>
      <c r="G2169" s="2">
        <v>45853</v>
      </c>
      <c r="H2169" t="s">
        <v>624</v>
      </c>
      <c r="I2169" t="s">
        <v>658</v>
      </c>
      <c r="J2169">
        <v>99.375</v>
      </c>
      <c r="K2169">
        <v>99.48</v>
      </c>
      <c r="L2169">
        <v>4.5890000000000004</v>
      </c>
      <c r="M2169">
        <v>4.3360000000000003</v>
      </c>
      <c r="N2169">
        <v>4.3360000000000003</v>
      </c>
      <c r="O2169" t="s">
        <v>101</v>
      </c>
      <c r="P2169" t="s">
        <v>2655</v>
      </c>
      <c r="Q2169" t="s">
        <v>2652</v>
      </c>
      <c r="R2169" t="s">
        <v>2436</v>
      </c>
    </row>
    <row r="2170" spans="1:18" x14ac:dyDescent="0.5">
      <c r="A2170" t="str">
        <f>"20030NBN0"</f>
        <v>20030NBN0</v>
      </c>
      <c r="B2170" t="s">
        <v>101</v>
      </c>
      <c r="C2170" t="s">
        <v>2656</v>
      </c>
      <c r="D2170" t="s">
        <v>2433</v>
      </c>
      <c r="E2170">
        <v>3.375</v>
      </c>
      <c r="F2170" s="2">
        <v>45884</v>
      </c>
      <c r="G2170" s="2">
        <v>45792</v>
      </c>
      <c r="H2170" t="s">
        <v>627</v>
      </c>
      <c r="I2170" t="s">
        <v>713</v>
      </c>
      <c r="J2170">
        <v>99.409000000000006</v>
      </c>
      <c r="K2170">
        <v>99.590999999999994</v>
      </c>
      <c r="L2170">
        <v>4.782</v>
      </c>
      <c r="M2170">
        <v>4.3440000000000003</v>
      </c>
      <c r="N2170">
        <v>4.3440000000000003</v>
      </c>
      <c r="O2170" t="s">
        <v>101</v>
      </c>
      <c r="P2170" t="s">
        <v>2434</v>
      </c>
      <c r="Q2170" t="s">
        <v>2657</v>
      </c>
      <c r="R2170" t="s">
        <v>2436</v>
      </c>
    </row>
    <row r="2171" spans="1:18" x14ac:dyDescent="0.5">
      <c r="A2171" t="str">
        <f>"26442UAA2"</f>
        <v>26442UAA2</v>
      </c>
      <c r="B2171" t="s">
        <v>101</v>
      </c>
      <c r="C2171" t="s">
        <v>2658</v>
      </c>
      <c r="D2171" t="s">
        <v>2433</v>
      </c>
      <c r="E2171">
        <v>3.25</v>
      </c>
      <c r="F2171" s="2">
        <v>45884</v>
      </c>
      <c r="G2171" s="2">
        <v>45792</v>
      </c>
      <c r="H2171" t="s">
        <v>624</v>
      </c>
      <c r="I2171" t="s">
        <v>611</v>
      </c>
      <c r="J2171">
        <v>99.42</v>
      </c>
      <c r="K2171">
        <v>99.600999999999999</v>
      </c>
      <c r="L2171">
        <v>4.63</v>
      </c>
      <c r="M2171">
        <v>4.1950000000000003</v>
      </c>
      <c r="N2171">
        <v>4.1950000000000003</v>
      </c>
      <c r="O2171" t="s">
        <v>101</v>
      </c>
      <c r="P2171" t="s">
        <v>1236</v>
      </c>
      <c r="Q2171" t="s">
        <v>2659</v>
      </c>
      <c r="R2171" t="s">
        <v>2436</v>
      </c>
    </row>
    <row r="2172" spans="1:18" x14ac:dyDescent="0.5">
      <c r="A2172" t="str">
        <f>"494368BR3"</f>
        <v>494368BR3</v>
      </c>
      <c r="B2172" t="s">
        <v>101</v>
      </c>
      <c r="C2172" t="s">
        <v>2660</v>
      </c>
      <c r="D2172" t="s">
        <v>2433</v>
      </c>
      <c r="E2172">
        <v>3.05</v>
      </c>
      <c r="F2172" s="2">
        <v>45884</v>
      </c>
      <c r="G2172" s="2" t="s">
        <v>101</v>
      </c>
      <c r="H2172" t="s">
        <v>610</v>
      </c>
      <c r="I2172" t="s">
        <v>611</v>
      </c>
      <c r="J2172">
        <v>99.328000000000003</v>
      </c>
      <c r="K2172">
        <v>99.56</v>
      </c>
      <c r="L2172">
        <v>4.6520000000000001</v>
      </c>
      <c r="M2172">
        <v>4.0940000000000003</v>
      </c>
      <c r="N2172">
        <v>4.0940000000000003</v>
      </c>
      <c r="O2172" t="s">
        <v>101</v>
      </c>
      <c r="P2172" t="s">
        <v>2551</v>
      </c>
      <c r="Q2172" t="s">
        <v>1342</v>
      </c>
      <c r="R2172" t="s">
        <v>2436</v>
      </c>
    </row>
    <row r="2173" spans="1:18" x14ac:dyDescent="0.5">
      <c r="A2173" t="str">
        <f>"78014RFU9"</f>
        <v>78014RFU9</v>
      </c>
      <c r="B2173" t="s">
        <v>101</v>
      </c>
      <c r="C2173" t="s">
        <v>2661</v>
      </c>
      <c r="D2173" t="s">
        <v>2433</v>
      </c>
      <c r="E2173">
        <v>4.1500000000000004</v>
      </c>
      <c r="F2173" s="2">
        <v>45884</v>
      </c>
      <c r="G2173" s="2">
        <v>45792</v>
      </c>
      <c r="H2173" t="s">
        <v>641</v>
      </c>
      <c r="I2173" t="s">
        <v>611</v>
      </c>
      <c r="J2173">
        <v>99.370999999999995</v>
      </c>
      <c r="K2173">
        <v>99.947000000000003</v>
      </c>
      <c r="L2173">
        <v>5.6550000000000002</v>
      </c>
      <c r="M2173">
        <v>4.274</v>
      </c>
      <c r="N2173">
        <v>4.274</v>
      </c>
      <c r="O2173" t="s">
        <v>101</v>
      </c>
      <c r="P2173" t="s">
        <v>1236</v>
      </c>
      <c r="Q2173" t="s">
        <v>538</v>
      </c>
      <c r="R2173" t="s">
        <v>2436</v>
      </c>
    </row>
    <row r="2174" spans="1:18" x14ac:dyDescent="0.5">
      <c r="A2174" t="str">
        <f>"907818ED6"</f>
        <v>907818ED6</v>
      </c>
      <c r="B2174" t="s">
        <v>101</v>
      </c>
      <c r="C2174" t="s">
        <v>2662</v>
      </c>
      <c r="D2174" t="s">
        <v>2433</v>
      </c>
      <c r="E2174">
        <v>3.25</v>
      </c>
      <c r="F2174" s="2">
        <v>45884</v>
      </c>
      <c r="G2174" s="2">
        <v>45792</v>
      </c>
      <c r="H2174" t="s">
        <v>627</v>
      </c>
      <c r="I2174" t="s">
        <v>713</v>
      </c>
      <c r="J2174">
        <v>99.475999999999999</v>
      </c>
      <c r="K2174">
        <v>99.570999999999998</v>
      </c>
      <c r="L2174">
        <v>4.4960000000000004</v>
      </c>
      <c r="M2174">
        <v>4.2670000000000003</v>
      </c>
      <c r="N2174">
        <v>4.2670000000000003</v>
      </c>
      <c r="O2174" t="s">
        <v>101</v>
      </c>
      <c r="P2174" t="s">
        <v>1236</v>
      </c>
      <c r="Q2174" t="s">
        <v>2511</v>
      </c>
      <c r="R2174" t="s">
        <v>2436</v>
      </c>
    </row>
    <row r="2175" spans="1:18" x14ac:dyDescent="0.5">
      <c r="A2175" t="str">
        <f>"22553QFC6"</f>
        <v>22553QFC6</v>
      </c>
      <c r="B2175" t="s">
        <v>101</v>
      </c>
      <c r="C2175" t="s">
        <v>2663</v>
      </c>
      <c r="D2175" t="s">
        <v>2433</v>
      </c>
      <c r="E2175">
        <v>4.25</v>
      </c>
      <c r="F2175" s="2">
        <v>45886</v>
      </c>
      <c r="G2175" s="2">
        <v>45794</v>
      </c>
      <c r="H2175" t="s">
        <v>613</v>
      </c>
      <c r="I2175" t="s">
        <v>105</v>
      </c>
      <c r="J2175">
        <v>99.320999999999998</v>
      </c>
      <c r="K2175">
        <v>99.820999999999998</v>
      </c>
      <c r="L2175">
        <v>5.8550000000000004</v>
      </c>
      <c r="M2175">
        <v>4.6689999999999996</v>
      </c>
      <c r="N2175">
        <v>4.6689999999999996</v>
      </c>
      <c r="O2175" t="s">
        <v>101</v>
      </c>
      <c r="P2175" t="s">
        <v>1391</v>
      </c>
      <c r="Q2175" t="s">
        <v>2664</v>
      </c>
      <c r="R2175" t="s">
        <v>2436</v>
      </c>
    </row>
    <row r="2176" spans="1:18" x14ac:dyDescent="0.5">
      <c r="A2176" t="str">
        <f>"05964HAR6"</f>
        <v>05964HAR6</v>
      </c>
      <c r="B2176" t="s">
        <v>101</v>
      </c>
      <c r="C2176" t="s">
        <v>2665</v>
      </c>
      <c r="D2176" t="s">
        <v>2433</v>
      </c>
      <c r="E2176">
        <v>5.1470000000000002</v>
      </c>
      <c r="F2176" s="2">
        <v>45887</v>
      </c>
      <c r="G2176" s="2" t="s">
        <v>101</v>
      </c>
      <c r="H2176" t="s">
        <v>670</v>
      </c>
      <c r="I2176" t="s">
        <v>713</v>
      </c>
      <c r="J2176">
        <v>100.03400000000001</v>
      </c>
      <c r="K2176">
        <v>100.17700000000001</v>
      </c>
      <c r="L2176">
        <v>5.0490000000000004</v>
      </c>
      <c r="M2176">
        <v>4.7140000000000004</v>
      </c>
      <c r="N2176">
        <v>4.7140000000000004</v>
      </c>
      <c r="O2176" t="s">
        <v>101</v>
      </c>
      <c r="P2176" t="s">
        <v>2666</v>
      </c>
      <c r="Q2176" t="s">
        <v>2667</v>
      </c>
      <c r="R2176" t="s">
        <v>2436</v>
      </c>
    </row>
    <row r="2177" spans="1:18" x14ac:dyDescent="0.5">
      <c r="A2177" t="str">
        <f>"06428CAC8"</f>
        <v>06428CAC8</v>
      </c>
      <c r="B2177" t="s">
        <v>101</v>
      </c>
      <c r="C2177" t="s">
        <v>2668</v>
      </c>
      <c r="D2177" t="s">
        <v>2433</v>
      </c>
      <c r="E2177">
        <v>5.65</v>
      </c>
      <c r="F2177" s="2">
        <v>45887</v>
      </c>
      <c r="G2177" s="2">
        <v>45856</v>
      </c>
      <c r="H2177" t="s">
        <v>540</v>
      </c>
      <c r="I2177" t="s">
        <v>658</v>
      </c>
      <c r="J2177">
        <v>100.40300000000001</v>
      </c>
      <c r="K2177">
        <v>100.532</v>
      </c>
      <c r="L2177">
        <v>4.4640000000000004</v>
      </c>
      <c r="M2177">
        <v>4.093</v>
      </c>
      <c r="N2177">
        <v>4.3819999999999997</v>
      </c>
      <c r="O2177" t="s">
        <v>101</v>
      </c>
      <c r="P2177" t="s">
        <v>2434</v>
      </c>
      <c r="Q2177" t="s">
        <v>2669</v>
      </c>
      <c r="R2177" t="s">
        <v>2436</v>
      </c>
    </row>
    <row r="2178" spans="1:18" x14ac:dyDescent="0.5">
      <c r="A2178" t="str">
        <f>"857477AT0"</f>
        <v>857477AT0</v>
      </c>
      <c r="B2178" t="s">
        <v>101</v>
      </c>
      <c r="C2178" t="s">
        <v>2670</v>
      </c>
      <c r="D2178" t="s">
        <v>2433</v>
      </c>
      <c r="E2178">
        <v>3.55</v>
      </c>
      <c r="F2178" s="2">
        <v>45887</v>
      </c>
      <c r="G2178" s="2" t="s">
        <v>105</v>
      </c>
      <c r="H2178" t="s">
        <v>624</v>
      </c>
      <c r="I2178" t="s">
        <v>611</v>
      </c>
      <c r="J2178">
        <v>99.555000000000007</v>
      </c>
      <c r="K2178">
        <v>99.605999999999995</v>
      </c>
      <c r="L2178">
        <v>4.5860000000000003</v>
      </c>
      <c r="M2178">
        <v>4.4660000000000002</v>
      </c>
      <c r="N2178">
        <v>4.4660000000000002</v>
      </c>
      <c r="O2178" t="s">
        <v>101</v>
      </c>
      <c r="P2178" t="s">
        <v>2497</v>
      </c>
      <c r="Q2178" t="s">
        <v>2671</v>
      </c>
      <c r="R2178" t="s">
        <v>2465</v>
      </c>
    </row>
    <row r="2179" spans="1:18" x14ac:dyDescent="0.5">
      <c r="A2179" t="str">
        <f>"89236TKF1"</f>
        <v>89236TKF1</v>
      </c>
      <c r="B2179" t="s">
        <v>101</v>
      </c>
      <c r="C2179" t="s">
        <v>2672</v>
      </c>
      <c r="D2179" t="s">
        <v>2433</v>
      </c>
      <c r="E2179">
        <v>3.65</v>
      </c>
      <c r="F2179" s="2">
        <v>45887</v>
      </c>
      <c r="G2179" s="2" t="s">
        <v>105</v>
      </c>
      <c r="H2179" t="s">
        <v>641</v>
      </c>
      <c r="I2179" t="s">
        <v>658</v>
      </c>
      <c r="J2179">
        <v>99.605999999999995</v>
      </c>
      <c r="K2179">
        <v>99.745999999999995</v>
      </c>
      <c r="L2179">
        <v>4.5659999999999998</v>
      </c>
      <c r="M2179">
        <v>4.2370000000000001</v>
      </c>
      <c r="N2179">
        <v>4.2370000000000001</v>
      </c>
      <c r="O2179" t="s">
        <v>101</v>
      </c>
      <c r="P2179" t="s">
        <v>2595</v>
      </c>
      <c r="Q2179" t="s">
        <v>2673</v>
      </c>
      <c r="R2179" t="s">
        <v>2465</v>
      </c>
    </row>
    <row r="2180" spans="1:18" x14ac:dyDescent="0.5">
      <c r="A2180" t="str">
        <f>"037833DX5"</f>
        <v>037833DX5</v>
      </c>
      <c r="B2180" t="s">
        <v>101</v>
      </c>
      <c r="C2180" t="s">
        <v>2674</v>
      </c>
      <c r="D2180" t="s">
        <v>2433</v>
      </c>
      <c r="E2180">
        <v>0.55000000000000004</v>
      </c>
      <c r="F2180" s="2">
        <v>45889</v>
      </c>
      <c r="G2180" s="2">
        <v>45858</v>
      </c>
      <c r="H2180" t="s">
        <v>104</v>
      </c>
      <c r="I2180" t="s">
        <v>509</v>
      </c>
      <c r="J2180">
        <v>98.22</v>
      </c>
      <c r="K2180">
        <v>98.4</v>
      </c>
      <c r="L2180">
        <v>4.6879999999999997</v>
      </c>
      <c r="M2180">
        <v>4.2619999999999996</v>
      </c>
      <c r="N2180">
        <v>4.2619999999999996</v>
      </c>
      <c r="O2180" t="s">
        <v>101</v>
      </c>
      <c r="P2180" t="s">
        <v>2675</v>
      </c>
      <c r="Q2180" t="s">
        <v>2438</v>
      </c>
      <c r="R2180" t="s">
        <v>2436</v>
      </c>
    </row>
    <row r="2181" spans="1:18" x14ac:dyDescent="0.5">
      <c r="A2181" t="str">
        <f>"427866AU2"</f>
        <v>427866AU2</v>
      </c>
      <c r="B2181" t="s">
        <v>101</v>
      </c>
      <c r="C2181" t="s">
        <v>2676</v>
      </c>
      <c r="D2181" t="s">
        <v>2433</v>
      </c>
      <c r="E2181">
        <v>3.2</v>
      </c>
      <c r="F2181" s="2">
        <v>45890</v>
      </c>
      <c r="G2181" s="2">
        <v>45798</v>
      </c>
      <c r="H2181" t="s">
        <v>641</v>
      </c>
      <c r="I2181" t="s">
        <v>611</v>
      </c>
      <c r="J2181">
        <v>99.39</v>
      </c>
      <c r="K2181">
        <v>99.605999999999995</v>
      </c>
      <c r="L2181">
        <v>4.601</v>
      </c>
      <c r="M2181">
        <v>4.101</v>
      </c>
      <c r="N2181">
        <v>4.101</v>
      </c>
      <c r="O2181" t="s">
        <v>101</v>
      </c>
      <c r="P2181" t="s">
        <v>1064</v>
      </c>
      <c r="Q2181" t="s">
        <v>1064</v>
      </c>
      <c r="R2181" t="s">
        <v>2436</v>
      </c>
    </row>
    <row r="2182" spans="1:18" x14ac:dyDescent="0.5">
      <c r="A2182" t="str">
        <f>"961214FA6"</f>
        <v>961214FA6</v>
      </c>
      <c r="B2182" t="s">
        <v>101</v>
      </c>
      <c r="C2182" t="s">
        <v>2677</v>
      </c>
      <c r="D2182" t="s">
        <v>2433</v>
      </c>
      <c r="E2182">
        <v>3.7349999999999999</v>
      </c>
      <c r="F2182" s="2">
        <v>45895</v>
      </c>
      <c r="G2182" s="2" t="s">
        <v>101</v>
      </c>
      <c r="H2182" t="s">
        <v>613</v>
      </c>
      <c r="I2182" t="s">
        <v>616</v>
      </c>
      <c r="J2182">
        <v>99.531999999999996</v>
      </c>
      <c r="K2182">
        <v>99.748000000000005</v>
      </c>
      <c r="L2182">
        <v>4.7770000000000001</v>
      </c>
      <c r="M2182">
        <v>4.2919999999999998</v>
      </c>
      <c r="N2182">
        <v>4.2919999999999998</v>
      </c>
      <c r="O2182" t="s">
        <v>101</v>
      </c>
      <c r="P2182" t="s">
        <v>2463</v>
      </c>
      <c r="Q2182" t="s">
        <v>2678</v>
      </c>
      <c r="R2182" t="s">
        <v>2436</v>
      </c>
    </row>
    <row r="2183" spans="1:18" x14ac:dyDescent="0.5">
      <c r="A2183" t="str">
        <f>"12189LAY7"</f>
        <v>12189LAY7</v>
      </c>
      <c r="B2183" t="s">
        <v>101</v>
      </c>
      <c r="C2183" t="s">
        <v>2679</v>
      </c>
      <c r="D2183" t="s">
        <v>2433</v>
      </c>
      <c r="E2183">
        <v>3.65</v>
      </c>
      <c r="F2183" s="2">
        <v>45901</v>
      </c>
      <c r="G2183" s="2">
        <v>45809</v>
      </c>
      <c r="H2183" t="s">
        <v>610</v>
      </c>
      <c r="I2183" t="s">
        <v>616</v>
      </c>
      <c r="J2183">
        <v>99.484999999999999</v>
      </c>
      <c r="K2183">
        <v>99.638000000000005</v>
      </c>
      <c r="L2183">
        <v>4.766</v>
      </c>
      <c r="M2183">
        <v>4.4320000000000004</v>
      </c>
      <c r="N2183">
        <v>4.4320000000000004</v>
      </c>
      <c r="O2183" t="s">
        <v>101</v>
      </c>
      <c r="P2183" t="s">
        <v>1236</v>
      </c>
      <c r="Q2183" t="s">
        <v>2525</v>
      </c>
      <c r="R2183" t="s">
        <v>2436</v>
      </c>
    </row>
    <row r="2184" spans="1:18" x14ac:dyDescent="0.5">
      <c r="A2184" t="str">
        <f>"231021AU0"</f>
        <v>231021AU0</v>
      </c>
      <c r="B2184" t="s">
        <v>101</v>
      </c>
      <c r="C2184" t="s">
        <v>2680</v>
      </c>
      <c r="D2184" t="s">
        <v>2433</v>
      </c>
      <c r="E2184">
        <v>0.75</v>
      </c>
      <c r="F2184" s="2">
        <v>45901</v>
      </c>
      <c r="G2184" s="2">
        <v>45870</v>
      </c>
      <c r="H2184" t="s">
        <v>610</v>
      </c>
      <c r="I2184" t="s">
        <v>611</v>
      </c>
      <c r="J2184">
        <v>98.105999999999995</v>
      </c>
      <c r="K2184">
        <v>98.289000000000001</v>
      </c>
      <c r="L2184">
        <v>4.8760000000000003</v>
      </c>
      <c r="M2184">
        <v>4.47</v>
      </c>
      <c r="N2184">
        <v>4.47</v>
      </c>
      <c r="O2184" t="s">
        <v>101</v>
      </c>
      <c r="P2184" t="s">
        <v>2454</v>
      </c>
      <c r="Q2184" t="s">
        <v>2681</v>
      </c>
      <c r="R2184" t="s">
        <v>2436</v>
      </c>
    </row>
    <row r="2185" spans="1:18" x14ac:dyDescent="0.5">
      <c r="A2185" t="str">
        <f>"478160CN2"</f>
        <v>478160CN2</v>
      </c>
      <c r="B2185" t="s">
        <v>101</v>
      </c>
      <c r="C2185" t="s">
        <v>2682</v>
      </c>
      <c r="D2185" t="s">
        <v>2433</v>
      </c>
      <c r="E2185">
        <v>0.55000000000000004</v>
      </c>
      <c r="F2185" s="2">
        <v>45901</v>
      </c>
      <c r="G2185" s="2">
        <v>45870</v>
      </c>
      <c r="H2185" t="s">
        <v>104</v>
      </c>
      <c r="I2185" t="s">
        <v>104</v>
      </c>
      <c r="J2185">
        <v>98.161000000000001</v>
      </c>
      <c r="K2185">
        <v>98.343999999999994</v>
      </c>
      <c r="L2185">
        <v>4.55</v>
      </c>
      <c r="M2185">
        <v>4.1459999999999999</v>
      </c>
      <c r="N2185">
        <v>4.1459999999999999</v>
      </c>
      <c r="O2185" t="s">
        <v>101</v>
      </c>
      <c r="P2185" t="s">
        <v>2683</v>
      </c>
      <c r="Q2185" t="s">
        <v>2684</v>
      </c>
      <c r="R2185" t="s">
        <v>2436</v>
      </c>
    </row>
    <row r="2186" spans="1:18" x14ac:dyDescent="0.5">
      <c r="A2186" t="str">
        <f>"828807CV7"</f>
        <v>828807CV7</v>
      </c>
      <c r="B2186" t="s">
        <v>101</v>
      </c>
      <c r="C2186" t="s">
        <v>2685</v>
      </c>
      <c r="D2186" t="s">
        <v>2433</v>
      </c>
      <c r="E2186">
        <v>3.5</v>
      </c>
      <c r="F2186" s="2">
        <v>45901</v>
      </c>
      <c r="G2186" s="2">
        <v>45809</v>
      </c>
      <c r="H2186" t="s">
        <v>627</v>
      </c>
      <c r="I2186" t="s">
        <v>713</v>
      </c>
      <c r="J2186">
        <v>99.450999999999993</v>
      </c>
      <c r="K2186">
        <v>99.512</v>
      </c>
      <c r="L2186">
        <v>4.6900000000000004</v>
      </c>
      <c r="M2186">
        <v>4.556</v>
      </c>
      <c r="N2186">
        <v>4.5570000000000004</v>
      </c>
      <c r="O2186" t="s">
        <v>101</v>
      </c>
      <c r="P2186" t="s">
        <v>2472</v>
      </c>
      <c r="Q2186" t="s">
        <v>2444</v>
      </c>
      <c r="R2186" t="s">
        <v>2436</v>
      </c>
    </row>
    <row r="2187" spans="1:18" x14ac:dyDescent="0.5">
      <c r="A2187" t="str">
        <f>"88034PAA7"</f>
        <v>88034PAA7</v>
      </c>
      <c r="B2187" t="s">
        <v>101</v>
      </c>
      <c r="C2187" t="s">
        <v>2686</v>
      </c>
      <c r="D2187" t="s">
        <v>2433</v>
      </c>
      <c r="E2187">
        <v>1.375</v>
      </c>
      <c r="F2187" s="2">
        <v>45903</v>
      </c>
      <c r="G2187" s="2">
        <v>45872</v>
      </c>
      <c r="H2187" t="s">
        <v>610</v>
      </c>
      <c r="I2187" t="s">
        <v>611</v>
      </c>
      <c r="J2187">
        <v>98.004999999999995</v>
      </c>
      <c r="K2187">
        <v>98.721000000000004</v>
      </c>
      <c r="L2187">
        <v>5.6859999999999999</v>
      </c>
      <c r="M2187">
        <v>4.1189999999999998</v>
      </c>
      <c r="N2187">
        <v>4.1189999999999998</v>
      </c>
      <c r="O2187" t="s">
        <v>101</v>
      </c>
      <c r="P2187" t="s">
        <v>2687</v>
      </c>
      <c r="Q2187" t="s">
        <v>2688</v>
      </c>
      <c r="R2187" t="s">
        <v>2436</v>
      </c>
    </row>
    <row r="2188" spans="1:18" x14ac:dyDescent="0.5">
      <c r="A2188" t="str">
        <f>"24422EWJ4"</f>
        <v>24422EWJ4</v>
      </c>
      <c r="B2188" t="s">
        <v>101</v>
      </c>
      <c r="C2188" t="s">
        <v>2689</v>
      </c>
      <c r="D2188" t="s">
        <v>2433</v>
      </c>
      <c r="E2188">
        <v>4.05</v>
      </c>
      <c r="F2188" s="2">
        <v>45908</v>
      </c>
      <c r="G2188" s="2" t="s">
        <v>105</v>
      </c>
      <c r="H2188" t="s">
        <v>641</v>
      </c>
      <c r="I2188" t="s">
        <v>611</v>
      </c>
      <c r="J2188">
        <v>99.753</v>
      </c>
      <c r="K2188">
        <v>99.906999999999996</v>
      </c>
      <c r="L2188">
        <v>4.5640000000000001</v>
      </c>
      <c r="M2188">
        <v>4.242</v>
      </c>
      <c r="N2188">
        <v>4.242</v>
      </c>
      <c r="O2188" t="s">
        <v>101</v>
      </c>
      <c r="P2188" t="s">
        <v>2549</v>
      </c>
      <c r="Q2188" t="s">
        <v>2590</v>
      </c>
      <c r="R2188" t="s">
        <v>2465</v>
      </c>
    </row>
    <row r="2189" spans="1:18" x14ac:dyDescent="0.5">
      <c r="A2189" t="str">
        <f>"24422EXC8"</f>
        <v>24422EXC8</v>
      </c>
      <c r="B2189" t="s">
        <v>101</v>
      </c>
      <c r="C2189" t="s">
        <v>2690</v>
      </c>
      <c r="D2189" t="s">
        <v>2433</v>
      </c>
      <c r="E2189">
        <v>5.3</v>
      </c>
      <c r="F2189" s="2">
        <v>45908</v>
      </c>
      <c r="G2189" s="2" t="s">
        <v>105</v>
      </c>
      <c r="H2189" t="s">
        <v>641</v>
      </c>
      <c r="I2189" t="s">
        <v>611</v>
      </c>
      <c r="J2189">
        <v>100.389</v>
      </c>
      <c r="K2189">
        <v>100.48699999999999</v>
      </c>
      <c r="L2189">
        <v>4.484</v>
      </c>
      <c r="M2189">
        <v>4.28</v>
      </c>
      <c r="N2189">
        <v>4.28</v>
      </c>
      <c r="O2189" t="s">
        <v>101</v>
      </c>
      <c r="P2189" t="s">
        <v>2597</v>
      </c>
      <c r="Q2189" t="s">
        <v>1236</v>
      </c>
      <c r="R2189" t="s">
        <v>2465</v>
      </c>
    </row>
    <row r="2190" spans="1:18" x14ac:dyDescent="0.5">
      <c r="A2190" t="str">
        <f>"931142EW9"</f>
        <v>931142EW9</v>
      </c>
      <c r="B2190" t="s">
        <v>101</v>
      </c>
      <c r="C2190" t="s">
        <v>2691</v>
      </c>
      <c r="D2190" t="s">
        <v>2433</v>
      </c>
      <c r="E2190">
        <v>3.9</v>
      </c>
      <c r="F2190" s="2">
        <v>45909</v>
      </c>
      <c r="G2190" s="2" t="s">
        <v>101</v>
      </c>
      <c r="H2190" t="s">
        <v>613</v>
      </c>
      <c r="I2190" t="s">
        <v>628</v>
      </c>
      <c r="J2190">
        <v>99.653000000000006</v>
      </c>
      <c r="K2190">
        <v>99.814999999999998</v>
      </c>
      <c r="L2190">
        <v>4.62</v>
      </c>
      <c r="M2190">
        <v>4.2830000000000004</v>
      </c>
      <c r="N2190">
        <v>4.2830000000000004</v>
      </c>
      <c r="O2190" t="s">
        <v>101</v>
      </c>
      <c r="P2190" t="s">
        <v>2454</v>
      </c>
      <c r="Q2190" t="s">
        <v>2438</v>
      </c>
      <c r="R2190" t="s">
        <v>2436</v>
      </c>
    </row>
    <row r="2191" spans="1:18" x14ac:dyDescent="0.5">
      <c r="A2191" t="str">
        <f>"02665WDN8"</f>
        <v>02665WDN8</v>
      </c>
      <c r="B2191" t="s">
        <v>101</v>
      </c>
      <c r="C2191" t="s">
        <v>2692</v>
      </c>
      <c r="D2191" t="s">
        <v>2433</v>
      </c>
      <c r="E2191">
        <v>1</v>
      </c>
      <c r="F2191" s="2">
        <v>45910</v>
      </c>
      <c r="G2191" s="2" t="s">
        <v>101</v>
      </c>
      <c r="H2191" t="s">
        <v>627</v>
      </c>
      <c r="I2191" t="s">
        <v>713</v>
      </c>
      <c r="J2191">
        <v>98.159000000000006</v>
      </c>
      <c r="K2191">
        <v>98.403000000000006</v>
      </c>
      <c r="L2191">
        <v>4.8120000000000003</v>
      </c>
      <c r="M2191">
        <v>4.298</v>
      </c>
      <c r="N2191">
        <v>4.298</v>
      </c>
      <c r="O2191" t="s">
        <v>101</v>
      </c>
      <c r="P2191" t="s">
        <v>2447</v>
      </c>
      <c r="Q2191" t="s">
        <v>2454</v>
      </c>
      <c r="R2191" t="s">
        <v>2436</v>
      </c>
    </row>
    <row r="2192" spans="1:18" x14ac:dyDescent="0.5">
      <c r="A2192" t="str">
        <f>"24422ETC3"</f>
        <v>24422ETC3</v>
      </c>
      <c r="B2192" t="s">
        <v>101</v>
      </c>
      <c r="C2192" t="s">
        <v>2693</v>
      </c>
      <c r="D2192" t="s">
        <v>2433</v>
      </c>
      <c r="E2192">
        <v>3.4</v>
      </c>
      <c r="F2192" s="2">
        <v>45911</v>
      </c>
      <c r="G2192" s="2" t="s">
        <v>101</v>
      </c>
      <c r="H2192" t="s">
        <v>641</v>
      </c>
      <c r="I2192" t="s">
        <v>611</v>
      </c>
      <c r="J2192">
        <v>99.378</v>
      </c>
      <c r="K2192">
        <v>99.602999999999994</v>
      </c>
      <c r="L2192">
        <v>4.68</v>
      </c>
      <c r="M2192">
        <v>4.2149999999999999</v>
      </c>
      <c r="N2192">
        <v>4.2149999999999999</v>
      </c>
      <c r="O2192" t="s">
        <v>101</v>
      </c>
      <c r="P2192" t="s">
        <v>2434</v>
      </c>
      <c r="Q2192" t="s">
        <v>2694</v>
      </c>
      <c r="R2192" t="s">
        <v>2436</v>
      </c>
    </row>
    <row r="2193" spans="1:18" x14ac:dyDescent="0.5">
      <c r="A2193" t="str">
        <f>"89114QCK2"</f>
        <v>89114QCK2</v>
      </c>
      <c r="B2193" t="s">
        <v>101</v>
      </c>
      <c r="C2193" t="s">
        <v>2695</v>
      </c>
      <c r="D2193" t="s">
        <v>2433</v>
      </c>
      <c r="E2193">
        <v>0.75</v>
      </c>
      <c r="F2193" s="2">
        <v>45911</v>
      </c>
      <c r="G2193" s="2" t="s">
        <v>101</v>
      </c>
      <c r="H2193" t="s">
        <v>610</v>
      </c>
      <c r="I2193" t="s">
        <v>713</v>
      </c>
      <c r="J2193">
        <v>98.076999999999998</v>
      </c>
      <c r="K2193">
        <v>98.299000000000007</v>
      </c>
      <c r="L2193">
        <v>4.7080000000000002</v>
      </c>
      <c r="M2193">
        <v>4.2430000000000003</v>
      </c>
      <c r="N2193">
        <v>4.2430000000000003</v>
      </c>
      <c r="O2193" t="s">
        <v>101</v>
      </c>
      <c r="P2193" t="s">
        <v>1702</v>
      </c>
      <c r="Q2193" t="s">
        <v>2657</v>
      </c>
      <c r="R2193" t="s">
        <v>2436</v>
      </c>
    </row>
    <row r="2194" spans="1:18" x14ac:dyDescent="0.5">
      <c r="A2194" t="str">
        <f>"89236TKZ7"</f>
        <v>89236TKZ7</v>
      </c>
      <c r="B2194" t="s">
        <v>101</v>
      </c>
      <c r="C2194" t="s">
        <v>2696</v>
      </c>
      <c r="D2194" t="s">
        <v>2433</v>
      </c>
      <c r="E2194">
        <v>5.6</v>
      </c>
      <c r="F2194" s="2">
        <v>45911</v>
      </c>
      <c r="G2194" s="2" t="s">
        <v>105</v>
      </c>
      <c r="H2194" t="s">
        <v>641</v>
      </c>
      <c r="I2194" t="s">
        <v>658</v>
      </c>
      <c r="J2194">
        <v>100.51</v>
      </c>
      <c r="K2194">
        <v>100.661</v>
      </c>
      <c r="L2194">
        <v>4.55</v>
      </c>
      <c r="M2194">
        <v>4.242</v>
      </c>
      <c r="N2194">
        <v>4.242</v>
      </c>
      <c r="O2194" t="s">
        <v>101</v>
      </c>
      <c r="P2194" t="s">
        <v>2497</v>
      </c>
      <c r="Q2194" t="s">
        <v>2628</v>
      </c>
      <c r="R2194" t="s">
        <v>2465</v>
      </c>
    </row>
    <row r="2195" spans="1:18" x14ac:dyDescent="0.5">
      <c r="A2195" t="str">
        <f>"902674ZV5"</f>
        <v>902674ZV5</v>
      </c>
      <c r="B2195" t="s">
        <v>101</v>
      </c>
      <c r="C2195" t="s">
        <v>2697</v>
      </c>
      <c r="D2195" t="s">
        <v>2433</v>
      </c>
      <c r="E2195">
        <v>5.8</v>
      </c>
      <c r="F2195" s="2">
        <v>45911</v>
      </c>
      <c r="G2195" s="2" t="s">
        <v>101</v>
      </c>
      <c r="H2195" t="s">
        <v>613</v>
      </c>
      <c r="I2195" t="s">
        <v>658</v>
      </c>
      <c r="J2195">
        <v>100.54300000000001</v>
      </c>
      <c r="K2195">
        <v>100.73699999999999</v>
      </c>
      <c r="L2195">
        <v>4.6820000000000004</v>
      </c>
      <c r="M2195">
        <v>4.2850000000000001</v>
      </c>
      <c r="N2195">
        <v>4.2850000000000001</v>
      </c>
      <c r="O2195" t="s">
        <v>101</v>
      </c>
      <c r="P2195" t="s">
        <v>2687</v>
      </c>
      <c r="Q2195" t="s">
        <v>2626</v>
      </c>
      <c r="R2195" t="s">
        <v>2436</v>
      </c>
    </row>
    <row r="2196" spans="1:18" x14ac:dyDescent="0.5">
      <c r="A2196" t="str">
        <f>"002824BM1"</f>
        <v>002824BM1</v>
      </c>
      <c r="B2196" t="s">
        <v>101</v>
      </c>
      <c r="C2196" t="s">
        <v>2698</v>
      </c>
      <c r="D2196" t="s">
        <v>2433</v>
      </c>
      <c r="E2196">
        <v>3.875</v>
      </c>
      <c r="F2196" s="2">
        <v>45915</v>
      </c>
      <c r="G2196" s="2">
        <v>45823</v>
      </c>
      <c r="H2196" t="s">
        <v>624</v>
      </c>
      <c r="I2196" t="s">
        <v>616</v>
      </c>
      <c r="J2196">
        <v>99.688000000000002</v>
      </c>
      <c r="K2196">
        <v>99.882999999999996</v>
      </c>
      <c r="L2196">
        <v>4.5019999999999998</v>
      </c>
      <c r="M2196">
        <v>4.109</v>
      </c>
      <c r="N2196">
        <v>4.109</v>
      </c>
      <c r="O2196" t="s">
        <v>101</v>
      </c>
      <c r="P2196" t="s">
        <v>2597</v>
      </c>
      <c r="Q2196" t="s">
        <v>2438</v>
      </c>
      <c r="R2196" t="s">
        <v>2436</v>
      </c>
    </row>
    <row r="2197" spans="1:18" x14ac:dyDescent="0.5">
      <c r="A2197" t="str">
        <f>"053015AE3"</f>
        <v>053015AE3</v>
      </c>
      <c r="B2197" t="s">
        <v>101</v>
      </c>
      <c r="C2197" t="s">
        <v>2699</v>
      </c>
      <c r="D2197" t="s">
        <v>2433</v>
      </c>
      <c r="E2197">
        <v>3.375</v>
      </c>
      <c r="F2197" s="2">
        <v>45915</v>
      </c>
      <c r="G2197" s="2">
        <v>45823</v>
      </c>
      <c r="H2197" t="s">
        <v>624</v>
      </c>
      <c r="I2197" t="s">
        <v>616</v>
      </c>
      <c r="J2197">
        <v>99.373000000000005</v>
      </c>
      <c r="K2197">
        <v>99.570999999999998</v>
      </c>
      <c r="L2197">
        <v>4.6369999999999996</v>
      </c>
      <c r="M2197">
        <v>4.2359999999999998</v>
      </c>
      <c r="N2197">
        <v>4.2359999999999998</v>
      </c>
      <c r="O2197" t="s">
        <v>101</v>
      </c>
      <c r="P2197" t="s">
        <v>2447</v>
      </c>
      <c r="Q2197" t="s">
        <v>1702</v>
      </c>
      <c r="R2197" t="s">
        <v>2436</v>
      </c>
    </row>
    <row r="2198" spans="1:18" x14ac:dyDescent="0.5">
      <c r="A2198" t="str">
        <f>"235851AQ5"</f>
        <v>235851AQ5</v>
      </c>
      <c r="B2198" t="s">
        <v>101</v>
      </c>
      <c r="C2198" t="s">
        <v>2700</v>
      </c>
      <c r="D2198" t="s">
        <v>2433</v>
      </c>
      <c r="E2198">
        <v>3.35</v>
      </c>
      <c r="F2198" s="2">
        <v>45915</v>
      </c>
      <c r="G2198" s="2">
        <v>45823</v>
      </c>
      <c r="H2198" t="s">
        <v>627</v>
      </c>
      <c r="I2198" t="s">
        <v>713</v>
      </c>
      <c r="J2198">
        <v>99.344999999999999</v>
      </c>
      <c r="K2198">
        <v>99.507999999999996</v>
      </c>
      <c r="L2198">
        <v>4.6680000000000001</v>
      </c>
      <c r="M2198">
        <v>4.3380000000000001</v>
      </c>
      <c r="N2198">
        <v>4.3380000000000001</v>
      </c>
      <c r="O2198" t="s">
        <v>101</v>
      </c>
      <c r="P2198" t="s">
        <v>1236</v>
      </c>
      <c r="Q2198" t="s">
        <v>1236</v>
      </c>
      <c r="R2198" t="s">
        <v>2436</v>
      </c>
    </row>
    <row r="2199" spans="1:18" x14ac:dyDescent="0.5">
      <c r="A2199" t="str">
        <f>"437076BK7"</f>
        <v>437076BK7</v>
      </c>
      <c r="B2199" t="s">
        <v>101</v>
      </c>
      <c r="C2199" t="s">
        <v>2701</v>
      </c>
      <c r="D2199" t="s">
        <v>2433</v>
      </c>
      <c r="E2199">
        <v>3.35</v>
      </c>
      <c r="F2199" s="2">
        <v>45915</v>
      </c>
      <c r="G2199" s="2">
        <v>45823</v>
      </c>
      <c r="H2199" t="s">
        <v>610</v>
      </c>
      <c r="I2199" t="s">
        <v>611</v>
      </c>
      <c r="J2199">
        <v>99.387</v>
      </c>
      <c r="K2199">
        <v>99.504999999999995</v>
      </c>
      <c r="L2199">
        <v>4.5830000000000002</v>
      </c>
      <c r="M2199">
        <v>4.3449999999999998</v>
      </c>
      <c r="N2199">
        <v>4.3449999999999998</v>
      </c>
      <c r="O2199" t="s">
        <v>101</v>
      </c>
      <c r="P2199" t="s">
        <v>2702</v>
      </c>
      <c r="Q2199" t="s">
        <v>2703</v>
      </c>
      <c r="R2199" t="s">
        <v>2436</v>
      </c>
    </row>
    <row r="2200" spans="1:18" x14ac:dyDescent="0.5">
      <c r="A2200" t="str">
        <f>"437076CR1"</f>
        <v>437076CR1</v>
      </c>
      <c r="B2200" t="s">
        <v>101</v>
      </c>
      <c r="C2200" t="s">
        <v>2704</v>
      </c>
      <c r="D2200" t="s">
        <v>2433</v>
      </c>
      <c r="E2200">
        <v>4</v>
      </c>
      <c r="F2200" s="2">
        <v>45915</v>
      </c>
      <c r="G2200" s="2">
        <v>45884</v>
      </c>
      <c r="H2200" t="s">
        <v>610</v>
      </c>
      <c r="I2200" t="s">
        <v>611</v>
      </c>
      <c r="J2200">
        <v>99.664000000000001</v>
      </c>
      <c r="K2200">
        <v>99.850999999999999</v>
      </c>
      <c r="L2200">
        <v>4.6760000000000002</v>
      </c>
      <c r="M2200">
        <v>4.2990000000000004</v>
      </c>
      <c r="N2200">
        <v>4.2990000000000004</v>
      </c>
      <c r="O2200" t="s">
        <v>101</v>
      </c>
      <c r="P2200" t="s">
        <v>2683</v>
      </c>
      <c r="Q2200" t="s">
        <v>2705</v>
      </c>
      <c r="R2200" t="s">
        <v>2436</v>
      </c>
    </row>
    <row r="2201" spans="1:18" x14ac:dyDescent="0.5">
      <c r="A2201" t="str">
        <f>"751212AC5"</f>
        <v>751212AC5</v>
      </c>
      <c r="B2201" t="s">
        <v>101</v>
      </c>
      <c r="C2201" t="s">
        <v>2706</v>
      </c>
      <c r="D2201" t="s">
        <v>2433</v>
      </c>
      <c r="E2201">
        <v>3.75</v>
      </c>
      <c r="F2201" s="2">
        <v>45915</v>
      </c>
      <c r="G2201" s="2">
        <v>45853</v>
      </c>
      <c r="H2201" t="s">
        <v>627</v>
      </c>
      <c r="I2201" t="s">
        <v>713</v>
      </c>
      <c r="J2201">
        <v>99.409000000000006</v>
      </c>
      <c r="K2201">
        <v>99.65</v>
      </c>
      <c r="L2201">
        <v>4.9409999999999998</v>
      </c>
      <c r="M2201">
        <v>4.4530000000000003</v>
      </c>
      <c r="N2201">
        <v>4.4530000000000003</v>
      </c>
      <c r="O2201" t="s">
        <v>101</v>
      </c>
      <c r="P2201" t="s">
        <v>2443</v>
      </c>
      <c r="Q2201" t="s">
        <v>2707</v>
      </c>
      <c r="R2201" t="s">
        <v>2436</v>
      </c>
    </row>
    <row r="2202" spans="1:18" x14ac:dyDescent="0.5">
      <c r="A2202" t="str">
        <f>"25468PDF0"</f>
        <v>25468PDF0</v>
      </c>
      <c r="B2202" t="s">
        <v>101</v>
      </c>
      <c r="C2202" t="s">
        <v>2708</v>
      </c>
      <c r="D2202" t="s">
        <v>2433</v>
      </c>
      <c r="E2202">
        <v>3.15</v>
      </c>
      <c r="F2202" s="2">
        <v>45917</v>
      </c>
      <c r="G2202" s="2" t="s">
        <v>101</v>
      </c>
      <c r="H2202" t="s">
        <v>610</v>
      </c>
      <c r="I2202" t="s">
        <v>611</v>
      </c>
      <c r="J2202">
        <v>99.277000000000001</v>
      </c>
      <c r="K2202">
        <v>99.436999999999998</v>
      </c>
      <c r="L2202">
        <v>4.5890000000000004</v>
      </c>
      <c r="M2202">
        <v>4.2679999999999998</v>
      </c>
      <c r="N2202">
        <v>4.2679999999999998</v>
      </c>
      <c r="O2202" t="s">
        <v>101</v>
      </c>
      <c r="P2202" t="s">
        <v>2551</v>
      </c>
      <c r="Q2202" t="s">
        <v>2709</v>
      </c>
      <c r="R2202" t="s">
        <v>2436</v>
      </c>
    </row>
    <row r="2203" spans="1:18" x14ac:dyDescent="0.5">
      <c r="A2203" t="str">
        <f>"80685XAC5"</f>
        <v>80685XAC5</v>
      </c>
      <c r="B2203" t="s">
        <v>101</v>
      </c>
      <c r="C2203" t="s">
        <v>2710</v>
      </c>
      <c r="D2203" t="s">
        <v>2433</v>
      </c>
      <c r="E2203">
        <v>1.4</v>
      </c>
      <c r="F2203" s="2">
        <v>45917</v>
      </c>
      <c r="G2203" s="2">
        <v>45886</v>
      </c>
      <c r="H2203" t="s">
        <v>641</v>
      </c>
      <c r="I2203" t="s">
        <v>611</v>
      </c>
      <c r="J2203">
        <v>98.341999999999999</v>
      </c>
      <c r="K2203">
        <v>98.513000000000005</v>
      </c>
      <c r="L2203">
        <v>4.7030000000000003</v>
      </c>
      <c r="M2203">
        <v>4.3570000000000002</v>
      </c>
      <c r="N2203">
        <v>4.3570000000000002</v>
      </c>
      <c r="O2203" t="s">
        <v>101</v>
      </c>
      <c r="P2203" t="s">
        <v>1236</v>
      </c>
      <c r="Q2203" t="s">
        <v>1236</v>
      </c>
      <c r="R2203" t="s">
        <v>2436</v>
      </c>
    </row>
    <row r="2204" spans="1:18" x14ac:dyDescent="0.5">
      <c r="A2204" t="str">
        <f>"05946KAJ0"</f>
        <v>05946KAJ0</v>
      </c>
      <c r="B2204" t="s">
        <v>101</v>
      </c>
      <c r="C2204" t="s">
        <v>2711</v>
      </c>
      <c r="D2204" t="s">
        <v>2433</v>
      </c>
      <c r="E2204">
        <v>1.125</v>
      </c>
      <c r="F2204" s="2">
        <v>45918</v>
      </c>
      <c r="G2204" s="2" t="s">
        <v>101</v>
      </c>
      <c r="H2204" t="s">
        <v>627</v>
      </c>
      <c r="I2204" t="s">
        <v>611</v>
      </c>
      <c r="J2204">
        <v>98.085999999999999</v>
      </c>
      <c r="K2204">
        <v>98.373000000000005</v>
      </c>
      <c r="L2204">
        <v>4.9219999999999997</v>
      </c>
      <c r="M2204">
        <v>4.343</v>
      </c>
      <c r="N2204">
        <v>4.343</v>
      </c>
      <c r="O2204" t="s">
        <v>101</v>
      </c>
      <c r="P2204" t="s">
        <v>2666</v>
      </c>
      <c r="Q2204" t="s">
        <v>2608</v>
      </c>
      <c r="R2204" t="s">
        <v>2436</v>
      </c>
    </row>
    <row r="2205" spans="1:18" x14ac:dyDescent="0.5">
      <c r="A2205" t="str">
        <f>"302154DX4"</f>
        <v>302154DX4</v>
      </c>
      <c r="B2205" t="s">
        <v>101</v>
      </c>
      <c r="C2205" t="s">
        <v>2712</v>
      </c>
      <c r="D2205" t="s">
        <v>2433</v>
      </c>
      <c r="E2205">
        <v>5.375</v>
      </c>
      <c r="F2205" s="2">
        <v>45918</v>
      </c>
      <c r="G2205" s="2" t="s">
        <v>105</v>
      </c>
      <c r="H2205" t="s">
        <v>613</v>
      </c>
      <c r="I2205" t="s">
        <v>628</v>
      </c>
      <c r="J2205" t="s">
        <v>101</v>
      </c>
      <c r="K2205">
        <v>100.54600000000001</v>
      </c>
      <c r="L2205" t="s">
        <v>101</v>
      </c>
      <c r="M2205">
        <v>4.2930000000000001</v>
      </c>
      <c r="N2205">
        <v>4.2930000000000001</v>
      </c>
      <c r="O2205" t="s">
        <v>101</v>
      </c>
      <c r="P2205" t="s">
        <v>448</v>
      </c>
      <c r="Q2205" t="s">
        <v>2688</v>
      </c>
      <c r="R2205" t="s">
        <v>2713</v>
      </c>
    </row>
    <row r="2206" spans="1:18" x14ac:dyDescent="0.5">
      <c r="A2206" t="str">
        <f>"10373QAB6"</f>
        <v>10373QAB6</v>
      </c>
      <c r="B2206" t="s">
        <v>101</v>
      </c>
      <c r="C2206" t="s">
        <v>2714</v>
      </c>
      <c r="D2206" t="s">
        <v>2433</v>
      </c>
      <c r="E2206">
        <v>3.7959999999999998</v>
      </c>
      <c r="F2206" s="2">
        <v>45921</v>
      </c>
      <c r="G2206" s="2">
        <v>45859</v>
      </c>
      <c r="H2206" t="s">
        <v>641</v>
      </c>
      <c r="I2206" t="s">
        <v>713</v>
      </c>
      <c r="J2206">
        <v>99.543000000000006</v>
      </c>
      <c r="K2206">
        <v>99.697999999999993</v>
      </c>
      <c r="L2206">
        <v>4.6849999999999996</v>
      </c>
      <c r="M2206">
        <v>4.3819999999999997</v>
      </c>
      <c r="N2206">
        <v>4.3819999999999997</v>
      </c>
      <c r="O2206" t="s">
        <v>101</v>
      </c>
      <c r="P2206" t="s">
        <v>554</v>
      </c>
      <c r="Q2206" t="s">
        <v>2715</v>
      </c>
      <c r="R2206" t="s">
        <v>2436</v>
      </c>
    </row>
    <row r="2207" spans="1:18" x14ac:dyDescent="0.5">
      <c r="A2207" t="str">
        <f>"06368LWT9"</f>
        <v>06368LWT9</v>
      </c>
      <c r="B2207" t="s">
        <v>101</v>
      </c>
      <c r="C2207" t="s">
        <v>2716</v>
      </c>
      <c r="D2207" t="s">
        <v>2433</v>
      </c>
      <c r="E2207">
        <v>5.92</v>
      </c>
      <c r="F2207" s="2">
        <v>45925</v>
      </c>
      <c r="G2207" s="2" t="s">
        <v>101</v>
      </c>
      <c r="H2207" t="s">
        <v>610</v>
      </c>
      <c r="I2207" t="s">
        <v>713</v>
      </c>
      <c r="J2207">
        <v>100.57299999999999</v>
      </c>
      <c r="K2207">
        <v>100.77200000000001</v>
      </c>
      <c r="L2207">
        <v>4.82</v>
      </c>
      <c r="M2207">
        <v>4.4429999999999996</v>
      </c>
      <c r="N2207">
        <v>4.4429999999999996</v>
      </c>
      <c r="O2207" t="s">
        <v>101</v>
      </c>
      <c r="P2207" t="s">
        <v>1702</v>
      </c>
      <c r="Q2207" t="s">
        <v>2717</v>
      </c>
      <c r="R2207" t="s">
        <v>2436</v>
      </c>
    </row>
    <row r="2208" spans="1:18" x14ac:dyDescent="0.5">
      <c r="A2208" t="str">
        <f>"17325FBA5"</f>
        <v>17325FBA5</v>
      </c>
      <c r="B2208" t="s">
        <v>101</v>
      </c>
      <c r="C2208" t="s">
        <v>2718</v>
      </c>
      <c r="D2208" t="s">
        <v>2433</v>
      </c>
      <c r="E2208">
        <v>5.8639999999999999</v>
      </c>
      <c r="F2208" s="2">
        <v>45929</v>
      </c>
      <c r="G2208" s="2">
        <v>45898</v>
      </c>
      <c r="H2208" t="s">
        <v>624</v>
      </c>
      <c r="I2208" t="s">
        <v>658</v>
      </c>
      <c r="J2208">
        <v>100.605</v>
      </c>
      <c r="K2208">
        <v>100.73099999999999</v>
      </c>
      <c r="L2208">
        <v>4.5350000000000001</v>
      </c>
      <c r="M2208">
        <v>4.2590000000000003</v>
      </c>
      <c r="N2208">
        <v>4.492</v>
      </c>
      <c r="O2208" t="s">
        <v>101</v>
      </c>
      <c r="P2208" t="s">
        <v>2434</v>
      </c>
      <c r="Q2208" t="s">
        <v>2719</v>
      </c>
      <c r="R2208" t="s">
        <v>2436</v>
      </c>
    </row>
    <row r="2209" spans="1:18" x14ac:dyDescent="0.5">
      <c r="A2209" t="str">
        <f>"25243YBC2"</f>
        <v>25243YBC2</v>
      </c>
      <c r="B2209" t="s">
        <v>101</v>
      </c>
      <c r="C2209" t="s">
        <v>2720</v>
      </c>
      <c r="D2209" t="s">
        <v>2433</v>
      </c>
      <c r="E2209">
        <v>1.375</v>
      </c>
      <c r="F2209" s="2">
        <v>45929</v>
      </c>
      <c r="G2209" s="2">
        <v>45898</v>
      </c>
      <c r="H2209" t="s">
        <v>627</v>
      </c>
      <c r="I2209" t="s">
        <v>713</v>
      </c>
      <c r="J2209">
        <v>98.248999999999995</v>
      </c>
      <c r="K2209">
        <v>98.391999999999996</v>
      </c>
      <c r="L2209">
        <v>4.6509999999999998</v>
      </c>
      <c r="M2209">
        <v>4.38</v>
      </c>
      <c r="N2209">
        <v>4.38</v>
      </c>
      <c r="O2209" t="s">
        <v>101</v>
      </c>
      <c r="P2209" t="s">
        <v>542</v>
      </c>
      <c r="Q2209" t="s">
        <v>2721</v>
      </c>
      <c r="R2209" t="s">
        <v>2436</v>
      </c>
    </row>
    <row r="2210" spans="1:18" x14ac:dyDescent="0.5">
      <c r="A2210" t="str">
        <f>"038222AJ4"</f>
        <v>038222AJ4</v>
      </c>
      <c r="B2210" t="s">
        <v>101</v>
      </c>
      <c r="C2210" t="s">
        <v>2722</v>
      </c>
      <c r="D2210" t="s">
        <v>2433</v>
      </c>
      <c r="E2210">
        <v>3.9</v>
      </c>
      <c r="F2210" s="2">
        <v>45931</v>
      </c>
      <c r="G2210" s="2">
        <v>45839</v>
      </c>
      <c r="H2210" t="s">
        <v>610</v>
      </c>
      <c r="I2210" t="s">
        <v>611</v>
      </c>
      <c r="J2210">
        <v>99.590999999999994</v>
      </c>
      <c r="K2210">
        <v>99.835999999999999</v>
      </c>
      <c r="L2210">
        <v>4.6539999999999999</v>
      </c>
      <c r="M2210">
        <v>4.2</v>
      </c>
      <c r="N2210">
        <v>4.2</v>
      </c>
      <c r="O2210" t="s">
        <v>101</v>
      </c>
      <c r="P2210" t="s">
        <v>2438</v>
      </c>
      <c r="Q2210" t="s">
        <v>2438</v>
      </c>
      <c r="R2210" t="s">
        <v>2436</v>
      </c>
    </row>
    <row r="2211" spans="1:18" x14ac:dyDescent="0.5">
      <c r="A2211" t="str">
        <f>"546676AW7"</f>
        <v>546676AW7</v>
      </c>
      <c r="B2211" t="s">
        <v>101</v>
      </c>
      <c r="C2211" t="s">
        <v>2723</v>
      </c>
      <c r="D2211" t="s">
        <v>2433</v>
      </c>
      <c r="E2211">
        <v>3.3</v>
      </c>
      <c r="F2211" s="2">
        <v>45931</v>
      </c>
      <c r="G2211" s="2">
        <v>45839</v>
      </c>
      <c r="H2211" t="s">
        <v>641</v>
      </c>
      <c r="I2211" t="s">
        <v>611</v>
      </c>
      <c r="J2211">
        <v>99.182000000000002</v>
      </c>
      <c r="K2211">
        <v>99.376999999999995</v>
      </c>
      <c r="L2211">
        <v>4.8140000000000001</v>
      </c>
      <c r="M2211">
        <v>4.45</v>
      </c>
      <c r="N2211">
        <v>4.45</v>
      </c>
      <c r="O2211" t="s">
        <v>101</v>
      </c>
      <c r="P2211" t="s">
        <v>858</v>
      </c>
      <c r="Q2211" t="s">
        <v>2657</v>
      </c>
      <c r="R2211" t="s">
        <v>2436</v>
      </c>
    </row>
    <row r="2212" spans="1:18" x14ac:dyDescent="0.5">
      <c r="A2212" t="str">
        <f>"559222AR5"</f>
        <v>559222AR5</v>
      </c>
      <c r="B2212" t="s">
        <v>101</v>
      </c>
      <c r="C2212" t="s">
        <v>2724</v>
      </c>
      <c r="D2212" t="s">
        <v>2433</v>
      </c>
      <c r="E2212">
        <v>4.1500000000000004</v>
      </c>
      <c r="F2212" s="2">
        <v>45931</v>
      </c>
      <c r="G2212" s="2">
        <v>45839</v>
      </c>
      <c r="H2212" t="s">
        <v>627</v>
      </c>
      <c r="I2212" t="s">
        <v>713</v>
      </c>
      <c r="J2212">
        <v>99.649000000000001</v>
      </c>
      <c r="K2212">
        <v>99.835999999999999</v>
      </c>
      <c r="L2212">
        <v>4.7969999999999997</v>
      </c>
      <c r="M2212">
        <v>4.45</v>
      </c>
      <c r="N2212">
        <v>4.45</v>
      </c>
      <c r="O2212" t="s">
        <v>101</v>
      </c>
      <c r="P2212" t="s">
        <v>1064</v>
      </c>
      <c r="Q2212" t="s">
        <v>2489</v>
      </c>
      <c r="R2212" t="s">
        <v>2436</v>
      </c>
    </row>
    <row r="2213" spans="1:18" x14ac:dyDescent="0.5">
      <c r="A2213" t="str">
        <f>"68233JBZ6"</f>
        <v>68233JBZ6</v>
      </c>
      <c r="B2213" t="s">
        <v>101</v>
      </c>
      <c r="C2213" t="s">
        <v>2725</v>
      </c>
      <c r="D2213" t="s">
        <v>2433</v>
      </c>
      <c r="E2213">
        <v>0.55000000000000004</v>
      </c>
      <c r="F2213" s="2">
        <v>45931</v>
      </c>
      <c r="G2213" s="2">
        <v>45901</v>
      </c>
      <c r="H2213" t="s">
        <v>610</v>
      </c>
      <c r="I2213" t="s">
        <v>658</v>
      </c>
      <c r="J2213">
        <v>97.751999999999995</v>
      </c>
      <c r="K2213">
        <v>97.873000000000005</v>
      </c>
      <c r="L2213">
        <v>4.7169999999999996</v>
      </c>
      <c r="M2213">
        <v>4.4880000000000004</v>
      </c>
      <c r="N2213">
        <v>4.4880000000000004</v>
      </c>
      <c r="O2213" t="s">
        <v>101</v>
      </c>
      <c r="P2213" t="s">
        <v>1999</v>
      </c>
      <c r="Q2213" t="s">
        <v>2598</v>
      </c>
      <c r="R2213" t="s">
        <v>2726</v>
      </c>
    </row>
    <row r="2214" spans="1:18" x14ac:dyDescent="0.5">
      <c r="A2214" t="str">
        <f>"02665WEQ0"</f>
        <v>02665WEQ0</v>
      </c>
      <c r="B2214" t="s">
        <v>101</v>
      </c>
      <c r="C2214" t="s">
        <v>2727</v>
      </c>
      <c r="D2214" t="s">
        <v>2433</v>
      </c>
      <c r="E2214">
        <v>5.8</v>
      </c>
      <c r="F2214" s="2">
        <v>45933</v>
      </c>
      <c r="G2214" s="2" t="s">
        <v>101</v>
      </c>
      <c r="H2214" t="s">
        <v>627</v>
      </c>
      <c r="I2214" t="s">
        <v>713</v>
      </c>
      <c r="J2214">
        <v>100.633</v>
      </c>
      <c r="K2214">
        <v>100.71599999999999</v>
      </c>
      <c r="L2214">
        <v>4.6319999999999997</v>
      </c>
      <c r="M2214">
        <v>4.4809999999999999</v>
      </c>
      <c r="N2214">
        <v>4.4809999999999999</v>
      </c>
      <c r="O2214" t="s">
        <v>101</v>
      </c>
      <c r="P2214" t="s">
        <v>790</v>
      </c>
      <c r="Q2214" t="s">
        <v>2728</v>
      </c>
      <c r="R2214" t="s">
        <v>2436</v>
      </c>
    </row>
    <row r="2215" spans="1:18" x14ac:dyDescent="0.5">
      <c r="A2215" t="str">
        <f>"69371RS23"</f>
        <v>69371RS23</v>
      </c>
      <c r="B2215" t="s">
        <v>101</v>
      </c>
      <c r="C2215" t="s">
        <v>2729</v>
      </c>
      <c r="D2215" t="s">
        <v>2433</v>
      </c>
      <c r="E2215">
        <v>4.95</v>
      </c>
      <c r="F2215" s="2">
        <v>45933</v>
      </c>
      <c r="G2215" s="2" t="s">
        <v>105</v>
      </c>
      <c r="H2215" t="s">
        <v>641</v>
      </c>
      <c r="I2215" t="s">
        <v>658</v>
      </c>
      <c r="J2215">
        <v>100.078</v>
      </c>
      <c r="K2215">
        <v>100.321</v>
      </c>
      <c r="L2215">
        <v>4.8010000000000002</v>
      </c>
      <c r="M2215">
        <v>4.3570000000000002</v>
      </c>
      <c r="N2215">
        <v>4.3570000000000002</v>
      </c>
      <c r="O2215" t="s">
        <v>101</v>
      </c>
      <c r="P2215" t="s">
        <v>2544</v>
      </c>
      <c r="Q2215" t="s">
        <v>1236</v>
      </c>
      <c r="R2215" t="s">
        <v>2465</v>
      </c>
    </row>
    <row r="2216" spans="1:18" x14ac:dyDescent="0.5">
      <c r="A2216" t="str">
        <f>"009158BB1"</f>
        <v>009158BB1</v>
      </c>
      <c r="B2216" t="s">
        <v>101</v>
      </c>
      <c r="C2216" t="s">
        <v>2730</v>
      </c>
      <c r="D2216" t="s">
        <v>2433</v>
      </c>
      <c r="E2216">
        <v>1.5</v>
      </c>
      <c r="F2216" s="2">
        <v>45945</v>
      </c>
      <c r="G2216" s="2">
        <v>45915</v>
      </c>
      <c r="H2216" t="s">
        <v>610</v>
      </c>
      <c r="I2216" t="s">
        <v>611</v>
      </c>
      <c r="J2216">
        <v>98.251999999999995</v>
      </c>
      <c r="K2216">
        <v>98.411000000000001</v>
      </c>
      <c r="L2216">
        <v>4.5250000000000004</v>
      </c>
      <c r="M2216">
        <v>4.2460000000000004</v>
      </c>
      <c r="N2216">
        <v>4.2460000000000004</v>
      </c>
      <c r="O2216" t="s">
        <v>101</v>
      </c>
      <c r="P2216" t="s">
        <v>2731</v>
      </c>
      <c r="Q2216" t="s">
        <v>858</v>
      </c>
      <c r="R2216" t="s">
        <v>2436</v>
      </c>
    </row>
    <row r="2217" spans="1:18" x14ac:dyDescent="0.5">
      <c r="A2217" t="str">
        <f>"14912HQS2"</f>
        <v>14912HQS2</v>
      </c>
      <c r="B2217" t="s">
        <v>101</v>
      </c>
      <c r="C2217" t="s">
        <v>2732</v>
      </c>
      <c r="D2217" t="s">
        <v>2433</v>
      </c>
      <c r="E2217">
        <v>3.5</v>
      </c>
      <c r="F2217" s="2">
        <v>45945</v>
      </c>
      <c r="G2217" s="2" t="s">
        <v>105</v>
      </c>
      <c r="H2217" t="s">
        <v>610</v>
      </c>
      <c r="I2217" t="s">
        <v>611</v>
      </c>
      <c r="J2217">
        <v>99.040999999999997</v>
      </c>
      <c r="K2217">
        <v>99.623999999999995</v>
      </c>
      <c r="L2217">
        <v>5.1609999999999996</v>
      </c>
      <c r="M2217">
        <v>4.1449999999999996</v>
      </c>
      <c r="N2217">
        <v>4.1449999999999996</v>
      </c>
      <c r="O2217" t="s">
        <v>101</v>
      </c>
      <c r="P2217" t="s">
        <v>1236</v>
      </c>
      <c r="Q2217" t="s">
        <v>790</v>
      </c>
      <c r="R2217" t="s">
        <v>2610</v>
      </c>
    </row>
    <row r="2218" spans="1:18" x14ac:dyDescent="0.5">
      <c r="A2218" t="str">
        <f>"20030NCS8"</f>
        <v>20030NCS8</v>
      </c>
      <c r="B2218" t="s">
        <v>101</v>
      </c>
      <c r="C2218" t="s">
        <v>2733</v>
      </c>
      <c r="D2218" t="s">
        <v>2433</v>
      </c>
      <c r="E2218">
        <v>3.95</v>
      </c>
      <c r="F2218" s="2">
        <v>45945</v>
      </c>
      <c r="G2218" s="2">
        <v>45884</v>
      </c>
      <c r="H2218" t="s">
        <v>627</v>
      </c>
      <c r="I2218" t="s">
        <v>713</v>
      </c>
      <c r="J2218">
        <v>99.616</v>
      </c>
      <c r="K2218">
        <v>99.78</v>
      </c>
      <c r="L2218">
        <v>4.6100000000000003</v>
      </c>
      <c r="M2218">
        <v>4.3250000000000002</v>
      </c>
      <c r="N2218">
        <v>4.3250000000000002</v>
      </c>
      <c r="O2218" t="s">
        <v>101</v>
      </c>
      <c r="P2218" t="s">
        <v>2731</v>
      </c>
      <c r="Q2218" t="s">
        <v>2500</v>
      </c>
      <c r="R2218" t="s">
        <v>2436</v>
      </c>
    </row>
    <row r="2219" spans="1:18" x14ac:dyDescent="0.5">
      <c r="A2219" t="str">
        <f>"254687DD5"</f>
        <v>254687DD5</v>
      </c>
      <c r="B2219" t="s">
        <v>101</v>
      </c>
      <c r="C2219" t="s">
        <v>2734</v>
      </c>
      <c r="D2219" t="s">
        <v>2433</v>
      </c>
      <c r="E2219">
        <v>3.7</v>
      </c>
      <c r="F2219" s="2">
        <v>45945</v>
      </c>
      <c r="G2219" s="2">
        <v>45853</v>
      </c>
      <c r="H2219" t="s">
        <v>610</v>
      </c>
      <c r="I2219" t="s">
        <v>611</v>
      </c>
      <c r="J2219">
        <v>99.498999999999995</v>
      </c>
      <c r="K2219">
        <v>99.65</v>
      </c>
      <c r="L2219">
        <v>4.5620000000000003</v>
      </c>
      <c r="M2219">
        <v>4.3</v>
      </c>
      <c r="N2219">
        <v>4.3</v>
      </c>
      <c r="O2219" t="s">
        <v>101</v>
      </c>
      <c r="P2219" t="s">
        <v>2454</v>
      </c>
      <c r="Q2219" t="s">
        <v>2472</v>
      </c>
      <c r="R2219" t="s">
        <v>2436</v>
      </c>
    </row>
    <row r="2220" spans="1:18" x14ac:dyDescent="0.5">
      <c r="A2220" t="str">
        <f>"036752AV5"</f>
        <v>036752AV5</v>
      </c>
      <c r="B2220" t="s">
        <v>101</v>
      </c>
      <c r="C2220" t="s">
        <v>2735</v>
      </c>
      <c r="D2220" t="s">
        <v>2433</v>
      </c>
      <c r="E2220">
        <v>5.35</v>
      </c>
      <c r="F2220" s="2">
        <v>45945</v>
      </c>
      <c r="G2220" s="2">
        <v>45915</v>
      </c>
      <c r="H2220" t="s">
        <v>677</v>
      </c>
      <c r="I2220" t="s">
        <v>611</v>
      </c>
      <c r="J2220">
        <v>100.265</v>
      </c>
      <c r="K2220">
        <v>100.42</v>
      </c>
      <c r="L2220">
        <v>4.8150000000000004</v>
      </c>
      <c r="M2220">
        <v>4.5039999999999996</v>
      </c>
      <c r="N2220">
        <v>4.6139999999999999</v>
      </c>
      <c r="O2220" t="s">
        <v>101</v>
      </c>
      <c r="P2220" t="s">
        <v>2434</v>
      </c>
      <c r="Q2220" t="s">
        <v>2736</v>
      </c>
      <c r="R2220" t="s">
        <v>2436</v>
      </c>
    </row>
    <row r="2221" spans="1:18" x14ac:dyDescent="0.5">
      <c r="A2221" t="str">
        <f>"539830BU2"</f>
        <v>539830BU2</v>
      </c>
      <c r="B2221" t="s">
        <v>101</v>
      </c>
      <c r="C2221" t="s">
        <v>2737</v>
      </c>
      <c r="D2221" t="s">
        <v>2433</v>
      </c>
      <c r="E2221">
        <v>4.95</v>
      </c>
      <c r="F2221" s="2">
        <v>45945</v>
      </c>
      <c r="G2221" s="2">
        <v>45915</v>
      </c>
      <c r="H2221" t="s">
        <v>610</v>
      </c>
      <c r="I2221" t="s">
        <v>713</v>
      </c>
      <c r="J2221">
        <v>100.175</v>
      </c>
      <c r="K2221">
        <v>100.393</v>
      </c>
      <c r="L2221">
        <v>4.5970000000000004</v>
      </c>
      <c r="M2221">
        <v>4.16</v>
      </c>
      <c r="N2221">
        <v>4.2640000000000002</v>
      </c>
      <c r="O2221" t="s">
        <v>101</v>
      </c>
      <c r="P2221" t="s">
        <v>1702</v>
      </c>
      <c r="Q2221" t="s">
        <v>2489</v>
      </c>
      <c r="R2221" t="s">
        <v>2436</v>
      </c>
    </row>
    <row r="2222" spans="1:18" x14ac:dyDescent="0.5">
      <c r="A2222" t="str">
        <f>"63743FRZ1"</f>
        <v>63743FRZ1</v>
      </c>
      <c r="B2222" t="s">
        <v>101</v>
      </c>
      <c r="C2222" t="s">
        <v>2738</v>
      </c>
      <c r="D2222" t="s">
        <v>2433</v>
      </c>
      <c r="E2222">
        <v>3.5</v>
      </c>
      <c r="F2222" s="2">
        <v>45945</v>
      </c>
      <c r="G2222" s="2" t="s">
        <v>105</v>
      </c>
      <c r="H2222" t="s">
        <v>610</v>
      </c>
      <c r="I2222" t="s">
        <v>713</v>
      </c>
      <c r="J2222">
        <v>98.528999999999996</v>
      </c>
      <c r="K2222">
        <v>99.555999999999997</v>
      </c>
      <c r="L2222">
        <v>6.0369999999999999</v>
      </c>
      <c r="M2222">
        <v>4.2610000000000001</v>
      </c>
      <c r="N2222">
        <v>4.2610000000000001</v>
      </c>
      <c r="O2222" t="s">
        <v>101</v>
      </c>
      <c r="P2222" t="s">
        <v>858</v>
      </c>
      <c r="Q2222" t="s">
        <v>2739</v>
      </c>
      <c r="R2222" t="s">
        <v>2610</v>
      </c>
    </row>
    <row r="2223" spans="1:18" x14ac:dyDescent="0.5">
      <c r="A2223" t="str">
        <f>"693304AT4"</f>
        <v>693304AT4</v>
      </c>
      <c r="B2223" t="s">
        <v>101</v>
      </c>
      <c r="C2223" t="s">
        <v>2740</v>
      </c>
      <c r="D2223" t="s">
        <v>2433</v>
      </c>
      <c r="E2223">
        <v>3.15</v>
      </c>
      <c r="F2223" s="2">
        <v>45945</v>
      </c>
      <c r="G2223" s="2">
        <v>45853</v>
      </c>
      <c r="H2223" t="s">
        <v>624</v>
      </c>
      <c r="I2223" t="s">
        <v>611</v>
      </c>
      <c r="J2223">
        <v>99.093999999999994</v>
      </c>
      <c r="K2223">
        <v>99.361000000000004</v>
      </c>
      <c r="L2223">
        <v>4.7160000000000002</v>
      </c>
      <c r="M2223">
        <v>4.2510000000000003</v>
      </c>
      <c r="N2223">
        <v>4.2510000000000003</v>
      </c>
      <c r="O2223" t="s">
        <v>101</v>
      </c>
      <c r="P2223" t="s">
        <v>2683</v>
      </c>
      <c r="Q2223" t="s">
        <v>2552</v>
      </c>
      <c r="R2223" t="s">
        <v>2436</v>
      </c>
    </row>
    <row r="2224" spans="1:18" x14ac:dyDescent="0.5">
      <c r="A2224" t="str">
        <f>"91324PEN8"</f>
        <v>91324PEN8</v>
      </c>
      <c r="B2224" t="s">
        <v>101</v>
      </c>
      <c r="C2224" t="s">
        <v>2741</v>
      </c>
      <c r="D2224" t="s">
        <v>2433</v>
      </c>
      <c r="E2224">
        <v>5.15</v>
      </c>
      <c r="F2224" s="2">
        <v>45945</v>
      </c>
      <c r="G2224" s="2" t="s">
        <v>101</v>
      </c>
      <c r="H2224" t="s">
        <v>610</v>
      </c>
      <c r="I2224" t="s">
        <v>658</v>
      </c>
      <c r="J2224">
        <v>100.28700000000001</v>
      </c>
      <c r="K2224">
        <v>100.43899999999999</v>
      </c>
      <c r="L2224">
        <v>4.6449999999999996</v>
      </c>
      <c r="M2224">
        <v>4.383</v>
      </c>
      <c r="N2224">
        <v>4.383</v>
      </c>
      <c r="O2224" t="s">
        <v>101</v>
      </c>
      <c r="P2224" t="s">
        <v>2742</v>
      </c>
      <c r="Q2224" t="s">
        <v>2743</v>
      </c>
      <c r="R2224" t="s">
        <v>2436</v>
      </c>
    </row>
    <row r="2225" spans="1:18" x14ac:dyDescent="0.5">
      <c r="A2225" t="str">
        <f>"89236THP3"</f>
        <v>89236THP3</v>
      </c>
      <c r="B2225" t="s">
        <v>101</v>
      </c>
      <c r="C2225" t="s">
        <v>2744</v>
      </c>
      <c r="D2225" t="s">
        <v>2433</v>
      </c>
      <c r="E2225">
        <v>0.8</v>
      </c>
      <c r="F2225" s="2">
        <v>45946</v>
      </c>
      <c r="G2225" s="2" t="s">
        <v>105</v>
      </c>
      <c r="H2225" t="s">
        <v>641</v>
      </c>
      <c r="I2225" t="s">
        <v>658</v>
      </c>
      <c r="J2225">
        <v>97.78</v>
      </c>
      <c r="K2225">
        <v>98.025000000000006</v>
      </c>
      <c r="L2225">
        <v>4.6280000000000001</v>
      </c>
      <c r="M2225">
        <v>4.1980000000000004</v>
      </c>
      <c r="N2225">
        <v>4.1980000000000004</v>
      </c>
      <c r="O2225" t="s">
        <v>101</v>
      </c>
      <c r="P2225" t="s">
        <v>2595</v>
      </c>
      <c r="Q2225" t="s">
        <v>2454</v>
      </c>
      <c r="R2225" t="s">
        <v>2465</v>
      </c>
    </row>
    <row r="2226" spans="1:18" x14ac:dyDescent="0.5">
      <c r="A2226" t="str">
        <f>"13607GRR7"</f>
        <v>13607GRR7</v>
      </c>
      <c r="B2226" t="s">
        <v>101</v>
      </c>
      <c r="C2226" t="s">
        <v>2745</v>
      </c>
      <c r="D2226" t="s">
        <v>2433</v>
      </c>
      <c r="E2226">
        <v>0.95</v>
      </c>
      <c r="F2226" s="2">
        <v>45953</v>
      </c>
      <c r="G2226" s="2" t="s">
        <v>101</v>
      </c>
      <c r="H2226" t="s">
        <v>610</v>
      </c>
      <c r="I2226" t="s">
        <v>713</v>
      </c>
      <c r="J2226">
        <v>97.772999999999996</v>
      </c>
      <c r="K2226">
        <v>97.994</v>
      </c>
      <c r="L2226">
        <v>4.6710000000000003</v>
      </c>
      <c r="M2226">
        <v>4.2939999999999996</v>
      </c>
      <c r="N2226">
        <v>4.2939999999999996</v>
      </c>
      <c r="O2226" t="s">
        <v>101</v>
      </c>
      <c r="P2226" t="s">
        <v>2746</v>
      </c>
      <c r="Q2226" t="s">
        <v>2747</v>
      </c>
      <c r="R2226" t="s">
        <v>2436</v>
      </c>
    </row>
    <row r="2227" spans="1:18" x14ac:dyDescent="0.5">
      <c r="A2227" t="str">
        <f>"25243YBF5"</f>
        <v>25243YBF5</v>
      </c>
      <c r="B2227" t="s">
        <v>101</v>
      </c>
      <c r="C2227" t="s">
        <v>2748</v>
      </c>
      <c r="D2227" t="s">
        <v>2433</v>
      </c>
      <c r="E2227">
        <v>5.2</v>
      </c>
      <c r="F2227" s="2">
        <v>45954</v>
      </c>
      <c r="G2227" s="2" t="s">
        <v>101</v>
      </c>
      <c r="H2227" t="s">
        <v>627</v>
      </c>
      <c r="I2227" t="s">
        <v>713</v>
      </c>
      <c r="J2227">
        <v>100.383</v>
      </c>
      <c r="K2227">
        <v>100.499</v>
      </c>
      <c r="L2227">
        <v>4.5540000000000003</v>
      </c>
      <c r="M2227">
        <v>4.3630000000000004</v>
      </c>
      <c r="N2227">
        <v>4.3630000000000004</v>
      </c>
      <c r="O2227" t="s">
        <v>101</v>
      </c>
      <c r="P2227" t="s">
        <v>542</v>
      </c>
      <c r="Q2227" t="s">
        <v>542</v>
      </c>
      <c r="R2227" t="s">
        <v>2436</v>
      </c>
    </row>
    <row r="2228" spans="1:18" x14ac:dyDescent="0.5">
      <c r="A2228" t="str">
        <f>"742718FL8"</f>
        <v>742718FL8</v>
      </c>
      <c r="B2228" t="s">
        <v>101</v>
      </c>
      <c r="C2228" t="s">
        <v>2749</v>
      </c>
      <c r="D2228" t="s">
        <v>2433</v>
      </c>
      <c r="E2228">
        <v>0.55000000000000004</v>
      </c>
      <c r="F2228" s="2">
        <v>45959</v>
      </c>
      <c r="G2228" s="2" t="s">
        <v>101</v>
      </c>
      <c r="H2228" t="s">
        <v>624</v>
      </c>
      <c r="I2228" t="s">
        <v>616</v>
      </c>
      <c r="J2228">
        <v>97.602999999999994</v>
      </c>
      <c r="K2228">
        <v>97.786000000000001</v>
      </c>
      <c r="L2228">
        <v>4.4459999999999997</v>
      </c>
      <c r="M2228">
        <v>4.1429999999999998</v>
      </c>
      <c r="N2228">
        <v>4.1429999999999998</v>
      </c>
      <c r="O2228" t="s">
        <v>101</v>
      </c>
      <c r="P2228" t="s">
        <v>2750</v>
      </c>
      <c r="Q2228" t="s">
        <v>2751</v>
      </c>
      <c r="R2228" t="s">
        <v>2436</v>
      </c>
    </row>
    <row r="2229" spans="1:18" x14ac:dyDescent="0.5">
      <c r="A2229" t="str">
        <f>"254687DF0"</f>
        <v>254687DF0</v>
      </c>
      <c r="B2229" t="s">
        <v>101</v>
      </c>
      <c r="C2229" t="s">
        <v>2752</v>
      </c>
      <c r="D2229" t="s">
        <v>2433</v>
      </c>
      <c r="E2229">
        <v>7.7</v>
      </c>
      <c r="F2229" s="2">
        <v>45960</v>
      </c>
      <c r="G2229" s="2" t="s">
        <v>105</v>
      </c>
      <c r="H2229" t="s">
        <v>610</v>
      </c>
      <c r="I2229" t="s">
        <v>611</v>
      </c>
      <c r="J2229">
        <v>101.70399999999999</v>
      </c>
      <c r="K2229">
        <v>102.163</v>
      </c>
      <c r="L2229">
        <v>4.92</v>
      </c>
      <c r="M2229">
        <v>4.1909999999999998</v>
      </c>
      <c r="N2229">
        <v>4.1909999999999998</v>
      </c>
      <c r="O2229" t="s">
        <v>101</v>
      </c>
      <c r="P2229" t="s">
        <v>1702</v>
      </c>
      <c r="Q2229" t="s">
        <v>485</v>
      </c>
      <c r="R2229" t="s">
        <v>2465</v>
      </c>
    </row>
    <row r="2230" spans="1:18" x14ac:dyDescent="0.5">
      <c r="A2230" t="str">
        <f>"459200AM3"</f>
        <v>459200AM3</v>
      </c>
      <c r="B2230" t="s">
        <v>101</v>
      </c>
      <c r="C2230" t="s">
        <v>2753</v>
      </c>
      <c r="D2230" t="s">
        <v>2433</v>
      </c>
      <c r="E2230">
        <v>7</v>
      </c>
      <c r="F2230" s="2">
        <v>45960</v>
      </c>
      <c r="G2230" s="2" t="s">
        <v>101</v>
      </c>
      <c r="H2230" t="s">
        <v>627</v>
      </c>
      <c r="I2230" t="s">
        <v>713</v>
      </c>
      <c r="J2230">
        <v>101.402</v>
      </c>
      <c r="K2230">
        <v>101.584</v>
      </c>
      <c r="L2230">
        <v>4.7140000000000004</v>
      </c>
      <c r="M2230">
        <v>4.4240000000000004</v>
      </c>
      <c r="N2230">
        <v>4.4240000000000004</v>
      </c>
      <c r="O2230" t="s">
        <v>101</v>
      </c>
      <c r="P2230" t="s">
        <v>2434</v>
      </c>
      <c r="Q2230" t="s">
        <v>2438</v>
      </c>
      <c r="R2230" t="s">
        <v>2436</v>
      </c>
    </row>
    <row r="2231" spans="1:18" x14ac:dyDescent="0.5">
      <c r="A2231" t="str">
        <f>"63743HFF4"</f>
        <v>63743HFF4</v>
      </c>
      <c r="B2231" t="s">
        <v>101</v>
      </c>
      <c r="C2231" t="s">
        <v>2754</v>
      </c>
      <c r="D2231" t="s">
        <v>2433</v>
      </c>
      <c r="E2231">
        <v>5.45</v>
      </c>
      <c r="F2231" s="2">
        <v>45960</v>
      </c>
      <c r="G2231" s="2" t="s">
        <v>101</v>
      </c>
      <c r="H2231" t="s">
        <v>610</v>
      </c>
      <c r="I2231" t="s">
        <v>713</v>
      </c>
      <c r="J2231">
        <v>100.343</v>
      </c>
      <c r="K2231">
        <v>100.675</v>
      </c>
      <c r="L2231">
        <v>4.883</v>
      </c>
      <c r="M2231">
        <v>4.3490000000000002</v>
      </c>
      <c r="N2231">
        <v>4.3490000000000002</v>
      </c>
      <c r="O2231" t="s">
        <v>101</v>
      </c>
      <c r="P2231" t="s">
        <v>1702</v>
      </c>
      <c r="Q2231" t="s">
        <v>2755</v>
      </c>
      <c r="R2231" t="s">
        <v>2436</v>
      </c>
    </row>
    <row r="2232" spans="1:18" x14ac:dyDescent="0.5">
      <c r="A2232" t="str">
        <f>"665859AP9"</f>
        <v>665859AP9</v>
      </c>
      <c r="B2232" t="s">
        <v>101</v>
      </c>
      <c r="C2232" t="s">
        <v>2756</v>
      </c>
      <c r="D2232" t="s">
        <v>2433</v>
      </c>
      <c r="E2232">
        <v>3.95</v>
      </c>
      <c r="F2232" s="2">
        <v>45960</v>
      </c>
      <c r="G2232" s="2" t="s">
        <v>105</v>
      </c>
      <c r="H2232" t="s">
        <v>610</v>
      </c>
      <c r="I2232" t="s">
        <v>611</v>
      </c>
      <c r="J2232">
        <v>99.51</v>
      </c>
      <c r="K2232">
        <v>99.725999999999999</v>
      </c>
      <c r="L2232">
        <v>4.7370000000000001</v>
      </c>
      <c r="M2232">
        <v>4.3869999999999996</v>
      </c>
      <c r="N2232">
        <v>4.3869999999999996</v>
      </c>
      <c r="O2232" t="s">
        <v>101</v>
      </c>
      <c r="P2232" t="s">
        <v>2757</v>
      </c>
      <c r="Q2232" t="s">
        <v>2758</v>
      </c>
      <c r="R2232" t="s">
        <v>2465</v>
      </c>
    </row>
    <row r="2233" spans="1:18" x14ac:dyDescent="0.5">
      <c r="A2233" t="str">
        <f>"90131HAX3"</f>
        <v>90131HAX3</v>
      </c>
      <c r="B2233" t="s">
        <v>101</v>
      </c>
      <c r="C2233" t="s">
        <v>2759</v>
      </c>
      <c r="D2233" t="s">
        <v>2433</v>
      </c>
      <c r="E2233">
        <v>7.7</v>
      </c>
      <c r="F2233" s="2">
        <v>45960</v>
      </c>
      <c r="G2233" s="2" t="s">
        <v>101</v>
      </c>
      <c r="H2233" t="s">
        <v>2760</v>
      </c>
      <c r="I2233" t="s">
        <v>611</v>
      </c>
      <c r="J2233">
        <v>101.375</v>
      </c>
      <c r="K2233">
        <v>102.276</v>
      </c>
      <c r="L2233">
        <v>5.4450000000000003</v>
      </c>
      <c r="M2233">
        <v>4.0119999999999996</v>
      </c>
      <c r="N2233">
        <v>4.0119999999999996</v>
      </c>
      <c r="O2233" t="s">
        <v>101</v>
      </c>
      <c r="P2233" t="s">
        <v>2434</v>
      </c>
      <c r="Q2233" t="s">
        <v>2761</v>
      </c>
      <c r="R2233" t="s">
        <v>2436</v>
      </c>
    </row>
    <row r="2234" spans="1:18" x14ac:dyDescent="0.5">
      <c r="A2234" t="str">
        <f>"637432NG6"</f>
        <v>637432NG6</v>
      </c>
      <c r="B2234" t="s">
        <v>101</v>
      </c>
      <c r="C2234" t="s">
        <v>2762</v>
      </c>
      <c r="D2234" t="s">
        <v>2433</v>
      </c>
      <c r="E2234">
        <v>3.25</v>
      </c>
      <c r="F2234" s="2">
        <v>45962</v>
      </c>
      <c r="G2234" s="2">
        <v>45870</v>
      </c>
      <c r="H2234" t="s">
        <v>641</v>
      </c>
      <c r="I2234" t="s">
        <v>713</v>
      </c>
      <c r="J2234">
        <v>98.850999999999999</v>
      </c>
      <c r="K2234">
        <v>99.275999999999996</v>
      </c>
      <c r="L2234">
        <v>5.1020000000000003</v>
      </c>
      <c r="M2234">
        <v>4.4109999999999996</v>
      </c>
      <c r="N2234">
        <v>4.4109999999999996</v>
      </c>
      <c r="O2234" t="s">
        <v>101</v>
      </c>
      <c r="P2234" t="s">
        <v>1236</v>
      </c>
      <c r="Q2234" t="s">
        <v>2454</v>
      </c>
      <c r="R2234" t="s">
        <v>2436</v>
      </c>
    </row>
    <row r="2235" spans="1:18" x14ac:dyDescent="0.5">
      <c r="A2235" t="str">
        <f>"756109BE3"</f>
        <v>756109BE3</v>
      </c>
      <c r="B2235" t="s">
        <v>101</v>
      </c>
      <c r="C2235" t="s">
        <v>2763</v>
      </c>
      <c r="D2235" t="s">
        <v>2433</v>
      </c>
      <c r="E2235">
        <v>4.625</v>
      </c>
      <c r="F2235" s="2">
        <v>45962</v>
      </c>
      <c r="G2235" s="2">
        <v>45901</v>
      </c>
      <c r="H2235" t="s">
        <v>627</v>
      </c>
      <c r="I2235" t="s">
        <v>713</v>
      </c>
      <c r="J2235">
        <v>99.983000000000004</v>
      </c>
      <c r="K2235">
        <v>100.116</v>
      </c>
      <c r="L2235">
        <v>4.6440000000000001</v>
      </c>
      <c r="M2235">
        <v>4.3739999999999997</v>
      </c>
      <c r="N2235">
        <v>4.43</v>
      </c>
      <c r="O2235" t="s">
        <v>101</v>
      </c>
      <c r="P2235" t="s">
        <v>1702</v>
      </c>
      <c r="Q2235" t="s">
        <v>1702</v>
      </c>
      <c r="R2235" t="s">
        <v>2436</v>
      </c>
    </row>
    <row r="2236" spans="1:18" x14ac:dyDescent="0.5">
      <c r="A2236" t="str">
        <f>"75884RAU7"</f>
        <v>75884RAU7</v>
      </c>
      <c r="B2236" t="s">
        <v>101</v>
      </c>
      <c r="C2236" t="s">
        <v>2764</v>
      </c>
      <c r="D2236" t="s">
        <v>2433</v>
      </c>
      <c r="E2236">
        <v>3.9</v>
      </c>
      <c r="F2236" s="2">
        <v>45962</v>
      </c>
      <c r="G2236" s="2">
        <v>45870</v>
      </c>
      <c r="H2236" t="s">
        <v>627</v>
      </c>
      <c r="I2236" t="s">
        <v>713</v>
      </c>
      <c r="J2236">
        <v>99.266999999999996</v>
      </c>
      <c r="K2236">
        <v>99.59</v>
      </c>
      <c r="L2236">
        <v>5.0780000000000003</v>
      </c>
      <c r="M2236">
        <v>4.5540000000000003</v>
      </c>
      <c r="N2236">
        <v>4.5540000000000003</v>
      </c>
      <c r="O2236" t="s">
        <v>101</v>
      </c>
      <c r="P2236" t="s">
        <v>1999</v>
      </c>
      <c r="Q2236" t="s">
        <v>2765</v>
      </c>
      <c r="R2236" t="s">
        <v>2436</v>
      </c>
    </row>
    <row r="2237" spans="1:18" x14ac:dyDescent="0.5">
      <c r="A2237" t="str">
        <f>"594918BJ2"</f>
        <v>594918BJ2</v>
      </c>
      <c r="B2237" t="s">
        <v>101</v>
      </c>
      <c r="C2237" t="s">
        <v>2766</v>
      </c>
      <c r="D2237" t="s">
        <v>2433</v>
      </c>
      <c r="E2237">
        <v>3.125</v>
      </c>
      <c r="F2237" s="2">
        <v>45964</v>
      </c>
      <c r="G2237" s="2">
        <v>45872</v>
      </c>
      <c r="H2237" t="s">
        <v>104</v>
      </c>
      <c r="I2237" t="s">
        <v>104</v>
      </c>
      <c r="J2237">
        <v>99.096999999999994</v>
      </c>
      <c r="K2237">
        <v>99.248999999999995</v>
      </c>
      <c r="L2237">
        <v>4.5629999999999997</v>
      </c>
      <c r="M2237">
        <v>4.319</v>
      </c>
      <c r="N2237">
        <v>4.319</v>
      </c>
      <c r="O2237" t="s">
        <v>101</v>
      </c>
      <c r="P2237" t="s">
        <v>2683</v>
      </c>
      <c r="Q2237" t="s">
        <v>2438</v>
      </c>
      <c r="R2237" t="s">
        <v>2436</v>
      </c>
    </row>
    <row r="2238" spans="1:18" x14ac:dyDescent="0.5">
      <c r="A2238" t="str">
        <f>"025816CA5"</f>
        <v>025816CA5</v>
      </c>
      <c r="B2238" t="s">
        <v>101</v>
      </c>
      <c r="C2238" t="s">
        <v>2767</v>
      </c>
      <c r="D2238" t="s">
        <v>2433</v>
      </c>
      <c r="E2238">
        <v>4.2</v>
      </c>
      <c r="F2238" s="2">
        <v>45967</v>
      </c>
      <c r="G2238" s="2">
        <v>45936</v>
      </c>
      <c r="H2238" t="s">
        <v>610</v>
      </c>
      <c r="I2238" t="s">
        <v>713</v>
      </c>
      <c r="J2238">
        <v>99.786000000000001</v>
      </c>
      <c r="K2238">
        <v>99.947999999999993</v>
      </c>
      <c r="L2238">
        <v>4.53</v>
      </c>
      <c r="M2238">
        <v>4.2750000000000004</v>
      </c>
      <c r="N2238">
        <v>4.2750000000000004</v>
      </c>
      <c r="O2238" t="s">
        <v>101</v>
      </c>
      <c r="P2238" t="s">
        <v>2497</v>
      </c>
      <c r="Q2238" t="s">
        <v>2768</v>
      </c>
      <c r="R2238" t="s">
        <v>2436</v>
      </c>
    </row>
    <row r="2239" spans="1:18" x14ac:dyDescent="0.5">
      <c r="A2239" t="str">
        <f>"713448FV5"</f>
        <v>713448FV5</v>
      </c>
      <c r="B2239" t="s">
        <v>101</v>
      </c>
      <c r="C2239" t="s">
        <v>2769</v>
      </c>
      <c r="D2239" t="s">
        <v>2433</v>
      </c>
      <c r="E2239">
        <v>5.25</v>
      </c>
      <c r="F2239" s="2">
        <v>45971</v>
      </c>
      <c r="G2239" s="2" t="s">
        <v>101</v>
      </c>
      <c r="H2239" t="s">
        <v>641</v>
      </c>
      <c r="I2239" t="s">
        <v>658</v>
      </c>
      <c r="J2239">
        <v>100.402</v>
      </c>
      <c r="K2239">
        <v>100.6</v>
      </c>
      <c r="L2239">
        <v>4.6150000000000002</v>
      </c>
      <c r="M2239">
        <v>4.3099999999999996</v>
      </c>
      <c r="N2239">
        <v>4.3099999999999996</v>
      </c>
      <c r="O2239" t="s">
        <v>101</v>
      </c>
      <c r="P2239" t="s">
        <v>2731</v>
      </c>
      <c r="Q2239" t="s">
        <v>2585</v>
      </c>
      <c r="R2239" t="s">
        <v>2436</v>
      </c>
    </row>
    <row r="2240" spans="1:18" x14ac:dyDescent="0.5">
      <c r="A2240" t="str">
        <f>"89236TKK0"</f>
        <v>89236TKK0</v>
      </c>
      <c r="B2240" t="s">
        <v>101</v>
      </c>
      <c r="C2240" t="s">
        <v>2770</v>
      </c>
      <c r="D2240" t="s">
        <v>2433</v>
      </c>
      <c r="E2240">
        <v>5.4</v>
      </c>
      <c r="F2240" s="2">
        <v>45971</v>
      </c>
      <c r="G2240" s="2" t="s">
        <v>105</v>
      </c>
      <c r="H2240" t="s">
        <v>641</v>
      </c>
      <c r="I2240" t="s">
        <v>658</v>
      </c>
      <c r="J2240">
        <v>100.58799999999999</v>
      </c>
      <c r="K2240">
        <v>100.687</v>
      </c>
      <c r="L2240">
        <v>4.4770000000000003</v>
      </c>
      <c r="M2240">
        <v>4.3250000000000002</v>
      </c>
      <c r="N2240">
        <v>4.3250000000000002</v>
      </c>
      <c r="O2240" t="s">
        <v>101</v>
      </c>
      <c r="P2240" t="s">
        <v>2497</v>
      </c>
      <c r="Q2240" t="s">
        <v>1202</v>
      </c>
      <c r="R2240" t="s">
        <v>2465</v>
      </c>
    </row>
    <row r="2241" spans="1:18" x14ac:dyDescent="0.5">
      <c r="A2241" t="str">
        <f>"976843BP6"</f>
        <v>976843BP6</v>
      </c>
      <c r="B2241" t="s">
        <v>101</v>
      </c>
      <c r="C2241" t="s">
        <v>2771</v>
      </c>
      <c r="D2241" t="s">
        <v>2433</v>
      </c>
      <c r="E2241">
        <v>5.35</v>
      </c>
      <c r="F2241" s="2">
        <v>45971</v>
      </c>
      <c r="G2241" s="2">
        <v>45940</v>
      </c>
      <c r="H2241" t="s">
        <v>610</v>
      </c>
      <c r="I2241" t="s">
        <v>713</v>
      </c>
      <c r="J2241">
        <v>100.464</v>
      </c>
      <c r="K2241">
        <v>100.61799999999999</v>
      </c>
      <c r="L2241">
        <v>4.5229999999999997</v>
      </c>
      <c r="M2241">
        <v>4.2519999999999998</v>
      </c>
      <c r="N2241">
        <v>4.3819999999999997</v>
      </c>
      <c r="O2241" t="s">
        <v>101</v>
      </c>
      <c r="P2241" t="s">
        <v>1702</v>
      </c>
      <c r="Q2241" t="s">
        <v>2289</v>
      </c>
      <c r="R2241" t="s">
        <v>2436</v>
      </c>
    </row>
    <row r="2242" spans="1:18" x14ac:dyDescent="0.5">
      <c r="A2242" t="str">
        <f>"110122DN5"</f>
        <v>110122DN5</v>
      </c>
      <c r="B2242" t="s">
        <v>101</v>
      </c>
      <c r="C2242" t="s">
        <v>2772</v>
      </c>
      <c r="D2242" t="s">
        <v>2433</v>
      </c>
      <c r="E2242">
        <v>0.75</v>
      </c>
      <c r="F2242" s="2">
        <v>45974</v>
      </c>
      <c r="G2242" s="2">
        <v>45943</v>
      </c>
      <c r="H2242" t="s">
        <v>610</v>
      </c>
      <c r="I2242" t="s">
        <v>611</v>
      </c>
      <c r="J2242">
        <v>97.460999999999999</v>
      </c>
      <c r="K2242">
        <v>97.673000000000002</v>
      </c>
      <c r="L2242">
        <v>4.6440000000000001</v>
      </c>
      <c r="M2242">
        <v>4.3120000000000003</v>
      </c>
      <c r="N2242">
        <v>4.3120000000000003</v>
      </c>
      <c r="O2242" t="s">
        <v>101</v>
      </c>
      <c r="P2242" t="s">
        <v>2746</v>
      </c>
      <c r="Q2242" t="s">
        <v>1236</v>
      </c>
      <c r="R2242" t="s">
        <v>2436</v>
      </c>
    </row>
    <row r="2243" spans="1:18" x14ac:dyDescent="0.5">
      <c r="A2243" t="str">
        <f>"14913R2H9"</f>
        <v>14913R2H9</v>
      </c>
      <c r="B2243" t="s">
        <v>101</v>
      </c>
      <c r="C2243" t="s">
        <v>2773</v>
      </c>
      <c r="D2243" t="s">
        <v>2433</v>
      </c>
      <c r="E2243">
        <v>0.8</v>
      </c>
      <c r="F2243" s="2">
        <v>45974</v>
      </c>
      <c r="G2243" s="2" t="s">
        <v>101</v>
      </c>
      <c r="H2243" t="s">
        <v>610</v>
      </c>
      <c r="I2243" t="s">
        <v>611</v>
      </c>
      <c r="J2243">
        <v>97.453000000000003</v>
      </c>
      <c r="K2243">
        <v>97.665999999999997</v>
      </c>
      <c r="L2243">
        <v>4.7080000000000002</v>
      </c>
      <c r="M2243">
        <v>4.3739999999999997</v>
      </c>
      <c r="N2243">
        <v>4.3739999999999997</v>
      </c>
      <c r="O2243" t="s">
        <v>101</v>
      </c>
      <c r="P2243" t="s">
        <v>2774</v>
      </c>
      <c r="Q2243" t="s">
        <v>2573</v>
      </c>
      <c r="R2243" t="s">
        <v>2436</v>
      </c>
    </row>
    <row r="2244" spans="1:18" x14ac:dyDescent="0.5">
      <c r="A2244" t="str">
        <f>"59156RBQ0"</f>
        <v>59156RBQ0</v>
      </c>
      <c r="B2244" t="s">
        <v>101</v>
      </c>
      <c r="C2244" t="s">
        <v>2775</v>
      </c>
      <c r="D2244" t="s">
        <v>2433</v>
      </c>
      <c r="E2244">
        <v>3.6</v>
      </c>
      <c r="F2244" s="2">
        <v>45974</v>
      </c>
      <c r="G2244" s="2">
        <v>45882</v>
      </c>
      <c r="H2244" t="s">
        <v>627</v>
      </c>
      <c r="I2244" t="s">
        <v>713</v>
      </c>
      <c r="J2244">
        <v>99.388000000000005</v>
      </c>
      <c r="K2244">
        <v>99.481999999999999</v>
      </c>
      <c r="L2244">
        <v>4.5309999999999997</v>
      </c>
      <c r="M2244">
        <v>4.3869999999999996</v>
      </c>
      <c r="N2244">
        <v>4.3869999999999996</v>
      </c>
      <c r="O2244" t="s">
        <v>101</v>
      </c>
      <c r="P2244" t="s">
        <v>2447</v>
      </c>
      <c r="Q2244" t="s">
        <v>2776</v>
      </c>
      <c r="R2244" t="s">
        <v>2436</v>
      </c>
    </row>
    <row r="2245" spans="1:18" x14ac:dyDescent="0.5">
      <c r="A2245" t="str">
        <f>"05348EAW9"</f>
        <v>05348EAW9</v>
      </c>
      <c r="B2245" t="s">
        <v>101</v>
      </c>
      <c r="C2245" t="s">
        <v>2777</v>
      </c>
      <c r="D2245" t="s">
        <v>2433</v>
      </c>
      <c r="E2245">
        <v>3.5</v>
      </c>
      <c r="F2245" s="2">
        <v>45976</v>
      </c>
      <c r="G2245" s="2">
        <v>45884</v>
      </c>
      <c r="H2245" t="s">
        <v>627</v>
      </c>
      <c r="I2245" t="s">
        <v>713</v>
      </c>
      <c r="J2245">
        <v>99.212000000000003</v>
      </c>
      <c r="K2245">
        <v>99.307000000000002</v>
      </c>
      <c r="L2245">
        <v>4.6929999999999996</v>
      </c>
      <c r="M2245">
        <v>4.5469999999999997</v>
      </c>
      <c r="N2245">
        <v>4.5469999999999997</v>
      </c>
      <c r="O2245" t="s">
        <v>101</v>
      </c>
      <c r="P2245" t="s">
        <v>1702</v>
      </c>
      <c r="Q2245" t="s">
        <v>2747</v>
      </c>
      <c r="R2245" t="s">
        <v>2436</v>
      </c>
    </row>
    <row r="2246" spans="1:18" x14ac:dyDescent="0.5">
      <c r="A2246" t="str">
        <f>"59523UAM9"</f>
        <v>59523UAM9</v>
      </c>
      <c r="B2246" t="s">
        <v>101</v>
      </c>
      <c r="C2246" t="s">
        <v>2778</v>
      </c>
      <c r="D2246" t="s">
        <v>2433</v>
      </c>
      <c r="E2246">
        <v>4</v>
      </c>
      <c r="F2246" s="2">
        <v>45976</v>
      </c>
      <c r="G2246" s="2">
        <v>45884</v>
      </c>
      <c r="H2246" t="s">
        <v>627</v>
      </c>
      <c r="I2246" t="s">
        <v>713</v>
      </c>
      <c r="J2246">
        <v>99.466999999999999</v>
      </c>
      <c r="K2246">
        <v>99.664000000000001</v>
      </c>
      <c r="L2246">
        <v>4.8040000000000003</v>
      </c>
      <c r="M2246">
        <v>4.5030000000000001</v>
      </c>
      <c r="N2246">
        <v>4.5030000000000001</v>
      </c>
      <c r="O2246" t="s">
        <v>101</v>
      </c>
      <c r="P2246" t="s">
        <v>1236</v>
      </c>
      <c r="Q2246" t="s">
        <v>2747</v>
      </c>
      <c r="R2246" t="s">
        <v>2436</v>
      </c>
    </row>
    <row r="2247" spans="1:18" x14ac:dyDescent="0.5">
      <c r="A2247" t="str">
        <f>"001192AL7"</f>
        <v>001192AL7</v>
      </c>
      <c r="B2247" t="s">
        <v>101</v>
      </c>
      <c r="C2247" t="s">
        <v>2779</v>
      </c>
      <c r="D2247" t="s">
        <v>2433</v>
      </c>
      <c r="E2247">
        <v>3.875</v>
      </c>
      <c r="F2247" s="2">
        <v>45976</v>
      </c>
      <c r="G2247" s="2">
        <v>45884</v>
      </c>
      <c r="H2247" t="s">
        <v>670</v>
      </c>
      <c r="I2247" t="s">
        <v>713</v>
      </c>
      <c r="J2247">
        <v>99.356999999999999</v>
      </c>
      <c r="K2247">
        <v>99.632999999999996</v>
      </c>
      <c r="L2247">
        <v>4.8470000000000004</v>
      </c>
      <c r="M2247">
        <v>4.4260000000000002</v>
      </c>
      <c r="N2247">
        <v>4.4260000000000002</v>
      </c>
      <c r="O2247" t="s">
        <v>101</v>
      </c>
      <c r="P2247" t="s">
        <v>2289</v>
      </c>
      <c r="Q2247" t="s">
        <v>2489</v>
      </c>
      <c r="R2247" t="s">
        <v>2436</v>
      </c>
    </row>
    <row r="2248" spans="1:18" x14ac:dyDescent="0.5">
      <c r="A2248" t="str">
        <f>"125523AG5"</f>
        <v>125523AG5</v>
      </c>
      <c r="B2248" t="s">
        <v>101</v>
      </c>
      <c r="C2248" t="s">
        <v>2780</v>
      </c>
      <c r="D2248" t="s">
        <v>2433</v>
      </c>
      <c r="E2248">
        <v>4.125</v>
      </c>
      <c r="F2248" s="2">
        <v>45976</v>
      </c>
      <c r="G2248" s="2">
        <v>45915</v>
      </c>
      <c r="H2248" t="s">
        <v>670</v>
      </c>
      <c r="I2248" t="s">
        <v>713</v>
      </c>
      <c r="J2248">
        <v>99.665999999999997</v>
      </c>
      <c r="K2248">
        <v>99.822000000000003</v>
      </c>
      <c r="L2248">
        <v>4.625</v>
      </c>
      <c r="M2248">
        <v>4.3879999999999999</v>
      </c>
      <c r="N2248">
        <v>4.3879999999999999</v>
      </c>
      <c r="O2248" t="s">
        <v>101</v>
      </c>
      <c r="P2248" t="s">
        <v>1702</v>
      </c>
      <c r="Q2248" t="s">
        <v>2491</v>
      </c>
      <c r="R2248" t="s">
        <v>2436</v>
      </c>
    </row>
    <row r="2249" spans="1:18" x14ac:dyDescent="0.5">
      <c r="A2249" t="str">
        <f>"94106LBL2"</f>
        <v>94106LBL2</v>
      </c>
      <c r="B2249" t="s">
        <v>101</v>
      </c>
      <c r="C2249" t="s">
        <v>2781</v>
      </c>
      <c r="D2249" t="s">
        <v>2433</v>
      </c>
      <c r="E2249">
        <v>0.75</v>
      </c>
      <c r="F2249" s="2">
        <v>45976</v>
      </c>
      <c r="G2249" s="2">
        <v>45945</v>
      </c>
      <c r="H2249" t="s">
        <v>627</v>
      </c>
      <c r="I2249" t="s">
        <v>713</v>
      </c>
      <c r="J2249">
        <v>97.488</v>
      </c>
      <c r="K2249">
        <v>97.68</v>
      </c>
      <c r="L2249">
        <v>4.57</v>
      </c>
      <c r="M2249">
        <v>4.2720000000000002</v>
      </c>
      <c r="N2249">
        <v>4.2720000000000002</v>
      </c>
      <c r="O2249" t="s">
        <v>101</v>
      </c>
      <c r="P2249" t="s">
        <v>2683</v>
      </c>
      <c r="Q2249" t="s">
        <v>2747</v>
      </c>
      <c r="R2249" t="s">
        <v>2436</v>
      </c>
    </row>
    <row r="2250" spans="1:18" x14ac:dyDescent="0.5">
      <c r="A2250" t="str">
        <f>"046353AL2"</f>
        <v>046353AL2</v>
      </c>
      <c r="B2250" t="s">
        <v>101</v>
      </c>
      <c r="C2250" t="s">
        <v>2782</v>
      </c>
      <c r="D2250" t="s">
        <v>2433</v>
      </c>
      <c r="E2250">
        <v>3.375</v>
      </c>
      <c r="F2250" s="2">
        <v>45977</v>
      </c>
      <c r="G2250" s="2" t="s">
        <v>101</v>
      </c>
      <c r="H2250" t="s">
        <v>641</v>
      </c>
      <c r="I2250" t="s">
        <v>658</v>
      </c>
      <c r="J2250">
        <v>99.225999999999999</v>
      </c>
      <c r="K2250">
        <v>99.418000000000006</v>
      </c>
      <c r="L2250">
        <v>4.5410000000000004</v>
      </c>
      <c r="M2250">
        <v>4.2489999999999997</v>
      </c>
      <c r="N2250">
        <v>4.2489999999999997</v>
      </c>
      <c r="O2250" t="s">
        <v>101</v>
      </c>
      <c r="P2250" t="s">
        <v>2783</v>
      </c>
      <c r="Q2250" t="s">
        <v>2784</v>
      </c>
      <c r="R2250" t="s">
        <v>2436</v>
      </c>
    </row>
    <row r="2251" spans="1:18" x14ac:dyDescent="0.5">
      <c r="A2251" t="str">
        <f>"166764BD1"</f>
        <v>166764BD1</v>
      </c>
      <c r="B2251" t="s">
        <v>101</v>
      </c>
      <c r="C2251" t="s">
        <v>2785</v>
      </c>
      <c r="D2251" t="s">
        <v>2433</v>
      </c>
      <c r="E2251">
        <v>3.3260000000000001</v>
      </c>
      <c r="F2251" s="2">
        <v>45978</v>
      </c>
      <c r="G2251" s="2">
        <v>45886</v>
      </c>
      <c r="H2251" t="s">
        <v>613</v>
      </c>
      <c r="I2251" t="s">
        <v>616</v>
      </c>
      <c r="J2251">
        <v>99.313999999999993</v>
      </c>
      <c r="K2251">
        <v>99.367999999999995</v>
      </c>
      <c r="L2251">
        <v>4.3540000000000001</v>
      </c>
      <c r="M2251">
        <v>4.2720000000000002</v>
      </c>
      <c r="N2251">
        <v>4.2720000000000002</v>
      </c>
      <c r="O2251" t="s">
        <v>101</v>
      </c>
      <c r="P2251" t="s">
        <v>2587</v>
      </c>
      <c r="Q2251" t="s">
        <v>2786</v>
      </c>
      <c r="R2251" t="s">
        <v>2436</v>
      </c>
    </row>
    <row r="2252" spans="1:18" x14ac:dyDescent="0.5">
      <c r="A2252" t="str">
        <f>"718172CU1"</f>
        <v>718172CU1</v>
      </c>
      <c r="B2252" t="s">
        <v>101</v>
      </c>
      <c r="C2252" t="s">
        <v>2787</v>
      </c>
      <c r="D2252" t="s">
        <v>2433</v>
      </c>
      <c r="E2252">
        <v>5</v>
      </c>
      <c r="F2252" s="2">
        <v>45978</v>
      </c>
      <c r="G2252" s="2" t="s">
        <v>101</v>
      </c>
      <c r="H2252" t="s">
        <v>610</v>
      </c>
      <c r="I2252" t="s">
        <v>713</v>
      </c>
      <c r="J2252">
        <v>100.246</v>
      </c>
      <c r="K2252">
        <v>100.373</v>
      </c>
      <c r="L2252">
        <v>4.6189999999999998</v>
      </c>
      <c r="M2252">
        <v>4.4279999999999999</v>
      </c>
      <c r="N2252">
        <v>4.4279999999999999</v>
      </c>
      <c r="O2252" t="s">
        <v>101</v>
      </c>
      <c r="P2252" t="s">
        <v>1702</v>
      </c>
      <c r="Q2252" t="s">
        <v>2788</v>
      </c>
      <c r="R2252" t="s">
        <v>2436</v>
      </c>
    </row>
    <row r="2253" spans="1:18" x14ac:dyDescent="0.5">
      <c r="A2253" t="str">
        <f>"91159HHU7"</f>
        <v>91159HHU7</v>
      </c>
      <c r="B2253" t="s">
        <v>101</v>
      </c>
      <c r="C2253" t="s">
        <v>2789</v>
      </c>
      <c r="D2253" t="s">
        <v>2433</v>
      </c>
      <c r="E2253">
        <v>3.95</v>
      </c>
      <c r="F2253" s="2">
        <v>45978</v>
      </c>
      <c r="G2253" s="2">
        <v>45947</v>
      </c>
      <c r="H2253" t="s">
        <v>627</v>
      </c>
      <c r="I2253" t="s">
        <v>611</v>
      </c>
      <c r="J2253">
        <v>99.635999999999996</v>
      </c>
      <c r="K2253">
        <v>99.742000000000004</v>
      </c>
      <c r="L2253">
        <v>4.4909999999999997</v>
      </c>
      <c r="M2253">
        <v>4.3310000000000004</v>
      </c>
      <c r="N2253">
        <v>4.3310000000000004</v>
      </c>
      <c r="O2253" t="s">
        <v>101</v>
      </c>
      <c r="P2253" t="s">
        <v>2790</v>
      </c>
      <c r="Q2253" t="s">
        <v>2791</v>
      </c>
      <c r="R2253" t="s">
        <v>2436</v>
      </c>
    </row>
    <row r="2254" spans="1:18" x14ac:dyDescent="0.5">
      <c r="A2254" t="str">
        <f>"961214FL2"</f>
        <v>961214FL2</v>
      </c>
      <c r="B2254" t="s">
        <v>101</v>
      </c>
      <c r="C2254" t="s">
        <v>2792</v>
      </c>
      <c r="D2254" t="s">
        <v>2433</v>
      </c>
      <c r="E2254">
        <v>5.5119999999999996</v>
      </c>
      <c r="F2254" s="2">
        <v>45978</v>
      </c>
      <c r="G2254" s="2" t="s">
        <v>101</v>
      </c>
      <c r="H2254" t="s">
        <v>613</v>
      </c>
      <c r="I2254" t="s">
        <v>616</v>
      </c>
      <c r="J2254">
        <v>100.60599999999999</v>
      </c>
      <c r="K2254">
        <v>100.821</v>
      </c>
      <c r="L2254">
        <v>4.5869999999999997</v>
      </c>
      <c r="M2254">
        <v>4.2649999999999997</v>
      </c>
      <c r="N2254">
        <v>4.2649999999999997</v>
      </c>
      <c r="O2254" t="s">
        <v>101</v>
      </c>
      <c r="P2254" t="s">
        <v>2731</v>
      </c>
      <c r="Q2254" t="s">
        <v>2793</v>
      </c>
      <c r="R2254" t="s">
        <v>2436</v>
      </c>
    </row>
    <row r="2255" spans="1:18" x14ac:dyDescent="0.5">
      <c r="A2255" t="str">
        <f>"06406HCQ0"</f>
        <v>06406HCQ0</v>
      </c>
      <c r="B2255" t="s">
        <v>101</v>
      </c>
      <c r="C2255" t="s">
        <v>2794</v>
      </c>
      <c r="D2255" t="s">
        <v>2433</v>
      </c>
      <c r="E2255">
        <v>3.95</v>
      </c>
      <c r="F2255" s="2">
        <v>45979</v>
      </c>
      <c r="G2255" s="2">
        <v>45948</v>
      </c>
      <c r="H2255" t="s">
        <v>624</v>
      </c>
      <c r="I2255" t="s">
        <v>611</v>
      </c>
      <c r="J2255">
        <v>99.594999999999999</v>
      </c>
      <c r="K2255">
        <v>99.799000000000007</v>
      </c>
      <c r="L2255">
        <v>4.5510000000000002</v>
      </c>
      <c r="M2255">
        <v>4.2439999999999998</v>
      </c>
      <c r="N2255">
        <v>4.2439999999999998</v>
      </c>
      <c r="O2255" t="s">
        <v>101</v>
      </c>
      <c r="P2255" t="s">
        <v>2795</v>
      </c>
      <c r="Q2255" t="s">
        <v>2796</v>
      </c>
      <c r="R2255" t="s">
        <v>2436</v>
      </c>
    </row>
    <row r="2256" spans="1:18" x14ac:dyDescent="0.5">
      <c r="A2256" t="str">
        <f>"66989HAJ7"</f>
        <v>66989HAJ7</v>
      </c>
      <c r="B2256" t="s">
        <v>101</v>
      </c>
      <c r="C2256" t="s">
        <v>2797</v>
      </c>
      <c r="D2256" t="s">
        <v>2433</v>
      </c>
      <c r="E2256">
        <v>3</v>
      </c>
      <c r="F2256" s="2">
        <v>45981</v>
      </c>
      <c r="G2256" s="2">
        <v>45889</v>
      </c>
      <c r="H2256" t="s">
        <v>624</v>
      </c>
      <c r="I2256" t="s">
        <v>616</v>
      </c>
      <c r="J2256">
        <v>99.054000000000002</v>
      </c>
      <c r="K2256">
        <v>99.218999999999994</v>
      </c>
      <c r="L2256">
        <v>4.4029999999999996</v>
      </c>
      <c r="M2256">
        <v>4.1559999999999997</v>
      </c>
      <c r="N2256">
        <v>4.1559999999999997</v>
      </c>
      <c r="O2256" t="s">
        <v>101</v>
      </c>
      <c r="P2256" t="s">
        <v>2551</v>
      </c>
      <c r="Q2256" t="s">
        <v>2798</v>
      </c>
      <c r="R2256" t="s">
        <v>2436</v>
      </c>
    </row>
    <row r="2257" spans="1:18" x14ac:dyDescent="0.5">
      <c r="A2257" t="str">
        <f>"55279HAT7"</f>
        <v>55279HAT7</v>
      </c>
      <c r="B2257" t="s">
        <v>101</v>
      </c>
      <c r="C2257" t="s">
        <v>2799</v>
      </c>
      <c r="D2257" t="s">
        <v>2433</v>
      </c>
      <c r="E2257">
        <v>5.4</v>
      </c>
      <c r="F2257" s="2">
        <v>45982</v>
      </c>
      <c r="G2257" s="2">
        <v>45951</v>
      </c>
      <c r="H2257" t="s">
        <v>627</v>
      </c>
      <c r="I2257" t="s">
        <v>713</v>
      </c>
      <c r="J2257">
        <v>100.36799999999999</v>
      </c>
      <c r="K2257">
        <v>100.51300000000001</v>
      </c>
      <c r="L2257">
        <v>4.774</v>
      </c>
      <c r="M2257">
        <v>4.53</v>
      </c>
      <c r="N2257">
        <v>4.6269999999999998</v>
      </c>
      <c r="O2257" t="s">
        <v>101</v>
      </c>
      <c r="P2257" t="s">
        <v>2434</v>
      </c>
      <c r="Q2257" t="s">
        <v>2800</v>
      </c>
      <c r="R2257" t="s">
        <v>2436</v>
      </c>
    </row>
    <row r="2258" spans="1:18" x14ac:dyDescent="0.5">
      <c r="A2258" t="str">
        <f>"13605WN23"</f>
        <v>13605WN23</v>
      </c>
      <c r="B2258" t="s">
        <v>101</v>
      </c>
      <c r="C2258" t="s">
        <v>2801</v>
      </c>
      <c r="D2258" t="s">
        <v>2433</v>
      </c>
      <c r="E2258">
        <v>0.9</v>
      </c>
      <c r="F2258" s="2">
        <v>45986</v>
      </c>
      <c r="G2258" s="2" t="s">
        <v>101</v>
      </c>
      <c r="H2258" t="s">
        <v>610</v>
      </c>
      <c r="I2258" t="s">
        <v>713</v>
      </c>
      <c r="J2258">
        <v>96.853999999999999</v>
      </c>
      <c r="K2258">
        <v>97.51</v>
      </c>
      <c r="L2258">
        <v>5.5229999999999997</v>
      </c>
      <c r="M2258">
        <v>4.5380000000000003</v>
      </c>
      <c r="N2258">
        <v>4.5380000000000003</v>
      </c>
      <c r="O2258" t="s">
        <v>101</v>
      </c>
      <c r="P2258" t="s">
        <v>1702</v>
      </c>
      <c r="Q2258" t="s">
        <v>2601</v>
      </c>
      <c r="R2258" t="s">
        <v>2436</v>
      </c>
    </row>
    <row r="2259" spans="1:18" x14ac:dyDescent="0.5">
      <c r="A2259" t="str">
        <f>"023135CN4"</f>
        <v>023135CN4</v>
      </c>
      <c r="B2259" t="s">
        <v>101</v>
      </c>
      <c r="C2259" t="s">
        <v>2802</v>
      </c>
      <c r="D2259" t="s">
        <v>2433</v>
      </c>
      <c r="E2259">
        <v>4.5999999999999996</v>
      </c>
      <c r="F2259" s="2">
        <v>45992</v>
      </c>
      <c r="G2259" s="2" t="s">
        <v>101</v>
      </c>
      <c r="H2259" t="s">
        <v>641</v>
      </c>
      <c r="I2259" t="s">
        <v>628</v>
      </c>
      <c r="J2259">
        <v>100.077</v>
      </c>
      <c r="K2259">
        <v>100.221</v>
      </c>
      <c r="L2259">
        <v>4.4809999999999999</v>
      </c>
      <c r="M2259">
        <v>4.2759999999999998</v>
      </c>
      <c r="N2259">
        <v>4.2759999999999998</v>
      </c>
      <c r="O2259" t="s">
        <v>101</v>
      </c>
      <c r="P2259" t="s">
        <v>2447</v>
      </c>
      <c r="Q2259" t="s">
        <v>2438</v>
      </c>
      <c r="R2259" t="s">
        <v>2436</v>
      </c>
    </row>
    <row r="2260" spans="1:18" x14ac:dyDescent="0.5">
      <c r="A2260" t="str">
        <f>"207597EM3"</f>
        <v>207597EM3</v>
      </c>
      <c r="B2260" t="s">
        <v>101</v>
      </c>
      <c r="C2260" t="s">
        <v>2803</v>
      </c>
      <c r="D2260" t="s">
        <v>2433</v>
      </c>
      <c r="E2260">
        <v>0.75</v>
      </c>
      <c r="F2260" s="2">
        <v>45992</v>
      </c>
      <c r="G2260" s="2">
        <v>45962</v>
      </c>
      <c r="H2260" t="s">
        <v>641</v>
      </c>
      <c r="I2260" t="s">
        <v>611</v>
      </c>
      <c r="J2260">
        <v>97.222999999999999</v>
      </c>
      <c r="K2260">
        <v>97.503</v>
      </c>
      <c r="L2260">
        <v>4.72</v>
      </c>
      <c r="M2260">
        <v>4.3109999999999999</v>
      </c>
      <c r="N2260">
        <v>4.3109999999999999</v>
      </c>
      <c r="O2260" t="s">
        <v>101</v>
      </c>
      <c r="P2260" t="s">
        <v>1999</v>
      </c>
      <c r="Q2260" t="s">
        <v>2804</v>
      </c>
      <c r="R2260" t="s">
        <v>2436</v>
      </c>
    </row>
    <row r="2261" spans="1:18" x14ac:dyDescent="0.5">
      <c r="A2261" t="str">
        <f>"95709TAL4"</f>
        <v>95709TAL4</v>
      </c>
      <c r="B2261" t="s">
        <v>101</v>
      </c>
      <c r="C2261" t="s">
        <v>2805</v>
      </c>
      <c r="D2261" t="s">
        <v>2433</v>
      </c>
      <c r="E2261">
        <v>3.25</v>
      </c>
      <c r="F2261" s="2">
        <v>45992</v>
      </c>
      <c r="G2261" s="2">
        <v>45901</v>
      </c>
      <c r="H2261" t="s">
        <v>610</v>
      </c>
      <c r="I2261" t="s">
        <v>611</v>
      </c>
      <c r="J2261">
        <v>99.075999999999993</v>
      </c>
      <c r="K2261">
        <v>99.31</v>
      </c>
      <c r="L2261">
        <v>4.5640000000000001</v>
      </c>
      <c r="M2261">
        <v>4.2279999999999998</v>
      </c>
      <c r="N2261">
        <v>4.2279999999999998</v>
      </c>
      <c r="O2261" t="s">
        <v>101</v>
      </c>
      <c r="P2261" t="s">
        <v>2750</v>
      </c>
      <c r="Q2261" t="s">
        <v>2747</v>
      </c>
      <c r="R2261" t="s">
        <v>2436</v>
      </c>
    </row>
    <row r="2262" spans="1:18" x14ac:dyDescent="0.5">
      <c r="A2262" t="str">
        <f>"341081FM4"</f>
        <v>341081FM4</v>
      </c>
      <c r="B2262" t="s">
        <v>101</v>
      </c>
      <c r="C2262" t="s">
        <v>2806</v>
      </c>
      <c r="D2262" t="s">
        <v>2433</v>
      </c>
      <c r="E2262">
        <v>3.125</v>
      </c>
      <c r="F2262" s="2">
        <v>45992</v>
      </c>
      <c r="G2262" s="2">
        <v>45809</v>
      </c>
      <c r="H2262" t="s">
        <v>613</v>
      </c>
      <c r="I2262" t="s">
        <v>658</v>
      </c>
      <c r="J2262">
        <v>98.944999999999993</v>
      </c>
      <c r="K2262">
        <v>99.168999999999997</v>
      </c>
      <c r="L2262">
        <v>4.6269999999999998</v>
      </c>
      <c r="M2262">
        <v>4.3049999999999997</v>
      </c>
      <c r="N2262">
        <v>4.3049999999999997</v>
      </c>
      <c r="O2262" t="s">
        <v>101</v>
      </c>
      <c r="P2262" t="s">
        <v>2507</v>
      </c>
      <c r="Q2262" t="s">
        <v>2807</v>
      </c>
      <c r="R2262" t="s">
        <v>2436</v>
      </c>
    </row>
    <row r="2263" spans="1:18" x14ac:dyDescent="0.5">
      <c r="A2263" t="str">
        <f>"45866FAD6"</f>
        <v>45866FAD6</v>
      </c>
      <c r="B2263" t="s">
        <v>101</v>
      </c>
      <c r="C2263" t="s">
        <v>2808</v>
      </c>
      <c r="D2263" t="s">
        <v>2433</v>
      </c>
      <c r="E2263">
        <v>3.75</v>
      </c>
      <c r="F2263" s="2">
        <v>45992</v>
      </c>
      <c r="G2263" s="2">
        <v>45901</v>
      </c>
      <c r="H2263" t="s">
        <v>627</v>
      </c>
      <c r="I2263" t="s">
        <v>713</v>
      </c>
      <c r="J2263">
        <v>99.397000000000006</v>
      </c>
      <c r="K2263">
        <v>99.522999999999996</v>
      </c>
      <c r="L2263">
        <v>4.6040000000000001</v>
      </c>
      <c r="M2263">
        <v>4.4240000000000004</v>
      </c>
      <c r="N2263">
        <v>4.4240000000000004</v>
      </c>
      <c r="O2263" t="s">
        <v>101</v>
      </c>
      <c r="P2263" t="s">
        <v>2809</v>
      </c>
      <c r="Q2263" t="s">
        <v>2438</v>
      </c>
      <c r="R2263" t="s">
        <v>2436</v>
      </c>
    </row>
    <row r="2264" spans="1:18" x14ac:dyDescent="0.5">
      <c r="A2264" t="str">
        <f>"92826CAD4"</f>
        <v>92826CAD4</v>
      </c>
      <c r="B2264" t="s">
        <v>101</v>
      </c>
      <c r="C2264" t="s">
        <v>2810</v>
      </c>
      <c r="D2264" t="s">
        <v>2433</v>
      </c>
      <c r="E2264">
        <v>3.15</v>
      </c>
      <c r="F2264" s="2">
        <v>46005</v>
      </c>
      <c r="G2264" s="2">
        <v>45914</v>
      </c>
      <c r="H2264" t="s">
        <v>624</v>
      </c>
      <c r="I2264" t="s">
        <v>616</v>
      </c>
      <c r="J2264">
        <v>99.045000000000002</v>
      </c>
      <c r="K2264">
        <v>99.191999999999993</v>
      </c>
      <c r="L2264">
        <v>4.4429999999999996</v>
      </c>
      <c r="M2264">
        <v>4.242</v>
      </c>
      <c r="N2264">
        <v>4.242</v>
      </c>
      <c r="O2264" t="s">
        <v>101</v>
      </c>
      <c r="P2264" t="s">
        <v>2731</v>
      </c>
      <c r="Q2264" t="s">
        <v>485</v>
      </c>
      <c r="R2264" t="s">
        <v>2436</v>
      </c>
    </row>
    <row r="2265" spans="1:18" x14ac:dyDescent="0.5">
      <c r="A2265" t="str">
        <f>"00185AAK0"</f>
        <v>00185AAK0</v>
      </c>
      <c r="B2265" t="s">
        <v>101</v>
      </c>
      <c r="C2265" t="s">
        <v>2811</v>
      </c>
      <c r="D2265" t="s">
        <v>2433</v>
      </c>
      <c r="E2265">
        <v>3.875</v>
      </c>
      <c r="F2265" s="2">
        <v>46006</v>
      </c>
      <c r="G2265" s="2">
        <v>45915</v>
      </c>
      <c r="H2265" t="s">
        <v>677</v>
      </c>
      <c r="I2265" t="s">
        <v>713</v>
      </c>
      <c r="J2265">
        <v>99.372</v>
      </c>
      <c r="K2265">
        <v>99.548000000000002</v>
      </c>
      <c r="L2265">
        <v>4.72</v>
      </c>
      <c r="M2265">
        <v>4.4809999999999999</v>
      </c>
      <c r="N2265">
        <v>4.4809999999999999</v>
      </c>
      <c r="O2265" t="s">
        <v>101</v>
      </c>
      <c r="P2265" t="s">
        <v>2447</v>
      </c>
      <c r="Q2265" t="s">
        <v>2812</v>
      </c>
      <c r="R2265" t="s">
        <v>2436</v>
      </c>
    </row>
    <row r="2266" spans="1:18" x14ac:dyDescent="0.5">
      <c r="A2266" t="str">
        <f>"12189TAA2"</f>
        <v>12189TAA2</v>
      </c>
      <c r="B2266" t="s">
        <v>101</v>
      </c>
      <c r="C2266" t="s">
        <v>2813</v>
      </c>
      <c r="D2266" t="s">
        <v>2433</v>
      </c>
      <c r="E2266">
        <v>7</v>
      </c>
      <c r="F2266" s="2">
        <v>46006</v>
      </c>
      <c r="G2266" s="2" t="s">
        <v>101</v>
      </c>
      <c r="H2266" t="s">
        <v>610</v>
      </c>
      <c r="I2266" t="s">
        <v>616</v>
      </c>
      <c r="J2266">
        <v>101.741</v>
      </c>
      <c r="K2266">
        <v>102.027</v>
      </c>
      <c r="L2266">
        <v>4.6239999999999997</v>
      </c>
      <c r="M2266">
        <v>4.2430000000000003</v>
      </c>
      <c r="N2266">
        <v>4.2430000000000003</v>
      </c>
      <c r="O2266" t="s">
        <v>101</v>
      </c>
      <c r="P2266" t="s">
        <v>1236</v>
      </c>
      <c r="Q2266" t="s">
        <v>2573</v>
      </c>
      <c r="R2266" t="s">
        <v>2436</v>
      </c>
    </row>
    <row r="2267" spans="1:18" x14ac:dyDescent="0.5">
      <c r="A2267" t="str">
        <f>"91324PDN9"</f>
        <v>91324PDN9</v>
      </c>
      <c r="B2267" t="s">
        <v>101</v>
      </c>
      <c r="C2267" t="s">
        <v>2814</v>
      </c>
      <c r="D2267" t="s">
        <v>2433</v>
      </c>
      <c r="E2267">
        <v>3.7</v>
      </c>
      <c r="F2267" s="2">
        <v>46006</v>
      </c>
      <c r="G2267" s="2" t="s">
        <v>101</v>
      </c>
      <c r="H2267" t="s">
        <v>610</v>
      </c>
      <c r="I2267" t="s">
        <v>658</v>
      </c>
      <c r="J2267">
        <v>99.305999999999997</v>
      </c>
      <c r="K2267">
        <v>99.593000000000004</v>
      </c>
      <c r="L2267">
        <v>4.6349999999999998</v>
      </c>
      <c r="M2267">
        <v>4.2439999999999998</v>
      </c>
      <c r="N2267">
        <v>4.2439999999999998</v>
      </c>
      <c r="O2267" t="s">
        <v>101</v>
      </c>
      <c r="P2267" t="s">
        <v>1702</v>
      </c>
      <c r="Q2267" t="s">
        <v>2815</v>
      </c>
      <c r="R2267" t="s">
        <v>2436</v>
      </c>
    </row>
    <row r="2268" spans="1:18" x14ac:dyDescent="0.5">
      <c r="A2268" t="str">
        <f>"437076CX8"</f>
        <v>437076CX8</v>
      </c>
      <c r="B2268" t="s">
        <v>101</v>
      </c>
      <c r="C2268" t="s">
        <v>2816</v>
      </c>
      <c r="D2268" t="s">
        <v>2433</v>
      </c>
      <c r="E2268">
        <v>5.0999999999999996</v>
      </c>
      <c r="F2268" s="2">
        <v>46015</v>
      </c>
      <c r="G2268" s="2" t="s">
        <v>101</v>
      </c>
      <c r="H2268" t="s">
        <v>610</v>
      </c>
      <c r="I2268" t="s">
        <v>611</v>
      </c>
      <c r="J2268">
        <v>100.49299999999999</v>
      </c>
      <c r="K2268">
        <v>100.60299999999999</v>
      </c>
      <c r="L2268">
        <v>4.444</v>
      </c>
      <c r="M2268">
        <v>4.3</v>
      </c>
      <c r="N2268">
        <v>4.3</v>
      </c>
      <c r="O2268" t="s">
        <v>101</v>
      </c>
      <c r="P2268" t="s">
        <v>2434</v>
      </c>
      <c r="Q2268" t="s">
        <v>2434</v>
      </c>
      <c r="R2268" t="s">
        <v>2436</v>
      </c>
    </row>
    <row r="2269" spans="1:18" x14ac:dyDescent="0.5">
      <c r="A2269" t="str">
        <f>"89114VA31"</f>
        <v>89114VA31</v>
      </c>
      <c r="B2269" t="s">
        <v>101</v>
      </c>
      <c r="C2269" t="s">
        <v>2817</v>
      </c>
      <c r="D2269" t="s">
        <v>2433</v>
      </c>
      <c r="E2269">
        <v>3</v>
      </c>
      <c r="F2269" s="2">
        <v>46022</v>
      </c>
      <c r="G2269" s="2">
        <v>45747</v>
      </c>
      <c r="H2269" t="s">
        <v>610</v>
      </c>
      <c r="I2269" t="s">
        <v>713</v>
      </c>
      <c r="J2269">
        <v>98.155000000000001</v>
      </c>
      <c r="K2269">
        <v>99.073999999999998</v>
      </c>
      <c r="L2269">
        <v>5.3710000000000004</v>
      </c>
      <c r="M2269">
        <v>4.1820000000000004</v>
      </c>
      <c r="N2269">
        <v>4.1820000000000004</v>
      </c>
      <c r="O2269" t="s">
        <v>101</v>
      </c>
      <c r="P2269" t="s">
        <v>1702</v>
      </c>
      <c r="Q2269" t="s">
        <v>718</v>
      </c>
      <c r="R2269" t="s">
        <v>2436</v>
      </c>
    </row>
    <row r="2270" spans="1:18" x14ac:dyDescent="0.5">
      <c r="A2270" t="str">
        <f>"589331AC1"</f>
        <v>589331AC1</v>
      </c>
      <c r="B2270" t="s">
        <v>101</v>
      </c>
      <c r="C2270" t="s">
        <v>2818</v>
      </c>
      <c r="D2270" t="s">
        <v>2433</v>
      </c>
      <c r="E2270">
        <v>6.3</v>
      </c>
      <c r="F2270" s="2">
        <v>46023</v>
      </c>
      <c r="G2270" s="2" t="s">
        <v>101</v>
      </c>
      <c r="H2270" t="s">
        <v>641</v>
      </c>
      <c r="I2270" t="s">
        <v>658</v>
      </c>
      <c r="J2270">
        <v>101.229</v>
      </c>
      <c r="K2270">
        <v>101.711</v>
      </c>
      <c r="L2270">
        <v>4.7110000000000003</v>
      </c>
      <c r="M2270">
        <v>4.1020000000000003</v>
      </c>
      <c r="N2270">
        <v>4.1020000000000003</v>
      </c>
      <c r="O2270" t="s">
        <v>101</v>
      </c>
      <c r="P2270" t="s">
        <v>2566</v>
      </c>
      <c r="Q2270" t="s">
        <v>2819</v>
      </c>
      <c r="R2270" t="s">
        <v>2436</v>
      </c>
    </row>
    <row r="2271" spans="1:18" x14ac:dyDescent="0.5">
      <c r="A2271" t="str">
        <f>"89236TLJ2"</f>
        <v>89236TLJ2</v>
      </c>
      <c r="B2271" t="s">
        <v>101</v>
      </c>
      <c r="C2271" t="s">
        <v>2820</v>
      </c>
      <c r="D2271" t="s">
        <v>2433</v>
      </c>
      <c r="E2271">
        <v>4.8</v>
      </c>
      <c r="F2271" s="2">
        <v>46027</v>
      </c>
      <c r="G2271" s="2" t="s">
        <v>105</v>
      </c>
      <c r="H2271" t="s">
        <v>641</v>
      </c>
      <c r="I2271" t="s">
        <v>658</v>
      </c>
      <c r="J2271">
        <v>100.303</v>
      </c>
      <c r="K2271">
        <v>100.343</v>
      </c>
      <c r="L2271">
        <v>4.4089999999999998</v>
      </c>
      <c r="M2271">
        <v>4.359</v>
      </c>
      <c r="N2271">
        <v>4.359</v>
      </c>
      <c r="O2271" t="s">
        <v>101</v>
      </c>
      <c r="P2271" t="s">
        <v>2497</v>
      </c>
      <c r="Q2271" t="s">
        <v>2821</v>
      </c>
      <c r="R2271" t="s">
        <v>2465</v>
      </c>
    </row>
    <row r="2272" spans="1:18" x14ac:dyDescent="0.5">
      <c r="A2272" t="str">
        <f>"14913R3B1"</f>
        <v>14913R3B1</v>
      </c>
      <c r="B2272" t="s">
        <v>101</v>
      </c>
      <c r="C2272" t="s">
        <v>2822</v>
      </c>
      <c r="D2272" t="s">
        <v>2433</v>
      </c>
      <c r="E2272">
        <v>4.8</v>
      </c>
      <c r="F2272" s="2">
        <v>46028</v>
      </c>
      <c r="G2272" s="2" t="s">
        <v>101</v>
      </c>
      <c r="H2272" t="s">
        <v>610</v>
      </c>
      <c r="I2272" t="s">
        <v>611</v>
      </c>
      <c r="J2272">
        <v>100.274</v>
      </c>
      <c r="K2272">
        <v>100.44</v>
      </c>
      <c r="L2272">
        <v>4.4470000000000001</v>
      </c>
      <c r="M2272">
        <v>4.2389999999999999</v>
      </c>
      <c r="N2272">
        <v>4.2389999999999999</v>
      </c>
      <c r="O2272" t="s">
        <v>101</v>
      </c>
      <c r="P2272" t="s">
        <v>790</v>
      </c>
      <c r="Q2272" t="s">
        <v>2774</v>
      </c>
      <c r="R2272" t="s">
        <v>2436</v>
      </c>
    </row>
    <row r="2273" spans="1:18" x14ac:dyDescent="0.5">
      <c r="A2273" t="str">
        <f>"89114QCP1"</f>
        <v>89114QCP1</v>
      </c>
      <c r="B2273" t="s">
        <v>101</v>
      </c>
      <c r="C2273" t="s">
        <v>2823</v>
      </c>
      <c r="D2273" t="s">
        <v>2433</v>
      </c>
      <c r="E2273">
        <v>0.75</v>
      </c>
      <c r="F2273" s="2">
        <v>46028</v>
      </c>
      <c r="G2273" s="2" t="s">
        <v>101</v>
      </c>
      <c r="H2273" t="s">
        <v>610</v>
      </c>
      <c r="I2273" t="s">
        <v>713</v>
      </c>
      <c r="J2273">
        <v>96.95</v>
      </c>
      <c r="K2273">
        <v>97.082999999999998</v>
      </c>
      <c r="L2273">
        <v>4.5970000000000004</v>
      </c>
      <c r="M2273">
        <v>4.4249999999999998</v>
      </c>
      <c r="N2273">
        <v>4.4249999999999998</v>
      </c>
      <c r="O2273" t="s">
        <v>101</v>
      </c>
      <c r="P2273" t="s">
        <v>2618</v>
      </c>
      <c r="Q2273" t="s">
        <v>1702</v>
      </c>
      <c r="R2273" t="s">
        <v>2436</v>
      </c>
    </row>
    <row r="2274" spans="1:18" x14ac:dyDescent="0.5">
      <c r="A2274" t="str">
        <f>"02665WEY3"</f>
        <v>02665WEY3</v>
      </c>
      <c r="B2274" t="s">
        <v>101</v>
      </c>
      <c r="C2274" t="s">
        <v>2824</v>
      </c>
      <c r="D2274" t="s">
        <v>2433</v>
      </c>
      <c r="E2274">
        <v>4.95</v>
      </c>
      <c r="F2274" s="2">
        <v>46031</v>
      </c>
      <c r="G2274" s="2" t="s">
        <v>101</v>
      </c>
      <c r="H2274" t="s">
        <v>627</v>
      </c>
      <c r="I2274" t="s">
        <v>713</v>
      </c>
      <c r="J2274">
        <v>100.18</v>
      </c>
      <c r="K2274">
        <v>100.432</v>
      </c>
      <c r="L2274">
        <v>4.7169999999999996</v>
      </c>
      <c r="M2274">
        <v>4.4029999999999996</v>
      </c>
      <c r="N2274">
        <v>4.4029999999999996</v>
      </c>
      <c r="O2274" t="s">
        <v>101</v>
      </c>
      <c r="P2274" t="s">
        <v>2488</v>
      </c>
      <c r="Q2274" t="s">
        <v>2825</v>
      </c>
      <c r="R2274" t="s">
        <v>2436</v>
      </c>
    </row>
    <row r="2275" spans="1:18" x14ac:dyDescent="0.5">
      <c r="A2275" t="str">
        <f>"24422EWP0"</f>
        <v>24422EWP0</v>
      </c>
      <c r="B2275" t="s">
        <v>101</v>
      </c>
      <c r="C2275" t="s">
        <v>2826</v>
      </c>
      <c r="D2275" t="s">
        <v>2433</v>
      </c>
      <c r="E2275">
        <v>4.8</v>
      </c>
      <c r="F2275" s="2">
        <v>46031</v>
      </c>
      <c r="G2275" s="2" t="s">
        <v>105</v>
      </c>
      <c r="H2275" t="s">
        <v>641</v>
      </c>
      <c r="I2275" t="s">
        <v>611</v>
      </c>
      <c r="J2275">
        <v>100.294</v>
      </c>
      <c r="K2275">
        <v>100.506</v>
      </c>
      <c r="L2275">
        <v>4.4260000000000002</v>
      </c>
      <c r="M2275">
        <v>4.1630000000000003</v>
      </c>
      <c r="N2275">
        <v>4.1630000000000003</v>
      </c>
      <c r="O2275" t="s">
        <v>101</v>
      </c>
      <c r="P2275" t="s">
        <v>2827</v>
      </c>
      <c r="Q2275" t="s">
        <v>2507</v>
      </c>
      <c r="R2275" t="s">
        <v>2465</v>
      </c>
    </row>
    <row r="2276" spans="1:18" x14ac:dyDescent="0.5">
      <c r="A2276" t="str">
        <f>"89115A2K7"</f>
        <v>89115A2K7</v>
      </c>
      <c r="B2276" t="s">
        <v>101</v>
      </c>
      <c r="C2276" t="s">
        <v>2828</v>
      </c>
      <c r="D2276" t="s">
        <v>2433</v>
      </c>
      <c r="E2276">
        <v>5.1029999999999998</v>
      </c>
      <c r="F2276" s="2">
        <v>46031</v>
      </c>
      <c r="G2276" s="2" t="s">
        <v>101</v>
      </c>
      <c r="H2276" t="s">
        <v>610</v>
      </c>
      <c r="I2276" t="s">
        <v>713</v>
      </c>
      <c r="J2276">
        <v>100.39100000000001</v>
      </c>
      <c r="K2276">
        <v>100.553</v>
      </c>
      <c r="L2276">
        <v>4.6059999999999999</v>
      </c>
      <c r="M2276">
        <v>4.4050000000000002</v>
      </c>
      <c r="N2276">
        <v>4.4050000000000002</v>
      </c>
      <c r="O2276" t="s">
        <v>101</v>
      </c>
      <c r="P2276" t="s">
        <v>2497</v>
      </c>
      <c r="Q2276" t="s">
        <v>2829</v>
      </c>
      <c r="R2276" t="s">
        <v>2436</v>
      </c>
    </row>
    <row r="2277" spans="1:18" x14ac:dyDescent="0.5">
      <c r="A2277" t="str">
        <f>"89236THW8"</f>
        <v>89236THW8</v>
      </c>
      <c r="B2277" t="s">
        <v>101</v>
      </c>
      <c r="C2277" t="s">
        <v>2830</v>
      </c>
      <c r="D2277" t="s">
        <v>2433</v>
      </c>
      <c r="E2277">
        <v>0.8</v>
      </c>
      <c r="F2277" s="2">
        <v>46031</v>
      </c>
      <c r="G2277" s="2" t="s">
        <v>101</v>
      </c>
      <c r="H2277" t="s">
        <v>641</v>
      </c>
      <c r="I2277" t="s">
        <v>658</v>
      </c>
      <c r="J2277">
        <v>97.024000000000001</v>
      </c>
      <c r="K2277">
        <v>97.209000000000003</v>
      </c>
      <c r="L2277">
        <v>4.5140000000000002</v>
      </c>
      <c r="M2277">
        <v>4.2779999999999996</v>
      </c>
      <c r="N2277">
        <v>4.2779999999999996</v>
      </c>
      <c r="O2277" t="s">
        <v>101</v>
      </c>
      <c r="P2277" t="s">
        <v>2595</v>
      </c>
      <c r="Q2277" t="s">
        <v>2454</v>
      </c>
      <c r="R2277" t="s">
        <v>2436</v>
      </c>
    </row>
    <row r="2278" spans="1:18" x14ac:dyDescent="0.5">
      <c r="A2278" t="str">
        <f>"29379VCC5"</f>
        <v>29379VCC5</v>
      </c>
      <c r="B2278" t="s">
        <v>101</v>
      </c>
      <c r="C2278" t="s">
        <v>2831</v>
      </c>
      <c r="D2278" t="s">
        <v>2433</v>
      </c>
      <c r="E2278">
        <v>5.05</v>
      </c>
      <c r="F2278" s="2">
        <v>46032</v>
      </c>
      <c r="G2278" s="2" t="s">
        <v>101</v>
      </c>
      <c r="H2278" t="s">
        <v>627</v>
      </c>
      <c r="I2278" t="s">
        <v>713</v>
      </c>
      <c r="J2278">
        <v>100.39700000000001</v>
      </c>
      <c r="K2278">
        <v>100.51600000000001</v>
      </c>
      <c r="L2278">
        <v>4.548</v>
      </c>
      <c r="M2278">
        <v>4.4009999999999998</v>
      </c>
      <c r="N2278">
        <v>4.4009999999999998</v>
      </c>
      <c r="O2278" t="s">
        <v>101</v>
      </c>
      <c r="P2278" t="s">
        <v>554</v>
      </c>
      <c r="Q2278" t="s">
        <v>2631</v>
      </c>
      <c r="R2278" t="s">
        <v>2436</v>
      </c>
    </row>
    <row r="2279" spans="1:18" x14ac:dyDescent="0.5">
      <c r="A2279" t="str">
        <f>"02665WEC1"</f>
        <v>02665WEC1</v>
      </c>
      <c r="B2279" t="s">
        <v>101</v>
      </c>
      <c r="C2279" t="s">
        <v>2832</v>
      </c>
      <c r="D2279" t="s">
        <v>2433</v>
      </c>
      <c r="E2279">
        <v>4.75</v>
      </c>
      <c r="F2279" s="2">
        <v>46034</v>
      </c>
      <c r="G2279" s="2" t="s">
        <v>101</v>
      </c>
      <c r="H2279" t="s">
        <v>627</v>
      </c>
      <c r="I2279" t="s">
        <v>713</v>
      </c>
      <c r="J2279">
        <v>100.038</v>
      </c>
      <c r="K2279">
        <v>100.242</v>
      </c>
      <c r="L2279">
        <v>4.6950000000000003</v>
      </c>
      <c r="M2279">
        <v>4.444</v>
      </c>
      <c r="N2279">
        <v>4.444</v>
      </c>
      <c r="O2279" t="s">
        <v>101</v>
      </c>
      <c r="P2279" t="s">
        <v>2833</v>
      </c>
      <c r="Q2279" t="s">
        <v>2597</v>
      </c>
      <c r="R2279" t="s">
        <v>2436</v>
      </c>
    </row>
    <row r="2280" spans="1:18" x14ac:dyDescent="0.5">
      <c r="A2280" t="str">
        <f>"78016FZT4"</f>
        <v>78016FZT4</v>
      </c>
      <c r="B2280" t="s">
        <v>101</v>
      </c>
      <c r="C2280" t="s">
        <v>2834</v>
      </c>
      <c r="D2280" t="s">
        <v>2433</v>
      </c>
      <c r="E2280">
        <v>4.875</v>
      </c>
      <c r="F2280" s="2">
        <v>46034</v>
      </c>
      <c r="G2280" s="2" t="s">
        <v>105</v>
      </c>
      <c r="H2280" t="s">
        <v>641</v>
      </c>
      <c r="I2280" t="s">
        <v>611</v>
      </c>
      <c r="J2280">
        <v>100.27800000000001</v>
      </c>
      <c r="K2280">
        <v>100.417</v>
      </c>
      <c r="L2280">
        <v>4.524</v>
      </c>
      <c r="M2280">
        <v>4.3529999999999998</v>
      </c>
      <c r="N2280">
        <v>4.3529999999999998</v>
      </c>
      <c r="O2280" t="s">
        <v>101</v>
      </c>
      <c r="P2280" t="s">
        <v>2434</v>
      </c>
      <c r="Q2280" t="s">
        <v>2434</v>
      </c>
      <c r="R2280" t="s">
        <v>2465</v>
      </c>
    </row>
    <row r="2281" spans="1:18" x14ac:dyDescent="0.5">
      <c r="A2281" t="str">
        <f>"86562MCD0"</f>
        <v>86562MCD0</v>
      </c>
      <c r="B2281" t="s">
        <v>101</v>
      </c>
      <c r="C2281" t="s">
        <v>2835</v>
      </c>
      <c r="D2281" t="s">
        <v>2433</v>
      </c>
      <c r="E2281">
        <v>0.94799999999999995</v>
      </c>
      <c r="F2281" s="2">
        <v>46034</v>
      </c>
      <c r="G2281" s="2" t="s">
        <v>101</v>
      </c>
      <c r="H2281" t="s">
        <v>641</v>
      </c>
      <c r="I2281" t="s">
        <v>713</v>
      </c>
      <c r="J2281">
        <v>96.956000000000003</v>
      </c>
      <c r="K2281">
        <v>97.22</v>
      </c>
      <c r="L2281">
        <v>4.7140000000000004</v>
      </c>
      <c r="M2281">
        <v>4.38</v>
      </c>
      <c r="N2281">
        <v>4.38</v>
      </c>
      <c r="O2281" t="s">
        <v>101</v>
      </c>
      <c r="P2281" t="s">
        <v>2666</v>
      </c>
      <c r="Q2281" t="s">
        <v>2836</v>
      </c>
      <c r="R2281" t="s">
        <v>2436</v>
      </c>
    </row>
    <row r="2282" spans="1:18" x14ac:dyDescent="0.5">
      <c r="A2282" t="str">
        <f>"254687FV3"</f>
        <v>254687FV3</v>
      </c>
      <c r="B2282" t="s">
        <v>101</v>
      </c>
      <c r="C2282" t="s">
        <v>2837</v>
      </c>
      <c r="D2282" t="s">
        <v>2433</v>
      </c>
      <c r="E2282">
        <v>1.75</v>
      </c>
      <c r="F2282" s="2">
        <v>46035</v>
      </c>
      <c r="G2282" s="2" t="s">
        <v>101</v>
      </c>
      <c r="H2282" t="s">
        <v>610</v>
      </c>
      <c r="I2282" t="s">
        <v>611</v>
      </c>
      <c r="J2282">
        <v>97.712999999999994</v>
      </c>
      <c r="K2282">
        <v>97.84</v>
      </c>
      <c r="L2282">
        <v>4.5659999999999998</v>
      </c>
      <c r="M2282">
        <v>4.407</v>
      </c>
      <c r="N2282">
        <v>4.407</v>
      </c>
      <c r="O2282" t="s">
        <v>101</v>
      </c>
      <c r="P2282" t="s">
        <v>2683</v>
      </c>
      <c r="Q2282" t="s">
        <v>2447</v>
      </c>
      <c r="R2282" t="s">
        <v>2436</v>
      </c>
    </row>
    <row r="2283" spans="1:18" x14ac:dyDescent="0.5">
      <c r="A2283" t="str">
        <f>"500630CJ5"</f>
        <v>500630CJ5</v>
      </c>
      <c r="B2283" t="s">
        <v>101</v>
      </c>
      <c r="C2283" t="s">
        <v>2838</v>
      </c>
      <c r="D2283" t="s">
        <v>2433</v>
      </c>
      <c r="E2283">
        <v>3</v>
      </c>
      <c r="F2283" s="2">
        <v>46035</v>
      </c>
      <c r="G2283" s="2" t="s">
        <v>105</v>
      </c>
      <c r="H2283" t="s">
        <v>613</v>
      </c>
      <c r="I2283" t="s">
        <v>628</v>
      </c>
      <c r="J2283" t="s">
        <v>101</v>
      </c>
      <c r="K2283">
        <v>98.995999999999995</v>
      </c>
      <c r="L2283" t="s">
        <v>101</v>
      </c>
      <c r="M2283">
        <v>4.2309999999999999</v>
      </c>
      <c r="N2283">
        <v>4.2309999999999999</v>
      </c>
      <c r="O2283" t="s">
        <v>101</v>
      </c>
      <c r="P2283" t="s">
        <v>448</v>
      </c>
      <c r="Q2283" t="s">
        <v>542</v>
      </c>
      <c r="R2283" t="s">
        <v>2839</v>
      </c>
    </row>
    <row r="2284" spans="1:18" x14ac:dyDescent="0.5">
      <c r="A2284" t="str">
        <f>"756109BQ6"</f>
        <v>756109BQ6</v>
      </c>
      <c r="B2284" t="s">
        <v>101</v>
      </c>
      <c r="C2284" t="s">
        <v>2840</v>
      </c>
      <c r="D2284" t="s">
        <v>2433</v>
      </c>
      <c r="E2284">
        <v>5.05</v>
      </c>
      <c r="F2284" s="2">
        <v>46035</v>
      </c>
      <c r="G2284" s="2">
        <v>45738</v>
      </c>
      <c r="H2284" t="s">
        <v>627</v>
      </c>
      <c r="I2284" t="s">
        <v>713</v>
      </c>
      <c r="J2284">
        <v>99.912999999999997</v>
      </c>
      <c r="K2284">
        <v>100.03</v>
      </c>
      <c r="L2284">
        <v>5.149</v>
      </c>
      <c r="M2284">
        <v>4.1150000000000002</v>
      </c>
      <c r="N2284">
        <v>5.0039999999999996</v>
      </c>
      <c r="O2284" t="s">
        <v>101</v>
      </c>
      <c r="P2284" t="s">
        <v>2447</v>
      </c>
      <c r="Q2284" t="s">
        <v>2841</v>
      </c>
      <c r="R2284" t="s">
        <v>2436</v>
      </c>
    </row>
    <row r="2285" spans="1:18" x14ac:dyDescent="0.5">
      <c r="A2285" t="str">
        <f>"86562MCT5"</f>
        <v>86562MCT5</v>
      </c>
      <c r="B2285" t="s">
        <v>101</v>
      </c>
      <c r="C2285" t="s">
        <v>2842</v>
      </c>
      <c r="D2285" t="s">
        <v>2433</v>
      </c>
      <c r="E2285">
        <v>5.4640000000000004</v>
      </c>
      <c r="F2285" s="2">
        <v>46035</v>
      </c>
      <c r="G2285" s="2" t="s">
        <v>101</v>
      </c>
      <c r="H2285" t="s">
        <v>641</v>
      </c>
      <c r="I2285" t="s">
        <v>713</v>
      </c>
      <c r="J2285">
        <v>100.672</v>
      </c>
      <c r="K2285">
        <v>100.88200000000001</v>
      </c>
      <c r="L2285">
        <v>4.6269999999999998</v>
      </c>
      <c r="M2285">
        <v>4.37</v>
      </c>
      <c r="N2285">
        <v>4.37</v>
      </c>
      <c r="O2285" t="s">
        <v>101</v>
      </c>
      <c r="P2285" t="s">
        <v>2843</v>
      </c>
      <c r="Q2285" t="s">
        <v>2626</v>
      </c>
      <c r="R2285" t="s">
        <v>2436</v>
      </c>
    </row>
    <row r="2286" spans="1:18" x14ac:dyDescent="0.5">
      <c r="A2286" t="str">
        <f>"29364WAM0"</f>
        <v>29364WAM0</v>
      </c>
      <c r="B2286" t="s">
        <v>101</v>
      </c>
      <c r="C2286" t="s">
        <v>2844</v>
      </c>
      <c r="D2286" t="s">
        <v>2433</v>
      </c>
      <c r="E2286">
        <v>4.4400000000000004</v>
      </c>
      <c r="F2286" s="2">
        <v>46037</v>
      </c>
      <c r="G2286" s="2">
        <v>45945</v>
      </c>
      <c r="H2286" t="s">
        <v>610</v>
      </c>
      <c r="I2286" t="s">
        <v>611</v>
      </c>
      <c r="J2286">
        <v>99.915999999999997</v>
      </c>
      <c r="K2286">
        <v>99.995999999999995</v>
      </c>
      <c r="L2286">
        <v>4.5359999999999996</v>
      </c>
      <c r="M2286">
        <v>4.4379999999999997</v>
      </c>
      <c r="N2286">
        <v>4.4379999999999997</v>
      </c>
      <c r="O2286" t="s">
        <v>101</v>
      </c>
      <c r="P2286" t="s">
        <v>2845</v>
      </c>
      <c r="Q2286" t="s">
        <v>2846</v>
      </c>
      <c r="R2286" t="s">
        <v>2436</v>
      </c>
    </row>
    <row r="2287" spans="1:18" x14ac:dyDescent="0.5">
      <c r="A2287" t="str">
        <f>"26875PAP6"</f>
        <v>26875PAP6</v>
      </c>
      <c r="B2287" t="s">
        <v>101</v>
      </c>
      <c r="C2287" t="s">
        <v>2847</v>
      </c>
      <c r="D2287" t="s">
        <v>2433</v>
      </c>
      <c r="E2287">
        <v>4.1500000000000004</v>
      </c>
      <c r="F2287" s="2">
        <v>46037</v>
      </c>
      <c r="G2287" s="2">
        <v>45945</v>
      </c>
      <c r="H2287" t="s">
        <v>627</v>
      </c>
      <c r="I2287" t="s">
        <v>713</v>
      </c>
      <c r="J2287">
        <v>99.650999999999996</v>
      </c>
      <c r="K2287">
        <v>99.852000000000004</v>
      </c>
      <c r="L2287">
        <v>4.5709999999999997</v>
      </c>
      <c r="M2287">
        <v>4.3250000000000002</v>
      </c>
      <c r="N2287">
        <v>4.3250000000000002</v>
      </c>
      <c r="O2287" t="s">
        <v>101</v>
      </c>
      <c r="P2287" t="s">
        <v>2447</v>
      </c>
      <c r="Q2287" t="s">
        <v>2798</v>
      </c>
      <c r="R2287" t="s">
        <v>2436</v>
      </c>
    </row>
    <row r="2288" spans="1:18" x14ac:dyDescent="0.5">
      <c r="A2288" t="str">
        <f>"24422EVK2"</f>
        <v>24422EVK2</v>
      </c>
      <c r="B2288" t="s">
        <v>101</v>
      </c>
      <c r="C2288" t="s">
        <v>2848</v>
      </c>
      <c r="D2288" t="s">
        <v>2433</v>
      </c>
      <c r="E2288">
        <v>0.7</v>
      </c>
      <c r="F2288" s="2">
        <v>46037</v>
      </c>
      <c r="G2288" s="2" t="s">
        <v>105</v>
      </c>
      <c r="H2288" t="s">
        <v>641</v>
      </c>
      <c r="I2288" t="s">
        <v>611</v>
      </c>
      <c r="J2288">
        <v>96.894999999999996</v>
      </c>
      <c r="K2288">
        <v>97.117999999999995</v>
      </c>
      <c r="L2288">
        <v>4.5</v>
      </c>
      <c r="M2288">
        <v>4.22</v>
      </c>
      <c r="N2288">
        <v>4.22</v>
      </c>
      <c r="O2288" t="s">
        <v>101</v>
      </c>
      <c r="P2288" t="s">
        <v>2827</v>
      </c>
      <c r="Q2288" t="s">
        <v>2796</v>
      </c>
      <c r="R2288" t="s">
        <v>2465</v>
      </c>
    </row>
    <row r="2289" spans="1:18" x14ac:dyDescent="0.5">
      <c r="A2289" t="str">
        <f>"63743FTW6"</f>
        <v>63743FTW6</v>
      </c>
      <c r="B2289" t="s">
        <v>101</v>
      </c>
      <c r="C2289" t="s">
        <v>2849</v>
      </c>
      <c r="D2289" t="s">
        <v>2433</v>
      </c>
      <c r="E2289">
        <v>3.5</v>
      </c>
      <c r="F2289" s="2">
        <v>46037</v>
      </c>
      <c r="G2289" s="2" t="s">
        <v>105</v>
      </c>
      <c r="H2289" t="s">
        <v>610</v>
      </c>
      <c r="I2289" t="s">
        <v>713</v>
      </c>
      <c r="J2289">
        <v>98.295000000000002</v>
      </c>
      <c r="K2289">
        <v>99.265000000000001</v>
      </c>
      <c r="L2289">
        <v>5.5780000000000003</v>
      </c>
      <c r="M2289">
        <v>4.391</v>
      </c>
      <c r="N2289">
        <v>4.391</v>
      </c>
      <c r="O2289" t="s">
        <v>101</v>
      </c>
      <c r="P2289" t="s">
        <v>858</v>
      </c>
      <c r="Q2289" t="s">
        <v>503</v>
      </c>
      <c r="R2289" t="s">
        <v>2610</v>
      </c>
    </row>
    <row r="2290" spans="1:18" x14ac:dyDescent="0.5">
      <c r="A2290" t="str">
        <f>"63743FUB0"</f>
        <v>63743FUB0</v>
      </c>
      <c r="B2290" t="s">
        <v>101</v>
      </c>
      <c r="C2290" t="s">
        <v>2849</v>
      </c>
      <c r="D2290" t="s">
        <v>2433</v>
      </c>
      <c r="E2290">
        <v>3.5</v>
      </c>
      <c r="F2290" s="2">
        <v>46037</v>
      </c>
      <c r="G2290" s="2" t="s">
        <v>105</v>
      </c>
      <c r="H2290" t="s">
        <v>610</v>
      </c>
      <c r="I2290" t="s">
        <v>713</v>
      </c>
      <c r="J2290">
        <v>98.462999999999994</v>
      </c>
      <c r="K2290">
        <v>99.290999999999997</v>
      </c>
      <c r="L2290">
        <v>5.3719999999999999</v>
      </c>
      <c r="M2290">
        <v>4.359</v>
      </c>
      <c r="N2290">
        <v>4.359</v>
      </c>
      <c r="O2290" t="s">
        <v>101</v>
      </c>
      <c r="P2290" t="s">
        <v>1236</v>
      </c>
      <c r="Q2290" t="s">
        <v>488</v>
      </c>
      <c r="R2290" t="s">
        <v>2610</v>
      </c>
    </row>
    <row r="2291" spans="1:18" x14ac:dyDescent="0.5">
      <c r="A2291" t="str">
        <f>"723787AT4"</f>
        <v>723787AT4</v>
      </c>
      <c r="B2291" t="s">
        <v>101</v>
      </c>
      <c r="C2291" t="s">
        <v>2850</v>
      </c>
      <c r="D2291" t="s">
        <v>2433</v>
      </c>
      <c r="E2291">
        <v>1.125</v>
      </c>
      <c r="F2291" s="2">
        <v>46037</v>
      </c>
      <c r="G2291" s="2">
        <v>46006</v>
      </c>
      <c r="H2291" t="s">
        <v>2760</v>
      </c>
      <c r="I2291" t="s">
        <v>616</v>
      </c>
      <c r="J2291">
        <v>97.165999999999997</v>
      </c>
      <c r="K2291">
        <v>97.26</v>
      </c>
      <c r="L2291">
        <v>4.5940000000000003</v>
      </c>
      <c r="M2291">
        <v>4.4770000000000003</v>
      </c>
      <c r="N2291">
        <v>4.4770000000000003</v>
      </c>
      <c r="O2291" t="s">
        <v>101</v>
      </c>
      <c r="P2291" t="s">
        <v>2595</v>
      </c>
      <c r="Q2291" t="s">
        <v>2851</v>
      </c>
      <c r="R2291" t="s">
        <v>2436</v>
      </c>
    </row>
    <row r="2292" spans="1:18" x14ac:dyDescent="0.5">
      <c r="A2292" t="str">
        <f>"828807CW5"</f>
        <v>828807CW5</v>
      </c>
      <c r="B2292" t="s">
        <v>101</v>
      </c>
      <c r="C2292" t="s">
        <v>2852</v>
      </c>
      <c r="D2292" t="s">
        <v>2433</v>
      </c>
      <c r="E2292">
        <v>3.3</v>
      </c>
      <c r="F2292" s="2">
        <v>46037</v>
      </c>
      <c r="G2292" s="2">
        <v>45945</v>
      </c>
      <c r="H2292" t="s">
        <v>627</v>
      </c>
      <c r="I2292" t="s">
        <v>713</v>
      </c>
      <c r="J2292">
        <v>98.896000000000001</v>
      </c>
      <c r="K2292">
        <v>98.942999999999998</v>
      </c>
      <c r="L2292">
        <v>4.6479999999999997</v>
      </c>
      <c r="M2292">
        <v>4.59</v>
      </c>
      <c r="N2292">
        <v>4.59</v>
      </c>
      <c r="O2292" t="s">
        <v>101</v>
      </c>
      <c r="P2292" t="s">
        <v>2472</v>
      </c>
      <c r="Q2292" t="s">
        <v>2853</v>
      </c>
      <c r="R2292" t="s">
        <v>2436</v>
      </c>
    </row>
    <row r="2293" spans="1:18" x14ac:dyDescent="0.5">
      <c r="A2293" t="str">
        <f>"91324PDW9"</f>
        <v>91324PDW9</v>
      </c>
      <c r="B2293" t="s">
        <v>101</v>
      </c>
      <c r="C2293" t="s">
        <v>2854</v>
      </c>
      <c r="D2293" t="s">
        <v>2433</v>
      </c>
      <c r="E2293">
        <v>1.25</v>
      </c>
      <c r="F2293" s="2">
        <v>46037</v>
      </c>
      <c r="G2293" s="2">
        <v>46006</v>
      </c>
      <c r="H2293" t="s">
        <v>610</v>
      </c>
      <c r="I2293" t="s">
        <v>658</v>
      </c>
      <c r="J2293">
        <v>97.334000000000003</v>
      </c>
      <c r="K2293">
        <v>97.581999999999994</v>
      </c>
      <c r="L2293">
        <v>4.5119999999999996</v>
      </c>
      <c r="M2293">
        <v>4.202</v>
      </c>
      <c r="N2293">
        <v>4.202</v>
      </c>
      <c r="O2293" t="s">
        <v>101</v>
      </c>
      <c r="P2293" t="s">
        <v>2855</v>
      </c>
      <c r="Q2293" t="s">
        <v>2774</v>
      </c>
      <c r="R2293" t="s">
        <v>2436</v>
      </c>
    </row>
    <row r="2294" spans="1:18" x14ac:dyDescent="0.5">
      <c r="A2294" t="str">
        <f>"94988J6H5"</f>
        <v>94988J6H5</v>
      </c>
      <c r="B2294" t="s">
        <v>101</v>
      </c>
      <c r="C2294" t="s">
        <v>2856</v>
      </c>
      <c r="D2294" t="s">
        <v>2433</v>
      </c>
      <c r="E2294">
        <v>4.8109999999999999</v>
      </c>
      <c r="F2294" s="2">
        <v>46037</v>
      </c>
      <c r="G2294" s="2">
        <v>46006</v>
      </c>
      <c r="H2294" t="s">
        <v>613</v>
      </c>
      <c r="I2294" t="s">
        <v>658</v>
      </c>
      <c r="J2294">
        <v>100.21</v>
      </c>
      <c r="K2294">
        <v>100.419</v>
      </c>
      <c r="L2294">
        <v>4.5229999999999997</v>
      </c>
      <c r="M2294">
        <v>4.2409999999999997</v>
      </c>
      <c r="N2294">
        <v>4.2919999999999998</v>
      </c>
      <c r="O2294" t="s">
        <v>101</v>
      </c>
      <c r="P2294" t="s">
        <v>2857</v>
      </c>
      <c r="Q2294" t="s">
        <v>2742</v>
      </c>
      <c r="R2294" t="s">
        <v>2436</v>
      </c>
    </row>
    <row r="2295" spans="1:18" x14ac:dyDescent="0.5">
      <c r="A2295" t="str">
        <f>"78016EZM2"</f>
        <v>78016EZM2</v>
      </c>
      <c r="B2295" t="s">
        <v>101</v>
      </c>
      <c r="C2295" t="s">
        <v>2858</v>
      </c>
      <c r="D2295" t="s">
        <v>2433</v>
      </c>
      <c r="E2295">
        <v>0.875</v>
      </c>
      <c r="F2295" s="2">
        <v>46042</v>
      </c>
      <c r="G2295" s="2" t="s">
        <v>105</v>
      </c>
      <c r="H2295" t="s">
        <v>641</v>
      </c>
      <c r="I2295" t="s">
        <v>611</v>
      </c>
      <c r="J2295">
        <v>96.908000000000001</v>
      </c>
      <c r="K2295">
        <v>97.149000000000001</v>
      </c>
      <c r="L2295">
        <v>4.601</v>
      </c>
      <c r="M2295">
        <v>4.3040000000000003</v>
      </c>
      <c r="N2295">
        <v>4.3040000000000003</v>
      </c>
      <c r="O2295" t="s">
        <v>101</v>
      </c>
      <c r="P2295" t="s">
        <v>2683</v>
      </c>
      <c r="Q2295" t="s">
        <v>2774</v>
      </c>
      <c r="R2295" t="s">
        <v>2465</v>
      </c>
    </row>
    <row r="2296" spans="1:18" x14ac:dyDescent="0.5">
      <c r="A2296" t="str">
        <f>"168863CA4"</f>
        <v>168863CA4</v>
      </c>
      <c r="B2296" t="s">
        <v>101</v>
      </c>
      <c r="C2296" t="s">
        <v>2859</v>
      </c>
      <c r="D2296" t="s">
        <v>2433</v>
      </c>
      <c r="E2296">
        <v>3.125</v>
      </c>
      <c r="F2296" s="2">
        <v>46043</v>
      </c>
      <c r="G2296" s="2" t="s">
        <v>101</v>
      </c>
      <c r="H2296" t="s">
        <v>610</v>
      </c>
      <c r="I2296" t="s">
        <v>611</v>
      </c>
      <c r="J2296" t="s">
        <v>101</v>
      </c>
      <c r="K2296">
        <v>98.995999999999995</v>
      </c>
      <c r="L2296" t="s">
        <v>101</v>
      </c>
      <c r="M2296">
        <v>4.3250000000000002</v>
      </c>
      <c r="N2296">
        <v>4.3250000000000002</v>
      </c>
      <c r="O2296" t="s">
        <v>101</v>
      </c>
      <c r="P2296" t="s">
        <v>448</v>
      </c>
      <c r="Q2296" t="s">
        <v>2688</v>
      </c>
      <c r="R2296" t="s">
        <v>2436</v>
      </c>
    </row>
    <row r="2297" spans="1:18" x14ac:dyDescent="0.5">
      <c r="A2297" t="str">
        <f>"471048AR9"</f>
        <v>471048AR9</v>
      </c>
      <c r="B2297" t="s">
        <v>101</v>
      </c>
      <c r="C2297" t="s">
        <v>2860</v>
      </c>
      <c r="D2297" t="s">
        <v>2433</v>
      </c>
      <c r="E2297">
        <v>2.75</v>
      </c>
      <c r="F2297" s="2">
        <v>46043</v>
      </c>
      <c r="G2297" s="2" t="s">
        <v>101</v>
      </c>
      <c r="H2297" t="s">
        <v>641</v>
      </c>
      <c r="I2297" t="s">
        <v>658</v>
      </c>
      <c r="J2297" t="s">
        <v>101</v>
      </c>
      <c r="K2297">
        <v>98.861000000000004</v>
      </c>
      <c r="L2297" t="s">
        <v>101</v>
      </c>
      <c r="M2297">
        <v>4.1109999999999998</v>
      </c>
      <c r="N2297">
        <v>4.1109999999999998</v>
      </c>
      <c r="O2297" t="s">
        <v>101</v>
      </c>
      <c r="P2297" t="s">
        <v>448</v>
      </c>
      <c r="Q2297" t="s">
        <v>2836</v>
      </c>
      <c r="R2297" t="s">
        <v>2726</v>
      </c>
    </row>
    <row r="2298" spans="1:18" x14ac:dyDescent="0.5">
      <c r="A2298" t="str">
        <f>"29446MAJ1"</f>
        <v>29446MAJ1</v>
      </c>
      <c r="B2298" t="s">
        <v>101</v>
      </c>
      <c r="C2298" t="s">
        <v>2861</v>
      </c>
      <c r="D2298" t="s">
        <v>2433</v>
      </c>
      <c r="E2298">
        <v>1.75</v>
      </c>
      <c r="F2298" s="2">
        <v>46044</v>
      </c>
      <c r="G2298" s="2">
        <v>46013</v>
      </c>
      <c r="H2298" t="s">
        <v>613</v>
      </c>
      <c r="I2298" t="s">
        <v>616</v>
      </c>
      <c r="J2298">
        <v>97.745000000000005</v>
      </c>
      <c r="K2298">
        <v>97.850999999999999</v>
      </c>
      <c r="L2298">
        <v>4.4459999999999997</v>
      </c>
      <c r="M2298">
        <v>4.3170000000000002</v>
      </c>
      <c r="N2298">
        <v>4.3170000000000002</v>
      </c>
      <c r="O2298" t="s">
        <v>101</v>
      </c>
      <c r="P2298" t="s">
        <v>2595</v>
      </c>
      <c r="Q2298" t="s">
        <v>2862</v>
      </c>
      <c r="R2298" t="s">
        <v>2436</v>
      </c>
    </row>
    <row r="2299" spans="1:18" x14ac:dyDescent="0.5">
      <c r="A2299" t="str">
        <f>"471048CV8"</f>
        <v>471048CV8</v>
      </c>
      <c r="B2299" t="s">
        <v>101</v>
      </c>
      <c r="C2299" t="s">
        <v>2863</v>
      </c>
      <c r="D2299" t="s">
        <v>2433</v>
      </c>
      <c r="E2299">
        <v>4.25</v>
      </c>
      <c r="F2299" s="2">
        <v>46048</v>
      </c>
      <c r="G2299" s="2" t="s">
        <v>101</v>
      </c>
      <c r="H2299" t="s">
        <v>641</v>
      </c>
      <c r="I2299" t="s">
        <v>658</v>
      </c>
      <c r="J2299" t="s">
        <v>101</v>
      </c>
      <c r="K2299">
        <v>100.075</v>
      </c>
      <c r="L2299" t="s">
        <v>101</v>
      </c>
      <c r="M2299">
        <v>4.157</v>
      </c>
      <c r="N2299">
        <v>4.157</v>
      </c>
      <c r="O2299" t="s">
        <v>101</v>
      </c>
      <c r="P2299" t="s">
        <v>448</v>
      </c>
      <c r="Q2299" t="s">
        <v>2864</v>
      </c>
      <c r="R2299" t="s">
        <v>2726</v>
      </c>
    </row>
    <row r="2300" spans="1:18" x14ac:dyDescent="0.5">
      <c r="A2300" t="str">
        <f>"742718FY0"</f>
        <v>742718FY0</v>
      </c>
      <c r="B2300" t="s">
        <v>101</v>
      </c>
      <c r="C2300" t="s">
        <v>2865</v>
      </c>
      <c r="D2300" t="s">
        <v>2433</v>
      </c>
      <c r="E2300">
        <v>4.0999999999999996</v>
      </c>
      <c r="F2300" s="2">
        <v>46048</v>
      </c>
      <c r="G2300" s="2" t="s">
        <v>101</v>
      </c>
      <c r="H2300" t="s">
        <v>624</v>
      </c>
      <c r="I2300" t="s">
        <v>616</v>
      </c>
      <c r="J2300">
        <v>99.738</v>
      </c>
      <c r="K2300">
        <v>99.989000000000004</v>
      </c>
      <c r="L2300">
        <v>4.4039999999999999</v>
      </c>
      <c r="M2300">
        <v>4.1079999999999997</v>
      </c>
      <c r="N2300">
        <v>4.1079999999999997</v>
      </c>
      <c r="O2300" t="s">
        <v>101</v>
      </c>
      <c r="P2300" t="s">
        <v>2454</v>
      </c>
      <c r="Q2300" t="s">
        <v>2657</v>
      </c>
      <c r="R2300" t="s">
        <v>2436</v>
      </c>
    </row>
    <row r="2301" spans="1:18" x14ac:dyDescent="0.5">
      <c r="A2301" t="str">
        <f>"55279HAV2"</f>
        <v>55279HAV2</v>
      </c>
      <c r="B2301" t="s">
        <v>101</v>
      </c>
      <c r="C2301" t="s">
        <v>2866</v>
      </c>
      <c r="D2301" t="s">
        <v>2433</v>
      </c>
      <c r="E2301">
        <v>4.6500000000000004</v>
      </c>
      <c r="F2301" s="2">
        <v>46049</v>
      </c>
      <c r="G2301" s="2">
        <v>46019</v>
      </c>
      <c r="H2301" t="s">
        <v>627</v>
      </c>
      <c r="I2301" t="s">
        <v>713</v>
      </c>
      <c r="J2301">
        <v>99.903000000000006</v>
      </c>
      <c r="K2301">
        <v>100.09099999999999</v>
      </c>
      <c r="L2301">
        <v>4.758</v>
      </c>
      <c r="M2301">
        <v>4.53</v>
      </c>
      <c r="N2301">
        <v>4.5369999999999999</v>
      </c>
      <c r="O2301" t="s">
        <v>101</v>
      </c>
      <c r="P2301" t="s">
        <v>2566</v>
      </c>
      <c r="Q2301" t="s">
        <v>2867</v>
      </c>
      <c r="R2301" t="s">
        <v>2436</v>
      </c>
    </row>
    <row r="2302" spans="1:18" x14ac:dyDescent="0.5">
      <c r="A2302" t="str">
        <f>"61746BDZ6"</f>
        <v>61746BDZ6</v>
      </c>
      <c r="B2302" t="s">
        <v>101</v>
      </c>
      <c r="C2302" t="s">
        <v>2868</v>
      </c>
      <c r="D2302" t="s">
        <v>2433</v>
      </c>
      <c r="E2302">
        <v>3.875</v>
      </c>
      <c r="F2302" s="2">
        <v>46049</v>
      </c>
      <c r="G2302" s="2" t="s">
        <v>101</v>
      </c>
      <c r="H2302" t="s">
        <v>641</v>
      </c>
      <c r="I2302" t="s">
        <v>713</v>
      </c>
      <c r="J2302">
        <v>99.397000000000006</v>
      </c>
      <c r="K2302">
        <v>99.545000000000002</v>
      </c>
      <c r="L2302">
        <v>4.5810000000000004</v>
      </c>
      <c r="M2302">
        <v>4.4059999999999997</v>
      </c>
      <c r="N2302">
        <v>4.4059999999999997</v>
      </c>
      <c r="O2302" t="s">
        <v>101</v>
      </c>
      <c r="P2302" t="s">
        <v>2795</v>
      </c>
      <c r="Q2302" t="s">
        <v>2795</v>
      </c>
      <c r="R2302" t="s">
        <v>2436</v>
      </c>
    </row>
    <row r="2303" spans="1:18" x14ac:dyDescent="0.5">
      <c r="A2303" t="str">
        <f>"06406RAQ0"</f>
        <v>06406RAQ0</v>
      </c>
      <c r="B2303" t="s">
        <v>101</v>
      </c>
      <c r="C2303" t="s">
        <v>2869</v>
      </c>
      <c r="D2303" t="s">
        <v>2433</v>
      </c>
      <c r="E2303">
        <v>0.75</v>
      </c>
      <c r="F2303" s="2">
        <v>46050</v>
      </c>
      <c r="G2303" s="2">
        <v>46020</v>
      </c>
      <c r="H2303" t="s">
        <v>624</v>
      </c>
      <c r="I2303" t="s">
        <v>611</v>
      </c>
      <c r="J2303">
        <v>96.799000000000007</v>
      </c>
      <c r="K2303">
        <v>96.977999999999994</v>
      </c>
      <c r="L2303">
        <v>4.5090000000000003</v>
      </c>
      <c r="M2303">
        <v>4.2939999999999996</v>
      </c>
      <c r="N2303">
        <v>4.2939999999999996</v>
      </c>
      <c r="O2303" t="s">
        <v>101</v>
      </c>
      <c r="P2303" t="s">
        <v>2795</v>
      </c>
      <c r="Q2303" t="s">
        <v>2870</v>
      </c>
      <c r="R2303" t="s">
        <v>2436</v>
      </c>
    </row>
    <row r="2304" spans="1:18" x14ac:dyDescent="0.5">
      <c r="A2304" t="str">
        <f>"74005PBQ6"</f>
        <v>74005PBQ6</v>
      </c>
      <c r="B2304" t="s">
        <v>101</v>
      </c>
      <c r="C2304" t="s">
        <v>2871</v>
      </c>
      <c r="D2304" t="s">
        <v>2433</v>
      </c>
      <c r="E2304">
        <v>3.2</v>
      </c>
      <c r="F2304" s="2">
        <v>46052</v>
      </c>
      <c r="G2304" s="2">
        <v>45960</v>
      </c>
      <c r="H2304" t="s">
        <v>610</v>
      </c>
      <c r="I2304" t="s">
        <v>611</v>
      </c>
      <c r="J2304">
        <v>98.938000000000002</v>
      </c>
      <c r="K2304">
        <v>99.137</v>
      </c>
      <c r="L2304">
        <v>4.4359999999999999</v>
      </c>
      <c r="M2304">
        <v>4.202</v>
      </c>
      <c r="N2304">
        <v>4.202</v>
      </c>
      <c r="O2304" t="s">
        <v>101</v>
      </c>
      <c r="P2304" t="s">
        <v>2683</v>
      </c>
      <c r="Q2304" t="s">
        <v>2786</v>
      </c>
      <c r="R2304" t="s">
        <v>2436</v>
      </c>
    </row>
    <row r="2305" spans="1:18" x14ac:dyDescent="0.5">
      <c r="A2305" t="str">
        <f>"03522AAG5"</f>
        <v>03522AAG5</v>
      </c>
      <c r="B2305" t="s">
        <v>101</v>
      </c>
      <c r="C2305" t="s">
        <v>2872</v>
      </c>
      <c r="D2305" t="s">
        <v>2433</v>
      </c>
      <c r="E2305">
        <v>3.65</v>
      </c>
      <c r="F2305" s="2">
        <v>46054</v>
      </c>
      <c r="G2305" s="2">
        <v>45962</v>
      </c>
      <c r="H2305" t="s">
        <v>627</v>
      </c>
      <c r="I2305" t="s">
        <v>713</v>
      </c>
      <c r="J2305">
        <v>99.302999999999997</v>
      </c>
      <c r="K2305">
        <v>99.45</v>
      </c>
      <c r="L2305">
        <v>4.4569999999999999</v>
      </c>
      <c r="M2305">
        <v>4.2850000000000001</v>
      </c>
      <c r="N2305">
        <v>4.2850000000000001</v>
      </c>
      <c r="O2305" t="s">
        <v>101</v>
      </c>
      <c r="P2305" t="s">
        <v>2507</v>
      </c>
      <c r="Q2305" t="s">
        <v>2873</v>
      </c>
      <c r="R2305" t="s">
        <v>2436</v>
      </c>
    </row>
    <row r="2306" spans="1:18" x14ac:dyDescent="0.5">
      <c r="A2306" t="str">
        <f>"842400GV9"</f>
        <v>842400GV9</v>
      </c>
      <c r="B2306" t="s">
        <v>101</v>
      </c>
      <c r="C2306" t="s">
        <v>2874</v>
      </c>
      <c r="D2306" t="s">
        <v>2433</v>
      </c>
      <c r="E2306">
        <v>1.2</v>
      </c>
      <c r="F2306" s="2">
        <v>46054</v>
      </c>
      <c r="G2306" s="2">
        <v>46023</v>
      </c>
      <c r="H2306" t="s">
        <v>610</v>
      </c>
      <c r="I2306" t="s">
        <v>713</v>
      </c>
      <c r="J2306">
        <v>96.756</v>
      </c>
      <c r="K2306">
        <v>96.893000000000001</v>
      </c>
      <c r="L2306">
        <v>4.9859999999999998</v>
      </c>
      <c r="M2306">
        <v>4.8220000000000001</v>
      </c>
      <c r="N2306">
        <v>4.8220000000000001</v>
      </c>
      <c r="O2306" t="s">
        <v>101</v>
      </c>
      <c r="P2306" t="s">
        <v>1236</v>
      </c>
      <c r="Q2306" t="s">
        <v>2875</v>
      </c>
      <c r="R2306" t="s">
        <v>2436</v>
      </c>
    </row>
    <row r="2307" spans="1:18" x14ac:dyDescent="0.5">
      <c r="A2307" t="str">
        <f>"06417XAN1"</f>
        <v>06417XAN1</v>
      </c>
      <c r="B2307" t="s">
        <v>101</v>
      </c>
      <c r="C2307" t="s">
        <v>2876</v>
      </c>
      <c r="D2307" t="s">
        <v>2433</v>
      </c>
      <c r="E2307">
        <v>4.75</v>
      </c>
      <c r="F2307" s="2">
        <v>46055</v>
      </c>
      <c r="G2307" s="2" t="s">
        <v>101</v>
      </c>
      <c r="H2307" t="s">
        <v>610</v>
      </c>
      <c r="I2307" t="s">
        <v>713</v>
      </c>
      <c r="J2307">
        <v>100.16200000000001</v>
      </c>
      <c r="K2307">
        <v>100.31399999999999</v>
      </c>
      <c r="L2307">
        <v>4.5570000000000004</v>
      </c>
      <c r="M2307">
        <v>4.3810000000000002</v>
      </c>
      <c r="N2307">
        <v>4.3810000000000002</v>
      </c>
      <c r="O2307" t="s">
        <v>101</v>
      </c>
      <c r="P2307" t="s">
        <v>2434</v>
      </c>
      <c r="Q2307" t="s">
        <v>2877</v>
      </c>
      <c r="R2307" t="s">
        <v>2436</v>
      </c>
    </row>
    <row r="2308" spans="1:18" x14ac:dyDescent="0.5">
      <c r="A2308" t="str">
        <f>"742718EP0"</f>
        <v>742718EP0</v>
      </c>
      <c r="B2308" t="s">
        <v>101</v>
      </c>
      <c r="C2308" t="s">
        <v>2878</v>
      </c>
      <c r="D2308" t="s">
        <v>2433</v>
      </c>
      <c r="E2308">
        <v>2.7</v>
      </c>
      <c r="F2308" s="2">
        <v>46055</v>
      </c>
      <c r="G2308" s="2" t="s">
        <v>101</v>
      </c>
      <c r="H2308" t="s">
        <v>624</v>
      </c>
      <c r="I2308" t="s">
        <v>616</v>
      </c>
      <c r="J2308">
        <v>98.63</v>
      </c>
      <c r="K2308">
        <v>98.786000000000001</v>
      </c>
      <c r="L2308">
        <v>4.2839999999999998</v>
      </c>
      <c r="M2308">
        <v>4.1020000000000003</v>
      </c>
      <c r="N2308">
        <v>4.1020000000000003</v>
      </c>
      <c r="O2308" t="s">
        <v>101</v>
      </c>
      <c r="P2308" t="s">
        <v>2438</v>
      </c>
      <c r="Q2308" t="s">
        <v>2684</v>
      </c>
      <c r="R2308" t="s">
        <v>2436</v>
      </c>
    </row>
    <row r="2309" spans="1:18" x14ac:dyDescent="0.5">
      <c r="A2309" t="str">
        <f>"449276AA2"</f>
        <v>449276AA2</v>
      </c>
      <c r="B2309" t="s">
        <v>101</v>
      </c>
      <c r="C2309" t="s">
        <v>2879</v>
      </c>
      <c r="D2309" t="s">
        <v>2433</v>
      </c>
      <c r="E2309">
        <v>4.7</v>
      </c>
      <c r="F2309" s="2">
        <v>46058</v>
      </c>
      <c r="G2309" s="2" t="s">
        <v>101</v>
      </c>
      <c r="H2309" t="s">
        <v>627</v>
      </c>
      <c r="I2309" t="s">
        <v>713</v>
      </c>
      <c r="J2309">
        <v>100.06</v>
      </c>
      <c r="K2309">
        <v>100.279</v>
      </c>
      <c r="L2309">
        <v>4.6260000000000003</v>
      </c>
      <c r="M2309">
        <v>4.375</v>
      </c>
      <c r="N2309">
        <v>4.375</v>
      </c>
      <c r="O2309" t="s">
        <v>101</v>
      </c>
      <c r="P2309" t="s">
        <v>2880</v>
      </c>
      <c r="Q2309" t="s">
        <v>2881</v>
      </c>
      <c r="R2309" t="s">
        <v>2436</v>
      </c>
    </row>
    <row r="2310" spans="1:18" x14ac:dyDescent="0.5">
      <c r="A2310" t="str">
        <f>"459200KW0"</f>
        <v>459200KW0</v>
      </c>
      <c r="B2310" t="s">
        <v>101</v>
      </c>
      <c r="C2310" t="s">
        <v>2882</v>
      </c>
      <c r="D2310" t="s">
        <v>2433</v>
      </c>
      <c r="E2310">
        <v>4.5</v>
      </c>
      <c r="F2310" s="2">
        <v>46059</v>
      </c>
      <c r="G2310" s="2">
        <v>46028</v>
      </c>
      <c r="H2310" t="s">
        <v>627</v>
      </c>
      <c r="I2310" t="s">
        <v>713</v>
      </c>
      <c r="J2310">
        <v>99.915000000000006</v>
      </c>
      <c r="K2310">
        <v>100.086</v>
      </c>
      <c r="L2310">
        <v>4.593</v>
      </c>
      <c r="M2310">
        <v>4.3970000000000002</v>
      </c>
      <c r="N2310">
        <v>4.3970000000000002</v>
      </c>
      <c r="O2310" t="s">
        <v>101</v>
      </c>
      <c r="P2310" t="s">
        <v>2634</v>
      </c>
      <c r="Q2310" t="s">
        <v>2635</v>
      </c>
      <c r="R2310" t="s">
        <v>2436</v>
      </c>
    </row>
    <row r="2311" spans="1:18" x14ac:dyDescent="0.5">
      <c r="A2311" t="str">
        <f>"037833EB2"</f>
        <v>037833EB2</v>
      </c>
      <c r="B2311" t="s">
        <v>101</v>
      </c>
      <c r="C2311" t="s">
        <v>2883</v>
      </c>
      <c r="D2311" t="s">
        <v>2433</v>
      </c>
      <c r="E2311">
        <v>0.7</v>
      </c>
      <c r="F2311" s="2">
        <v>46061</v>
      </c>
      <c r="G2311" s="2">
        <v>46030</v>
      </c>
      <c r="H2311" t="s">
        <v>104</v>
      </c>
      <c r="I2311" t="s">
        <v>509</v>
      </c>
      <c r="J2311">
        <v>96.828000000000003</v>
      </c>
      <c r="K2311">
        <v>96.954999999999998</v>
      </c>
      <c r="L2311">
        <v>4.3090000000000002</v>
      </c>
      <c r="M2311">
        <v>4.1609999999999996</v>
      </c>
      <c r="N2311">
        <v>4.1609999999999996</v>
      </c>
      <c r="O2311" t="s">
        <v>101</v>
      </c>
      <c r="P2311" t="s">
        <v>2618</v>
      </c>
      <c r="Q2311" t="s">
        <v>1702</v>
      </c>
      <c r="R2311" t="s">
        <v>2436</v>
      </c>
    </row>
    <row r="2312" spans="1:18" x14ac:dyDescent="0.5">
      <c r="A2312" t="str">
        <f>"302154DF3"</f>
        <v>302154DF3</v>
      </c>
      <c r="B2312" t="s">
        <v>101</v>
      </c>
      <c r="C2312" t="s">
        <v>2884</v>
      </c>
      <c r="D2312" t="s">
        <v>2433</v>
      </c>
      <c r="E2312">
        <v>0.625</v>
      </c>
      <c r="F2312" s="2">
        <v>46062</v>
      </c>
      <c r="G2312" s="2" t="s">
        <v>105</v>
      </c>
      <c r="H2312" t="s">
        <v>613</v>
      </c>
      <c r="I2312" t="s">
        <v>628</v>
      </c>
      <c r="J2312" t="s">
        <v>101</v>
      </c>
      <c r="K2312">
        <v>96.801000000000002</v>
      </c>
      <c r="L2312" t="s">
        <v>101</v>
      </c>
      <c r="M2312">
        <v>4.2519999999999998</v>
      </c>
      <c r="N2312">
        <v>4.2519999999999998</v>
      </c>
      <c r="O2312" t="s">
        <v>101</v>
      </c>
      <c r="P2312" t="s">
        <v>448</v>
      </c>
      <c r="Q2312" t="s">
        <v>542</v>
      </c>
      <c r="R2312" t="s">
        <v>2885</v>
      </c>
    </row>
    <row r="2313" spans="1:18" x14ac:dyDescent="0.5">
      <c r="A2313" t="str">
        <f>"10373QBE9"</f>
        <v>10373QBE9</v>
      </c>
      <c r="B2313" t="s">
        <v>101</v>
      </c>
      <c r="C2313" t="s">
        <v>2886</v>
      </c>
      <c r="D2313" t="s">
        <v>2433</v>
      </c>
      <c r="E2313">
        <v>3.41</v>
      </c>
      <c r="F2313" s="2">
        <v>46064</v>
      </c>
      <c r="G2313" s="2">
        <v>46002</v>
      </c>
      <c r="H2313" t="s">
        <v>641</v>
      </c>
      <c r="I2313" t="s">
        <v>713</v>
      </c>
      <c r="J2313">
        <v>99.075999999999993</v>
      </c>
      <c r="K2313">
        <v>99.167000000000002</v>
      </c>
      <c r="L2313">
        <v>4.45</v>
      </c>
      <c r="M2313">
        <v>4.3470000000000004</v>
      </c>
      <c r="N2313">
        <v>4.3470000000000004</v>
      </c>
      <c r="O2313" t="s">
        <v>101</v>
      </c>
      <c r="P2313" t="s">
        <v>1236</v>
      </c>
      <c r="Q2313" t="s">
        <v>2460</v>
      </c>
      <c r="R2313" t="s">
        <v>2436</v>
      </c>
    </row>
    <row r="2314" spans="1:18" x14ac:dyDescent="0.5">
      <c r="A2314" t="str">
        <f>"025816DC0"</f>
        <v>025816DC0</v>
      </c>
      <c r="B2314" t="s">
        <v>101</v>
      </c>
      <c r="C2314" t="s">
        <v>2887</v>
      </c>
      <c r="D2314" t="s">
        <v>2433</v>
      </c>
      <c r="E2314">
        <v>4.9000000000000004</v>
      </c>
      <c r="F2314" s="2">
        <v>46066</v>
      </c>
      <c r="G2314" s="2">
        <v>46035</v>
      </c>
      <c r="H2314" t="s">
        <v>610</v>
      </c>
      <c r="I2314" t="s">
        <v>713</v>
      </c>
      <c r="J2314">
        <v>100.319</v>
      </c>
      <c r="K2314">
        <v>100.52</v>
      </c>
      <c r="L2314">
        <v>4.5069999999999997</v>
      </c>
      <c r="M2314">
        <v>4.26</v>
      </c>
      <c r="N2314">
        <v>4.3129999999999997</v>
      </c>
      <c r="O2314" t="s">
        <v>101</v>
      </c>
      <c r="P2314" t="s">
        <v>2731</v>
      </c>
      <c r="Q2314" t="s">
        <v>2657</v>
      </c>
      <c r="R2314" t="s">
        <v>2436</v>
      </c>
    </row>
    <row r="2315" spans="1:18" x14ac:dyDescent="0.5">
      <c r="A2315" t="str">
        <f>"25468PDK9"</f>
        <v>25468PDK9</v>
      </c>
      <c r="B2315" t="s">
        <v>101</v>
      </c>
      <c r="C2315" t="s">
        <v>2888</v>
      </c>
      <c r="D2315" t="s">
        <v>2433</v>
      </c>
      <c r="E2315">
        <v>3</v>
      </c>
      <c r="F2315" s="2">
        <v>46066</v>
      </c>
      <c r="G2315" s="2" t="s">
        <v>101</v>
      </c>
      <c r="H2315" t="s">
        <v>610</v>
      </c>
      <c r="I2315" t="s">
        <v>611</v>
      </c>
      <c r="J2315">
        <v>98.641999999999996</v>
      </c>
      <c r="K2315">
        <v>98.796999999999997</v>
      </c>
      <c r="L2315">
        <v>4.5220000000000002</v>
      </c>
      <c r="M2315">
        <v>4.3460000000000001</v>
      </c>
      <c r="N2315">
        <v>4.3460000000000001</v>
      </c>
      <c r="O2315" t="s">
        <v>101</v>
      </c>
      <c r="P2315" t="s">
        <v>2731</v>
      </c>
      <c r="Q2315" t="s">
        <v>2889</v>
      </c>
      <c r="R2315" t="s">
        <v>2436</v>
      </c>
    </row>
    <row r="2316" spans="1:18" x14ac:dyDescent="0.5">
      <c r="A2316" t="str">
        <f>"713448FQ6"</f>
        <v>713448FQ6</v>
      </c>
      <c r="B2316" t="s">
        <v>101</v>
      </c>
      <c r="C2316" t="s">
        <v>2890</v>
      </c>
      <c r="D2316" t="s">
        <v>2433</v>
      </c>
      <c r="E2316">
        <v>4.55</v>
      </c>
      <c r="F2316" s="2">
        <v>46066</v>
      </c>
      <c r="G2316" s="2">
        <v>46035</v>
      </c>
      <c r="H2316" t="s">
        <v>641</v>
      </c>
      <c r="I2316" t="s">
        <v>658</v>
      </c>
      <c r="J2316">
        <v>100.072</v>
      </c>
      <c r="K2316">
        <v>100.294</v>
      </c>
      <c r="L2316">
        <v>4.4610000000000003</v>
      </c>
      <c r="M2316">
        <v>4.1879999999999997</v>
      </c>
      <c r="N2316">
        <v>4.2169999999999996</v>
      </c>
      <c r="O2316" t="s">
        <v>101</v>
      </c>
      <c r="P2316" t="s">
        <v>2746</v>
      </c>
      <c r="Q2316" t="s">
        <v>2891</v>
      </c>
      <c r="R2316" t="s">
        <v>2436</v>
      </c>
    </row>
    <row r="2317" spans="1:18" x14ac:dyDescent="0.5">
      <c r="A2317" t="str">
        <f>"718172CY3"</f>
        <v>718172CY3</v>
      </c>
      <c r="B2317" t="s">
        <v>101</v>
      </c>
      <c r="C2317" t="s">
        <v>2892</v>
      </c>
      <c r="D2317" t="s">
        <v>2433</v>
      </c>
      <c r="E2317">
        <v>4.875</v>
      </c>
      <c r="F2317" s="2">
        <v>46066</v>
      </c>
      <c r="G2317" s="2" t="s">
        <v>101</v>
      </c>
      <c r="H2317" t="s">
        <v>610</v>
      </c>
      <c r="I2317" t="s">
        <v>713</v>
      </c>
      <c r="J2317">
        <v>100.238</v>
      </c>
      <c r="K2317">
        <v>100.45099999999999</v>
      </c>
      <c r="L2317">
        <v>4.6029999999999998</v>
      </c>
      <c r="M2317">
        <v>4.3650000000000002</v>
      </c>
      <c r="N2317">
        <v>4.3650000000000002</v>
      </c>
      <c r="O2317" t="s">
        <v>101</v>
      </c>
      <c r="P2317" t="s">
        <v>1702</v>
      </c>
      <c r="Q2317" t="s">
        <v>2798</v>
      </c>
      <c r="R2317" t="s">
        <v>2436</v>
      </c>
    </row>
    <row r="2318" spans="1:18" x14ac:dyDescent="0.5">
      <c r="A2318" t="str">
        <f>"808513AM7"</f>
        <v>808513AM7</v>
      </c>
      <c r="B2318" t="s">
        <v>101</v>
      </c>
      <c r="C2318" t="s">
        <v>2893</v>
      </c>
      <c r="D2318" t="s">
        <v>2433</v>
      </c>
      <c r="E2318">
        <v>3.45</v>
      </c>
      <c r="F2318" s="2">
        <v>46066</v>
      </c>
      <c r="G2318" s="2">
        <v>45974</v>
      </c>
      <c r="H2318" t="s">
        <v>610</v>
      </c>
      <c r="I2318" t="s">
        <v>713</v>
      </c>
      <c r="J2318">
        <v>98.927999999999997</v>
      </c>
      <c r="K2318">
        <v>99.131</v>
      </c>
      <c r="L2318">
        <v>4.6520000000000001</v>
      </c>
      <c r="M2318">
        <v>4.4219999999999997</v>
      </c>
      <c r="N2318">
        <v>4.4219999999999997</v>
      </c>
      <c r="O2318" t="s">
        <v>101</v>
      </c>
      <c r="P2318" t="s">
        <v>2497</v>
      </c>
      <c r="Q2318" t="s">
        <v>2894</v>
      </c>
      <c r="R2318" t="s">
        <v>2436</v>
      </c>
    </row>
    <row r="2319" spans="1:18" x14ac:dyDescent="0.5">
      <c r="A2319" t="str">
        <f>"902133AZ0"</f>
        <v>902133AZ0</v>
      </c>
      <c r="B2319" t="s">
        <v>101</v>
      </c>
      <c r="C2319" t="s">
        <v>2895</v>
      </c>
      <c r="D2319" t="s">
        <v>2433</v>
      </c>
      <c r="E2319">
        <v>4.5</v>
      </c>
      <c r="F2319" s="2">
        <v>46066</v>
      </c>
      <c r="G2319" s="2" t="s">
        <v>101</v>
      </c>
      <c r="H2319" t="s">
        <v>627</v>
      </c>
      <c r="I2319" t="s">
        <v>713</v>
      </c>
      <c r="J2319">
        <v>99.942999999999998</v>
      </c>
      <c r="K2319">
        <v>100.08499999999999</v>
      </c>
      <c r="L2319">
        <v>4.5599999999999996</v>
      </c>
      <c r="M2319">
        <v>4.4009999999999998</v>
      </c>
      <c r="N2319">
        <v>4.4009999999999998</v>
      </c>
      <c r="O2319" t="s">
        <v>101</v>
      </c>
      <c r="P2319" t="s">
        <v>2896</v>
      </c>
      <c r="Q2319" t="s">
        <v>2897</v>
      </c>
      <c r="R2319" t="s">
        <v>2436</v>
      </c>
    </row>
    <row r="2320" spans="1:18" x14ac:dyDescent="0.5">
      <c r="A2320" t="str">
        <f>"122014AJ2"</f>
        <v>122014AJ2</v>
      </c>
      <c r="B2320" t="s">
        <v>101</v>
      </c>
      <c r="C2320" t="s">
        <v>2898</v>
      </c>
      <c r="D2320" t="s">
        <v>2433</v>
      </c>
      <c r="E2320">
        <v>6.875</v>
      </c>
      <c r="F2320" s="2">
        <v>46068</v>
      </c>
      <c r="G2320" s="2" t="s">
        <v>101</v>
      </c>
      <c r="H2320" t="s">
        <v>610</v>
      </c>
      <c r="I2320" t="s">
        <v>713</v>
      </c>
      <c r="J2320">
        <v>101.73399999999999</v>
      </c>
      <c r="K2320">
        <v>102.41200000000001</v>
      </c>
      <c r="L2320">
        <v>4.9279999999999999</v>
      </c>
      <c r="M2320">
        <v>4.1840000000000002</v>
      </c>
      <c r="N2320">
        <v>4.1840000000000002</v>
      </c>
      <c r="O2320" t="s">
        <v>101</v>
      </c>
      <c r="P2320" t="s">
        <v>2595</v>
      </c>
      <c r="Q2320" t="s">
        <v>2899</v>
      </c>
      <c r="R2320" t="s">
        <v>2436</v>
      </c>
    </row>
    <row r="2321" spans="1:18" x14ac:dyDescent="0.5">
      <c r="A2321" t="str">
        <f>"29379VBH5"</f>
        <v>29379VBH5</v>
      </c>
      <c r="B2321" t="s">
        <v>101</v>
      </c>
      <c r="C2321" t="s">
        <v>2900</v>
      </c>
      <c r="D2321" t="s">
        <v>2433</v>
      </c>
      <c r="E2321">
        <v>3.7</v>
      </c>
      <c r="F2321" s="2">
        <v>46068</v>
      </c>
      <c r="G2321" s="2">
        <v>45976</v>
      </c>
      <c r="H2321" t="s">
        <v>627</v>
      </c>
      <c r="I2321" t="s">
        <v>713</v>
      </c>
      <c r="J2321">
        <v>99.173000000000002</v>
      </c>
      <c r="K2321">
        <v>99.328000000000003</v>
      </c>
      <c r="L2321">
        <v>4.6210000000000004</v>
      </c>
      <c r="M2321">
        <v>4.4470000000000001</v>
      </c>
      <c r="N2321">
        <v>4.4470000000000001</v>
      </c>
      <c r="O2321" t="s">
        <v>101</v>
      </c>
      <c r="P2321" t="s">
        <v>2790</v>
      </c>
      <c r="Q2321" t="s">
        <v>2549</v>
      </c>
      <c r="R2321" t="s">
        <v>2436</v>
      </c>
    </row>
    <row r="2322" spans="1:18" x14ac:dyDescent="0.5">
      <c r="A2322" t="str">
        <f>"494368BU6"</f>
        <v>494368BU6</v>
      </c>
      <c r="B2322" t="s">
        <v>101</v>
      </c>
      <c r="C2322" t="s">
        <v>2901</v>
      </c>
      <c r="D2322" t="s">
        <v>2433</v>
      </c>
      <c r="E2322">
        <v>2.75</v>
      </c>
      <c r="F2322" s="2">
        <v>46068</v>
      </c>
      <c r="G2322" s="2" t="s">
        <v>101</v>
      </c>
      <c r="H2322" t="s">
        <v>610</v>
      </c>
      <c r="I2322" t="s">
        <v>611</v>
      </c>
      <c r="J2322">
        <v>98.480999999999995</v>
      </c>
      <c r="K2322">
        <v>98.650999999999996</v>
      </c>
      <c r="L2322">
        <v>4.4420000000000002</v>
      </c>
      <c r="M2322">
        <v>4.2510000000000003</v>
      </c>
      <c r="N2322">
        <v>4.2510000000000003</v>
      </c>
      <c r="O2322" t="s">
        <v>101</v>
      </c>
      <c r="P2322" t="s">
        <v>1999</v>
      </c>
      <c r="Q2322" t="s">
        <v>2489</v>
      </c>
      <c r="R2322" t="s">
        <v>2436</v>
      </c>
    </row>
    <row r="2323" spans="1:18" x14ac:dyDescent="0.5">
      <c r="A2323" t="str">
        <f>"74460WAA5"</f>
        <v>74460WAA5</v>
      </c>
      <c r="B2323" t="s">
        <v>101</v>
      </c>
      <c r="C2323" t="s">
        <v>2902</v>
      </c>
      <c r="D2323" t="s">
        <v>2433</v>
      </c>
      <c r="E2323">
        <v>0.875</v>
      </c>
      <c r="F2323" s="2">
        <v>46068</v>
      </c>
      <c r="G2323" s="2">
        <v>46037</v>
      </c>
      <c r="H2323" t="s">
        <v>610</v>
      </c>
      <c r="I2323" t="s">
        <v>611</v>
      </c>
      <c r="J2323">
        <v>96.632999999999996</v>
      </c>
      <c r="K2323">
        <v>96.856999999999999</v>
      </c>
      <c r="L2323">
        <v>4.6349999999999998</v>
      </c>
      <c r="M2323">
        <v>4.3780000000000001</v>
      </c>
      <c r="N2323">
        <v>4.3780000000000001</v>
      </c>
      <c r="O2323" t="s">
        <v>101</v>
      </c>
      <c r="P2323" t="s">
        <v>2438</v>
      </c>
      <c r="Q2323" t="s">
        <v>2657</v>
      </c>
      <c r="R2323" t="s">
        <v>2436</v>
      </c>
    </row>
    <row r="2324" spans="1:18" x14ac:dyDescent="0.5">
      <c r="A2324" t="str">
        <f>"872287AF4"</f>
        <v>872287AF4</v>
      </c>
      <c r="B2324" t="s">
        <v>101</v>
      </c>
      <c r="C2324" t="s">
        <v>2903</v>
      </c>
      <c r="D2324" t="s">
        <v>2433</v>
      </c>
      <c r="E2324">
        <v>7.875</v>
      </c>
      <c r="F2324" s="2">
        <v>46068</v>
      </c>
      <c r="G2324" s="2" t="s">
        <v>101</v>
      </c>
      <c r="H2324" t="s">
        <v>627</v>
      </c>
      <c r="I2324" t="s">
        <v>713</v>
      </c>
      <c r="J2324">
        <v>102.96</v>
      </c>
      <c r="K2324">
        <v>103.075</v>
      </c>
      <c r="L2324">
        <v>4.5640000000000001</v>
      </c>
      <c r="M2324">
        <v>4.4390000000000001</v>
      </c>
      <c r="N2324">
        <v>4.4390000000000001</v>
      </c>
      <c r="O2324" t="s">
        <v>101</v>
      </c>
      <c r="P2324" t="s">
        <v>2618</v>
      </c>
      <c r="Q2324" t="s">
        <v>2904</v>
      </c>
      <c r="R2324" t="s">
        <v>2436</v>
      </c>
    </row>
    <row r="2325" spans="1:18" x14ac:dyDescent="0.5">
      <c r="A2325" t="str">
        <f>"902133AT4"</f>
        <v>902133AT4</v>
      </c>
      <c r="B2325" t="s">
        <v>101</v>
      </c>
      <c r="C2325" t="s">
        <v>2905</v>
      </c>
      <c r="D2325" t="s">
        <v>2433</v>
      </c>
      <c r="E2325">
        <v>3.7</v>
      </c>
      <c r="F2325" s="2">
        <v>46068</v>
      </c>
      <c r="G2325" s="2">
        <v>45976</v>
      </c>
      <c r="H2325" t="s">
        <v>627</v>
      </c>
      <c r="I2325" t="s">
        <v>713</v>
      </c>
      <c r="J2325">
        <v>99.132000000000005</v>
      </c>
      <c r="K2325">
        <v>99.316000000000003</v>
      </c>
      <c r="L2325">
        <v>4.6669999999999998</v>
      </c>
      <c r="M2325">
        <v>4.46</v>
      </c>
      <c r="N2325">
        <v>4.46</v>
      </c>
      <c r="O2325" t="s">
        <v>101</v>
      </c>
      <c r="P2325" t="s">
        <v>2447</v>
      </c>
      <c r="Q2325" t="s">
        <v>1236</v>
      </c>
      <c r="R2325" t="s">
        <v>2436</v>
      </c>
    </row>
    <row r="2326" spans="1:18" x14ac:dyDescent="0.5">
      <c r="A2326" t="str">
        <f>"459200JG7"</f>
        <v>459200JG7</v>
      </c>
      <c r="B2326" t="s">
        <v>101</v>
      </c>
      <c r="C2326" t="s">
        <v>2906</v>
      </c>
      <c r="D2326" t="s">
        <v>2433</v>
      </c>
      <c r="E2326">
        <v>3.45</v>
      </c>
      <c r="F2326" s="2">
        <v>46072</v>
      </c>
      <c r="G2326" s="2" t="s">
        <v>101</v>
      </c>
      <c r="H2326" t="s">
        <v>627</v>
      </c>
      <c r="I2326" t="s">
        <v>713</v>
      </c>
      <c r="J2326">
        <v>98.876999999999995</v>
      </c>
      <c r="K2326">
        <v>99.046000000000006</v>
      </c>
      <c r="L2326">
        <v>4.6879999999999997</v>
      </c>
      <c r="M2326">
        <v>4.5</v>
      </c>
      <c r="N2326">
        <v>4.5</v>
      </c>
      <c r="O2326" t="s">
        <v>101</v>
      </c>
      <c r="P2326" t="s">
        <v>2907</v>
      </c>
      <c r="Q2326" t="s">
        <v>2635</v>
      </c>
      <c r="R2326" t="s">
        <v>2436</v>
      </c>
    </row>
    <row r="2327" spans="1:18" x14ac:dyDescent="0.5">
      <c r="A2327" t="str">
        <f>"110122ED6"</f>
        <v>110122ED6</v>
      </c>
      <c r="B2327" t="s">
        <v>101</v>
      </c>
      <c r="C2327" t="s">
        <v>2908</v>
      </c>
      <c r="D2327" t="s">
        <v>2433</v>
      </c>
      <c r="E2327">
        <v>4.95</v>
      </c>
      <c r="F2327" s="2">
        <v>46073</v>
      </c>
      <c r="G2327" s="2" t="s">
        <v>101</v>
      </c>
      <c r="H2327" t="s">
        <v>610</v>
      </c>
      <c r="I2327" t="s">
        <v>611</v>
      </c>
      <c r="J2327">
        <v>100.592</v>
      </c>
      <c r="K2327">
        <v>100.61</v>
      </c>
      <c r="L2327">
        <v>4.2969999999999997</v>
      </c>
      <c r="M2327">
        <v>4.2770000000000001</v>
      </c>
      <c r="N2327">
        <v>4.2770000000000001</v>
      </c>
      <c r="O2327" t="s">
        <v>101</v>
      </c>
      <c r="P2327" t="s">
        <v>2618</v>
      </c>
      <c r="Q2327" t="s">
        <v>2454</v>
      </c>
      <c r="R2327" t="s">
        <v>2436</v>
      </c>
    </row>
    <row r="2328" spans="1:18" x14ac:dyDescent="0.5">
      <c r="A2328" t="str">
        <f>"907818GE2"</f>
        <v>907818GE2</v>
      </c>
      <c r="B2328" t="s">
        <v>101</v>
      </c>
      <c r="C2328" t="s">
        <v>2909</v>
      </c>
      <c r="D2328" t="s">
        <v>2433</v>
      </c>
      <c r="E2328">
        <v>4.75</v>
      </c>
      <c r="F2328" s="2">
        <v>46074</v>
      </c>
      <c r="G2328" s="2">
        <v>46043</v>
      </c>
      <c r="H2328" t="s">
        <v>627</v>
      </c>
      <c r="I2328" t="s">
        <v>713</v>
      </c>
      <c r="J2328">
        <v>100.172</v>
      </c>
      <c r="K2328">
        <v>100.34699999999999</v>
      </c>
      <c r="L2328">
        <v>4.5439999999999996</v>
      </c>
      <c r="M2328">
        <v>4.335</v>
      </c>
      <c r="N2328">
        <v>4.367</v>
      </c>
      <c r="O2328" t="s">
        <v>101</v>
      </c>
      <c r="P2328" t="s">
        <v>2507</v>
      </c>
      <c r="Q2328" t="s">
        <v>1236</v>
      </c>
      <c r="R2328" t="s">
        <v>2436</v>
      </c>
    </row>
    <row r="2329" spans="1:18" x14ac:dyDescent="0.5">
      <c r="A2329" t="str">
        <f>"037833BY5"</f>
        <v>037833BY5</v>
      </c>
      <c r="B2329" t="s">
        <v>101</v>
      </c>
      <c r="C2329" t="s">
        <v>2910</v>
      </c>
      <c r="D2329" t="s">
        <v>2433</v>
      </c>
      <c r="E2329">
        <v>3.25</v>
      </c>
      <c r="F2329" s="2">
        <v>46076</v>
      </c>
      <c r="G2329" s="2">
        <v>45984</v>
      </c>
      <c r="H2329" t="s">
        <v>104</v>
      </c>
      <c r="I2329" t="s">
        <v>509</v>
      </c>
      <c r="J2329">
        <v>98.963999999999999</v>
      </c>
      <c r="K2329">
        <v>99.161000000000001</v>
      </c>
      <c r="L2329">
        <v>4.3769999999999998</v>
      </c>
      <c r="M2329">
        <v>4.1609999999999996</v>
      </c>
      <c r="N2329">
        <v>4.1609999999999996</v>
      </c>
      <c r="O2329" t="s">
        <v>101</v>
      </c>
      <c r="P2329" t="s">
        <v>2911</v>
      </c>
      <c r="Q2329" t="s">
        <v>488</v>
      </c>
      <c r="R2329" t="s">
        <v>2436</v>
      </c>
    </row>
    <row r="2330" spans="1:18" x14ac:dyDescent="0.5">
      <c r="A2330" t="str">
        <f>"58933YAY1"</f>
        <v>58933YAY1</v>
      </c>
      <c r="B2330" t="s">
        <v>101</v>
      </c>
      <c r="C2330" t="s">
        <v>2912</v>
      </c>
      <c r="D2330" t="s">
        <v>2433</v>
      </c>
      <c r="E2330">
        <v>0.75</v>
      </c>
      <c r="F2330" s="2">
        <v>46077</v>
      </c>
      <c r="G2330" s="2">
        <v>46046</v>
      </c>
      <c r="H2330" t="s">
        <v>641</v>
      </c>
      <c r="I2330" t="s">
        <v>658</v>
      </c>
      <c r="J2330">
        <v>96.646000000000001</v>
      </c>
      <c r="K2330">
        <v>96.917000000000002</v>
      </c>
      <c r="L2330">
        <v>4.3929999999999998</v>
      </c>
      <c r="M2330">
        <v>4.0910000000000002</v>
      </c>
      <c r="N2330">
        <v>4.0910000000000002</v>
      </c>
      <c r="O2330" t="s">
        <v>101</v>
      </c>
      <c r="P2330" t="s">
        <v>2731</v>
      </c>
      <c r="Q2330" t="s">
        <v>2894</v>
      </c>
      <c r="R2330" t="s">
        <v>2436</v>
      </c>
    </row>
    <row r="2331" spans="1:18" x14ac:dyDescent="0.5">
      <c r="A2331" t="str">
        <f>"713448DF2"</f>
        <v>713448DF2</v>
      </c>
      <c r="B2331" t="s">
        <v>101</v>
      </c>
      <c r="C2331" t="s">
        <v>2913</v>
      </c>
      <c r="D2331" t="s">
        <v>2433</v>
      </c>
      <c r="E2331">
        <v>2.85</v>
      </c>
      <c r="F2331" s="2">
        <v>46077</v>
      </c>
      <c r="G2331" s="2">
        <v>45985</v>
      </c>
      <c r="H2331" t="s">
        <v>641</v>
      </c>
      <c r="I2331" t="s">
        <v>658</v>
      </c>
      <c r="J2331">
        <v>98.576999999999998</v>
      </c>
      <c r="K2331">
        <v>98.753</v>
      </c>
      <c r="L2331">
        <v>4.3940000000000001</v>
      </c>
      <c r="M2331">
        <v>4.2009999999999996</v>
      </c>
      <c r="N2331">
        <v>4.2009999999999996</v>
      </c>
      <c r="O2331" t="s">
        <v>101</v>
      </c>
      <c r="P2331" t="s">
        <v>2683</v>
      </c>
      <c r="Q2331" t="s">
        <v>1064</v>
      </c>
      <c r="R2331" t="s">
        <v>2436</v>
      </c>
    </row>
    <row r="2332" spans="1:18" x14ac:dyDescent="0.5">
      <c r="A2332" t="str">
        <f>"30219GAM0"</f>
        <v>30219GAM0</v>
      </c>
      <c r="B2332" t="s">
        <v>101</v>
      </c>
      <c r="C2332" t="s">
        <v>2914</v>
      </c>
      <c r="D2332" t="s">
        <v>2433</v>
      </c>
      <c r="E2332">
        <v>4.5</v>
      </c>
      <c r="F2332" s="2">
        <v>46078</v>
      </c>
      <c r="G2332" s="2">
        <v>45988</v>
      </c>
      <c r="H2332" t="s">
        <v>2760</v>
      </c>
      <c r="I2332" t="s">
        <v>713</v>
      </c>
      <c r="J2332">
        <v>99.587000000000003</v>
      </c>
      <c r="K2332">
        <v>100.002</v>
      </c>
      <c r="L2332">
        <v>4.9470000000000001</v>
      </c>
      <c r="M2332">
        <v>4.4960000000000004</v>
      </c>
      <c r="N2332">
        <v>4.4960000000000004</v>
      </c>
      <c r="O2332" t="s">
        <v>101</v>
      </c>
      <c r="P2332" t="s">
        <v>2597</v>
      </c>
      <c r="Q2332" t="s">
        <v>2915</v>
      </c>
      <c r="R2332" t="s">
        <v>2436</v>
      </c>
    </row>
    <row r="2333" spans="1:18" x14ac:dyDescent="0.5">
      <c r="A2333" t="str">
        <f>"718172BT5"</f>
        <v>718172BT5</v>
      </c>
      <c r="B2333" t="s">
        <v>101</v>
      </c>
      <c r="C2333" t="s">
        <v>2916</v>
      </c>
      <c r="D2333" t="s">
        <v>2433</v>
      </c>
      <c r="E2333">
        <v>2.75</v>
      </c>
      <c r="F2333" s="2">
        <v>46078</v>
      </c>
      <c r="G2333" s="2">
        <v>45986</v>
      </c>
      <c r="H2333" t="s">
        <v>610</v>
      </c>
      <c r="I2333" t="s">
        <v>713</v>
      </c>
      <c r="J2333">
        <v>98.334000000000003</v>
      </c>
      <c r="K2333">
        <v>98.52</v>
      </c>
      <c r="L2333">
        <v>4.5549999999999997</v>
      </c>
      <c r="M2333">
        <v>4.351</v>
      </c>
      <c r="N2333">
        <v>4.351</v>
      </c>
      <c r="O2333" t="s">
        <v>101</v>
      </c>
      <c r="P2333" t="s">
        <v>1702</v>
      </c>
      <c r="Q2333" t="s">
        <v>1391</v>
      </c>
      <c r="R2333" t="s">
        <v>2436</v>
      </c>
    </row>
    <row r="2334" spans="1:18" x14ac:dyDescent="0.5">
      <c r="A2334" t="str">
        <f>"125523BZ2"</f>
        <v>125523BZ2</v>
      </c>
      <c r="B2334" t="s">
        <v>101</v>
      </c>
      <c r="C2334" t="s">
        <v>2917</v>
      </c>
      <c r="D2334" t="s">
        <v>2433</v>
      </c>
      <c r="E2334">
        <v>4.5</v>
      </c>
      <c r="F2334" s="2">
        <v>46078</v>
      </c>
      <c r="G2334" s="2">
        <v>45988</v>
      </c>
      <c r="H2334" t="s">
        <v>670</v>
      </c>
      <c r="I2334" t="s">
        <v>713</v>
      </c>
      <c r="J2334">
        <v>99.905000000000001</v>
      </c>
      <c r="K2334">
        <v>100.01300000000001</v>
      </c>
      <c r="L2334">
        <v>4.601</v>
      </c>
      <c r="M2334">
        <v>4.484</v>
      </c>
      <c r="N2334">
        <v>4.484</v>
      </c>
      <c r="O2334" t="s">
        <v>101</v>
      </c>
      <c r="P2334" t="s">
        <v>1702</v>
      </c>
      <c r="Q2334" t="s">
        <v>2552</v>
      </c>
      <c r="R2334" t="s">
        <v>2436</v>
      </c>
    </row>
    <row r="2335" spans="1:18" x14ac:dyDescent="0.5">
      <c r="A2335" t="str">
        <f>"17275RBP6"</f>
        <v>17275RBP6</v>
      </c>
      <c r="B2335" t="s">
        <v>101</v>
      </c>
      <c r="C2335" t="s">
        <v>2918</v>
      </c>
      <c r="D2335" t="s">
        <v>2433</v>
      </c>
      <c r="E2335">
        <v>4.9000000000000004</v>
      </c>
      <c r="F2335" s="2">
        <v>46079</v>
      </c>
      <c r="G2335" s="2" t="s">
        <v>101</v>
      </c>
      <c r="H2335" t="s">
        <v>641</v>
      </c>
      <c r="I2335" t="s">
        <v>616</v>
      </c>
      <c r="J2335">
        <v>100.419</v>
      </c>
      <c r="K2335">
        <v>100.605</v>
      </c>
      <c r="L2335">
        <v>4.4450000000000003</v>
      </c>
      <c r="M2335">
        <v>4.2450000000000001</v>
      </c>
      <c r="N2335">
        <v>4.2450000000000001</v>
      </c>
      <c r="O2335" t="s">
        <v>101</v>
      </c>
      <c r="P2335" t="s">
        <v>2731</v>
      </c>
      <c r="Q2335" t="s">
        <v>1391</v>
      </c>
      <c r="R2335" t="s">
        <v>2436</v>
      </c>
    </row>
    <row r="2336" spans="1:18" x14ac:dyDescent="0.5">
      <c r="A2336" t="str">
        <f>"055451AY4"</f>
        <v>055451AY4</v>
      </c>
      <c r="B2336" t="s">
        <v>101</v>
      </c>
      <c r="C2336" t="s">
        <v>2919</v>
      </c>
      <c r="D2336" t="s">
        <v>2433</v>
      </c>
      <c r="E2336">
        <v>4.875</v>
      </c>
      <c r="F2336" s="2">
        <v>46080</v>
      </c>
      <c r="G2336" s="2" t="s">
        <v>101</v>
      </c>
      <c r="H2336" t="s">
        <v>641</v>
      </c>
      <c r="I2336" t="s">
        <v>713</v>
      </c>
      <c r="J2336">
        <v>100.371</v>
      </c>
      <c r="K2336">
        <v>100.432</v>
      </c>
      <c r="L2336">
        <v>4.4729999999999999</v>
      </c>
      <c r="M2336">
        <v>4.407</v>
      </c>
      <c r="N2336">
        <v>4.4080000000000004</v>
      </c>
      <c r="O2336" t="s">
        <v>101</v>
      </c>
      <c r="P2336" t="s">
        <v>2920</v>
      </c>
      <c r="Q2336" t="s">
        <v>2489</v>
      </c>
      <c r="R2336" t="s">
        <v>2436</v>
      </c>
    </row>
    <row r="2337" spans="1:18" x14ac:dyDescent="0.5">
      <c r="A2337" t="str">
        <f>"14913UAF7"</f>
        <v>14913UAF7</v>
      </c>
      <c r="B2337" t="s">
        <v>101</v>
      </c>
      <c r="C2337" t="s">
        <v>2921</v>
      </c>
      <c r="D2337" t="s">
        <v>2433</v>
      </c>
      <c r="E2337">
        <v>5.05</v>
      </c>
      <c r="F2337" s="2">
        <v>46080</v>
      </c>
      <c r="G2337" s="2" t="s">
        <v>101</v>
      </c>
      <c r="H2337" t="s">
        <v>610</v>
      </c>
      <c r="I2337" t="s">
        <v>611</v>
      </c>
      <c r="J2337">
        <v>100.63200000000001</v>
      </c>
      <c r="K2337">
        <v>100.84399999999999</v>
      </c>
      <c r="L2337">
        <v>4.367</v>
      </c>
      <c r="M2337">
        <v>4.141</v>
      </c>
      <c r="N2337">
        <v>4.141</v>
      </c>
      <c r="O2337" t="s">
        <v>101</v>
      </c>
      <c r="P2337" t="s">
        <v>2922</v>
      </c>
      <c r="Q2337" t="s">
        <v>2511</v>
      </c>
      <c r="R2337" t="s">
        <v>2436</v>
      </c>
    </row>
    <row r="2338" spans="1:18" x14ac:dyDescent="0.5">
      <c r="A2338" t="str">
        <f>"17275RBC5"</f>
        <v>17275RBC5</v>
      </c>
      <c r="B2338" t="s">
        <v>101</v>
      </c>
      <c r="C2338" t="s">
        <v>2923</v>
      </c>
      <c r="D2338" t="s">
        <v>2433</v>
      </c>
      <c r="E2338">
        <v>2.95</v>
      </c>
      <c r="F2338" s="2">
        <v>46081</v>
      </c>
      <c r="G2338" s="2" t="s">
        <v>101</v>
      </c>
      <c r="H2338" t="s">
        <v>641</v>
      </c>
      <c r="I2338" t="s">
        <v>616</v>
      </c>
      <c r="J2338">
        <v>98.626000000000005</v>
      </c>
      <c r="K2338">
        <v>98.82</v>
      </c>
      <c r="L2338">
        <v>4.4249999999999998</v>
      </c>
      <c r="M2338">
        <v>4.2140000000000004</v>
      </c>
      <c r="N2338">
        <v>4.2140000000000004</v>
      </c>
      <c r="O2338" t="s">
        <v>101</v>
      </c>
      <c r="P2338" t="s">
        <v>2774</v>
      </c>
      <c r="Q2338" t="s">
        <v>1797</v>
      </c>
      <c r="R2338" t="s">
        <v>2436</v>
      </c>
    </row>
    <row r="2339" spans="1:18" x14ac:dyDescent="0.5">
      <c r="A2339" t="str">
        <f>"101137AW7"</f>
        <v>101137AW7</v>
      </c>
      <c r="B2339" t="s">
        <v>101</v>
      </c>
      <c r="C2339" t="s">
        <v>2924</v>
      </c>
      <c r="D2339" t="s">
        <v>2433</v>
      </c>
      <c r="E2339">
        <v>3.75</v>
      </c>
      <c r="F2339" s="2">
        <v>46082</v>
      </c>
      <c r="G2339" s="2">
        <v>46023</v>
      </c>
      <c r="H2339" t="s">
        <v>670</v>
      </c>
      <c r="I2339" t="s">
        <v>713</v>
      </c>
      <c r="J2339">
        <v>99.238</v>
      </c>
      <c r="K2339">
        <v>99.385000000000005</v>
      </c>
      <c r="L2339">
        <v>4.5609999999999999</v>
      </c>
      <c r="M2339">
        <v>4.4039999999999999</v>
      </c>
      <c r="N2339">
        <v>4.4039999999999999</v>
      </c>
      <c r="O2339" t="s">
        <v>101</v>
      </c>
      <c r="P2339" t="s">
        <v>2289</v>
      </c>
      <c r="Q2339" t="s">
        <v>2925</v>
      </c>
      <c r="R2339" t="s">
        <v>2436</v>
      </c>
    </row>
    <row r="2340" spans="1:18" x14ac:dyDescent="0.5">
      <c r="A2340" t="str">
        <f>"136375CJ9"</f>
        <v>136375CJ9</v>
      </c>
      <c r="B2340" t="s">
        <v>101</v>
      </c>
      <c r="C2340" t="s">
        <v>2926</v>
      </c>
      <c r="D2340" t="s">
        <v>2433</v>
      </c>
      <c r="E2340">
        <v>2.75</v>
      </c>
      <c r="F2340" s="2">
        <v>46082</v>
      </c>
      <c r="G2340" s="2">
        <v>45992</v>
      </c>
      <c r="H2340" t="s">
        <v>610</v>
      </c>
      <c r="I2340" t="s">
        <v>713</v>
      </c>
      <c r="J2340">
        <v>98.33</v>
      </c>
      <c r="K2340">
        <v>98.558999999999997</v>
      </c>
      <c r="L2340">
        <v>4.5289999999999999</v>
      </c>
      <c r="M2340">
        <v>4.282</v>
      </c>
      <c r="N2340">
        <v>4.282</v>
      </c>
      <c r="O2340" t="s">
        <v>101</v>
      </c>
      <c r="P2340" t="s">
        <v>2911</v>
      </c>
      <c r="Q2340" t="s">
        <v>2747</v>
      </c>
      <c r="R2340" t="s">
        <v>2436</v>
      </c>
    </row>
    <row r="2341" spans="1:18" x14ac:dyDescent="0.5">
      <c r="A2341" t="str">
        <f>"126117AT7"</f>
        <v>126117AT7</v>
      </c>
      <c r="B2341" t="s">
        <v>101</v>
      </c>
      <c r="C2341" t="s">
        <v>2927</v>
      </c>
      <c r="D2341" t="s">
        <v>2433</v>
      </c>
      <c r="E2341">
        <v>4.5</v>
      </c>
      <c r="F2341" s="2">
        <v>46082</v>
      </c>
      <c r="G2341" s="2">
        <v>45992</v>
      </c>
      <c r="H2341" t="s">
        <v>677</v>
      </c>
      <c r="I2341" t="s">
        <v>713</v>
      </c>
      <c r="J2341">
        <v>99.718999999999994</v>
      </c>
      <c r="K2341">
        <v>99.951999999999998</v>
      </c>
      <c r="L2341">
        <v>4.798</v>
      </c>
      <c r="M2341">
        <v>4.55</v>
      </c>
      <c r="N2341">
        <v>4.55</v>
      </c>
      <c r="O2341" t="s">
        <v>101</v>
      </c>
      <c r="P2341" t="s">
        <v>2683</v>
      </c>
      <c r="Q2341" t="s">
        <v>2628</v>
      </c>
      <c r="R2341" t="s">
        <v>2436</v>
      </c>
    </row>
    <row r="2342" spans="1:18" x14ac:dyDescent="0.5">
      <c r="A2342" t="str">
        <f>"20030NBS9"</f>
        <v>20030NBS9</v>
      </c>
      <c r="B2342" t="s">
        <v>101</v>
      </c>
      <c r="C2342" t="s">
        <v>2928</v>
      </c>
      <c r="D2342" t="s">
        <v>2433</v>
      </c>
      <c r="E2342">
        <v>3.15</v>
      </c>
      <c r="F2342" s="2">
        <v>46082</v>
      </c>
      <c r="G2342" s="2">
        <v>45992</v>
      </c>
      <c r="H2342" t="s">
        <v>627</v>
      </c>
      <c r="I2342" t="s">
        <v>713</v>
      </c>
      <c r="J2342">
        <v>98.677000000000007</v>
      </c>
      <c r="K2342">
        <v>98.900999999999996</v>
      </c>
      <c r="L2342">
        <v>4.5590000000000002</v>
      </c>
      <c r="M2342">
        <v>4.319</v>
      </c>
      <c r="N2342">
        <v>4.319</v>
      </c>
      <c r="O2342" t="s">
        <v>101</v>
      </c>
      <c r="P2342" t="s">
        <v>2774</v>
      </c>
      <c r="Q2342" t="s">
        <v>2454</v>
      </c>
      <c r="R2342" t="s">
        <v>2436</v>
      </c>
    </row>
    <row r="2343" spans="1:18" x14ac:dyDescent="0.5">
      <c r="A2343" t="str">
        <f>"30231GAT9"</f>
        <v>30231GAT9</v>
      </c>
      <c r="B2343" t="s">
        <v>101</v>
      </c>
      <c r="C2343" t="s">
        <v>2929</v>
      </c>
      <c r="D2343" t="s">
        <v>2433</v>
      </c>
      <c r="E2343">
        <v>3.0430000000000001</v>
      </c>
      <c r="F2343" s="2">
        <v>46082</v>
      </c>
      <c r="G2343" s="2">
        <v>45992</v>
      </c>
      <c r="H2343" t="s">
        <v>613</v>
      </c>
      <c r="I2343" t="s">
        <v>616</v>
      </c>
      <c r="J2343">
        <v>98.83</v>
      </c>
      <c r="K2343">
        <v>98.841999999999999</v>
      </c>
      <c r="L2343">
        <v>4.2869999999999999</v>
      </c>
      <c r="M2343">
        <v>4.274</v>
      </c>
      <c r="N2343">
        <v>4.274</v>
      </c>
      <c r="O2343" t="s">
        <v>101</v>
      </c>
      <c r="P2343" t="s">
        <v>2930</v>
      </c>
      <c r="Q2343" t="s">
        <v>2931</v>
      </c>
      <c r="R2343" t="s">
        <v>2436</v>
      </c>
    </row>
    <row r="2344" spans="1:18" x14ac:dyDescent="0.5">
      <c r="A2344" t="str">
        <f>"478160BY9"</f>
        <v>478160BY9</v>
      </c>
      <c r="B2344" t="s">
        <v>101</v>
      </c>
      <c r="C2344" t="s">
        <v>2932</v>
      </c>
      <c r="D2344" t="s">
        <v>2433</v>
      </c>
      <c r="E2344">
        <v>2.4500000000000002</v>
      </c>
      <c r="F2344" s="2">
        <v>46082</v>
      </c>
      <c r="G2344" s="2">
        <v>45992</v>
      </c>
      <c r="H2344" t="s">
        <v>104</v>
      </c>
      <c r="I2344" t="s">
        <v>104</v>
      </c>
      <c r="J2344">
        <v>98.296000000000006</v>
      </c>
      <c r="K2344">
        <v>98.478999999999999</v>
      </c>
      <c r="L2344">
        <v>4.2619999999999996</v>
      </c>
      <c r="M2344">
        <v>4.0650000000000004</v>
      </c>
      <c r="N2344">
        <v>4.0650000000000004</v>
      </c>
      <c r="O2344" t="s">
        <v>101</v>
      </c>
      <c r="P2344" t="s">
        <v>2438</v>
      </c>
      <c r="Q2344" t="s">
        <v>2454</v>
      </c>
      <c r="R2344" t="s">
        <v>2436</v>
      </c>
    </row>
    <row r="2345" spans="1:18" x14ac:dyDescent="0.5">
      <c r="A2345" t="str">
        <f>"606822AD6"</f>
        <v>606822AD6</v>
      </c>
      <c r="B2345" t="s">
        <v>101</v>
      </c>
      <c r="C2345" t="s">
        <v>2933</v>
      </c>
      <c r="D2345" t="s">
        <v>2433</v>
      </c>
      <c r="E2345">
        <v>3.85</v>
      </c>
      <c r="F2345" s="2">
        <v>46082</v>
      </c>
      <c r="G2345" s="2" t="s">
        <v>101</v>
      </c>
      <c r="H2345" t="s">
        <v>641</v>
      </c>
      <c r="I2345" t="s">
        <v>713</v>
      </c>
      <c r="J2345">
        <v>99.308999999999997</v>
      </c>
      <c r="K2345">
        <v>99.5</v>
      </c>
      <c r="L2345">
        <v>4.5860000000000003</v>
      </c>
      <c r="M2345">
        <v>4.3810000000000002</v>
      </c>
      <c r="N2345">
        <v>4.3810000000000002</v>
      </c>
      <c r="O2345" t="s">
        <v>101</v>
      </c>
      <c r="P2345" t="s">
        <v>2516</v>
      </c>
      <c r="Q2345" t="s">
        <v>2625</v>
      </c>
      <c r="R2345" t="s">
        <v>2436</v>
      </c>
    </row>
    <row r="2346" spans="1:18" x14ac:dyDescent="0.5">
      <c r="A2346" t="str">
        <f>"842400JB0"</f>
        <v>842400JB0</v>
      </c>
      <c r="B2346" t="s">
        <v>101</v>
      </c>
      <c r="C2346" t="s">
        <v>2934</v>
      </c>
      <c r="D2346" t="s">
        <v>2433</v>
      </c>
      <c r="E2346">
        <v>5.35</v>
      </c>
      <c r="F2346" s="2">
        <v>46082</v>
      </c>
      <c r="G2346" s="2" t="s">
        <v>101</v>
      </c>
      <c r="H2346" t="s">
        <v>610</v>
      </c>
      <c r="I2346" t="s">
        <v>713</v>
      </c>
      <c r="J2346">
        <v>100.43899999999999</v>
      </c>
      <c r="K2346">
        <v>100.667</v>
      </c>
      <c r="L2346">
        <v>4.8789999999999996</v>
      </c>
      <c r="M2346">
        <v>4.6369999999999996</v>
      </c>
      <c r="N2346">
        <v>4.6369999999999996</v>
      </c>
      <c r="O2346" t="s">
        <v>101</v>
      </c>
      <c r="P2346" t="s">
        <v>2827</v>
      </c>
      <c r="Q2346" t="s">
        <v>2642</v>
      </c>
      <c r="R2346" t="s">
        <v>2436</v>
      </c>
    </row>
    <row r="2347" spans="1:18" x14ac:dyDescent="0.5">
      <c r="A2347" t="str">
        <f>"854502AK7"</f>
        <v>854502AK7</v>
      </c>
      <c r="B2347" t="s">
        <v>101</v>
      </c>
      <c r="C2347" t="s">
        <v>2935</v>
      </c>
      <c r="D2347" t="s">
        <v>2433</v>
      </c>
      <c r="E2347">
        <v>3.4</v>
      </c>
      <c r="F2347" s="2">
        <v>46082</v>
      </c>
      <c r="G2347" s="2">
        <v>46023</v>
      </c>
      <c r="H2347" t="s">
        <v>685</v>
      </c>
      <c r="I2347" t="s">
        <v>713</v>
      </c>
      <c r="J2347">
        <v>98.832999999999998</v>
      </c>
      <c r="K2347">
        <v>99.052999999999997</v>
      </c>
      <c r="L2347">
        <v>4.6440000000000001</v>
      </c>
      <c r="M2347">
        <v>4.407</v>
      </c>
      <c r="N2347">
        <v>4.407</v>
      </c>
      <c r="O2347" t="s">
        <v>101</v>
      </c>
      <c r="P2347" t="s">
        <v>2936</v>
      </c>
      <c r="Q2347" t="s">
        <v>2937</v>
      </c>
      <c r="R2347" t="s">
        <v>2436</v>
      </c>
    </row>
    <row r="2348" spans="1:18" x14ac:dyDescent="0.5">
      <c r="A2348" t="str">
        <f>"907818EH7"</f>
        <v>907818EH7</v>
      </c>
      <c r="B2348" t="s">
        <v>101</v>
      </c>
      <c r="C2348" t="s">
        <v>2938</v>
      </c>
      <c r="D2348" t="s">
        <v>2433</v>
      </c>
      <c r="E2348">
        <v>2.75</v>
      </c>
      <c r="F2348" s="2">
        <v>46082</v>
      </c>
      <c r="G2348" s="2">
        <v>45992</v>
      </c>
      <c r="H2348" t="s">
        <v>627</v>
      </c>
      <c r="I2348" t="s">
        <v>713</v>
      </c>
      <c r="J2348">
        <v>98.322999999999993</v>
      </c>
      <c r="K2348">
        <v>98.480999999999995</v>
      </c>
      <c r="L2348">
        <v>4.5369999999999999</v>
      </c>
      <c r="M2348">
        <v>4.3659999999999997</v>
      </c>
      <c r="N2348">
        <v>4.3659999999999997</v>
      </c>
      <c r="O2348" t="s">
        <v>101</v>
      </c>
      <c r="P2348" t="s">
        <v>2855</v>
      </c>
      <c r="Q2348" t="s">
        <v>1236</v>
      </c>
      <c r="R2348" t="s">
        <v>2436</v>
      </c>
    </row>
    <row r="2349" spans="1:18" x14ac:dyDescent="0.5">
      <c r="A2349" t="str">
        <f>"0641593U8"</f>
        <v>0641593U8</v>
      </c>
      <c r="B2349" t="s">
        <v>101</v>
      </c>
      <c r="C2349" t="s">
        <v>2939</v>
      </c>
      <c r="D2349" t="s">
        <v>2433</v>
      </c>
      <c r="E2349">
        <v>1.05</v>
      </c>
      <c r="F2349" s="2">
        <v>46083</v>
      </c>
      <c r="G2349" s="2" t="s">
        <v>101</v>
      </c>
      <c r="H2349" t="s">
        <v>610</v>
      </c>
      <c r="I2349" t="s">
        <v>713</v>
      </c>
      <c r="J2349">
        <v>96.667000000000002</v>
      </c>
      <c r="K2349">
        <v>96.95</v>
      </c>
      <c r="L2349">
        <v>4.5940000000000003</v>
      </c>
      <c r="M2349">
        <v>4.2859999999999996</v>
      </c>
      <c r="N2349">
        <v>4.2859999999999996</v>
      </c>
      <c r="O2349" t="s">
        <v>101</v>
      </c>
      <c r="P2349" t="s">
        <v>2746</v>
      </c>
      <c r="Q2349" t="s">
        <v>2940</v>
      </c>
      <c r="R2349" t="s">
        <v>2436</v>
      </c>
    </row>
    <row r="2350" spans="1:18" x14ac:dyDescent="0.5">
      <c r="A2350" t="str">
        <f>"14913R2K2"</f>
        <v>14913R2K2</v>
      </c>
      <c r="B2350" t="s">
        <v>101</v>
      </c>
      <c r="C2350" t="s">
        <v>2941</v>
      </c>
      <c r="D2350" t="s">
        <v>2433</v>
      </c>
      <c r="E2350">
        <v>0.9</v>
      </c>
      <c r="F2350" s="2">
        <v>46083</v>
      </c>
      <c r="G2350" s="2" t="s">
        <v>101</v>
      </c>
      <c r="H2350" t="s">
        <v>610</v>
      </c>
      <c r="I2350" t="s">
        <v>611</v>
      </c>
      <c r="J2350">
        <v>96.697000000000003</v>
      </c>
      <c r="K2350">
        <v>96.844999999999999</v>
      </c>
      <c r="L2350">
        <v>4.4080000000000004</v>
      </c>
      <c r="M2350">
        <v>4.2469999999999999</v>
      </c>
      <c r="N2350">
        <v>4.2469999999999999</v>
      </c>
      <c r="O2350" t="s">
        <v>101</v>
      </c>
      <c r="P2350" t="s">
        <v>2942</v>
      </c>
      <c r="Q2350" t="s">
        <v>2631</v>
      </c>
      <c r="R2350" t="s">
        <v>2436</v>
      </c>
    </row>
    <row r="2351" spans="1:18" x14ac:dyDescent="0.5">
      <c r="A2351" t="str">
        <f>"194162AQ6"</f>
        <v>194162AQ6</v>
      </c>
      <c r="B2351" t="s">
        <v>101</v>
      </c>
      <c r="C2351" t="s">
        <v>2943</v>
      </c>
      <c r="D2351" t="s">
        <v>2433</v>
      </c>
      <c r="E2351">
        <v>4.8</v>
      </c>
      <c r="F2351" s="2">
        <v>46083</v>
      </c>
      <c r="G2351" s="2" t="s">
        <v>101</v>
      </c>
      <c r="H2351" t="s">
        <v>624</v>
      </c>
      <c r="I2351" t="s">
        <v>658</v>
      </c>
      <c r="J2351">
        <v>100.467</v>
      </c>
      <c r="K2351">
        <v>100.663</v>
      </c>
      <c r="L2351">
        <v>4.3029999999999999</v>
      </c>
      <c r="M2351">
        <v>4.0960000000000001</v>
      </c>
      <c r="N2351">
        <v>4.0960000000000001</v>
      </c>
      <c r="O2351" t="s">
        <v>101</v>
      </c>
      <c r="P2351" t="s">
        <v>2438</v>
      </c>
      <c r="Q2351" t="s">
        <v>2798</v>
      </c>
      <c r="R2351" t="s">
        <v>2436</v>
      </c>
    </row>
    <row r="2352" spans="1:18" x14ac:dyDescent="0.5">
      <c r="A2352" t="str">
        <f>"24422EWT2"</f>
        <v>24422EWT2</v>
      </c>
      <c r="B2352" t="s">
        <v>101</v>
      </c>
      <c r="C2352" t="s">
        <v>2944</v>
      </c>
      <c r="D2352" t="s">
        <v>2433</v>
      </c>
      <c r="E2352">
        <v>5.05</v>
      </c>
      <c r="F2352" s="2">
        <v>46084</v>
      </c>
      <c r="G2352" s="2" t="s">
        <v>105</v>
      </c>
      <c r="H2352" t="s">
        <v>641</v>
      </c>
      <c r="I2352" t="s">
        <v>611</v>
      </c>
      <c r="J2352">
        <v>100.616</v>
      </c>
      <c r="K2352">
        <v>100.813</v>
      </c>
      <c r="L2352">
        <v>4.3959999999999999</v>
      </c>
      <c r="M2352">
        <v>4.1890000000000001</v>
      </c>
      <c r="N2352">
        <v>4.1890000000000001</v>
      </c>
      <c r="O2352" t="s">
        <v>101</v>
      </c>
      <c r="P2352" t="s">
        <v>2774</v>
      </c>
      <c r="Q2352" t="s">
        <v>2945</v>
      </c>
      <c r="R2352" t="s">
        <v>2465</v>
      </c>
    </row>
    <row r="2353" spans="1:18" x14ac:dyDescent="0.5">
      <c r="A2353" t="str">
        <f>"56501RAC0"</f>
        <v>56501RAC0</v>
      </c>
      <c r="B2353" t="s">
        <v>101</v>
      </c>
      <c r="C2353" t="s">
        <v>2946</v>
      </c>
      <c r="D2353" t="s">
        <v>2433</v>
      </c>
      <c r="E2353">
        <v>4.1500000000000004</v>
      </c>
      <c r="F2353" s="2">
        <v>46085</v>
      </c>
      <c r="G2353" s="2" t="s">
        <v>101</v>
      </c>
      <c r="H2353" t="s">
        <v>105</v>
      </c>
      <c r="I2353" t="s">
        <v>611</v>
      </c>
      <c r="J2353">
        <v>99.594999999999999</v>
      </c>
      <c r="K2353">
        <v>99.805999999999997</v>
      </c>
      <c r="L2353">
        <v>4.577</v>
      </c>
      <c r="M2353">
        <v>4.3540000000000001</v>
      </c>
      <c r="N2353">
        <v>4.3540000000000001</v>
      </c>
      <c r="O2353" t="s">
        <v>101</v>
      </c>
      <c r="P2353" t="s">
        <v>2454</v>
      </c>
      <c r="Q2353" t="s">
        <v>2798</v>
      </c>
      <c r="R2353" t="s">
        <v>2436</v>
      </c>
    </row>
    <row r="2354" spans="1:18" x14ac:dyDescent="0.5">
      <c r="A2354" t="str">
        <f>"24422EXK0"</f>
        <v>24422EXK0</v>
      </c>
      <c r="B2354" t="s">
        <v>101</v>
      </c>
      <c r="C2354" t="s">
        <v>2947</v>
      </c>
      <c r="D2354" t="s">
        <v>2433</v>
      </c>
      <c r="E2354">
        <v>4.95</v>
      </c>
      <c r="F2354" s="2">
        <v>46087</v>
      </c>
      <c r="G2354" s="2" t="s">
        <v>105</v>
      </c>
      <c r="H2354" t="s">
        <v>641</v>
      </c>
      <c r="I2354" t="s">
        <v>611</v>
      </c>
      <c r="J2354">
        <v>100.51900000000001</v>
      </c>
      <c r="K2354">
        <v>100.726</v>
      </c>
      <c r="L2354">
        <v>4.4039999999999999</v>
      </c>
      <c r="M2354">
        <v>4.1879999999999997</v>
      </c>
      <c r="N2354">
        <v>4.1879999999999997</v>
      </c>
      <c r="O2354" t="s">
        <v>101</v>
      </c>
      <c r="P2354" t="s">
        <v>1391</v>
      </c>
      <c r="Q2354" t="s">
        <v>2948</v>
      </c>
      <c r="R2354" t="s">
        <v>2465</v>
      </c>
    </row>
    <row r="2355" spans="1:18" x14ac:dyDescent="0.5">
      <c r="A2355" t="str">
        <f>"404280AW9"</f>
        <v>404280AW9</v>
      </c>
      <c r="B2355" t="s">
        <v>101</v>
      </c>
      <c r="C2355" t="s">
        <v>2949</v>
      </c>
      <c r="D2355" t="s">
        <v>2433</v>
      </c>
      <c r="E2355">
        <v>4.3</v>
      </c>
      <c r="F2355" s="2">
        <v>46089</v>
      </c>
      <c r="G2355" s="2" t="s">
        <v>101</v>
      </c>
      <c r="H2355" t="s">
        <v>627</v>
      </c>
      <c r="I2355" t="s">
        <v>713</v>
      </c>
      <c r="J2355">
        <v>99.721000000000004</v>
      </c>
      <c r="K2355">
        <v>99.918999999999997</v>
      </c>
      <c r="L2355">
        <v>4.5910000000000002</v>
      </c>
      <c r="M2355">
        <v>4.3840000000000003</v>
      </c>
      <c r="N2355">
        <v>4.3840000000000003</v>
      </c>
      <c r="O2355" t="s">
        <v>101</v>
      </c>
      <c r="P2355" t="s">
        <v>2843</v>
      </c>
      <c r="Q2355" t="s">
        <v>2625</v>
      </c>
      <c r="R2355" t="s">
        <v>2436</v>
      </c>
    </row>
    <row r="2356" spans="1:18" x14ac:dyDescent="0.5">
      <c r="A2356" t="str">
        <f>"86562MAC4"</f>
        <v>86562MAC4</v>
      </c>
      <c r="B2356" t="s">
        <v>101</v>
      </c>
      <c r="C2356" t="s">
        <v>2950</v>
      </c>
      <c r="D2356" t="s">
        <v>2433</v>
      </c>
      <c r="E2356">
        <v>3.7839999999999998</v>
      </c>
      <c r="F2356" s="2">
        <v>46090</v>
      </c>
      <c r="G2356" s="2" t="s">
        <v>101</v>
      </c>
      <c r="H2356" t="s">
        <v>641</v>
      </c>
      <c r="I2356" t="s">
        <v>713</v>
      </c>
      <c r="J2356">
        <v>99.28</v>
      </c>
      <c r="K2356">
        <v>99.418999999999997</v>
      </c>
      <c r="L2356">
        <v>4.5339999999999998</v>
      </c>
      <c r="M2356">
        <v>4.3890000000000002</v>
      </c>
      <c r="N2356">
        <v>4.3890000000000002</v>
      </c>
      <c r="O2356" t="s">
        <v>101</v>
      </c>
      <c r="P2356" t="s">
        <v>2434</v>
      </c>
      <c r="Q2356" t="s">
        <v>2454</v>
      </c>
      <c r="R2356" t="s">
        <v>2436</v>
      </c>
    </row>
    <row r="2357" spans="1:18" x14ac:dyDescent="0.5">
      <c r="A2357" t="str">
        <f>"74432QCH6"</f>
        <v>74432QCH6</v>
      </c>
      <c r="B2357" t="s">
        <v>101</v>
      </c>
      <c r="C2357" t="s">
        <v>2951</v>
      </c>
      <c r="D2357" t="s">
        <v>2433</v>
      </c>
      <c r="E2357">
        <v>1.5</v>
      </c>
      <c r="F2357" s="2">
        <v>46091</v>
      </c>
      <c r="G2357" s="2">
        <v>46063</v>
      </c>
      <c r="H2357" t="s">
        <v>627</v>
      </c>
      <c r="I2357" t="s">
        <v>611</v>
      </c>
      <c r="J2357">
        <v>97.17</v>
      </c>
      <c r="K2357">
        <v>97.39</v>
      </c>
      <c r="L2357">
        <v>4.4400000000000004</v>
      </c>
      <c r="M2357">
        <v>4.2069999999999999</v>
      </c>
      <c r="N2357">
        <v>4.2069999999999999</v>
      </c>
      <c r="O2357" t="s">
        <v>101</v>
      </c>
      <c r="P2357" t="s">
        <v>2952</v>
      </c>
      <c r="Q2357" t="s">
        <v>1702</v>
      </c>
      <c r="R2357" t="s">
        <v>2436</v>
      </c>
    </row>
    <row r="2358" spans="1:18" x14ac:dyDescent="0.5">
      <c r="A2358" t="str">
        <f>"808513BF1"</f>
        <v>808513BF1</v>
      </c>
      <c r="B2358" t="s">
        <v>101</v>
      </c>
      <c r="C2358" t="s">
        <v>2953</v>
      </c>
      <c r="D2358" t="s">
        <v>2433</v>
      </c>
      <c r="E2358">
        <v>0.9</v>
      </c>
      <c r="F2358" s="2">
        <v>46092</v>
      </c>
      <c r="G2358" s="2">
        <v>46064</v>
      </c>
      <c r="H2358" t="s">
        <v>610</v>
      </c>
      <c r="I2358" t="s">
        <v>713</v>
      </c>
      <c r="J2358">
        <v>96.373000000000005</v>
      </c>
      <c r="K2358">
        <v>96.581000000000003</v>
      </c>
      <c r="L2358">
        <v>4.665</v>
      </c>
      <c r="M2358">
        <v>4.4429999999999996</v>
      </c>
      <c r="N2358">
        <v>4.4429999999999996</v>
      </c>
      <c r="O2358" t="s">
        <v>101</v>
      </c>
      <c r="P2358" t="s">
        <v>2438</v>
      </c>
      <c r="Q2358" t="s">
        <v>2798</v>
      </c>
      <c r="R2358" t="s">
        <v>2436</v>
      </c>
    </row>
    <row r="2359" spans="1:18" x14ac:dyDescent="0.5">
      <c r="A2359" t="str">
        <f>"63743HFH0"</f>
        <v>63743HFH0</v>
      </c>
      <c r="B2359" t="s">
        <v>101</v>
      </c>
      <c r="C2359" t="s">
        <v>2954</v>
      </c>
      <c r="D2359" t="s">
        <v>2433</v>
      </c>
      <c r="E2359">
        <v>4.45</v>
      </c>
      <c r="F2359" s="2">
        <v>46094</v>
      </c>
      <c r="G2359" s="2">
        <v>46066</v>
      </c>
      <c r="H2359" t="s">
        <v>610</v>
      </c>
      <c r="I2359" t="s">
        <v>713</v>
      </c>
      <c r="J2359">
        <v>99.622</v>
      </c>
      <c r="K2359">
        <v>100.121</v>
      </c>
      <c r="L2359">
        <v>4.8410000000000002</v>
      </c>
      <c r="M2359">
        <v>4.3179999999999996</v>
      </c>
      <c r="N2359">
        <v>4.3250000000000002</v>
      </c>
      <c r="O2359" t="s">
        <v>101</v>
      </c>
      <c r="P2359" t="s">
        <v>2807</v>
      </c>
      <c r="Q2359" t="s">
        <v>2955</v>
      </c>
      <c r="R2359" t="s">
        <v>2436</v>
      </c>
    </row>
    <row r="2360" spans="1:18" x14ac:dyDescent="0.5">
      <c r="A2360" t="str">
        <f>"571748AZ5"</f>
        <v>571748AZ5</v>
      </c>
      <c r="B2360" t="s">
        <v>101</v>
      </c>
      <c r="C2360" t="s">
        <v>2956</v>
      </c>
      <c r="D2360" t="s">
        <v>2433</v>
      </c>
      <c r="E2360">
        <v>3.75</v>
      </c>
      <c r="F2360" s="2">
        <v>46095</v>
      </c>
      <c r="G2360" s="2">
        <v>46005</v>
      </c>
      <c r="H2360" t="s">
        <v>627</v>
      </c>
      <c r="I2360" t="s">
        <v>713</v>
      </c>
      <c r="J2360">
        <v>99.209000000000003</v>
      </c>
      <c r="K2360">
        <v>99.402000000000001</v>
      </c>
      <c r="L2360">
        <v>4.5640000000000001</v>
      </c>
      <c r="M2360">
        <v>4.3639999999999999</v>
      </c>
      <c r="N2360">
        <v>4.3639999999999999</v>
      </c>
      <c r="O2360" t="s">
        <v>101</v>
      </c>
      <c r="P2360" t="s">
        <v>2454</v>
      </c>
      <c r="Q2360" t="s">
        <v>2957</v>
      </c>
      <c r="R2360" t="s">
        <v>2436</v>
      </c>
    </row>
    <row r="2361" spans="1:18" x14ac:dyDescent="0.5">
      <c r="A2361" t="str">
        <f>"084670BS6"</f>
        <v>084670BS6</v>
      </c>
      <c r="B2361" t="s">
        <v>101</v>
      </c>
      <c r="C2361" t="s">
        <v>2958</v>
      </c>
      <c r="D2361" t="s">
        <v>2433</v>
      </c>
      <c r="E2361">
        <v>3.125</v>
      </c>
      <c r="F2361" s="2">
        <v>46096</v>
      </c>
      <c r="G2361" s="2">
        <v>46006</v>
      </c>
      <c r="H2361" t="s">
        <v>613</v>
      </c>
      <c r="I2361" t="s">
        <v>628</v>
      </c>
      <c r="J2361">
        <v>98.771000000000001</v>
      </c>
      <c r="K2361">
        <v>98.962000000000003</v>
      </c>
      <c r="L2361">
        <v>4.3840000000000003</v>
      </c>
      <c r="M2361">
        <v>4.1870000000000003</v>
      </c>
      <c r="N2361">
        <v>4.1870000000000003</v>
      </c>
      <c r="O2361" t="s">
        <v>101</v>
      </c>
      <c r="P2361" t="s">
        <v>2683</v>
      </c>
      <c r="Q2361" t="s">
        <v>2472</v>
      </c>
      <c r="R2361" t="s">
        <v>2436</v>
      </c>
    </row>
    <row r="2362" spans="1:18" x14ac:dyDescent="0.5">
      <c r="A2362" t="str">
        <f>"036752AR4"</f>
        <v>036752AR4</v>
      </c>
      <c r="B2362" t="s">
        <v>101</v>
      </c>
      <c r="C2362" t="s">
        <v>2959</v>
      </c>
      <c r="D2362" t="s">
        <v>2433</v>
      </c>
      <c r="E2362">
        <v>1.5</v>
      </c>
      <c r="F2362" s="2">
        <v>46096</v>
      </c>
      <c r="G2362" s="2">
        <v>46068</v>
      </c>
      <c r="H2362" t="s">
        <v>677</v>
      </c>
      <c r="I2362" t="s">
        <v>611</v>
      </c>
      <c r="J2362">
        <v>96.912000000000006</v>
      </c>
      <c r="K2362">
        <v>97.043999999999997</v>
      </c>
      <c r="L2362">
        <v>4.6710000000000003</v>
      </c>
      <c r="M2362">
        <v>4.532</v>
      </c>
      <c r="N2362">
        <v>4.532</v>
      </c>
      <c r="O2362" t="s">
        <v>101</v>
      </c>
      <c r="P2362" t="s">
        <v>2438</v>
      </c>
      <c r="Q2362" t="s">
        <v>2585</v>
      </c>
      <c r="R2362" t="s">
        <v>2436</v>
      </c>
    </row>
    <row r="2363" spans="1:18" x14ac:dyDescent="0.5">
      <c r="A2363" t="str">
        <f>"512807AS7"</f>
        <v>512807AS7</v>
      </c>
      <c r="B2363" t="s">
        <v>101</v>
      </c>
      <c r="C2363" t="s">
        <v>2960</v>
      </c>
      <c r="D2363" t="s">
        <v>2433</v>
      </c>
      <c r="E2363">
        <v>3.75</v>
      </c>
      <c r="F2363" s="2">
        <v>46096</v>
      </c>
      <c r="G2363" s="2">
        <v>46037</v>
      </c>
      <c r="H2363" t="s">
        <v>610</v>
      </c>
      <c r="I2363" t="s">
        <v>713</v>
      </c>
      <c r="J2363">
        <v>99.248000000000005</v>
      </c>
      <c r="K2363">
        <v>99.447999999999993</v>
      </c>
      <c r="L2363">
        <v>4.5209999999999999</v>
      </c>
      <c r="M2363">
        <v>4.3150000000000004</v>
      </c>
      <c r="N2363">
        <v>4.3150000000000004</v>
      </c>
      <c r="O2363" t="s">
        <v>101</v>
      </c>
      <c r="P2363" t="s">
        <v>2438</v>
      </c>
      <c r="Q2363" t="s">
        <v>2438</v>
      </c>
      <c r="R2363" t="s">
        <v>2436</v>
      </c>
    </row>
    <row r="2364" spans="1:18" x14ac:dyDescent="0.5">
      <c r="A2364" t="str">
        <f>"524901AV7"</f>
        <v>524901AV7</v>
      </c>
      <c r="B2364" t="s">
        <v>101</v>
      </c>
      <c r="C2364" t="s">
        <v>2961</v>
      </c>
      <c r="D2364" t="s">
        <v>2433</v>
      </c>
      <c r="E2364">
        <v>4.75</v>
      </c>
      <c r="F2364" s="2">
        <v>46096</v>
      </c>
      <c r="G2364" s="2" t="s">
        <v>101</v>
      </c>
      <c r="H2364" t="s">
        <v>610</v>
      </c>
      <c r="I2364" t="s">
        <v>611</v>
      </c>
      <c r="J2364">
        <v>100.036</v>
      </c>
      <c r="K2364">
        <v>100.28700000000001</v>
      </c>
      <c r="L2364">
        <v>4.7130000000000001</v>
      </c>
      <c r="M2364">
        <v>4.4550000000000001</v>
      </c>
      <c r="N2364">
        <v>4.4550000000000001</v>
      </c>
      <c r="O2364" t="s">
        <v>101</v>
      </c>
      <c r="P2364" t="s">
        <v>2683</v>
      </c>
      <c r="Q2364" t="s">
        <v>2552</v>
      </c>
      <c r="R2364" t="s">
        <v>2436</v>
      </c>
    </row>
    <row r="2365" spans="1:18" x14ac:dyDescent="0.5">
      <c r="A2365" t="str">
        <f>"74456QCF1"</f>
        <v>74456QCF1</v>
      </c>
      <c r="B2365" t="s">
        <v>101</v>
      </c>
      <c r="C2365" t="s">
        <v>2962</v>
      </c>
      <c r="D2365" t="s">
        <v>2433</v>
      </c>
      <c r="E2365">
        <v>0.95</v>
      </c>
      <c r="F2365" s="2">
        <v>46096</v>
      </c>
      <c r="G2365" s="2">
        <v>46068</v>
      </c>
      <c r="H2365" t="s">
        <v>641</v>
      </c>
      <c r="I2365" t="s">
        <v>611</v>
      </c>
      <c r="J2365">
        <v>96.55</v>
      </c>
      <c r="K2365">
        <v>96.822000000000003</v>
      </c>
      <c r="L2365">
        <v>4.4880000000000004</v>
      </c>
      <c r="M2365">
        <v>4.202</v>
      </c>
      <c r="N2365">
        <v>4.202</v>
      </c>
      <c r="O2365" t="s">
        <v>101</v>
      </c>
      <c r="P2365" t="s">
        <v>2731</v>
      </c>
      <c r="Q2365" t="s">
        <v>2963</v>
      </c>
      <c r="R2365" t="s">
        <v>2436</v>
      </c>
    </row>
    <row r="2366" spans="1:18" x14ac:dyDescent="0.5">
      <c r="A2366" t="str">
        <f>"756109AZ7"</f>
        <v>756109AZ7</v>
      </c>
      <c r="B2366" t="s">
        <v>101</v>
      </c>
      <c r="C2366" t="s">
        <v>2964</v>
      </c>
      <c r="D2366" t="s">
        <v>2433</v>
      </c>
      <c r="E2366">
        <v>0.75</v>
      </c>
      <c r="F2366" s="2">
        <v>46096</v>
      </c>
      <c r="G2366" s="2">
        <v>46068</v>
      </c>
      <c r="H2366" t="s">
        <v>627</v>
      </c>
      <c r="I2366" t="s">
        <v>713</v>
      </c>
      <c r="J2366">
        <v>96.018000000000001</v>
      </c>
      <c r="K2366">
        <v>96.238</v>
      </c>
      <c r="L2366">
        <v>4.8440000000000003</v>
      </c>
      <c r="M2366">
        <v>4.6109999999999998</v>
      </c>
      <c r="N2366">
        <v>4.6109999999999998</v>
      </c>
      <c r="O2366" t="s">
        <v>101</v>
      </c>
      <c r="P2366" t="s">
        <v>1702</v>
      </c>
      <c r="Q2366" t="s">
        <v>2965</v>
      </c>
      <c r="R2366" t="s">
        <v>2436</v>
      </c>
    </row>
    <row r="2367" spans="1:18" x14ac:dyDescent="0.5">
      <c r="A2367" t="str">
        <f>"125523CP3"</f>
        <v>125523CP3</v>
      </c>
      <c r="B2367" t="s">
        <v>101</v>
      </c>
      <c r="C2367" t="s">
        <v>2966</v>
      </c>
      <c r="D2367" t="s">
        <v>2433</v>
      </c>
      <c r="E2367">
        <v>1.25</v>
      </c>
      <c r="F2367" s="2">
        <v>46096</v>
      </c>
      <c r="G2367" s="2">
        <v>46068</v>
      </c>
      <c r="H2367" t="s">
        <v>670</v>
      </c>
      <c r="I2367" t="s">
        <v>713</v>
      </c>
      <c r="J2367">
        <v>96.72</v>
      </c>
      <c r="K2367">
        <v>96.881</v>
      </c>
      <c r="L2367">
        <v>4.6159999999999997</v>
      </c>
      <c r="M2367">
        <v>4.4470000000000001</v>
      </c>
      <c r="N2367">
        <v>4.4470000000000001</v>
      </c>
      <c r="O2367" t="s">
        <v>101</v>
      </c>
      <c r="P2367" t="s">
        <v>2434</v>
      </c>
      <c r="Q2367" t="s">
        <v>2967</v>
      </c>
      <c r="R2367" t="s">
        <v>2436</v>
      </c>
    </row>
    <row r="2368" spans="1:18" x14ac:dyDescent="0.5">
      <c r="A2368" t="str">
        <f>"91324PCV2"</f>
        <v>91324PCV2</v>
      </c>
      <c r="B2368" t="s">
        <v>101</v>
      </c>
      <c r="C2368" t="s">
        <v>2968</v>
      </c>
      <c r="D2368" t="s">
        <v>2433</v>
      </c>
      <c r="E2368">
        <v>3.1</v>
      </c>
      <c r="F2368" s="2">
        <v>46096</v>
      </c>
      <c r="G2368" s="2" t="s">
        <v>101</v>
      </c>
      <c r="H2368" t="s">
        <v>610</v>
      </c>
      <c r="I2368" t="s">
        <v>658</v>
      </c>
      <c r="J2368">
        <v>98.688999999999993</v>
      </c>
      <c r="K2368">
        <v>98.887</v>
      </c>
      <c r="L2368">
        <v>4.444</v>
      </c>
      <c r="M2368">
        <v>4.2389999999999999</v>
      </c>
      <c r="N2368">
        <v>4.2389999999999999</v>
      </c>
      <c r="O2368" t="s">
        <v>101</v>
      </c>
      <c r="P2368" t="s">
        <v>2855</v>
      </c>
      <c r="Q2368" t="s">
        <v>2657</v>
      </c>
      <c r="R2368" t="s">
        <v>2436</v>
      </c>
    </row>
    <row r="2369" spans="1:18" x14ac:dyDescent="0.5">
      <c r="A2369" t="str">
        <f>"13607XGB7"</f>
        <v>13607XGB7</v>
      </c>
      <c r="B2369" t="s">
        <v>101</v>
      </c>
      <c r="C2369" t="s">
        <v>2969</v>
      </c>
      <c r="D2369" t="s">
        <v>2433</v>
      </c>
      <c r="E2369">
        <v>5.55</v>
      </c>
      <c r="F2369" s="2">
        <v>46097</v>
      </c>
      <c r="G2369" s="2">
        <v>45732</v>
      </c>
      <c r="H2369" t="s">
        <v>610</v>
      </c>
      <c r="I2369" t="s">
        <v>713</v>
      </c>
      <c r="J2369">
        <v>99.85</v>
      </c>
      <c r="K2369">
        <v>100.82899999999999</v>
      </c>
      <c r="L2369">
        <v>5.7039999999999997</v>
      </c>
      <c r="M2369">
        <v>4.7</v>
      </c>
      <c r="N2369">
        <v>4.7</v>
      </c>
      <c r="O2369" t="s">
        <v>101</v>
      </c>
      <c r="P2369" t="s">
        <v>1702</v>
      </c>
      <c r="Q2369" t="s">
        <v>460</v>
      </c>
      <c r="R2369" t="s">
        <v>2436</v>
      </c>
    </row>
    <row r="2370" spans="1:18" x14ac:dyDescent="0.5">
      <c r="A2370" t="str">
        <f>"46513CXR2"</f>
        <v>46513CXR2</v>
      </c>
      <c r="B2370" t="s">
        <v>101</v>
      </c>
      <c r="C2370" t="s">
        <v>2970</v>
      </c>
      <c r="D2370" t="s">
        <v>2433</v>
      </c>
      <c r="E2370">
        <v>2.875</v>
      </c>
      <c r="F2370" s="2">
        <v>46097</v>
      </c>
      <c r="G2370" s="2" t="s">
        <v>105</v>
      </c>
      <c r="H2370" t="s">
        <v>670</v>
      </c>
      <c r="I2370" t="s">
        <v>611</v>
      </c>
      <c r="J2370" t="s">
        <v>101</v>
      </c>
      <c r="K2370">
        <v>98.367000000000004</v>
      </c>
      <c r="L2370" t="s">
        <v>101</v>
      </c>
      <c r="M2370">
        <v>4.5449999999999999</v>
      </c>
      <c r="N2370">
        <v>4.5449999999999999</v>
      </c>
      <c r="O2370" t="s">
        <v>101</v>
      </c>
      <c r="P2370" t="s">
        <v>448</v>
      </c>
      <c r="Q2370" t="s">
        <v>542</v>
      </c>
      <c r="R2370" t="s">
        <v>2465</v>
      </c>
    </row>
    <row r="2371" spans="1:18" x14ac:dyDescent="0.5">
      <c r="A2371" t="str">
        <f>"25160PAF4"</f>
        <v>25160PAF4</v>
      </c>
      <c r="B2371" t="s">
        <v>101</v>
      </c>
      <c r="C2371" t="s">
        <v>2971</v>
      </c>
      <c r="D2371" t="s">
        <v>2433</v>
      </c>
      <c r="E2371">
        <v>1.6859999999999999</v>
      </c>
      <c r="F2371" s="2">
        <v>46100</v>
      </c>
      <c r="G2371" s="2" t="s">
        <v>105</v>
      </c>
      <c r="H2371" t="s">
        <v>641</v>
      </c>
      <c r="I2371" t="s">
        <v>611</v>
      </c>
      <c r="J2371">
        <v>97.096000000000004</v>
      </c>
      <c r="K2371">
        <v>97.308000000000007</v>
      </c>
      <c r="L2371">
        <v>4.6349999999999998</v>
      </c>
      <c r="M2371">
        <v>4.415</v>
      </c>
      <c r="N2371">
        <v>4.415</v>
      </c>
      <c r="O2371" t="s">
        <v>101</v>
      </c>
      <c r="P2371" t="s">
        <v>2972</v>
      </c>
      <c r="Q2371" t="s">
        <v>2973</v>
      </c>
      <c r="R2371" t="s">
        <v>2465</v>
      </c>
    </row>
    <row r="2372" spans="1:18" x14ac:dyDescent="0.5">
      <c r="A2372" t="str">
        <f>"49177JAD4"</f>
        <v>49177JAD4</v>
      </c>
      <c r="B2372" t="s">
        <v>101</v>
      </c>
      <c r="C2372" t="s">
        <v>2974</v>
      </c>
      <c r="D2372" t="s">
        <v>2433</v>
      </c>
      <c r="E2372">
        <v>5.35</v>
      </c>
      <c r="F2372" s="2">
        <v>46103</v>
      </c>
      <c r="G2372" s="2">
        <v>46075</v>
      </c>
      <c r="H2372" t="s">
        <v>641</v>
      </c>
      <c r="I2372" t="s">
        <v>611</v>
      </c>
      <c r="J2372">
        <v>100.768</v>
      </c>
      <c r="K2372">
        <v>100.97499999999999</v>
      </c>
      <c r="L2372">
        <v>4.5129999999999999</v>
      </c>
      <c r="M2372">
        <v>4.2880000000000003</v>
      </c>
      <c r="N2372">
        <v>4.3680000000000003</v>
      </c>
      <c r="O2372" t="s">
        <v>101</v>
      </c>
      <c r="P2372" t="s">
        <v>2675</v>
      </c>
      <c r="Q2372" t="s">
        <v>2684</v>
      </c>
      <c r="R2372" t="s">
        <v>2436</v>
      </c>
    </row>
    <row r="2373" spans="1:18" x14ac:dyDescent="0.5">
      <c r="A2373" t="str">
        <f>"05964HAL9"</f>
        <v>05964HAL9</v>
      </c>
      <c r="B2373" t="s">
        <v>101</v>
      </c>
      <c r="C2373" t="s">
        <v>2975</v>
      </c>
      <c r="D2373" t="s">
        <v>2433</v>
      </c>
      <c r="E2373">
        <v>1.849</v>
      </c>
      <c r="F2373" s="2">
        <v>46106</v>
      </c>
      <c r="G2373" s="2" t="s">
        <v>101</v>
      </c>
      <c r="H2373" t="s">
        <v>670</v>
      </c>
      <c r="I2373" t="s">
        <v>713</v>
      </c>
      <c r="J2373">
        <v>97.2</v>
      </c>
      <c r="K2373">
        <v>97.417000000000002</v>
      </c>
      <c r="L2373">
        <v>4.6479999999999997</v>
      </c>
      <c r="M2373">
        <v>4.4260000000000002</v>
      </c>
      <c r="N2373">
        <v>4.4260000000000002</v>
      </c>
      <c r="O2373" t="s">
        <v>101</v>
      </c>
      <c r="P2373" t="s">
        <v>2516</v>
      </c>
      <c r="Q2373" t="s">
        <v>2976</v>
      </c>
      <c r="R2373" t="s">
        <v>2436</v>
      </c>
    </row>
    <row r="2374" spans="1:18" x14ac:dyDescent="0.5">
      <c r="A2374" t="str">
        <f>"892331AM1"</f>
        <v>892331AM1</v>
      </c>
      <c r="B2374" t="s">
        <v>101</v>
      </c>
      <c r="C2374" t="s">
        <v>2977</v>
      </c>
      <c r="D2374" t="s">
        <v>2433</v>
      </c>
      <c r="E2374">
        <v>1.339</v>
      </c>
      <c r="F2374" s="2">
        <v>46106</v>
      </c>
      <c r="G2374" s="2">
        <v>46078</v>
      </c>
      <c r="H2374" t="s">
        <v>641</v>
      </c>
      <c r="I2374" t="s">
        <v>658</v>
      </c>
      <c r="J2374">
        <v>96.778999999999996</v>
      </c>
      <c r="K2374">
        <v>96.972999999999999</v>
      </c>
      <c r="L2374">
        <v>4.556</v>
      </c>
      <c r="M2374">
        <v>4.3579999999999997</v>
      </c>
      <c r="N2374">
        <v>4.3579999999999997</v>
      </c>
      <c r="O2374" t="s">
        <v>101</v>
      </c>
      <c r="P2374" t="s">
        <v>2595</v>
      </c>
      <c r="Q2374" t="s">
        <v>2978</v>
      </c>
      <c r="R2374" t="s">
        <v>2436</v>
      </c>
    </row>
    <row r="2375" spans="1:18" x14ac:dyDescent="0.5">
      <c r="A2375" t="str">
        <f>"723787AV9"</f>
        <v>723787AV9</v>
      </c>
      <c r="B2375" t="s">
        <v>101</v>
      </c>
      <c r="C2375" t="s">
        <v>2979</v>
      </c>
      <c r="D2375" t="s">
        <v>2433</v>
      </c>
      <c r="E2375">
        <v>5.0999999999999996</v>
      </c>
      <c r="F2375" s="2">
        <v>46110</v>
      </c>
      <c r="G2375" s="2" t="s">
        <v>101</v>
      </c>
      <c r="H2375" t="s">
        <v>2760</v>
      </c>
      <c r="I2375" t="s">
        <v>616</v>
      </c>
      <c r="J2375">
        <v>100.628</v>
      </c>
      <c r="K2375">
        <v>100.756</v>
      </c>
      <c r="L2375">
        <v>4.4770000000000003</v>
      </c>
      <c r="M2375">
        <v>4.351</v>
      </c>
      <c r="N2375">
        <v>4.351</v>
      </c>
      <c r="O2375" t="s">
        <v>101</v>
      </c>
      <c r="P2375" t="s">
        <v>554</v>
      </c>
      <c r="Q2375" t="s">
        <v>2684</v>
      </c>
      <c r="R2375" t="s">
        <v>2436</v>
      </c>
    </row>
    <row r="2376" spans="1:18" x14ac:dyDescent="0.5">
      <c r="A2376" t="str">
        <f>"032095AM3"</f>
        <v>032095AM3</v>
      </c>
      <c r="B2376" t="s">
        <v>101</v>
      </c>
      <c r="C2376" t="s">
        <v>2980</v>
      </c>
      <c r="D2376" t="s">
        <v>2433</v>
      </c>
      <c r="E2376">
        <v>4.75</v>
      </c>
      <c r="F2376" s="2">
        <v>46111</v>
      </c>
      <c r="G2376" s="2" t="s">
        <v>101</v>
      </c>
      <c r="H2376" t="s">
        <v>627</v>
      </c>
      <c r="I2376" t="s">
        <v>713</v>
      </c>
      <c r="J2376">
        <v>100.124</v>
      </c>
      <c r="K2376">
        <v>100.416</v>
      </c>
      <c r="L2376">
        <v>4.625</v>
      </c>
      <c r="M2376">
        <v>4.3380000000000001</v>
      </c>
      <c r="N2376">
        <v>4.3380000000000001</v>
      </c>
      <c r="O2376" t="s">
        <v>101</v>
      </c>
      <c r="P2376" t="s">
        <v>2911</v>
      </c>
      <c r="Q2376" t="s">
        <v>2891</v>
      </c>
      <c r="R2376" t="s">
        <v>2436</v>
      </c>
    </row>
    <row r="2377" spans="1:18" x14ac:dyDescent="0.5">
      <c r="A2377" t="str">
        <f>"69371RS49"</f>
        <v>69371RS49</v>
      </c>
      <c r="B2377" t="s">
        <v>101</v>
      </c>
      <c r="C2377" t="s">
        <v>2981</v>
      </c>
      <c r="D2377" t="s">
        <v>2433</v>
      </c>
      <c r="E2377">
        <v>4.45</v>
      </c>
      <c r="F2377" s="2">
        <v>46111</v>
      </c>
      <c r="G2377" s="2" t="s">
        <v>105</v>
      </c>
      <c r="H2377" t="s">
        <v>641</v>
      </c>
      <c r="I2377" t="s">
        <v>658</v>
      </c>
      <c r="J2377">
        <v>99.909000000000006</v>
      </c>
      <c r="K2377">
        <v>100.29600000000001</v>
      </c>
      <c r="L2377">
        <v>4.5380000000000003</v>
      </c>
      <c r="M2377">
        <v>4.157</v>
      </c>
      <c r="N2377">
        <v>4.157</v>
      </c>
      <c r="O2377" t="s">
        <v>101</v>
      </c>
      <c r="P2377" t="s">
        <v>2675</v>
      </c>
      <c r="Q2377" t="s">
        <v>2982</v>
      </c>
      <c r="R2377" t="s">
        <v>2465</v>
      </c>
    </row>
    <row r="2378" spans="1:18" x14ac:dyDescent="0.5">
      <c r="A2378" t="str">
        <f>"29364DAU4"</f>
        <v>29364DAU4</v>
      </c>
      <c r="B2378" t="s">
        <v>101</v>
      </c>
      <c r="C2378" t="s">
        <v>2983</v>
      </c>
      <c r="D2378" t="s">
        <v>2433</v>
      </c>
      <c r="E2378">
        <v>3.5</v>
      </c>
      <c r="F2378" s="2">
        <v>46113</v>
      </c>
      <c r="G2378" s="2">
        <v>46023</v>
      </c>
      <c r="H2378" t="s">
        <v>610</v>
      </c>
      <c r="I2378" t="s">
        <v>611</v>
      </c>
      <c r="J2378">
        <v>98.896000000000001</v>
      </c>
      <c r="K2378">
        <v>99.075999999999993</v>
      </c>
      <c r="L2378">
        <v>4.5839999999999996</v>
      </c>
      <c r="M2378">
        <v>4.4059999999999997</v>
      </c>
      <c r="N2378">
        <v>4.4059999999999997</v>
      </c>
      <c r="O2378" t="s">
        <v>101</v>
      </c>
      <c r="P2378" t="s">
        <v>2827</v>
      </c>
      <c r="Q2378" t="s">
        <v>2984</v>
      </c>
      <c r="R2378" t="s">
        <v>2436</v>
      </c>
    </row>
    <row r="2379" spans="1:18" x14ac:dyDescent="0.5">
      <c r="A2379" t="str">
        <f>"373334KE0"</f>
        <v>373334KE0</v>
      </c>
      <c r="B2379" t="s">
        <v>101</v>
      </c>
      <c r="C2379" t="s">
        <v>2985</v>
      </c>
      <c r="D2379" t="s">
        <v>2433</v>
      </c>
      <c r="E2379">
        <v>3.25</v>
      </c>
      <c r="F2379" s="2">
        <v>46113</v>
      </c>
      <c r="G2379" s="2">
        <v>46023</v>
      </c>
      <c r="H2379" t="s">
        <v>627</v>
      </c>
      <c r="I2379" t="s">
        <v>611</v>
      </c>
      <c r="J2379">
        <v>98.674999999999997</v>
      </c>
      <c r="K2379">
        <v>98.941000000000003</v>
      </c>
      <c r="L2379">
        <v>4.5519999999999996</v>
      </c>
      <c r="M2379">
        <v>4.2880000000000003</v>
      </c>
      <c r="N2379">
        <v>4.2880000000000003</v>
      </c>
      <c r="O2379" t="s">
        <v>101</v>
      </c>
      <c r="P2379" t="s">
        <v>228</v>
      </c>
      <c r="Q2379" t="s">
        <v>2454</v>
      </c>
      <c r="R2379" t="s">
        <v>2436</v>
      </c>
    </row>
    <row r="2380" spans="1:18" x14ac:dyDescent="0.5">
      <c r="A2380" t="str">
        <f>"437076BM3"</f>
        <v>437076BM3</v>
      </c>
      <c r="B2380" t="s">
        <v>101</v>
      </c>
      <c r="C2380" t="s">
        <v>2986</v>
      </c>
      <c r="D2380" t="s">
        <v>2433</v>
      </c>
      <c r="E2380">
        <v>3</v>
      </c>
      <c r="F2380" s="2">
        <v>46113</v>
      </c>
      <c r="G2380" s="2">
        <v>46023</v>
      </c>
      <c r="H2380" t="s">
        <v>610</v>
      </c>
      <c r="I2380" t="s">
        <v>611</v>
      </c>
      <c r="J2380">
        <v>98.671999999999997</v>
      </c>
      <c r="K2380">
        <v>98.838999999999999</v>
      </c>
      <c r="L2380">
        <v>4.3019999999999996</v>
      </c>
      <c r="M2380">
        <v>4.1369999999999996</v>
      </c>
      <c r="N2380">
        <v>4.1369999999999996</v>
      </c>
      <c r="O2380" t="s">
        <v>101</v>
      </c>
      <c r="P2380" t="s">
        <v>517</v>
      </c>
      <c r="Q2380" t="s">
        <v>2444</v>
      </c>
      <c r="R2380" t="s">
        <v>2436</v>
      </c>
    </row>
    <row r="2381" spans="1:18" x14ac:dyDescent="0.5">
      <c r="A2381" t="str">
        <f>"46625HQW3"</f>
        <v>46625HQW3</v>
      </c>
      <c r="B2381" t="s">
        <v>101</v>
      </c>
      <c r="C2381" t="s">
        <v>2987</v>
      </c>
      <c r="D2381" t="s">
        <v>2433</v>
      </c>
      <c r="E2381">
        <v>3.3</v>
      </c>
      <c r="F2381" s="2">
        <v>46113</v>
      </c>
      <c r="G2381" s="2">
        <v>46023</v>
      </c>
      <c r="H2381" t="s">
        <v>641</v>
      </c>
      <c r="I2381" t="s">
        <v>611</v>
      </c>
      <c r="J2381">
        <v>98.816999999999993</v>
      </c>
      <c r="K2381">
        <v>98.972999999999999</v>
      </c>
      <c r="L2381">
        <v>4.4610000000000003</v>
      </c>
      <c r="M2381">
        <v>4.3070000000000004</v>
      </c>
      <c r="N2381">
        <v>4.3070000000000004</v>
      </c>
      <c r="O2381" t="s">
        <v>101</v>
      </c>
      <c r="P2381" t="s">
        <v>2988</v>
      </c>
      <c r="Q2381" t="s">
        <v>2989</v>
      </c>
      <c r="R2381" t="s">
        <v>2436</v>
      </c>
    </row>
    <row r="2382" spans="1:18" x14ac:dyDescent="0.5">
      <c r="A2382" t="str">
        <f>"487836BP2"</f>
        <v>487836BP2</v>
      </c>
      <c r="B2382" t="s">
        <v>101</v>
      </c>
      <c r="C2382" t="s">
        <v>2990</v>
      </c>
      <c r="D2382" t="s">
        <v>2433</v>
      </c>
      <c r="E2382">
        <v>3.25</v>
      </c>
      <c r="F2382" s="2">
        <v>46113</v>
      </c>
      <c r="G2382" s="2" t="s">
        <v>101</v>
      </c>
      <c r="H2382" t="s">
        <v>677</v>
      </c>
      <c r="I2382" t="s">
        <v>611</v>
      </c>
      <c r="J2382">
        <v>98.561000000000007</v>
      </c>
      <c r="K2382">
        <v>98.733999999999995</v>
      </c>
      <c r="L2382">
        <v>4.665</v>
      </c>
      <c r="M2382">
        <v>4.4930000000000003</v>
      </c>
      <c r="N2382">
        <v>4.4930000000000003</v>
      </c>
      <c r="O2382" t="s">
        <v>101</v>
      </c>
      <c r="P2382" t="s">
        <v>2731</v>
      </c>
      <c r="Q2382" t="s">
        <v>1743</v>
      </c>
      <c r="R2382" t="s">
        <v>2436</v>
      </c>
    </row>
    <row r="2383" spans="1:18" x14ac:dyDescent="0.5">
      <c r="A2383" t="str">
        <f>"540424AS7"</f>
        <v>540424AS7</v>
      </c>
      <c r="B2383" t="s">
        <v>101</v>
      </c>
      <c r="C2383" t="s">
        <v>2991</v>
      </c>
      <c r="D2383" t="s">
        <v>2433</v>
      </c>
      <c r="E2383">
        <v>3.75</v>
      </c>
      <c r="F2383" s="2">
        <v>46113</v>
      </c>
      <c r="G2383" s="2">
        <v>46023</v>
      </c>
      <c r="H2383" t="s">
        <v>627</v>
      </c>
      <c r="I2383" t="s">
        <v>611</v>
      </c>
      <c r="J2383">
        <v>99.244</v>
      </c>
      <c r="K2383">
        <v>99.37</v>
      </c>
      <c r="L2383">
        <v>4.4909999999999997</v>
      </c>
      <c r="M2383">
        <v>4.367</v>
      </c>
      <c r="N2383">
        <v>4.367</v>
      </c>
      <c r="O2383" t="s">
        <v>101</v>
      </c>
      <c r="P2383" t="s">
        <v>2454</v>
      </c>
      <c r="Q2383" t="s">
        <v>2992</v>
      </c>
      <c r="R2383" t="s">
        <v>2436</v>
      </c>
    </row>
    <row r="2384" spans="1:18" x14ac:dyDescent="0.5">
      <c r="A2384" t="str">
        <f>"731011AU6"</f>
        <v>731011AU6</v>
      </c>
      <c r="B2384" t="s">
        <v>101</v>
      </c>
      <c r="C2384" t="s">
        <v>2993</v>
      </c>
      <c r="D2384" t="s">
        <v>2433</v>
      </c>
      <c r="E2384">
        <v>3.25</v>
      </c>
      <c r="F2384" s="2">
        <v>46118</v>
      </c>
      <c r="G2384" s="2" t="s">
        <v>105</v>
      </c>
      <c r="H2384" t="s">
        <v>610</v>
      </c>
      <c r="I2384" t="s">
        <v>713</v>
      </c>
      <c r="J2384">
        <v>98.608999999999995</v>
      </c>
      <c r="K2384">
        <v>98.914000000000001</v>
      </c>
      <c r="L2384">
        <v>4.5990000000000002</v>
      </c>
      <c r="M2384">
        <v>4.3010000000000002</v>
      </c>
      <c r="N2384">
        <v>4.3010000000000002</v>
      </c>
      <c r="O2384" t="s">
        <v>101</v>
      </c>
      <c r="P2384" t="s">
        <v>2994</v>
      </c>
      <c r="Q2384" t="s">
        <v>2995</v>
      </c>
      <c r="R2384" t="s">
        <v>2465</v>
      </c>
    </row>
    <row r="2385" spans="1:18" x14ac:dyDescent="0.5">
      <c r="A2385" t="str">
        <f>"046353AV0"</f>
        <v>046353AV0</v>
      </c>
      <c r="B2385" t="s">
        <v>101</v>
      </c>
      <c r="C2385" t="s">
        <v>2996</v>
      </c>
      <c r="D2385" t="s">
        <v>2433</v>
      </c>
      <c r="E2385">
        <v>0.7</v>
      </c>
      <c r="F2385" s="2">
        <v>46120</v>
      </c>
      <c r="G2385" s="2">
        <v>46089</v>
      </c>
      <c r="H2385" t="s">
        <v>641</v>
      </c>
      <c r="I2385" t="s">
        <v>658</v>
      </c>
      <c r="J2385">
        <v>96.168999999999997</v>
      </c>
      <c r="K2385">
        <v>96.367999999999995</v>
      </c>
      <c r="L2385">
        <v>4.3959999999999999</v>
      </c>
      <c r="M2385">
        <v>4.1989999999999998</v>
      </c>
      <c r="N2385">
        <v>4.1989999999999998</v>
      </c>
      <c r="O2385" t="s">
        <v>101</v>
      </c>
      <c r="P2385" t="s">
        <v>2454</v>
      </c>
      <c r="Q2385" t="s">
        <v>2454</v>
      </c>
      <c r="R2385" t="s">
        <v>2436</v>
      </c>
    </row>
    <row r="2386" spans="1:18" x14ac:dyDescent="0.5">
      <c r="A2386" t="str">
        <f>"87612EBE5"</f>
        <v>87612EBE5</v>
      </c>
      <c r="B2386" t="s">
        <v>101</v>
      </c>
      <c r="C2386" t="s">
        <v>2997</v>
      </c>
      <c r="D2386" t="s">
        <v>2433</v>
      </c>
      <c r="E2386">
        <v>2.5</v>
      </c>
      <c r="F2386" s="2">
        <v>46127</v>
      </c>
      <c r="G2386" s="2" t="s">
        <v>101</v>
      </c>
      <c r="H2386" t="s">
        <v>610</v>
      </c>
      <c r="I2386" t="s">
        <v>611</v>
      </c>
      <c r="J2386">
        <v>97.918999999999997</v>
      </c>
      <c r="K2386">
        <v>98.07</v>
      </c>
      <c r="L2386">
        <v>4.4720000000000004</v>
      </c>
      <c r="M2386">
        <v>4.327</v>
      </c>
      <c r="N2386">
        <v>4.327</v>
      </c>
      <c r="O2386" t="s">
        <v>101</v>
      </c>
      <c r="P2386" t="s">
        <v>2683</v>
      </c>
      <c r="Q2386" t="s">
        <v>2998</v>
      </c>
      <c r="R2386" t="s">
        <v>2436</v>
      </c>
    </row>
    <row r="2387" spans="1:18" x14ac:dyDescent="0.5">
      <c r="A2387" t="str">
        <f>"893939AE8"</f>
        <v>893939AE8</v>
      </c>
      <c r="B2387" t="s">
        <v>101</v>
      </c>
      <c r="C2387" t="s">
        <v>2999</v>
      </c>
      <c r="D2387" t="s">
        <v>2433</v>
      </c>
      <c r="E2387">
        <v>7.75</v>
      </c>
      <c r="F2387" s="2">
        <v>46127</v>
      </c>
      <c r="G2387" s="2" t="s">
        <v>105</v>
      </c>
      <c r="H2387" t="s">
        <v>610</v>
      </c>
      <c r="I2387" t="s">
        <v>611</v>
      </c>
      <c r="J2387">
        <v>103.497</v>
      </c>
      <c r="K2387">
        <v>103.803</v>
      </c>
      <c r="L2387">
        <v>4.4269999999999996</v>
      </c>
      <c r="M2387">
        <v>4.1449999999999996</v>
      </c>
      <c r="N2387">
        <v>4.1449999999999996</v>
      </c>
      <c r="O2387" t="s">
        <v>101</v>
      </c>
      <c r="P2387" t="s">
        <v>2434</v>
      </c>
      <c r="Q2387" t="s">
        <v>3000</v>
      </c>
      <c r="R2387" t="s">
        <v>2465</v>
      </c>
    </row>
    <row r="2388" spans="1:18" x14ac:dyDescent="0.5">
      <c r="A2388" t="str">
        <f>"931142FA6"</f>
        <v>931142FA6</v>
      </c>
      <c r="B2388" t="s">
        <v>101</v>
      </c>
      <c r="C2388" t="s">
        <v>3001</v>
      </c>
      <c r="D2388" t="s">
        <v>2433</v>
      </c>
      <c r="E2388">
        <v>4</v>
      </c>
      <c r="F2388" s="2">
        <v>46127</v>
      </c>
      <c r="G2388" s="2">
        <v>46096</v>
      </c>
      <c r="H2388" t="s">
        <v>613</v>
      </c>
      <c r="I2388" t="s">
        <v>628</v>
      </c>
      <c r="J2388">
        <v>99.763000000000005</v>
      </c>
      <c r="K2388">
        <v>99.894000000000005</v>
      </c>
      <c r="L2388">
        <v>4.2210000000000001</v>
      </c>
      <c r="M2388">
        <v>4.0970000000000004</v>
      </c>
      <c r="N2388">
        <v>4.0970000000000004</v>
      </c>
      <c r="O2388" t="s">
        <v>101</v>
      </c>
      <c r="P2388" t="s">
        <v>2447</v>
      </c>
      <c r="Q2388" t="s">
        <v>2467</v>
      </c>
      <c r="R2388" t="s">
        <v>2436</v>
      </c>
    </row>
    <row r="2389" spans="1:18" x14ac:dyDescent="0.5">
      <c r="A2389" t="str">
        <f>"961214FR9"</f>
        <v>961214FR9</v>
      </c>
      <c r="B2389" t="s">
        <v>101</v>
      </c>
      <c r="C2389" t="s">
        <v>3002</v>
      </c>
      <c r="D2389" t="s">
        <v>2433</v>
      </c>
      <c r="E2389">
        <v>5.2</v>
      </c>
      <c r="F2389" s="2">
        <v>46128</v>
      </c>
      <c r="G2389" s="2" t="s">
        <v>101</v>
      </c>
      <c r="H2389" t="s">
        <v>613</v>
      </c>
      <c r="I2389" t="s">
        <v>616</v>
      </c>
      <c r="J2389">
        <v>100.895</v>
      </c>
      <c r="K2389">
        <v>101.09699999999999</v>
      </c>
      <c r="L2389">
        <v>4.3499999999999996</v>
      </c>
      <c r="M2389">
        <v>4.16</v>
      </c>
      <c r="N2389">
        <v>4.16</v>
      </c>
      <c r="O2389" t="s">
        <v>101</v>
      </c>
      <c r="P2389" t="s">
        <v>2683</v>
      </c>
      <c r="Q2389" t="s">
        <v>2798</v>
      </c>
      <c r="R2389" t="s">
        <v>2436</v>
      </c>
    </row>
    <row r="2390" spans="1:18" x14ac:dyDescent="0.5">
      <c r="A2390" t="str">
        <f>"902613BB3"</f>
        <v>902613BB3</v>
      </c>
      <c r="B2390" t="s">
        <v>101</v>
      </c>
      <c r="C2390" t="s">
        <v>3003</v>
      </c>
      <c r="D2390" t="s">
        <v>2433</v>
      </c>
      <c r="E2390">
        <v>4.55</v>
      </c>
      <c r="F2390" s="2">
        <v>46129</v>
      </c>
      <c r="G2390" s="2" t="s">
        <v>101</v>
      </c>
      <c r="H2390" t="s">
        <v>627</v>
      </c>
      <c r="I2390" t="s">
        <v>713</v>
      </c>
      <c r="J2390">
        <v>99.989000000000004</v>
      </c>
      <c r="K2390">
        <v>100.099</v>
      </c>
      <c r="L2390">
        <v>4.5570000000000004</v>
      </c>
      <c r="M2390">
        <v>4.4530000000000003</v>
      </c>
      <c r="N2390">
        <v>4.4530000000000003</v>
      </c>
      <c r="O2390" t="s">
        <v>101</v>
      </c>
      <c r="P2390" t="s">
        <v>2434</v>
      </c>
      <c r="Q2390" t="s">
        <v>2719</v>
      </c>
      <c r="R2390" t="s">
        <v>2436</v>
      </c>
    </row>
    <row r="2391" spans="1:18" x14ac:dyDescent="0.5">
      <c r="A2391" t="str">
        <f>"06051GFX2"</f>
        <v>06051GFX2</v>
      </c>
      <c r="B2391" t="s">
        <v>101</v>
      </c>
      <c r="C2391" t="s">
        <v>3004</v>
      </c>
      <c r="D2391" t="s">
        <v>2433</v>
      </c>
      <c r="E2391">
        <v>3.5</v>
      </c>
      <c r="F2391" s="2">
        <v>46131</v>
      </c>
      <c r="G2391" s="2" t="s">
        <v>101</v>
      </c>
      <c r="H2391" t="s">
        <v>641</v>
      </c>
      <c r="I2391" t="s">
        <v>713</v>
      </c>
      <c r="J2391">
        <v>98.902000000000001</v>
      </c>
      <c r="K2391">
        <v>99.019000000000005</v>
      </c>
      <c r="L2391">
        <v>4.5289999999999999</v>
      </c>
      <c r="M2391">
        <v>4.4180000000000001</v>
      </c>
      <c r="N2391">
        <v>4.4180000000000001</v>
      </c>
      <c r="O2391" t="s">
        <v>101</v>
      </c>
      <c r="P2391" t="s">
        <v>2776</v>
      </c>
      <c r="Q2391" t="s">
        <v>3005</v>
      </c>
      <c r="R2391" t="s">
        <v>2436</v>
      </c>
    </row>
    <row r="2392" spans="1:18" x14ac:dyDescent="0.5">
      <c r="A2392" t="str">
        <f>"61690U4T4"</f>
        <v>61690U4T4</v>
      </c>
      <c r="B2392" t="s">
        <v>101</v>
      </c>
      <c r="C2392" t="s">
        <v>3006</v>
      </c>
      <c r="D2392" t="s">
        <v>2433</v>
      </c>
      <c r="E2392">
        <v>4.7539999999999996</v>
      </c>
      <c r="F2392" s="2">
        <v>46133</v>
      </c>
      <c r="G2392" s="2">
        <v>46102</v>
      </c>
      <c r="H2392" t="s">
        <v>624</v>
      </c>
      <c r="I2392" t="s">
        <v>658</v>
      </c>
      <c r="J2392">
        <v>100.28400000000001</v>
      </c>
      <c r="K2392">
        <v>100.465</v>
      </c>
      <c r="L2392">
        <v>4.4660000000000002</v>
      </c>
      <c r="M2392">
        <v>4.2850000000000001</v>
      </c>
      <c r="N2392">
        <v>4.3159999999999998</v>
      </c>
      <c r="O2392" t="s">
        <v>101</v>
      </c>
      <c r="P2392" t="s">
        <v>3007</v>
      </c>
      <c r="Q2392" t="s">
        <v>2719</v>
      </c>
      <c r="R2392" t="s">
        <v>2436</v>
      </c>
    </row>
    <row r="2393" spans="1:18" x14ac:dyDescent="0.5">
      <c r="A2393" t="str">
        <f>"742718FP9"</f>
        <v>742718FP9</v>
      </c>
      <c r="B2393" t="s">
        <v>101</v>
      </c>
      <c r="C2393" t="s">
        <v>3008</v>
      </c>
      <c r="D2393" t="s">
        <v>2433</v>
      </c>
      <c r="E2393">
        <v>1</v>
      </c>
      <c r="F2393" s="2">
        <v>46135</v>
      </c>
      <c r="G2393" s="2" t="s">
        <v>101</v>
      </c>
      <c r="H2393" t="s">
        <v>624</v>
      </c>
      <c r="I2393" t="s">
        <v>616</v>
      </c>
      <c r="J2393">
        <v>96.477000000000004</v>
      </c>
      <c r="K2393">
        <v>96.721000000000004</v>
      </c>
      <c r="L2393">
        <v>4.2709999999999999</v>
      </c>
      <c r="M2393">
        <v>4.0389999999999997</v>
      </c>
      <c r="N2393">
        <v>4.0389999999999997</v>
      </c>
      <c r="O2393" t="s">
        <v>101</v>
      </c>
      <c r="P2393" t="s">
        <v>2731</v>
      </c>
      <c r="Q2393" t="s">
        <v>2454</v>
      </c>
      <c r="R2393" t="s">
        <v>2436</v>
      </c>
    </row>
    <row r="2394" spans="1:18" x14ac:dyDescent="0.5">
      <c r="A2394" t="str">
        <f>"78016EZQ3"</f>
        <v>78016EZQ3</v>
      </c>
      <c r="B2394" t="s">
        <v>101</v>
      </c>
      <c r="C2394" t="s">
        <v>3009</v>
      </c>
      <c r="D2394" t="s">
        <v>2433</v>
      </c>
      <c r="E2394">
        <v>1.2</v>
      </c>
      <c r="F2394" s="2">
        <v>46139</v>
      </c>
      <c r="G2394" s="2" t="s">
        <v>101</v>
      </c>
      <c r="H2394" t="s">
        <v>641</v>
      </c>
      <c r="I2394" t="s">
        <v>611</v>
      </c>
      <c r="J2394">
        <v>96.406999999999996</v>
      </c>
      <c r="K2394">
        <v>96.525000000000006</v>
      </c>
      <c r="L2394">
        <v>4.51</v>
      </c>
      <c r="M2394">
        <v>4.399</v>
      </c>
      <c r="N2394">
        <v>4.399</v>
      </c>
      <c r="O2394" t="s">
        <v>101</v>
      </c>
      <c r="P2394" t="s">
        <v>1702</v>
      </c>
      <c r="Q2394" t="s">
        <v>3010</v>
      </c>
      <c r="R2394" t="s">
        <v>2436</v>
      </c>
    </row>
    <row r="2395" spans="1:18" x14ac:dyDescent="0.5">
      <c r="A2395" t="str">
        <f>"91159HHM5"</f>
        <v>91159HHM5</v>
      </c>
      <c r="B2395" t="s">
        <v>101</v>
      </c>
      <c r="C2395" t="s">
        <v>3011</v>
      </c>
      <c r="D2395" t="s">
        <v>2433</v>
      </c>
      <c r="E2395">
        <v>3.1</v>
      </c>
      <c r="F2395" s="2">
        <v>46139</v>
      </c>
      <c r="G2395" s="2">
        <v>46108</v>
      </c>
      <c r="H2395" t="s">
        <v>627</v>
      </c>
      <c r="I2395" t="s">
        <v>713</v>
      </c>
      <c r="J2395">
        <v>98.349000000000004</v>
      </c>
      <c r="K2395">
        <v>98.480999999999995</v>
      </c>
      <c r="L2395">
        <v>4.62</v>
      </c>
      <c r="M2395">
        <v>4.4969999999999999</v>
      </c>
      <c r="N2395">
        <v>4.4969999999999999</v>
      </c>
      <c r="O2395" t="s">
        <v>101</v>
      </c>
      <c r="P2395" t="s">
        <v>2790</v>
      </c>
      <c r="Q2395" t="s">
        <v>3012</v>
      </c>
      <c r="R2395" t="s">
        <v>2436</v>
      </c>
    </row>
    <row r="2396" spans="1:18" x14ac:dyDescent="0.5">
      <c r="A2396" t="str">
        <f>"47215PAC0"</f>
        <v>47215PAC0</v>
      </c>
      <c r="B2396" t="s">
        <v>101</v>
      </c>
      <c r="C2396" t="s">
        <v>3013</v>
      </c>
      <c r="D2396" t="s">
        <v>2433</v>
      </c>
      <c r="E2396">
        <v>3.875</v>
      </c>
      <c r="F2396" s="2">
        <v>46141</v>
      </c>
      <c r="G2396" s="2" t="s">
        <v>101</v>
      </c>
      <c r="H2396" t="s">
        <v>627</v>
      </c>
      <c r="I2396" t="s">
        <v>713</v>
      </c>
      <c r="J2396">
        <v>99.225999999999999</v>
      </c>
      <c r="K2396">
        <v>99.433000000000007</v>
      </c>
      <c r="L2396">
        <v>4.5810000000000004</v>
      </c>
      <c r="M2396">
        <v>4.391</v>
      </c>
      <c r="N2396">
        <v>4.391</v>
      </c>
      <c r="O2396" t="s">
        <v>101</v>
      </c>
      <c r="P2396" t="s">
        <v>2687</v>
      </c>
      <c r="Q2396" t="s">
        <v>542</v>
      </c>
      <c r="R2396" t="s">
        <v>2436</v>
      </c>
    </row>
    <row r="2397" spans="1:18" x14ac:dyDescent="0.5">
      <c r="A2397" t="str">
        <f>"718172CR8"</f>
        <v>718172CR8</v>
      </c>
      <c r="B2397" t="s">
        <v>101</v>
      </c>
      <c r="C2397" t="s">
        <v>3014</v>
      </c>
      <c r="D2397" t="s">
        <v>2433</v>
      </c>
      <c r="E2397">
        <v>0.875</v>
      </c>
      <c r="F2397" s="2">
        <v>46143</v>
      </c>
      <c r="G2397" s="2">
        <v>46113</v>
      </c>
      <c r="H2397" t="s">
        <v>610</v>
      </c>
      <c r="I2397" t="s">
        <v>713</v>
      </c>
      <c r="J2397">
        <v>95.991</v>
      </c>
      <c r="K2397">
        <v>96.147999999999996</v>
      </c>
      <c r="L2397">
        <v>4.5339999999999998</v>
      </c>
      <c r="M2397">
        <v>4.3869999999999996</v>
      </c>
      <c r="N2397">
        <v>4.3869999999999996</v>
      </c>
      <c r="O2397" t="s">
        <v>101</v>
      </c>
      <c r="P2397" t="s">
        <v>1702</v>
      </c>
      <c r="Q2397" t="s">
        <v>3015</v>
      </c>
      <c r="R2397" t="s">
        <v>2436</v>
      </c>
    </row>
    <row r="2398" spans="1:18" x14ac:dyDescent="0.5">
      <c r="A2398" t="str">
        <f>"826418BM6"</f>
        <v>826418BM6</v>
      </c>
      <c r="B2398" t="s">
        <v>101</v>
      </c>
      <c r="C2398" t="s">
        <v>3016</v>
      </c>
      <c r="D2398" t="s">
        <v>2433</v>
      </c>
      <c r="E2398">
        <v>2.6</v>
      </c>
      <c r="F2398" s="2">
        <v>46143</v>
      </c>
      <c r="G2398" s="2">
        <v>46054</v>
      </c>
      <c r="H2398" t="s">
        <v>627</v>
      </c>
      <c r="I2398" t="s">
        <v>611</v>
      </c>
      <c r="J2398">
        <v>97.706000000000003</v>
      </c>
      <c r="K2398">
        <v>97.825999999999993</v>
      </c>
      <c r="L2398">
        <v>4.694</v>
      </c>
      <c r="M2398">
        <v>4.5830000000000002</v>
      </c>
      <c r="N2398">
        <v>4.5830000000000002</v>
      </c>
      <c r="O2398" t="s">
        <v>101</v>
      </c>
      <c r="P2398" t="s">
        <v>2434</v>
      </c>
      <c r="Q2398" t="s">
        <v>3017</v>
      </c>
      <c r="R2398" t="s">
        <v>2436</v>
      </c>
    </row>
    <row r="2399" spans="1:18" x14ac:dyDescent="0.5">
      <c r="A2399" t="str">
        <f>"00440EAV9"</f>
        <v>00440EAV9</v>
      </c>
      <c r="B2399" t="s">
        <v>101</v>
      </c>
      <c r="C2399" t="s">
        <v>3018</v>
      </c>
      <c r="D2399" t="s">
        <v>2433</v>
      </c>
      <c r="E2399">
        <v>3.35</v>
      </c>
      <c r="F2399" s="2">
        <v>46145</v>
      </c>
      <c r="G2399" s="2">
        <v>46056</v>
      </c>
      <c r="H2399" t="s">
        <v>610</v>
      </c>
      <c r="I2399" t="s">
        <v>611</v>
      </c>
      <c r="J2399">
        <v>98.769000000000005</v>
      </c>
      <c r="K2399">
        <v>98.912000000000006</v>
      </c>
      <c r="L2399">
        <v>4.4649999999999999</v>
      </c>
      <c r="M2399">
        <v>4.3339999999999996</v>
      </c>
      <c r="N2399">
        <v>4.3339999999999996</v>
      </c>
      <c r="O2399" t="s">
        <v>101</v>
      </c>
      <c r="P2399" t="s">
        <v>2581</v>
      </c>
      <c r="Q2399" t="s">
        <v>2472</v>
      </c>
      <c r="R2399" t="s">
        <v>2436</v>
      </c>
    </row>
    <row r="2400" spans="1:18" x14ac:dyDescent="0.5">
      <c r="A2400" t="str">
        <f>"06406FAC7"</f>
        <v>06406FAC7</v>
      </c>
      <c r="B2400" t="s">
        <v>101</v>
      </c>
      <c r="C2400" t="s">
        <v>3019</v>
      </c>
      <c r="D2400" t="s">
        <v>2433</v>
      </c>
      <c r="E2400">
        <v>2.8</v>
      </c>
      <c r="F2400" s="2">
        <v>46146</v>
      </c>
      <c r="G2400" s="2">
        <v>46057</v>
      </c>
      <c r="H2400" t="s">
        <v>624</v>
      </c>
      <c r="I2400" t="s">
        <v>611</v>
      </c>
      <c r="J2400">
        <v>98.094999999999999</v>
      </c>
      <c r="K2400">
        <v>98.3</v>
      </c>
      <c r="L2400">
        <v>4.524</v>
      </c>
      <c r="M2400">
        <v>4.3360000000000003</v>
      </c>
      <c r="N2400">
        <v>4.3360000000000003</v>
      </c>
      <c r="O2400" t="s">
        <v>101</v>
      </c>
      <c r="P2400" t="s">
        <v>2527</v>
      </c>
      <c r="Q2400" t="s">
        <v>3020</v>
      </c>
      <c r="R2400" t="s">
        <v>2436</v>
      </c>
    </row>
    <row r="2401" spans="1:18" x14ac:dyDescent="0.5">
      <c r="A2401" t="str">
        <f>"10373QAT7"</f>
        <v>10373QAT7</v>
      </c>
      <c r="B2401" t="s">
        <v>101</v>
      </c>
      <c r="C2401" t="s">
        <v>3021</v>
      </c>
      <c r="D2401" t="s">
        <v>2433</v>
      </c>
      <c r="E2401">
        <v>3.1190000000000002</v>
      </c>
      <c r="F2401" s="2">
        <v>46146</v>
      </c>
      <c r="G2401" s="2">
        <v>46057</v>
      </c>
      <c r="H2401" t="s">
        <v>641</v>
      </c>
      <c r="I2401" t="s">
        <v>713</v>
      </c>
      <c r="J2401">
        <v>98.543999999999997</v>
      </c>
      <c r="K2401">
        <v>98.614999999999995</v>
      </c>
      <c r="L2401">
        <v>4.4349999999999996</v>
      </c>
      <c r="M2401">
        <v>4.37</v>
      </c>
      <c r="N2401">
        <v>4.37</v>
      </c>
      <c r="O2401" t="s">
        <v>101</v>
      </c>
      <c r="P2401" t="s">
        <v>2443</v>
      </c>
      <c r="Q2401" t="s">
        <v>3022</v>
      </c>
      <c r="R2401" t="s">
        <v>2436</v>
      </c>
    </row>
    <row r="2402" spans="1:18" x14ac:dyDescent="0.5">
      <c r="A2402" t="str">
        <f>"822582BT8"</f>
        <v>822582BT8</v>
      </c>
      <c r="B2402" t="s">
        <v>101</v>
      </c>
      <c r="C2402" t="s">
        <v>3023</v>
      </c>
      <c r="D2402" t="s">
        <v>2433</v>
      </c>
      <c r="E2402">
        <v>2.875</v>
      </c>
      <c r="F2402" s="2">
        <v>46152</v>
      </c>
      <c r="G2402" s="2" t="s">
        <v>101</v>
      </c>
      <c r="H2402" t="s">
        <v>613</v>
      </c>
      <c r="I2402" t="s">
        <v>658</v>
      </c>
      <c r="J2402">
        <v>98.381</v>
      </c>
      <c r="K2402">
        <v>98.385000000000005</v>
      </c>
      <c r="L2402">
        <v>4.3170000000000002</v>
      </c>
      <c r="M2402">
        <v>4.3129999999999997</v>
      </c>
      <c r="N2402">
        <v>4.3129999999999997</v>
      </c>
      <c r="O2402" t="s">
        <v>101</v>
      </c>
      <c r="P2402" t="s">
        <v>3024</v>
      </c>
      <c r="Q2402" t="s">
        <v>2594</v>
      </c>
      <c r="R2402" t="s">
        <v>2436</v>
      </c>
    </row>
    <row r="2403" spans="1:18" x14ac:dyDescent="0.5">
      <c r="A2403" t="str">
        <f>"05348EAX7"</f>
        <v>05348EAX7</v>
      </c>
      <c r="B2403" t="s">
        <v>101</v>
      </c>
      <c r="C2403" t="s">
        <v>3025</v>
      </c>
      <c r="D2403" t="s">
        <v>2433</v>
      </c>
      <c r="E2403">
        <v>2.95</v>
      </c>
      <c r="F2403" s="2">
        <v>46153</v>
      </c>
      <c r="G2403" s="2">
        <v>46064</v>
      </c>
      <c r="H2403" t="s">
        <v>627</v>
      </c>
      <c r="I2403" t="s">
        <v>713</v>
      </c>
      <c r="J2403">
        <v>98.105999999999995</v>
      </c>
      <c r="K2403">
        <v>98.248999999999995</v>
      </c>
      <c r="L2403">
        <v>4.6369999999999996</v>
      </c>
      <c r="M2403">
        <v>4.508</v>
      </c>
      <c r="N2403">
        <v>4.508</v>
      </c>
      <c r="O2403" t="s">
        <v>101</v>
      </c>
      <c r="P2403" t="s">
        <v>1702</v>
      </c>
      <c r="Q2403" t="s">
        <v>3026</v>
      </c>
      <c r="R2403" t="s">
        <v>2436</v>
      </c>
    </row>
    <row r="2404" spans="1:18" x14ac:dyDescent="0.5">
      <c r="A2404" t="str">
        <f>"69371RR32"</f>
        <v>69371RR32</v>
      </c>
      <c r="B2404" t="s">
        <v>101</v>
      </c>
      <c r="C2404" t="s">
        <v>3027</v>
      </c>
      <c r="D2404" t="s">
        <v>2433</v>
      </c>
      <c r="E2404">
        <v>1.1000000000000001</v>
      </c>
      <c r="F2404" s="2">
        <v>46153</v>
      </c>
      <c r="G2404" s="2" t="s">
        <v>105</v>
      </c>
      <c r="H2404" t="s">
        <v>641</v>
      </c>
      <c r="I2404" t="s">
        <v>658</v>
      </c>
      <c r="J2404">
        <v>96.296999999999997</v>
      </c>
      <c r="K2404">
        <v>96.488</v>
      </c>
      <c r="L2404">
        <v>4.3970000000000002</v>
      </c>
      <c r="M2404">
        <v>4.2229999999999999</v>
      </c>
      <c r="N2404">
        <v>4.2229999999999999</v>
      </c>
      <c r="O2404" t="s">
        <v>101</v>
      </c>
      <c r="P2404" t="s">
        <v>858</v>
      </c>
      <c r="Q2404" t="s">
        <v>3028</v>
      </c>
      <c r="R2404" t="s">
        <v>2465</v>
      </c>
    </row>
    <row r="2405" spans="1:18" x14ac:dyDescent="0.5">
      <c r="A2405" t="str">
        <f>"023135BX3"</f>
        <v>023135BX3</v>
      </c>
      <c r="B2405" t="s">
        <v>101</v>
      </c>
      <c r="C2405" t="s">
        <v>3029</v>
      </c>
      <c r="D2405" t="s">
        <v>2433</v>
      </c>
      <c r="E2405">
        <v>1</v>
      </c>
      <c r="F2405" s="2">
        <v>46154</v>
      </c>
      <c r="G2405" s="2">
        <v>46124</v>
      </c>
      <c r="H2405" t="s">
        <v>641</v>
      </c>
      <c r="I2405" t="s">
        <v>628</v>
      </c>
      <c r="J2405">
        <v>96.296999999999997</v>
      </c>
      <c r="K2405">
        <v>96.436000000000007</v>
      </c>
      <c r="L2405">
        <v>4.2869999999999999</v>
      </c>
      <c r="M2405">
        <v>4.16</v>
      </c>
      <c r="N2405">
        <v>4.16</v>
      </c>
      <c r="O2405" t="s">
        <v>101</v>
      </c>
      <c r="P2405" t="s">
        <v>2581</v>
      </c>
      <c r="Q2405" t="s">
        <v>2438</v>
      </c>
      <c r="R2405" t="s">
        <v>2436</v>
      </c>
    </row>
    <row r="2406" spans="1:18" x14ac:dyDescent="0.5">
      <c r="A2406" t="str">
        <f>"808513BR5"</f>
        <v>808513BR5</v>
      </c>
      <c r="B2406" t="s">
        <v>101</v>
      </c>
      <c r="C2406" t="s">
        <v>3030</v>
      </c>
      <c r="D2406" t="s">
        <v>2433</v>
      </c>
      <c r="E2406">
        <v>1.1499999999999999</v>
      </c>
      <c r="F2406" s="2">
        <v>46155</v>
      </c>
      <c r="G2406" s="2">
        <v>46125</v>
      </c>
      <c r="H2406" t="s">
        <v>610</v>
      </c>
      <c r="I2406" t="s">
        <v>713</v>
      </c>
      <c r="J2406">
        <v>96.173000000000002</v>
      </c>
      <c r="K2406">
        <v>96.316999999999993</v>
      </c>
      <c r="L2406">
        <v>4.5460000000000003</v>
      </c>
      <c r="M2406">
        <v>4.415</v>
      </c>
      <c r="N2406">
        <v>4.415</v>
      </c>
      <c r="O2406" t="s">
        <v>101</v>
      </c>
      <c r="P2406" t="s">
        <v>2434</v>
      </c>
      <c r="Q2406" t="s">
        <v>2472</v>
      </c>
      <c r="R2406" t="s">
        <v>2436</v>
      </c>
    </row>
    <row r="2407" spans="1:18" x14ac:dyDescent="0.5">
      <c r="A2407" t="str">
        <f>"961214CX9"</f>
        <v>961214CX9</v>
      </c>
      <c r="B2407" t="s">
        <v>101</v>
      </c>
      <c r="C2407" t="s">
        <v>3031</v>
      </c>
      <c r="D2407" t="s">
        <v>2433</v>
      </c>
      <c r="E2407">
        <v>2.85</v>
      </c>
      <c r="F2407" s="2">
        <v>46155</v>
      </c>
      <c r="G2407" s="2" t="s">
        <v>101</v>
      </c>
      <c r="H2407" t="s">
        <v>613</v>
      </c>
      <c r="I2407" t="s">
        <v>616</v>
      </c>
      <c r="J2407">
        <v>98.283000000000001</v>
      </c>
      <c r="K2407">
        <v>98.412000000000006</v>
      </c>
      <c r="L2407">
        <v>4.3689999999999998</v>
      </c>
      <c r="M2407">
        <v>4.2530000000000001</v>
      </c>
      <c r="N2407">
        <v>4.2530000000000001</v>
      </c>
      <c r="O2407" t="s">
        <v>101</v>
      </c>
      <c r="P2407" t="s">
        <v>3032</v>
      </c>
      <c r="Q2407" t="s">
        <v>2454</v>
      </c>
      <c r="R2407" t="s">
        <v>2436</v>
      </c>
    </row>
    <row r="2408" spans="1:18" x14ac:dyDescent="0.5">
      <c r="A2408" t="str">
        <f>"00287YAY5"</f>
        <v>00287YAY5</v>
      </c>
      <c r="B2408" t="s">
        <v>101</v>
      </c>
      <c r="C2408" t="s">
        <v>3033</v>
      </c>
      <c r="D2408" t="s">
        <v>2433</v>
      </c>
      <c r="E2408">
        <v>3.2</v>
      </c>
      <c r="F2408" s="2">
        <v>46156</v>
      </c>
      <c r="G2408" s="2">
        <v>46067</v>
      </c>
      <c r="H2408" t="s">
        <v>627</v>
      </c>
      <c r="I2408" t="s">
        <v>713</v>
      </c>
      <c r="J2408">
        <v>98.593000000000004</v>
      </c>
      <c r="K2408">
        <v>98.7</v>
      </c>
      <c r="L2408">
        <v>4.4420000000000002</v>
      </c>
      <c r="M2408">
        <v>4.3460000000000001</v>
      </c>
      <c r="N2408">
        <v>4.3460000000000001</v>
      </c>
      <c r="O2408" t="s">
        <v>101</v>
      </c>
      <c r="P2408" t="s">
        <v>2581</v>
      </c>
      <c r="Q2408" t="s">
        <v>2472</v>
      </c>
      <c r="R2408" t="s">
        <v>2436</v>
      </c>
    </row>
    <row r="2409" spans="1:18" x14ac:dyDescent="0.5">
      <c r="A2409" t="str">
        <f>"06048WL99"</f>
        <v>06048WL99</v>
      </c>
      <c r="B2409" t="s">
        <v>101</v>
      </c>
      <c r="C2409" t="s">
        <v>3034</v>
      </c>
      <c r="D2409" t="s">
        <v>2433</v>
      </c>
      <c r="E2409">
        <v>1.4</v>
      </c>
      <c r="F2409" s="2">
        <v>46156</v>
      </c>
      <c r="G2409" s="2">
        <v>45791</v>
      </c>
      <c r="H2409" t="s">
        <v>641</v>
      </c>
      <c r="I2409" t="s">
        <v>713</v>
      </c>
      <c r="J2409">
        <v>96.48</v>
      </c>
      <c r="K2409">
        <v>96.614000000000004</v>
      </c>
      <c r="L2409">
        <v>4.5149999999999997</v>
      </c>
      <c r="M2409">
        <v>4.3940000000000001</v>
      </c>
      <c r="N2409">
        <v>4.3940000000000001</v>
      </c>
      <c r="O2409" t="s">
        <v>101</v>
      </c>
      <c r="P2409" t="s">
        <v>2590</v>
      </c>
      <c r="Q2409" t="s">
        <v>554</v>
      </c>
      <c r="R2409" t="s">
        <v>2436</v>
      </c>
    </row>
    <row r="2410" spans="1:18" x14ac:dyDescent="0.5">
      <c r="A2410" t="str">
        <f>"14913UAA8"</f>
        <v>14913UAA8</v>
      </c>
      <c r="B2410" t="s">
        <v>101</v>
      </c>
      <c r="C2410" t="s">
        <v>3035</v>
      </c>
      <c r="D2410" t="s">
        <v>2433</v>
      </c>
      <c r="E2410">
        <v>4.3499999999999996</v>
      </c>
      <c r="F2410" s="2">
        <v>46157</v>
      </c>
      <c r="G2410" s="2" t="s">
        <v>101</v>
      </c>
      <c r="H2410" t="s">
        <v>610</v>
      </c>
      <c r="I2410" t="s">
        <v>611</v>
      </c>
      <c r="J2410">
        <v>100.072</v>
      </c>
      <c r="K2410">
        <v>100.14400000000001</v>
      </c>
      <c r="L2410">
        <v>4.282</v>
      </c>
      <c r="M2410">
        <v>4.2190000000000003</v>
      </c>
      <c r="N2410">
        <v>4.2190000000000003</v>
      </c>
      <c r="O2410" t="s">
        <v>101</v>
      </c>
      <c r="P2410" t="s">
        <v>790</v>
      </c>
      <c r="Q2410" t="s">
        <v>2940</v>
      </c>
      <c r="R2410" t="s">
        <v>2436</v>
      </c>
    </row>
    <row r="2411" spans="1:18" x14ac:dyDescent="0.5">
      <c r="A2411" t="str">
        <f>"263534CQ0"</f>
        <v>263534CQ0</v>
      </c>
      <c r="B2411" t="s">
        <v>101</v>
      </c>
      <c r="C2411" t="s">
        <v>3036</v>
      </c>
      <c r="D2411" t="s">
        <v>2433</v>
      </c>
      <c r="E2411">
        <v>4.5</v>
      </c>
      <c r="F2411" s="2">
        <v>46157</v>
      </c>
      <c r="G2411" s="2">
        <v>46127</v>
      </c>
      <c r="H2411" t="s">
        <v>627</v>
      </c>
      <c r="I2411" t="s">
        <v>713</v>
      </c>
      <c r="J2411">
        <v>99.924000000000007</v>
      </c>
      <c r="K2411">
        <v>100.092</v>
      </c>
      <c r="L2411">
        <v>4.5620000000000003</v>
      </c>
      <c r="M2411">
        <v>4.4109999999999996</v>
      </c>
      <c r="N2411">
        <v>4.4139999999999997</v>
      </c>
      <c r="O2411" t="s">
        <v>101</v>
      </c>
      <c r="P2411" t="s">
        <v>2581</v>
      </c>
      <c r="Q2411" t="s">
        <v>2454</v>
      </c>
      <c r="R2411" t="s">
        <v>2436</v>
      </c>
    </row>
    <row r="2412" spans="1:18" x14ac:dyDescent="0.5">
      <c r="A2412" t="str">
        <f>"341081GR2"</f>
        <v>341081GR2</v>
      </c>
      <c r="B2412" t="s">
        <v>101</v>
      </c>
      <c r="C2412" t="s">
        <v>3037</v>
      </c>
      <c r="D2412" t="s">
        <v>2433</v>
      </c>
      <c r="E2412">
        <v>4.45</v>
      </c>
      <c r="F2412" s="2">
        <v>46157</v>
      </c>
      <c r="G2412" s="2">
        <v>46127</v>
      </c>
      <c r="H2412" t="s">
        <v>641</v>
      </c>
      <c r="I2412" t="s">
        <v>611</v>
      </c>
      <c r="J2412">
        <v>100.191</v>
      </c>
      <c r="K2412">
        <v>100.38800000000001</v>
      </c>
      <c r="L2412">
        <v>4.2670000000000003</v>
      </c>
      <c r="M2412">
        <v>4.0810000000000004</v>
      </c>
      <c r="N2412">
        <v>4.1040000000000001</v>
      </c>
      <c r="O2412" t="s">
        <v>101</v>
      </c>
      <c r="P2412" t="s">
        <v>2454</v>
      </c>
      <c r="Q2412" t="s">
        <v>3038</v>
      </c>
      <c r="R2412" t="s">
        <v>2436</v>
      </c>
    </row>
    <row r="2413" spans="1:18" x14ac:dyDescent="0.5">
      <c r="A2413" t="str">
        <f>"459200JZ5"</f>
        <v>459200JZ5</v>
      </c>
      <c r="B2413" t="s">
        <v>101</v>
      </c>
      <c r="C2413" t="s">
        <v>3039</v>
      </c>
      <c r="D2413" t="s">
        <v>2433</v>
      </c>
      <c r="E2413">
        <v>3.3</v>
      </c>
      <c r="F2413" s="2">
        <v>46157</v>
      </c>
      <c r="G2413" s="2" t="s">
        <v>101</v>
      </c>
      <c r="H2413" t="s">
        <v>627</v>
      </c>
      <c r="I2413" t="s">
        <v>713</v>
      </c>
      <c r="J2413">
        <v>98.537999999999997</v>
      </c>
      <c r="K2413">
        <v>98.617999999999995</v>
      </c>
      <c r="L2413">
        <v>4.5890000000000004</v>
      </c>
      <c r="M2413">
        <v>4.5170000000000003</v>
      </c>
      <c r="N2413">
        <v>4.5170000000000003</v>
      </c>
      <c r="O2413" t="s">
        <v>101</v>
      </c>
      <c r="P2413" t="s">
        <v>2635</v>
      </c>
      <c r="Q2413" t="s">
        <v>3040</v>
      </c>
      <c r="R2413" t="s">
        <v>2436</v>
      </c>
    </row>
    <row r="2414" spans="1:18" x14ac:dyDescent="0.5">
      <c r="A2414" t="str">
        <f>"797440BU7"</f>
        <v>797440BU7</v>
      </c>
      <c r="B2414" t="s">
        <v>101</v>
      </c>
      <c r="C2414" t="s">
        <v>3041</v>
      </c>
      <c r="D2414" t="s">
        <v>2433</v>
      </c>
      <c r="E2414">
        <v>2.5</v>
      </c>
      <c r="F2414" s="2">
        <v>46157</v>
      </c>
      <c r="G2414" s="2">
        <v>46068</v>
      </c>
      <c r="H2414" t="s">
        <v>641</v>
      </c>
      <c r="I2414" t="s">
        <v>611</v>
      </c>
      <c r="J2414">
        <v>97.632999999999996</v>
      </c>
      <c r="K2414">
        <v>97.918999999999997</v>
      </c>
      <c r="L2414">
        <v>4.5890000000000004</v>
      </c>
      <c r="M2414">
        <v>4.3330000000000002</v>
      </c>
      <c r="N2414">
        <v>4.3330000000000002</v>
      </c>
      <c r="O2414" t="s">
        <v>101</v>
      </c>
      <c r="P2414" t="s">
        <v>2952</v>
      </c>
      <c r="Q2414" t="s">
        <v>3042</v>
      </c>
      <c r="R2414" t="s">
        <v>2436</v>
      </c>
    </row>
    <row r="2415" spans="1:18" x14ac:dyDescent="0.5">
      <c r="A2415" t="str">
        <f>"89236TMD4"</f>
        <v>89236TMD4</v>
      </c>
      <c r="B2415" t="s">
        <v>101</v>
      </c>
      <c r="C2415" t="s">
        <v>3043</v>
      </c>
      <c r="D2415" t="s">
        <v>2433</v>
      </c>
      <c r="E2415">
        <v>5.2</v>
      </c>
      <c r="F2415" s="2">
        <v>46157</v>
      </c>
      <c r="G2415" s="2" t="s">
        <v>105</v>
      </c>
      <c r="H2415" t="s">
        <v>641</v>
      </c>
      <c r="I2415" t="s">
        <v>658</v>
      </c>
      <c r="J2415">
        <v>100.877</v>
      </c>
      <c r="K2415">
        <v>101.065</v>
      </c>
      <c r="L2415">
        <v>4.42</v>
      </c>
      <c r="M2415">
        <v>4.2560000000000002</v>
      </c>
      <c r="N2415">
        <v>4.2560000000000002</v>
      </c>
      <c r="O2415" t="s">
        <v>101</v>
      </c>
      <c r="P2415" t="s">
        <v>3044</v>
      </c>
      <c r="Q2415" t="s">
        <v>2747</v>
      </c>
      <c r="R2415" t="s">
        <v>2465</v>
      </c>
    </row>
    <row r="2416" spans="1:18" x14ac:dyDescent="0.5">
      <c r="A2416" t="str">
        <f>"91324PEC2"</f>
        <v>91324PEC2</v>
      </c>
      <c r="B2416" t="s">
        <v>101</v>
      </c>
      <c r="C2416" t="s">
        <v>3045</v>
      </c>
      <c r="D2416" t="s">
        <v>2433</v>
      </c>
      <c r="E2416">
        <v>1.1499999999999999</v>
      </c>
      <c r="F2416" s="2">
        <v>46157</v>
      </c>
      <c r="G2416" s="2">
        <v>46127</v>
      </c>
      <c r="H2416" t="s">
        <v>610</v>
      </c>
      <c r="I2416" t="s">
        <v>658</v>
      </c>
      <c r="J2416">
        <v>96.230999999999995</v>
      </c>
      <c r="K2416">
        <v>96.376999999999995</v>
      </c>
      <c r="L2416">
        <v>4.4770000000000003</v>
      </c>
      <c r="M2416">
        <v>4.3449999999999998</v>
      </c>
      <c r="N2416">
        <v>4.3449999999999998</v>
      </c>
      <c r="O2416" t="s">
        <v>101</v>
      </c>
      <c r="P2416" t="s">
        <v>2795</v>
      </c>
      <c r="Q2416" t="s">
        <v>2889</v>
      </c>
      <c r="R2416" t="s">
        <v>2436</v>
      </c>
    </row>
    <row r="2417" spans="1:18" x14ac:dyDescent="0.5">
      <c r="A2417" t="str">
        <f>"166764BL3"</f>
        <v>166764BL3</v>
      </c>
      <c r="B2417" t="s">
        <v>101</v>
      </c>
      <c r="C2417" t="s">
        <v>3046</v>
      </c>
      <c r="D2417" t="s">
        <v>2433</v>
      </c>
      <c r="E2417">
        <v>2.9540000000000002</v>
      </c>
      <c r="F2417" s="2">
        <v>46158</v>
      </c>
      <c r="G2417" s="2">
        <v>46069</v>
      </c>
      <c r="H2417" t="s">
        <v>613</v>
      </c>
      <c r="I2417" t="s">
        <v>616</v>
      </c>
      <c r="J2417">
        <v>98.438000000000002</v>
      </c>
      <c r="K2417">
        <v>98.525000000000006</v>
      </c>
      <c r="L2417">
        <v>4.3250000000000002</v>
      </c>
      <c r="M2417">
        <v>4.2480000000000002</v>
      </c>
      <c r="N2417">
        <v>4.2480000000000002</v>
      </c>
      <c r="O2417" t="s">
        <v>101</v>
      </c>
      <c r="P2417" t="s">
        <v>2581</v>
      </c>
      <c r="Q2417" t="s">
        <v>2562</v>
      </c>
      <c r="R2417" t="s">
        <v>2436</v>
      </c>
    </row>
    <row r="2418" spans="1:18" x14ac:dyDescent="0.5">
      <c r="A2418" t="str">
        <f>"89236TKT1"</f>
        <v>89236TKT1</v>
      </c>
      <c r="B2418" t="s">
        <v>101</v>
      </c>
      <c r="C2418" t="s">
        <v>3047</v>
      </c>
      <c r="D2418" t="s">
        <v>2433</v>
      </c>
      <c r="E2418">
        <v>4.45</v>
      </c>
      <c r="F2418" s="2">
        <v>46160</v>
      </c>
      <c r="G2418" s="2" t="s">
        <v>105</v>
      </c>
      <c r="H2418" t="s">
        <v>641</v>
      </c>
      <c r="I2418" t="s">
        <v>658</v>
      </c>
      <c r="J2418">
        <v>99.995000000000005</v>
      </c>
      <c r="K2418">
        <v>100.17100000000001</v>
      </c>
      <c r="L2418">
        <v>4.4489999999999998</v>
      </c>
      <c r="M2418">
        <v>4.2949999999999999</v>
      </c>
      <c r="N2418">
        <v>4.2949999999999999</v>
      </c>
      <c r="O2418" t="s">
        <v>101</v>
      </c>
      <c r="P2418" t="s">
        <v>2454</v>
      </c>
      <c r="Q2418" t="s">
        <v>2454</v>
      </c>
      <c r="R2418" t="s">
        <v>2465</v>
      </c>
    </row>
    <row r="2419" spans="1:18" x14ac:dyDescent="0.5">
      <c r="A2419" t="str">
        <f>"716973AB8"</f>
        <v>716973AB8</v>
      </c>
      <c r="B2419" t="s">
        <v>101</v>
      </c>
      <c r="C2419" t="s">
        <v>3048</v>
      </c>
      <c r="D2419" t="s">
        <v>2433</v>
      </c>
      <c r="E2419">
        <v>4.45</v>
      </c>
      <c r="F2419" s="2">
        <v>46161</v>
      </c>
      <c r="G2419" s="2">
        <v>46131</v>
      </c>
      <c r="H2419" t="s">
        <v>610</v>
      </c>
      <c r="I2419" t="s">
        <v>611</v>
      </c>
      <c r="J2419">
        <v>100.008</v>
      </c>
      <c r="K2419">
        <v>100.048</v>
      </c>
      <c r="L2419">
        <v>4.4379999999999997</v>
      </c>
      <c r="M2419">
        <v>4.4029999999999996</v>
      </c>
      <c r="N2419">
        <v>4.4029999999999996</v>
      </c>
      <c r="O2419" t="s">
        <v>101</v>
      </c>
      <c r="P2419" t="s">
        <v>2597</v>
      </c>
      <c r="Q2419" t="s">
        <v>2575</v>
      </c>
      <c r="R2419" t="s">
        <v>2436</v>
      </c>
    </row>
    <row r="2420" spans="1:18" x14ac:dyDescent="0.5">
      <c r="A2420" t="str">
        <f>"857477AW3"</f>
        <v>857477AW3</v>
      </c>
      <c r="B2420" t="s">
        <v>101</v>
      </c>
      <c r="C2420" t="s">
        <v>3049</v>
      </c>
      <c r="D2420" t="s">
        <v>2433</v>
      </c>
      <c r="E2420">
        <v>2.65</v>
      </c>
      <c r="F2420" s="2">
        <v>46161</v>
      </c>
      <c r="G2420" s="2" t="s">
        <v>105</v>
      </c>
      <c r="H2420" t="s">
        <v>624</v>
      </c>
      <c r="I2420" t="s">
        <v>611</v>
      </c>
      <c r="J2420">
        <v>98.123000000000005</v>
      </c>
      <c r="K2420">
        <v>98.218000000000004</v>
      </c>
      <c r="L2420">
        <v>4.2869999999999999</v>
      </c>
      <c r="M2420">
        <v>4.2030000000000003</v>
      </c>
      <c r="N2420">
        <v>4.2030000000000003</v>
      </c>
      <c r="O2420" t="s">
        <v>101</v>
      </c>
      <c r="P2420" t="s">
        <v>3050</v>
      </c>
      <c r="Q2420" t="s">
        <v>2454</v>
      </c>
      <c r="R2420" t="s">
        <v>2465</v>
      </c>
    </row>
    <row r="2421" spans="1:18" x14ac:dyDescent="0.5">
      <c r="A2421" t="str">
        <f>"025816CF4"</f>
        <v>025816CF4</v>
      </c>
      <c r="B2421" t="s">
        <v>101</v>
      </c>
      <c r="C2421" t="s">
        <v>3051</v>
      </c>
      <c r="D2421" t="s">
        <v>2433</v>
      </c>
      <c r="E2421">
        <v>3.125</v>
      </c>
      <c r="F2421" s="2">
        <v>46162</v>
      </c>
      <c r="G2421" s="2">
        <v>46131</v>
      </c>
      <c r="H2421" t="s">
        <v>610</v>
      </c>
      <c r="I2421" t="s">
        <v>713</v>
      </c>
      <c r="J2421">
        <v>98.47</v>
      </c>
      <c r="K2421">
        <v>98.576999999999998</v>
      </c>
      <c r="L2421">
        <v>4.4569999999999999</v>
      </c>
      <c r="M2421">
        <v>4.3630000000000004</v>
      </c>
      <c r="N2421">
        <v>4.3630000000000004</v>
      </c>
      <c r="O2421" t="s">
        <v>101</v>
      </c>
      <c r="P2421" t="s">
        <v>3052</v>
      </c>
      <c r="Q2421" t="s">
        <v>2454</v>
      </c>
      <c r="R2421" t="s">
        <v>2436</v>
      </c>
    </row>
    <row r="2422" spans="1:18" x14ac:dyDescent="0.5">
      <c r="A2422" t="str">
        <f>"404280BB4"</f>
        <v>404280BB4</v>
      </c>
      <c r="B2422" t="s">
        <v>101</v>
      </c>
      <c r="C2422" t="s">
        <v>3053</v>
      </c>
      <c r="D2422" t="s">
        <v>2433</v>
      </c>
      <c r="E2422">
        <v>3.9</v>
      </c>
      <c r="F2422" s="2">
        <v>46167</v>
      </c>
      <c r="G2422" s="2" t="s">
        <v>101</v>
      </c>
      <c r="H2422" t="s">
        <v>627</v>
      </c>
      <c r="I2422" t="s">
        <v>713</v>
      </c>
      <c r="J2422">
        <v>99.262</v>
      </c>
      <c r="K2422">
        <v>99.447000000000003</v>
      </c>
      <c r="L2422">
        <v>4.5330000000000004</v>
      </c>
      <c r="M2422">
        <v>4.3730000000000002</v>
      </c>
      <c r="N2422">
        <v>4.3730000000000002</v>
      </c>
      <c r="O2422" t="s">
        <v>101</v>
      </c>
      <c r="P2422" t="s">
        <v>542</v>
      </c>
      <c r="Q2422" t="s">
        <v>2625</v>
      </c>
      <c r="R2422" t="s">
        <v>2436</v>
      </c>
    </row>
    <row r="2423" spans="1:18" x14ac:dyDescent="0.5">
      <c r="A2423" t="str">
        <f>"302154CC1"</f>
        <v>302154CC1</v>
      </c>
      <c r="B2423" t="s">
        <v>101</v>
      </c>
      <c r="C2423" t="s">
        <v>3054</v>
      </c>
      <c r="D2423" t="s">
        <v>2433</v>
      </c>
      <c r="E2423">
        <v>2.625</v>
      </c>
      <c r="F2423" s="2">
        <v>46168</v>
      </c>
      <c r="G2423" s="2" t="s">
        <v>105</v>
      </c>
      <c r="H2423" t="s">
        <v>613</v>
      </c>
      <c r="I2423" t="s">
        <v>628</v>
      </c>
      <c r="J2423" t="s">
        <v>101</v>
      </c>
      <c r="K2423">
        <v>98.103999999999999</v>
      </c>
      <c r="L2423" t="s">
        <v>101</v>
      </c>
      <c r="M2423">
        <v>4.2519999999999998</v>
      </c>
      <c r="N2423">
        <v>4.2519999999999998</v>
      </c>
      <c r="O2423" t="s">
        <v>101</v>
      </c>
      <c r="P2423" t="s">
        <v>448</v>
      </c>
      <c r="Q2423" t="s">
        <v>2688</v>
      </c>
      <c r="R2423" t="s">
        <v>2465</v>
      </c>
    </row>
    <row r="2424" spans="1:18" x14ac:dyDescent="0.5">
      <c r="A2424" t="str">
        <f>"04636NAA1"</f>
        <v>04636NAA1</v>
      </c>
      <c r="B2424" t="s">
        <v>101</v>
      </c>
      <c r="C2424" t="s">
        <v>3055</v>
      </c>
      <c r="D2424" t="s">
        <v>2433</v>
      </c>
      <c r="E2424">
        <v>1.2</v>
      </c>
      <c r="F2424" s="2">
        <v>46170</v>
      </c>
      <c r="G2424" s="2">
        <v>46140</v>
      </c>
      <c r="H2424" t="s">
        <v>641</v>
      </c>
      <c r="I2424" t="s">
        <v>658</v>
      </c>
      <c r="J2424">
        <v>96.408000000000001</v>
      </c>
      <c r="K2424">
        <v>96.448999999999998</v>
      </c>
      <c r="L2424">
        <v>4.274</v>
      </c>
      <c r="M2424">
        <v>4.2380000000000004</v>
      </c>
      <c r="N2424">
        <v>4.2380000000000004</v>
      </c>
      <c r="O2424" t="s">
        <v>101</v>
      </c>
      <c r="P2424" t="s">
        <v>2581</v>
      </c>
      <c r="Q2424" t="s">
        <v>1702</v>
      </c>
      <c r="R2424" t="s">
        <v>2436</v>
      </c>
    </row>
    <row r="2425" spans="1:18" x14ac:dyDescent="0.5">
      <c r="A2425" t="str">
        <f>"06048WM31"</f>
        <v>06048WM31</v>
      </c>
      <c r="B2425" t="s">
        <v>101</v>
      </c>
      <c r="C2425" t="s">
        <v>3056</v>
      </c>
      <c r="D2425" t="s">
        <v>2433</v>
      </c>
      <c r="E2425">
        <v>1.25</v>
      </c>
      <c r="F2425" s="2">
        <v>46170</v>
      </c>
      <c r="G2425" s="2">
        <v>45805</v>
      </c>
      <c r="H2425" t="s">
        <v>641</v>
      </c>
      <c r="I2425" t="s">
        <v>713</v>
      </c>
      <c r="J2425">
        <v>95.858000000000004</v>
      </c>
      <c r="K2425">
        <v>96.125</v>
      </c>
      <c r="L2425">
        <v>4.8099999999999996</v>
      </c>
      <c r="M2425">
        <v>4.5739999999999998</v>
      </c>
      <c r="N2425">
        <v>4.5739999999999998</v>
      </c>
      <c r="O2425" t="s">
        <v>101</v>
      </c>
      <c r="P2425" t="s">
        <v>2595</v>
      </c>
      <c r="Q2425" t="s">
        <v>3057</v>
      </c>
      <c r="R2425" t="s">
        <v>2436</v>
      </c>
    </row>
    <row r="2426" spans="1:18" x14ac:dyDescent="0.5">
      <c r="A2426" t="str">
        <f>"741503AZ9"</f>
        <v>741503AZ9</v>
      </c>
      <c r="B2426" t="s">
        <v>101</v>
      </c>
      <c r="C2426" t="s">
        <v>3058</v>
      </c>
      <c r="D2426" t="s">
        <v>2433</v>
      </c>
      <c r="E2426">
        <v>3.6</v>
      </c>
      <c r="F2426" s="2">
        <v>46174</v>
      </c>
      <c r="G2426" s="2">
        <v>46082</v>
      </c>
      <c r="H2426" t="s">
        <v>627</v>
      </c>
      <c r="I2426" t="s">
        <v>713</v>
      </c>
      <c r="J2426">
        <v>99.078000000000003</v>
      </c>
      <c r="K2426">
        <v>99.213999999999999</v>
      </c>
      <c r="L2426">
        <v>4.3810000000000002</v>
      </c>
      <c r="M2426">
        <v>4.2640000000000002</v>
      </c>
      <c r="N2426">
        <v>4.2640000000000002</v>
      </c>
      <c r="O2426" t="s">
        <v>101</v>
      </c>
      <c r="P2426" t="s">
        <v>2581</v>
      </c>
      <c r="Q2426" t="s">
        <v>2454</v>
      </c>
      <c r="R2426" t="s">
        <v>2436</v>
      </c>
    </row>
    <row r="2427" spans="1:18" x14ac:dyDescent="0.5">
      <c r="A2427" t="str">
        <f>"369550BN7"</f>
        <v>369550BN7</v>
      </c>
      <c r="B2427" t="s">
        <v>101</v>
      </c>
      <c r="C2427" t="s">
        <v>3059</v>
      </c>
      <c r="D2427" t="s">
        <v>2433</v>
      </c>
      <c r="E2427">
        <v>1.1499999999999999</v>
      </c>
      <c r="F2427" s="2">
        <v>46174</v>
      </c>
      <c r="G2427" s="2">
        <v>46143</v>
      </c>
      <c r="H2427" t="s">
        <v>610</v>
      </c>
      <c r="I2427" t="s">
        <v>611</v>
      </c>
      <c r="J2427">
        <v>96.335999999999999</v>
      </c>
      <c r="K2427">
        <v>96.472999999999999</v>
      </c>
      <c r="L2427">
        <v>4.2640000000000002</v>
      </c>
      <c r="M2427">
        <v>4.1449999999999996</v>
      </c>
      <c r="N2427">
        <v>4.1449999999999996</v>
      </c>
      <c r="O2427" t="s">
        <v>101</v>
      </c>
      <c r="P2427" t="s">
        <v>2988</v>
      </c>
      <c r="Q2427" t="s">
        <v>2786</v>
      </c>
      <c r="R2427" t="s">
        <v>2436</v>
      </c>
    </row>
    <row r="2428" spans="1:18" x14ac:dyDescent="0.5">
      <c r="A2428" t="str">
        <f>"67021CAL1"</f>
        <v>67021CAL1</v>
      </c>
      <c r="B2428" t="s">
        <v>101</v>
      </c>
      <c r="C2428" t="s">
        <v>3060</v>
      </c>
      <c r="D2428" t="s">
        <v>2433</v>
      </c>
      <c r="E2428">
        <v>2.7</v>
      </c>
      <c r="F2428" s="2">
        <v>46174</v>
      </c>
      <c r="G2428" s="2">
        <v>46082</v>
      </c>
      <c r="H2428" t="s">
        <v>610</v>
      </c>
      <c r="I2428" t="s">
        <v>713</v>
      </c>
      <c r="J2428">
        <v>97.817999999999998</v>
      </c>
      <c r="K2428">
        <v>98.099000000000004</v>
      </c>
      <c r="L2428">
        <v>4.5570000000000004</v>
      </c>
      <c r="M2428">
        <v>4.3140000000000001</v>
      </c>
      <c r="N2428">
        <v>4.3140000000000001</v>
      </c>
      <c r="O2428" t="s">
        <v>101</v>
      </c>
      <c r="P2428" t="s">
        <v>2454</v>
      </c>
      <c r="Q2428" t="s">
        <v>2774</v>
      </c>
      <c r="R2428" t="s">
        <v>2436</v>
      </c>
    </row>
    <row r="2429" spans="1:18" x14ac:dyDescent="0.5">
      <c r="A2429" t="str">
        <f>"756109BF0"</f>
        <v>756109BF0</v>
      </c>
      <c r="B2429" t="s">
        <v>101</v>
      </c>
      <c r="C2429" t="s">
        <v>3061</v>
      </c>
      <c r="D2429" t="s">
        <v>2433</v>
      </c>
      <c r="E2429">
        <v>4.875</v>
      </c>
      <c r="F2429" s="2">
        <v>46174</v>
      </c>
      <c r="G2429" s="2">
        <v>46082</v>
      </c>
      <c r="H2429" t="s">
        <v>627</v>
      </c>
      <c r="I2429" t="s">
        <v>713</v>
      </c>
      <c r="J2429">
        <v>100.25</v>
      </c>
      <c r="K2429">
        <v>100.348</v>
      </c>
      <c r="L2429">
        <v>4.6079999999999997</v>
      </c>
      <c r="M2429">
        <v>4.5039999999999996</v>
      </c>
      <c r="N2429">
        <v>4.5730000000000004</v>
      </c>
      <c r="O2429" t="s">
        <v>101</v>
      </c>
      <c r="P2429" t="s">
        <v>2581</v>
      </c>
      <c r="Q2429" t="s">
        <v>2454</v>
      </c>
      <c r="R2429" t="s">
        <v>2436</v>
      </c>
    </row>
    <row r="2430" spans="1:18" x14ac:dyDescent="0.5">
      <c r="A2430" t="str">
        <f>"797440BH6"</f>
        <v>797440BH6</v>
      </c>
      <c r="B2430" t="s">
        <v>101</v>
      </c>
      <c r="C2430" t="s">
        <v>3062</v>
      </c>
      <c r="D2430" t="s">
        <v>2433</v>
      </c>
      <c r="E2430">
        <v>6</v>
      </c>
      <c r="F2430" s="2">
        <v>46174</v>
      </c>
      <c r="G2430" s="2" t="s">
        <v>101</v>
      </c>
      <c r="H2430" t="s">
        <v>641</v>
      </c>
      <c r="I2430" t="s">
        <v>611</v>
      </c>
      <c r="J2430">
        <v>101.893</v>
      </c>
      <c r="K2430">
        <v>102.09699999999999</v>
      </c>
      <c r="L2430">
        <v>4.3819999999999997</v>
      </c>
      <c r="M2430">
        <v>4.2110000000000003</v>
      </c>
      <c r="N2430">
        <v>4.2110000000000003</v>
      </c>
      <c r="O2430" t="s">
        <v>101</v>
      </c>
      <c r="P2430" t="s">
        <v>3063</v>
      </c>
      <c r="Q2430" t="s">
        <v>3064</v>
      </c>
      <c r="R2430" t="s">
        <v>2436</v>
      </c>
    </row>
    <row r="2431" spans="1:18" x14ac:dyDescent="0.5">
      <c r="A2431" t="str">
        <f>"842400HW6"</f>
        <v>842400HW6</v>
      </c>
      <c r="B2431" t="s">
        <v>101</v>
      </c>
      <c r="C2431" t="s">
        <v>3065</v>
      </c>
      <c r="D2431" t="s">
        <v>2433</v>
      </c>
      <c r="E2431">
        <v>4.9000000000000004</v>
      </c>
      <c r="F2431" s="2">
        <v>46174</v>
      </c>
      <c r="G2431" s="2">
        <v>46143</v>
      </c>
      <c r="H2431" t="s">
        <v>610</v>
      </c>
      <c r="I2431" t="s">
        <v>713</v>
      </c>
      <c r="J2431">
        <v>99.947999999999993</v>
      </c>
      <c r="K2431">
        <v>100.117</v>
      </c>
      <c r="L2431">
        <v>4.9379999999999997</v>
      </c>
      <c r="M2431">
        <v>4.79</v>
      </c>
      <c r="N2431">
        <v>4.7939999999999996</v>
      </c>
      <c r="O2431" t="s">
        <v>101</v>
      </c>
      <c r="P2431" t="s">
        <v>1702</v>
      </c>
      <c r="Q2431" t="s">
        <v>2506</v>
      </c>
      <c r="R2431" t="s">
        <v>2436</v>
      </c>
    </row>
    <row r="2432" spans="1:18" x14ac:dyDescent="0.5">
      <c r="A2432" t="str">
        <f>"902674ZZ6"</f>
        <v>902674ZZ6</v>
      </c>
      <c r="B2432" t="s">
        <v>101</v>
      </c>
      <c r="C2432" t="s">
        <v>3066</v>
      </c>
      <c r="D2432" t="s">
        <v>2433</v>
      </c>
      <c r="E2432">
        <v>1.25</v>
      </c>
      <c r="F2432" s="2">
        <v>46174</v>
      </c>
      <c r="G2432" s="2" t="s">
        <v>101</v>
      </c>
      <c r="H2432" t="s">
        <v>613</v>
      </c>
      <c r="I2432" t="s">
        <v>105</v>
      </c>
      <c r="J2432">
        <v>96.17</v>
      </c>
      <c r="K2432">
        <v>96.381</v>
      </c>
      <c r="L2432">
        <v>4.5119999999999996</v>
      </c>
      <c r="M2432">
        <v>4.327</v>
      </c>
      <c r="N2432">
        <v>4.327</v>
      </c>
      <c r="O2432" t="s">
        <v>101</v>
      </c>
      <c r="P2432" t="s">
        <v>542</v>
      </c>
      <c r="Q2432" t="s">
        <v>2625</v>
      </c>
      <c r="R2432" t="s">
        <v>2436</v>
      </c>
    </row>
    <row r="2433" spans="1:18" x14ac:dyDescent="0.5">
      <c r="A2433" t="str">
        <f>"11271LAA0"</f>
        <v>11271LAA0</v>
      </c>
      <c r="B2433" t="s">
        <v>101</v>
      </c>
      <c r="C2433" t="s">
        <v>3067</v>
      </c>
      <c r="D2433" t="s">
        <v>2433</v>
      </c>
      <c r="E2433">
        <v>4.25</v>
      </c>
      <c r="F2433" s="2">
        <v>46175</v>
      </c>
      <c r="G2433" s="2">
        <v>46083</v>
      </c>
      <c r="H2433" t="s">
        <v>627</v>
      </c>
      <c r="I2433" t="s">
        <v>713</v>
      </c>
      <c r="J2433">
        <v>99.62</v>
      </c>
      <c r="K2433">
        <v>99.736000000000004</v>
      </c>
      <c r="L2433">
        <v>4.5679999999999996</v>
      </c>
      <c r="M2433">
        <v>4.4690000000000003</v>
      </c>
      <c r="N2433">
        <v>4.4690000000000003</v>
      </c>
      <c r="O2433" t="s">
        <v>101</v>
      </c>
      <c r="P2433" t="s">
        <v>3068</v>
      </c>
      <c r="Q2433" t="s">
        <v>2894</v>
      </c>
      <c r="R2433" t="s">
        <v>2436</v>
      </c>
    </row>
    <row r="2434" spans="1:18" x14ac:dyDescent="0.5">
      <c r="A2434" t="str">
        <f>"717081DV2"</f>
        <v>717081DV2</v>
      </c>
      <c r="B2434" t="s">
        <v>101</v>
      </c>
      <c r="C2434" t="s">
        <v>3069</v>
      </c>
      <c r="D2434" t="s">
        <v>2433</v>
      </c>
      <c r="E2434">
        <v>2.75</v>
      </c>
      <c r="F2434" s="2">
        <v>46176</v>
      </c>
      <c r="G2434" s="2" t="s">
        <v>101</v>
      </c>
      <c r="H2434" t="s">
        <v>610</v>
      </c>
      <c r="I2434" t="s">
        <v>611</v>
      </c>
      <c r="J2434">
        <v>98.167000000000002</v>
      </c>
      <c r="K2434">
        <v>98.244</v>
      </c>
      <c r="L2434">
        <v>4.2990000000000004</v>
      </c>
      <c r="M2434">
        <v>4.2329999999999997</v>
      </c>
      <c r="N2434">
        <v>4.2329999999999997</v>
      </c>
      <c r="O2434" t="s">
        <v>101</v>
      </c>
      <c r="P2434" t="s">
        <v>2581</v>
      </c>
      <c r="Q2434" t="s">
        <v>2454</v>
      </c>
      <c r="R2434" t="s">
        <v>2436</v>
      </c>
    </row>
    <row r="2435" spans="1:18" x14ac:dyDescent="0.5">
      <c r="A2435" t="str">
        <f>"89114TZD7"</f>
        <v>89114TZD7</v>
      </c>
      <c r="B2435" t="s">
        <v>101</v>
      </c>
      <c r="C2435" t="s">
        <v>3070</v>
      </c>
      <c r="D2435" t="s">
        <v>2433</v>
      </c>
      <c r="E2435">
        <v>1.2</v>
      </c>
      <c r="F2435" s="2">
        <v>46176</v>
      </c>
      <c r="G2435" s="2" t="s">
        <v>101</v>
      </c>
      <c r="H2435" t="s">
        <v>610</v>
      </c>
      <c r="I2435" t="s">
        <v>713</v>
      </c>
      <c r="J2435">
        <v>96.015000000000001</v>
      </c>
      <c r="K2435">
        <v>96.153000000000006</v>
      </c>
      <c r="L2435">
        <v>4.5810000000000004</v>
      </c>
      <c r="M2435">
        <v>4.46</v>
      </c>
      <c r="N2435">
        <v>4.46</v>
      </c>
      <c r="O2435" t="s">
        <v>101</v>
      </c>
      <c r="P2435" t="s">
        <v>1702</v>
      </c>
      <c r="Q2435" t="s">
        <v>2581</v>
      </c>
      <c r="R2435" t="s">
        <v>2436</v>
      </c>
    </row>
    <row r="2436" spans="1:18" x14ac:dyDescent="0.5">
      <c r="A2436" t="str">
        <f>"961214ER0"</f>
        <v>961214ER0</v>
      </c>
      <c r="B2436" t="s">
        <v>101</v>
      </c>
      <c r="C2436" t="s">
        <v>3071</v>
      </c>
      <c r="D2436" t="s">
        <v>2433</v>
      </c>
      <c r="E2436">
        <v>1.1499999999999999</v>
      </c>
      <c r="F2436" s="2">
        <v>46176</v>
      </c>
      <c r="G2436" s="2" t="s">
        <v>101</v>
      </c>
      <c r="H2436" t="s">
        <v>613</v>
      </c>
      <c r="I2436" t="s">
        <v>616</v>
      </c>
      <c r="J2436">
        <v>96.257999999999996</v>
      </c>
      <c r="K2436">
        <v>96.355999999999995</v>
      </c>
      <c r="L2436">
        <v>4.3179999999999996</v>
      </c>
      <c r="M2436">
        <v>4.2329999999999997</v>
      </c>
      <c r="N2436">
        <v>4.2329999999999997</v>
      </c>
      <c r="O2436" t="s">
        <v>101</v>
      </c>
      <c r="P2436" t="s">
        <v>2581</v>
      </c>
      <c r="Q2436" t="s">
        <v>2454</v>
      </c>
      <c r="R2436" t="s">
        <v>2436</v>
      </c>
    </row>
    <row r="2437" spans="1:18" x14ac:dyDescent="0.5">
      <c r="A2437" t="str">
        <f>"06368LNT9"</f>
        <v>06368LNT9</v>
      </c>
      <c r="B2437" t="s">
        <v>101</v>
      </c>
      <c r="C2437" t="s">
        <v>3072</v>
      </c>
      <c r="D2437" t="s">
        <v>2433</v>
      </c>
      <c r="E2437">
        <v>5.3</v>
      </c>
      <c r="F2437" s="2">
        <v>46178</v>
      </c>
      <c r="G2437" s="2" t="s">
        <v>101</v>
      </c>
      <c r="H2437" t="s">
        <v>610</v>
      </c>
      <c r="I2437" t="s">
        <v>713</v>
      </c>
      <c r="J2437">
        <v>100.91200000000001</v>
      </c>
      <c r="K2437">
        <v>101.036</v>
      </c>
      <c r="L2437">
        <v>4.5229999999999997</v>
      </c>
      <c r="M2437">
        <v>4.42</v>
      </c>
      <c r="N2437">
        <v>4.42</v>
      </c>
      <c r="O2437" t="s">
        <v>101</v>
      </c>
      <c r="P2437" t="s">
        <v>2581</v>
      </c>
      <c r="Q2437" t="s">
        <v>2774</v>
      </c>
      <c r="R2437" t="s">
        <v>2436</v>
      </c>
    </row>
    <row r="2438" spans="1:18" x14ac:dyDescent="0.5">
      <c r="A2438" t="str">
        <f>"24422EWX3"</f>
        <v>24422EWX3</v>
      </c>
      <c r="B2438" t="s">
        <v>101</v>
      </c>
      <c r="C2438" t="s">
        <v>3073</v>
      </c>
      <c r="D2438" t="s">
        <v>2433</v>
      </c>
      <c r="E2438">
        <v>4.75</v>
      </c>
      <c r="F2438" s="2">
        <v>46181</v>
      </c>
      <c r="G2438" s="2" t="s">
        <v>105</v>
      </c>
      <c r="H2438" t="s">
        <v>641</v>
      </c>
      <c r="I2438" t="s">
        <v>611</v>
      </c>
      <c r="J2438">
        <v>100.37</v>
      </c>
      <c r="K2438">
        <v>100.61199999999999</v>
      </c>
      <c r="L2438">
        <v>4.4340000000000002</v>
      </c>
      <c r="M2438">
        <v>4.2329999999999997</v>
      </c>
      <c r="N2438">
        <v>4.2329999999999997</v>
      </c>
      <c r="O2438" t="s">
        <v>101</v>
      </c>
      <c r="P2438" t="s">
        <v>2827</v>
      </c>
      <c r="Q2438" t="s">
        <v>2507</v>
      </c>
      <c r="R2438" t="s">
        <v>2465</v>
      </c>
    </row>
    <row r="2439" spans="1:18" x14ac:dyDescent="0.5">
      <c r="A2439" t="str">
        <f>"24422ETH2"</f>
        <v>24422ETH2</v>
      </c>
      <c r="B2439" t="s">
        <v>101</v>
      </c>
      <c r="C2439" t="s">
        <v>3074</v>
      </c>
      <c r="D2439" t="s">
        <v>2433</v>
      </c>
      <c r="E2439">
        <v>2.65</v>
      </c>
      <c r="F2439" s="2">
        <v>46183</v>
      </c>
      <c r="G2439" s="2" t="s">
        <v>105</v>
      </c>
      <c r="H2439" t="s">
        <v>641</v>
      </c>
      <c r="I2439" t="s">
        <v>611</v>
      </c>
      <c r="J2439">
        <v>98.093000000000004</v>
      </c>
      <c r="K2439">
        <v>98.242999999999995</v>
      </c>
      <c r="L2439">
        <v>4.2359999999999998</v>
      </c>
      <c r="M2439">
        <v>4.1100000000000003</v>
      </c>
      <c r="N2439">
        <v>4.1100000000000003</v>
      </c>
      <c r="O2439" t="s">
        <v>101</v>
      </c>
      <c r="P2439" t="s">
        <v>3075</v>
      </c>
      <c r="Q2439" t="s">
        <v>858</v>
      </c>
      <c r="R2439" t="s">
        <v>2465</v>
      </c>
    </row>
    <row r="2440" spans="1:18" x14ac:dyDescent="0.5">
      <c r="A2440" t="str">
        <f>"110122CN6"</f>
        <v>110122CN6</v>
      </c>
      <c r="B2440" t="s">
        <v>101</v>
      </c>
      <c r="C2440" t="s">
        <v>3076</v>
      </c>
      <c r="D2440" t="s">
        <v>2433</v>
      </c>
      <c r="E2440">
        <v>3.2</v>
      </c>
      <c r="F2440" s="2">
        <v>46188</v>
      </c>
      <c r="G2440" s="2">
        <v>46127</v>
      </c>
      <c r="H2440" t="s">
        <v>610</v>
      </c>
      <c r="I2440" t="s">
        <v>611</v>
      </c>
      <c r="J2440">
        <v>98.638000000000005</v>
      </c>
      <c r="K2440">
        <v>98.683999999999997</v>
      </c>
      <c r="L2440">
        <v>4.32</v>
      </c>
      <c r="M2440">
        <v>4.282</v>
      </c>
      <c r="N2440">
        <v>4.282</v>
      </c>
      <c r="O2440" t="s">
        <v>101</v>
      </c>
      <c r="P2440" t="s">
        <v>1236</v>
      </c>
      <c r="Q2440" t="s">
        <v>2581</v>
      </c>
      <c r="R2440" t="s">
        <v>2436</v>
      </c>
    </row>
    <row r="2441" spans="1:18" x14ac:dyDescent="0.5">
      <c r="A2441" t="str">
        <f>"202795JH4"</f>
        <v>202795JH4</v>
      </c>
      <c r="B2441" t="s">
        <v>101</v>
      </c>
      <c r="C2441" t="s">
        <v>3077</v>
      </c>
      <c r="D2441" t="s">
        <v>2433</v>
      </c>
      <c r="E2441">
        <v>2.5499999999999998</v>
      </c>
      <c r="F2441" s="2">
        <v>46188</v>
      </c>
      <c r="G2441" s="2">
        <v>46096</v>
      </c>
      <c r="H2441" t="s">
        <v>641</v>
      </c>
      <c r="I2441" t="s">
        <v>611</v>
      </c>
      <c r="J2441">
        <v>97.777000000000001</v>
      </c>
      <c r="K2441">
        <v>97.957999999999998</v>
      </c>
      <c r="L2441">
        <v>4.3819999999999997</v>
      </c>
      <c r="M2441">
        <v>4.2309999999999999</v>
      </c>
      <c r="N2441">
        <v>4.2309999999999999</v>
      </c>
      <c r="O2441" t="s">
        <v>101</v>
      </c>
      <c r="P2441" t="s">
        <v>2747</v>
      </c>
      <c r="Q2441" t="s">
        <v>2747</v>
      </c>
      <c r="R2441" t="s">
        <v>2436</v>
      </c>
    </row>
    <row r="2442" spans="1:18" x14ac:dyDescent="0.5">
      <c r="A2442" t="str">
        <f>"46625HRS1"</f>
        <v>46625HRS1</v>
      </c>
      <c r="B2442" t="s">
        <v>101</v>
      </c>
      <c r="C2442" t="s">
        <v>3078</v>
      </c>
      <c r="D2442" t="s">
        <v>2433</v>
      </c>
      <c r="E2442">
        <v>3.2</v>
      </c>
      <c r="F2442" s="2">
        <v>46188</v>
      </c>
      <c r="G2442" s="2">
        <v>46096</v>
      </c>
      <c r="H2442" t="s">
        <v>641</v>
      </c>
      <c r="I2442" t="s">
        <v>611</v>
      </c>
      <c r="J2442">
        <v>98.558000000000007</v>
      </c>
      <c r="K2442">
        <v>98.635000000000005</v>
      </c>
      <c r="L2442">
        <v>4.3869999999999996</v>
      </c>
      <c r="M2442">
        <v>4.3230000000000004</v>
      </c>
      <c r="N2442">
        <v>4.3230000000000004</v>
      </c>
      <c r="O2442" t="s">
        <v>101</v>
      </c>
      <c r="P2442" t="s">
        <v>3079</v>
      </c>
      <c r="Q2442" t="s">
        <v>2581</v>
      </c>
      <c r="R2442" t="s">
        <v>2436</v>
      </c>
    </row>
    <row r="2443" spans="1:18" x14ac:dyDescent="0.5">
      <c r="A2443" t="str">
        <f>"63743HEW8"</f>
        <v>63743HEW8</v>
      </c>
      <c r="B2443" t="s">
        <v>101</v>
      </c>
      <c r="C2443" t="s">
        <v>3080</v>
      </c>
      <c r="D2443" t="s">
        <v>2433</v>
      </c>
      <c r="E2443">
        <v>1</v>
      </c>
      <c r="F2443" s="2">
        <v>46188</v>
      </c>
      <c r="G2443" s="2">
        <v>46157</v>
      </c>
      <c r="H2443" t="s">
        <v>610</v>
      </c>
      <c r="I2443" t="s">
        <v>713</v>
      </c>
      <c r="J2443">
        <v>95.668999999999997</v>
      </c>
      <c r="K2443">
        <v>95.873999999999995</v>
      </c>
      <c r="L2443">
        <v>4.58</v>
      </c>
      <c r="M2443">
        <v>4.4059999999999997</v>
      </c>
      <c r="N2443">
        <v>4.4059999999999997</v>
      </c>
      <c r="O2443" t="s">
        <v>101</v>
      </c>
      <c r="P2443" t="s">
        <v>2454</v>
      </c>
      <c r="Q2443" t="s">
        <v>2454</v>
      </c>
      <c r="R2443" t="s">
        <v>2436</v>
      </c>
    </row>
    <row r="2444" spans="1:18" x14ac:dyDescent="0.5">
      <c r="A2444" t="str">
        <f>"842434CQ3"</f>
        <v>842434CQ3</v>
      </c>
      <c r="B2444" t="s">
        <v>101</v>
      </c>
      <c r="C2444" t="s">
        <v>3081</v>
      </c>
      <c r="D2444" t="s">
        <v>2433</v>
      </c>
      <c r="E2444">
        <v>2.6</v>
      </c>
      <c r="F2444" s="2">
        <v>46188</v>
      </c>
      <c r="G2444" s="2">
        <v>46096</v>
      </c>
      <c r="H2444" t="s">
        <v>624</v>
      </c>
      <c r="I2444" t="s">
        <v>611</v>
      </c>
      <c r="J2444">
        <v>97.617000000000004</v>
      </c>
      <c r="K2444">
        <v>97.769000000000005</v>
      </c>
      <c r="L2444">
        <v>4.5670000000000002</v>
      </c>
      <c r="M2444">
        <v>4.4400000000000004</v>
      </c>
      <c r="N2444">
        <v>4.4400000000000004</v>
      </c>
      <c r="O2444" t="s">
        <v>101</v>
      </c>
      <c r="P2444" t="s">
        <v>3082</v>
      </c>
      <c r="Q2444" t="s">
        <v>2790</v>
      </c>
      <c r="R2444" t="s">
        <v>2436</v>
      </c>
    </row>
    <row r="2445" spans="1:18" x14ac:dyDescent="0.5">
      <c r="A2445" t="str">
        <f>"001192AM5"</f>
        <v>001192AM5</v>
      </c>
      <c r="B2445" t="s">
        <v>101</v>
      </c>
      <c r="C2445" t="s">
        <v>3083</v>
      </c>
      <c r="D2445" t="s">
        <v>2433</v>
      </c>
      <c r="E2445">
        <v>3.25</v>
      </c>
      <c r="F2445" s="2">
        <v>46188</v>
      </c>
      <c r="G2445" s="2">
        <v>46096</v>
      </c>
      <c r="H2445" t="s">
        <v>670</v>
      </c>
      <c r="I2445" t="s">
        <v>713</v>
      </c>
      <c r="J2445">
        <v>98.302999999999997</v>
      </c>
      <c r="K2445">
        <v>98.528999999999996</v>
      </c>
      <c r="L2445">
        <v>4.6500000000000004</v>
      </c>
      <c r="M2445">
        <v>4.4610000000000003</v>
      </c>
      <c r="N2445">
        <v>4.4610000000000003</v>
      </c>
      <c r="O2445" t="s">
        <v>101</v>
      </c>
      <c r="P2445" t="s">
        <v>3084</v>
      </c>
      <c r="Q2445" t="s">
        <v>2747</v>
      </c>
      <c r="R2445" t="s">
        <v>2436</v>
      </c>
    </row>
    <row r="2446" spans="1:18" x14ac:dyDescent="0.5">
      <c r="A2446" t="str">
        <f>"24422EVR7"</f>
        <v>24422EVR7</v>
      </c>
      <c r="B2446" t="s">
        <v>101</v>
      </c>
      <c r="C2446" t="s">
        <v>3085</v>
      </c>
      <c r="D2446" t="s">
        <v>2433</v>
      </c>
      <c r="E2446">
        <v>1.05</v>
      </c>
      <c r="F2446" s="2">
        <v>46190</v>
      </c>
      <c r="G2446" s="2">
        <v>46159</v>
      </c>
      <c r="H2446" t="s">
        <v>641</v>
      </c>
      <c r="I2446" t="s">
        <v>611</v>
      </c>
      <c r="J2446">
        <v>95.906999999999996</v>
      </c>
      <c r="K2446">
        <v>96.129000000000005</v>
      </c>
      <c r="L2446">
        <v>4.4139999999999997</v>
      </c>
      <c r="M2446">
        <v>4.226</v>
      </c>
      <c r="N2446">
        <v>4.226</v>
      </c>
      <c r="O2446" t="s">
        <v>101</v>
      </c>
      <c r="P2446" t="s">
        <v>3082</v>
      </c>
      <c r="Q2446" t="s">
        <v>790</v>
      </c>
      <c r="R2446" t="s">
        <v>2436</v>
      </c>
    </row>
    <row r="2447" spans="1:18" x14ac:dyDescent="0.5">
      <c r="A2447" t="str">
        <f>"89236TJK2"</f>
        <v>89236TJK2</v>
      </c>
      <c r="B2447" t="s">
        <v>101</v>
      </c>
      <c r="C2447" t="s">
        <v>3086</v>
      </c>
      <c r="D2447" t="s">
        <v>2433</v>
      </c>
      <c r="E2447">
        <v>1.125</v>
      </c>
      <c r="F2447" s="2">
        <v>46191</v>
      </c>
      <c r="G2447" s="2" t="s">
        <v>101</v>
      </c>
      <c r="H2447" t="s">
        <v>641</v>
      </c>
      <c r="I2447" t="s">
        <v>658</v>
      </c>
      <c r="J2447">
        <v>96.05</v>
      </c>
      <c r="K2447">
        <v>96.191000000000003</v>
      </c>
      <c r="L2447">
        <v>4.3630000000000004</v>
      </c>
      <c r="M2447">
        <v>4.2439999999999998</v>
      </c>
      <c r="N2447">
        <v>4.2439999999999998</v>
      </c>
      <c r="O2447" t="s">
        <v>101</v>
      </c>
      <c r="P2447" t="s">
        <v>2595</v>
      </c>
      <c r="Q2447" t="s">
        <v>2595</v>
      </c>
      <c r="R2447" t="s">
        <v>2436</v>
      </c>
    </row>
    <row r="2448" spans="1:18" x14ac:dyDescent="0.5">
      <c r="A2448" t="str">
        <f>"13607HVE9"</f>
        <v>13607HVE9</v>
      </c>
      <c r="B2448" t="s">
        <v>101</v>
      </c>
      <c r="C2448" t="s">
        <v>3087</v>
      </c>
      <c r="D2448" t="s">
        <v>2433</v>
      </c>
      <c r="E2448">
        <v>1.25</v>
      </c>
      <c r="F2448" s="2">
        <v>46195</v>
      </c>
      <c r="G2448" s="2">
        <v>46164</v>
      </c>
      <c r="H2448" t="s">
        <v>610</v>
      </c>
      <c r="I2448" t="s">
        <v>713</v>
      </c>
      <c r="J2448">
        <v>95.974000000000004</v>
      </c>
      <c r="K2448">
        <v>96.132999999999996</v>
      </c>
      <c r="L2448">
        <v>4.5270000000000001</v>
      </c>
      <c r="M2448">
        <v>4.3940000000000001</v>
      </c>
      <c r="N2448">
        <v>4.3940000000000001</v>
      </c>
      <c r="O2448" t="s">
        <v>101</v>
      </c>
      <c r="P2448" t="s">
        <v>2454</v>
      </c>
      <c r="Q2448" t="s">
        <v>2454</v>
      </c>
      <c r="R2448" t="s">
        <v>2436</v>
      </c>
    </row>
    <row r="2449" spans="1:18" x14ac:dyDescent="0.5">
      <c r="A2449" t="str">
        <f>"0641594A1"</f>
        <v>0641594A1</v>
      </c>
      <c r="B2449" t="s">
        <v>101</v>
      </c>
      <c r="C2449" t="s">
        <v>3088</v>
      </c>
      <c r="D2449" t="s">
        <v>2433</v>
      </c>
      <c r="E2449">
        <v>1.35</v>
      </c>
      <c r="F2449" s="2">
        <v>46197</v>
      </c>
      <c r="G2449" s="2" t="s">
        <v>101</v>
      </c>
      <c r="H2449" t="s">
        <v>610</v>
      </c>
      <c r="I2449" t="s">
        <v>713</v>
      </c>
      <c r="J2449">
        <v>95.995999999999995</v>
      </c>
      <c r="K2449">
        <v>96.1</v>
      </c>
      <c r="L2449">
        <v>4.5970000000000004</v>
      </c>
      <c r="M2449">
        <v>4.51</v>
      </c>
      <c r="N2449">
        <v>4.51</v>
      </c>
      <c r="O2449" t="s">
        <v>101</v>
      </c>
      <c r="P2449" t="s">
        <v>2454</v>
      </c>
      <c r="Q2449" t="s">
        <v>1702</v>
      </c>
      <c r="R2449" t="s">
        <v>2436</v>
      </c>
    </row>
    <row r="2450" spans="1:18" x14ac:dyDescent="0.5">
      <c r="A2450" t="str">
        <f>"437076CZ3"</f>
        <v>437076CZ3</v>
      </c>
      <c r="B2450" t="s">
        <v>101</v>
      </c>
      <c r="C2450" t="s">
        <v>3089</v>
      </c>
      <c r="D2450" t="s">
        <v>2433</v>
      </c>
      <c r="E2450">
        <v>5.15</v>
      </c>
      <c r="F2450" s="2">
        <v>46198</v>
      </c>
      <c r="G2450" s="2" t="s">
        <v>101</v>
      </c>
      <c r="H2450" t="s">
        <v>610</v>
      </c>
      <c r="I2450" t="s">
        <v>611</v>
      </c>
      <c r="J2450">
        <v>100.995</v>
      </c>
      <c r="K2450">
        <v>101.07</v>
      </c>
      <c r="L2450">
        <v>4.3410000000000002</v>
      </c>
      <c r="M2450">
        <v>4.2809999999999997</v>
      </c>
      <c r="N2450">
        <v>4.2809999999999997</v>
      </c>
      <c r="O2450" t="s">
        <v>101</v>
      </c>
      <c r="P2450" t="s">
        <v>2447</v>
      </c>
      <c r="Q2450" t="s">
        <v>3090</v>
      </c>
      <c r="R2450" t="s">
        <v>2436</v>
      </c>
    </row>
    <row r="2451" spans="1:18" x14ac:dyDescent="0.5">
      <c r="A2451" t="str">
        <f>"74340XBU4"</f>
        <v>74340XBU4</v>
      </c>
      <c r="B2451" t="s">
        <v>101</v>
      </c>
      <c r="C2451" t="s">
        <v>3091</v>
      </c>
      <c r="D2451" t="s">
        <v>2433</v>
      </c>
      <c r="E2451">
        <v>3.25</v>
      </c>
      <c r="F2451" s="2">
        <v>46203</v>
      </c>
      <c r="G2451" s="2">
        <v>46111</v>
      </c>
      <c r="H2451" t="s">
        <v>610</v>
      </c>
      <c r="I2451" t="s">
        <v>611</v>
      </c>
      <c r="J2451">
        <v>98.600999999999999</v>
      </c>
      <c r="K2451">
        <v>98.701999999999998</v>
      </c>
      <c r="L2451">
        <v>4.3650000000000002</v>
      </c>
      <c r="M2451">
        <v>4.2839999999999998</v>
      </c>
      <c r="N2451">
        <v>4.2839999999999998</v>
      </c>
      <c r="O2451" t="s">
        <v>101</v>
      </c>
      <c r="P2451" t="s">
        <v>1702</v>
      </c>
      <c r="Q2451" t="s">
        <v>2631</v>
      </c>
      <c r="R2451" t="s">
        <v>2436</v>
      </c>
    </row>
    <row r="2452" spans="1:18" x14ac:dyDescent="0.5">
      <c r="A2452" t="str">
        <f>"95709TAN0"</f>
        <v>95709TAN0</v>
      </c>
      <c r="B2452" t="s">
        <v>101</v>
      </c>
      <c r="C2452" t="s">
        <v>3092</v>
      </c>
      <c r="D2452" t="s">
        <v>2433</v>
      </c>
      <c r="E2452">
        <v>2.5499999999999998</v>
      </c>
      <c r="F2452" s="2">
        <v>46204</v>
      </c>
      <c r="G2452" s="2">
        <v>46113</v>
      </c>
      <c r="H2452" t="s">
        <v>610</v>
      </c>
      <c r="I2452" t="s">
        <v>611</v>
      </c>
      <c r="J2452">
        <v>97.587999999999994</v>
      </c>
      <c r="K2452">
        <v>97.869</v>
      </c>
      <c r="L2452">
        <v>4.4740000000000002</v>
      </c>
      <c r="M2452">
        <v>4.2460000000000004</v>
      </c>
      <c r="N2452">
        <v>4.2460000000000004</v>
      </c>
      <c r="O2452" t="s">
        <v>101</v>
      </c>
      <c r="P2452" t="s">
        <v>1236</v>
      </c>
      <c r="Q2452" t="s">
        <v>2454</v>
      </c>
      <c r="R2452" t="s">
        <v>2436</v>
      </c>
    </row>
    <row r="2453" spans="1:18" x14ac:dyDescent="0.5">
      <c r="A2453" t="str">
        <f>"02665WEK3"</f>
        <v>02665WEK3</v>
      </c>
      <c r="B2453" t="s">
        <v>101</v>
      </c>
      <c r="C2453" t="s">
        <v>3093</v>
      </c>
      <c r="D2453" t="s">
        <v>2433</v>
      </c>
      <c r="E2453">
        <v>5.25</v>
      </c>
      <c r="F2453" s="2">
        <v>46210</v>
      </c>
      <c r="G2453" s="2" t="s">
        <v>101</v>
      </c>
      <c r="H2453" t="s">
        <v>627</v>
      </c>
      <c r="I2453" t="s">
        <v>713</v>
      </c>
      <c r="J2453">
        <v>100.78700000000001</v>
      </c>
      <c r="K2453">
        <v>101.003</v>
      </c>
      <c r="L2453">
        <v>4.6230000000000002</v>
      </c>
      <c r="M2453">
        <v>4.4539999999999997</v>
      </c>
      <c r="N2453">
        <v>4.4539999999999997</v>
      </c>
      <c r="O2453" t="s">
        <v>101</v>
      </c>
      <c r="P2453" t="s">
        <v>2955</v>
      </c>
      <c r="Q2453" t="s">
        <v>2454</v>
      </c>
      <c r="R2453" t="s">
        <v>2436</v>
      </c>
    </row>
    <row r="2454" spans="1:18" x14ac:dyDescent="0.5">
      <c r="A2454" t="str">
        <f>"931142EM1"</f>
        <v>931142EM1</v>
      </c>
      <c r="B2454" t="s">
        <v>101</v>
      </c>
      <c r="C2454" t="s">
        <v>3094</v>
      </c>
      <c r="D2454" t="s">
        <v>2433</v>
      </c>
      <c r="E2454">
        <v>3.05</v>
      </c>
      <c r="F2454" s="2">
        <v>46211</v>
      </c>
      <c r="G2454" s="2">
        <v>46150</v>
      </c>
      <c r="H2454" t="s">
        <v>613</v>
      </c>
      <c r="I2454" t="s">
        <v>628</v>
      </c>
      <c r="J2454">
        <v>98.492999999999995</v>
      </c>
      <c r="K2454">
        <v>98.637</v>
      </c>
      <c r="L2454">
        <v>4.2309999999999999</v>
      </c>
      <c r="M2454">
        <v>4.117</v>
      </c>
      <c r="N2454">
        <v>4.117</v>
      </c>
      <c r="O2454" t="s">
        <v>101</v>
      </c>
      <c r="P2454" t="s">
        <v>2447</v>
      </c>
      <c r="Q2454" t="s">
        <v>3095</v>
      </c>
      <c r="R2454" t="s">
        <v>2436</v>
      </c>
    </row>
    <row r="2455" spans="1:18" x14ac:dyDescent="0.5">
      <c r="A2455" t="str">
        <f>"86562MDA5"</f>
        <v>86562MDA5</v>
      </c>
      <c r="B2455" t="s">
        <v>101</v>
      </c>
      <c r="C2455" t="s">
        <v>3096</v>
      </c>
      <c r="D2455" t="s">
        <v>2433</v>
      </c>
      <c r="E2455">
        <v>5.88</v>
      </c>
      <c r="F2455" s="2">
        <v>46216</v>
      </c>
      <c r="G2455" s="2" t="s">
        <v>101</v>
      </c>
      <c r="H2455" t="s">
        <v>641</v>
      </c>
      <c r="I2455" t="s">
        <v>713</v>
      </c>
      <c r="J2455">
        <v>101.625</v>
      </c>
      <c r="K2455">
        <v>101.83199999999999</v>
      </c>
      <c r="L2455">
        <v>4.6059999999999999</v>
      </c>
      <c r="M2455">
        <v>4.4470000000000001</v>
      </c>
      <c r="N2455">
        <v>4.4470000000000001</v>
      </c>
      <c r="O2455" t="s">
        <v>101</v>
      </c>
      <c r="P2455" t="s">
        <v>2666</v>
      </c>
      <c r="Q2455" t="s">
        <v>3097</v>
      </c>
      <c r="R2455" t="s">
        <v>2436</v>
      </c>
    </row>
    <row r="2456" spans="1:18" x14ac:dyDescent="0.5">
      <c r="A2456" t="str">
        <f>"892331AP4"</f>
        <v>892331AP4</v>
      </c>
      <c r="B2456" t="s">
        <v>101</v>
      </c>
      <c r="C2456" t="s">
        <v>3098</v>
      </c>
      <c r="D2456" t="s">
        <v>2433</v>
      </c>
      <c r="E2456">
        <v>5.2750000000000004</v>
      </c>
      <c r="F2456" s="2">
        <v>46216</v>
      </c>
      <c r="G2456" s="2">
        <v>46186</v>
      </c>
      <c r="H2456" t="s">
        <v>641</v>
      </c>
      <c r="I2456" t="s">
        <v>658</v>
      </c>
      <c r="J2456">
        <v>101.129</v>
      </c>
      <c r="K2456">
        <v>101.372</v>
      </c>
      <c r="L2456">
        <v>4.3369999999999997</v>
      </c>
      <c r="M2456">
        <v>4.1379999999999999</v>
      </c>
      <c r="N2456">
        <v>4.2039999999999997</v>
      </c>
      <c r="O2456" t="s">
        <v>101</v>
      </c>
      <c r="P2456" t="s">
        <v>2595</v>
      </c>
      <c r="Q2456" t="s">
        <v>2472</v>
      </c>
      <c r="R2456" t="s">
        <v>2436</v>
      </c>
    </row>
    <row r="2457" spans="1:18" x14ac:dyDescent="0.5">
      <c r="A2457" t="str">
        <f>"78016EZT7"</f>
        <v>78016EZT7</v>
      </c>
      <c r="B2457" t="s">
        <v>101</v>
      </c>
      <c r="C2457" t="s">
        <v>3099</v>
      </c>
      <c r="D2457" t="s">
        <v>2433</v>
      </c>
      <c r="E2457">
        <v>1.1499999999999999</v>
      </c>
      <c r="F2457" s="2">
        <v>46217</v>
      </c>
      <c r="G2457" s="2" t="s">
        <v>101</v>
      </c>
      <c r="H2457" t="s">
        <v>641</v>
      </c>
      <c r="I2457" t="s">
        <v>611</v>
      </c>
      <c r="J2457">
        <v>95.900999999999996</v>
      </c>
      <c r="K2457">
        <v>96.001000000000005</v>
      </c>
      <c r="L2457">
        <v>4.3330000000000002</v>
      </c>
      <c r="M2457">
        <v>4.2530000000000001</v>
      </c>
      <c r="N2457">
        <v>4.2530000000000001</v>
      </c>
      <c r="O2457" t="s">
        <v>101</v>
      </c>
      <c r="P2457" t="s">
        <v>1702</v>
      </c>
      <c r="Q2457" t="s">
        <v>2454</v>
      </c>
      <c r="R2457" t="s">
        <v>2436</v>
      </c>
    </row>
    <row r="2458" spans="1:18" x14ac:dyDescent="0.5">
      <c r="A2458" t="str">
        <f>"86562MAF7"</f>
        <v>86562MAF7</v>
      </c>
      <c r="B2458" t="s">
        <v>101</v>
      </c>
      <c r="C2458" t="s">
        <v>3100</v>
      </c>
      <c r="D2458" t="s">
        <v>2433</v>
      </c>
      <c r="E2458">
        <v>2.6320000000000001</v>
      </c>
      <c r="F2458" s="2">
        <v>46217</v>
      </c>
      <c r="G2458" s="2" t="s">
        <v>101</v>
      </c>
      <c r="H2458" t="s">
        <v>641</v>
      </c>
      <c r="I2458" t="s">
        <v>713</v>
      </c>
      <c r="J2458">
        <v>97.444000000000003</v>
      </c>
      <c r="K2458">
        <v>97.563000000000002</v>
      </c>
      <c r="L2458">
        <v>4.62</v>
      </c>
      <c r="M2458">
        <v>4.5259999999999998</v>
      </c>
      <c r="N2458">
        <v>4.5259999999999998</v>
      </c>
      <c r="O2458" t="s">
        <v>101</v>
      </c>
      <c r="P2458" t="s">
        <v>2889</v>
      </c>
      <c r="Q2458" t="s">
        <v>527</v>
      </c>
      <c r="R2458" t="s">
        <v>2436</v>
      </c>
    </row>
    <row r="2459" spans="1:18" x14ac:dyDescent="0.5">
      <c r="A2459" t="str">
        <f>"91324PFF4"</f>
        <v>91324PFF4</v>
      </c>
      <c r="B2459" t="s">
        <v>101</v>
      </c>
      <c r="C2459" t="s">
        <v>3101</v>
      </c>
      <c r="D2459" t="s">
        <v>2433</v>
      </c>
      <c r="E2459">
        <v>4.75</v>
      </c>
      <c r="F2459" s="2">
        <v>46218</v>
      </c>
      <c r="G2459" s="2" t="s">
        <v>101</v>
      </c>
      <c r="H2459" t="s">
        <v>610</v>
      </c>
      <c r="I2459" t="s">
        <v>658</v>
      </c>
      <c r="J2459">
        <v>100.441</v>
      </c>
      <c r="K2459">
        <v>100.613</v>
      </c>
      <c r="L2459">
        <v>4.4039999999999999</v>
      </c>
      <c r="M2459">
        <v>4.2709999999999999</v>
      </c>
      <c r="N2459">
        <v>4.2709999999999999</v>
      </c>
      <c r="O2459" t="s">
        <v>101</v>
      </c>
      <c r="P2459" t="s">
        <v>1702</v>
      </c>
      <c r="Q2459" t="s">
        <v>2454</v>
      </c>
      <c r="R2459" t="s">
        <v>2726</v>
      </c>
    </row>
    <row r="2460" spans="1:18" x14ac:dyDescent="0.5">
      <c r="A2460" t="str">
        <f>"13607LSL8"</f>
        <v>13607LSL8</v>
      </c>
      <c r="B2460" t="s">
        <v>101</v>
      </c>
      <c r="C2460" t="s">
        <v>3102</v>
      </c>
      <c r="D2460" t="s">
        <v>2433</v>
      </c>
      <c r="E2460">
        <v>5.6150000000000002</v>
      </c>
      <c r="F2460" s="2">
        <v>46220</v>
      </c>
      <c r="G2460" s="2" t="s">
        <v>101</v>
      </c>
      <c r="H2460" t="s">
        <v>610</v>
      </c>
      <c r="I2460" t="s">
        <v>713</v>
      </c>
      <c r="J2460">
        <v>101.29</v>
      </c>
      <c r="K2460">
        <v>101.504</v>
      </c>
      <c r="L2460">
        <v>4.6109999999999998</v>
      </c>
      <c r="M2460">
        <v>4.4470000000000001</v>
      </c>
      <c r="N2460">
        <v>4.4470000000000001</v>
      </c>
      <c r="O2460" t="s">
        <v>101</v>
      </c>
      <c r="P2460" t="s">
        <v>2525</v>
      </c>
      <c r="Q2460" t="s">
        <v>3103</v>
      </c>
      <c r="R2460" t="s">
        <v>2436</v>
      </c>
    </row>
    <row r="2461" spans="1:18" x14ac:dyDescent="0.5">
      <c r="A2461" t="str">
        <f>"89115A2S0"</f>
        <v>89115A2S0</v>
      </c>
      <c r="B2461" t="s">
        <v>101</v>
      </c>
      <c r="C2461" t="s">
        <v>3104</v>
      </c>
      <c r="D2461" t="s">
        <v>2433</v>
      </c>
      <c r="E2461">
        <v>5.532</v>
      </c>
      <c r="F2461" s="2">
        <v>46220</v>
      </c>
      <c r="G2461" s="2" t="s">
        <v>101</v>
      </c>
      <c r="H2461" t="s">
        <v>610</v>
      </c>
      <c r="I2461" t="s">
        <v>713</v>
      </c>
      <c r="J2461">
        <v>101.16500000000001</v>
      </c>
      <c r="K2461">
        <v>101.282</v>
      </c>
      <c r="L2461">
        <v>4.625</v>
      </c>
      <c r="M2461">
        <v>4.5350000000000001</v>
      </c>
      <c r="N2461">
        <v>4.5350000000000001</v>
      </c>
      <c r="O2461" t="s">
        <v>101</v>
      </c>
      <c r="P2461" t="s">
        <v>1702</v>
      </c>
      <c r="Q2461" t="s">
        <v>2581</v>
      </c>
      <c r="R2461" t="s">
        <v>2436</v>
      </c>
    </row>
    <row r="2462" spans="1:18" x14ac:dyDescent="0.5">
      <c r="A2462" t="str">
        <f>"78016FZZ0"</f>
        <v>78016FZZ0</v>
      </c>
      <c r="B2462" t="s">
        <v>101</v>
      </c>
      <c r="C2462" t="s">
        <v>3105</v>
      </c>
      <c r="D2462" t="s">
        <v>2433</v>
      </c>
      <c r="E2462">
        <v>5.2</v>
      </c>
      <c r="F2462" s="2">
        <v>46223</v>
      </c>
      <c r="G2462" s="2" t="s">
        <v>105</v>
      </c>
      <c r="H2462" t="s">
        <v>641</v>
      </c>
      <c r="I2462" t="s">
        <v>611</v>
      </c>
      <c r="J2462">
        <v>100.935</v>
      </c>
      <c r="K2462">
        <v>101.107</v>
      </c>
      <c r="L2462">
        <v>4.4770000000000003</v>
      </c>
      <c r="M2462">
        <v>4.3460000000000001</v>
      </c>
      <c r="N2462">
        <v>4.3460000000000001</v>
      </c>
      <c r="O2462" t="s">
        <v>101</v>
      </c>
      <c r="P2462" t="s">
        <v>2454</v>
      </c>
      <c r="Q2462" t="s">
        <v>2454</v>
      </c>
      <c r="R2462" t="s">
        <v>2465</v>
      </c>
    </row>
    <row r="2463" spans="1:18" x14ac:dyDescent="0.5">
      <c r="A2463" t="str">
        <f>"91159HHN3"</f>
        <v>91159HHN3</v>
      </c>
      <c r="B2463" t="s">
        <v>101</v>
      </c>
      <c r="C2463" t="s">
        <v>3106</v>
      </c>
      <c r="D2463" t="s">
        <v>2433</v>
      </c>
      <c r="E2463">
        <v>2.375</v>
      </c>
      <c r="F2463" s="2">
        <v>46225</v>
      </c>
      <c r="G2463" s="2">
        <v>46195</v>
      </c>
      <c r="H2463" t="s">
        <v>627</v>
      </c>
      <c r="I2463" t="s">
        <v>611</v>
      </c>
      <c r="J2463">
        <v>97.444000000000003</v>
      </c>
      <c r="K2463">
        <v>97.525999999999996</v>
      </c>
      <c r="L2463">
        <v>4.327</v>
      </c>
      <c r="M2463">
        <v>4.2629999999999999</v>
      </c>
      <c r="N2463">
        <v>4.2629999999999999</v>
      </c>
      <c r="O2463" t="s">
        <v>101</v>
      </c>
      <c r="P2463" t="s">
        <v>3107</v>
      </c>
      <c r="Q2463" t="s">
        <v>3075</v>
      </c>
      <c r="R2463" t="s">
        <v>2436</v>
      </c>
    </row>
    <row r="2464" spans="1:18" x14ac:dyDescent="0.5">
      <c r="A2464" t="str">
        <f>"693475AX3"</f>
        <v>693475AX3</v>
      </c>
      <c r="B2464" t="s">
        <v>101</v>
      </c>
      <c r="C2464" t="s">
        <v>3108</v>
      </c>
      <c r="D2464" t="s">
        <v>2433</v>
      </c>
      <c r="E2464">
        <v>2.6</v>
      </c>
      <c r="F2464" s="2">
        <v>46226</v>
      </c>
      <c r="G2464" s="2">
        <v>46165</v>
      </c>
      <c r="H2464" t="s">
        <v>627</v>
      </c>
      <c r="I2464" t="s">
        <v>713</v>
      </c>
      <c r="J2464">
        <v>97.491</v>
      </c>
      <c r="K2464">
        <v>97.608999999999995</v>
      </c>
      <c r="L2464">
        <v>4.5149999999999997</v>
      </c>
      <c r="M2464">
        <v>4.4240000000000004</v>
      </c>
      <c r="N2464">
        <v>4.4240000000000004</v>
      </c>
      <c r="O2464" t="s">
        <v>101</v>
      </c>
      <c r="P2464" t="s">
        <v>1702</v>
      </c>
      <c r="Q2464" t="s">
        <v>2581</v>
      </c>
      <c r="R2464" t="s">
        <v>2436</v>
      </c>
    </row>
    <row r="2465" spans="1:18" x14ac:dyDescent="0.5">
      <c r="A2465" t="str">
        <f>"06747Q7G6"</f>
        <v>06747Q7G6</v>
      </c>
      <c r="B2465" t="s">
        <v>101</v>
      </c>
      <c r="C2465" t="s">
        <v>3109</v>
      </c>
      <c r="D2465" t="s">
        <v>2433</v>
      </c>
      <c r="E2465">
        <v>1.6</v>
      </c>
      <c r="F2465" s="2">
        <v>46230</v>
      </c>
      <c r="G2465" s="2">
        <v>45865</v>
      </c>
      <c r="H2465" t="s">
        <v>641</v>
      </c>
      <c r="I2465" t="s">
        <v>658</v>
      </c>
      <c r="J2465">
        <v>95.632999999999996</v>
      </c>
      <c r="K2465">
        <v>96.733999999999995</v>
      </c>
      <c r="L2465">
        <v>4.9219999999999997</v>
      </c>
      <c r="M2465">
        <v>4.0650000000000004</v>
      </c>
      <c r="N2465">
        <v>4.0650000000000004</v>
      </c>
      <c r="O2465" t="s">
        <v>101</v>
      </c>
      <c r="P2465" t="s">
        <v>2289</v>
      </c>
      <c r="Q2465" t="s">
        <v>2821</v>
      </c>
      <c r="R2465" t="s">
        <v>2436</v>
      </c>
    </row>
    <row r="2466" spans="1:18" x14ac:dyDescent="0.5">
      <c r="A2466" t="str">
        <f>"61761J3R8"</f>
        <v>61761J3R8</v>
      </c>
      <c r="B2466" t="s">
        <v>101</v>
      </c>
      <c r="C2466" t="s">
        <v>3110</v>
      </c>
      <c r="D2466" t="s">
        <v>2433</v>
      </c>
      <c r="E2466">
        <v>3.125</v>
      </c>
      <c r="F2466" s="2">
        <v>46230</v>
      </c>
      <c r="G2466" s="2" t="s">
        <v>101</v>
      </c>
      <c r="H2466" t="s">
        <v>641</v>
      </c>
      <c r="I2466" t="s">
        <v>713</v>
      </c>
      <c r="J2466">
        <v>98.07</v>
      </c>
      <c r="K2466">
        <v>98.191000000000003</v>
      </c>
      <c r="L2466">
        <v>4.5869999999999997</v>
      </c>
      <c r="M2466">
        <v>4.4939999999999998</v>
      </c>
      <c r="N2466">
        <v>4.4939999999999998</v>
      </c>
      <c r="O2466" t="s">
        <v>101</v>
      </c>
      <c r="P2466" t="s">
        <v>2507</v>
      </c>
      <c r="Q2466" t="s">
        <v>2507</v>
      </c>
      <c r="R2466" t="s">
        <v>2436</v>
      </c>
    </row>
    <row r="2467" spans="1:18" x14ac:dyDescent="0.5">
      <c r="A2467" t="str">
        <f>"904764AU1"</f>
        <v>904764AU1</v>
      </c>
      <c r="B2467" t="s">
        <v>101</v>
      </c>
      <c r="C2467" t="s">
        <v>3111</v>
      </c>
      <c r="D2467" t="s">
        <v>2433</v>
      </c>
      <c r="E2467">
        <v>2</v>
      </c>
      <c r="F2467" s="2">
        <v>46231</v>
      </c>
      <c r="G2467" s="2" t="s">
        <v>101</v>
      </c>
      <c r="H2467" t="s">
        <v>641</v>
      </c>
      <c r="I2467" t="s">
        <v>658</v>
      </c>
      <c r="J2467">
        <v>96.945999999999998</v>
      </c>
      <c r="K2467">
        <v>97.111000000000004</v>
      </c>
      <c r="L2467">
        <v>4.3010000000000002</v>
      </c>
      <c r="M2467">
        <v>4.1779999999999999</v>
      </c>
      <c r="N2467">
        <v>4.1779999999999999</v>
      </c>
      <c r="O2467" t="s">
        <v>101</v>
      </c>
      <c r="P2467" t="s">
        <v>2988</v>
      </c>
      <c r="Q2467" t="s">
        <v>3040</v>
      </c>
      <c r="R2467" t="s">
        <v>2436</v>
      </c>
    </row>
    <row r="2468" spans="1:18" x14ac:dyDescent="0.5">
      <c r="A2468" t="str">
        <f>"06048WM72"</f>
        <v>06048WM72</v>
      </c>
      <c r="B2468" t="s">
        <v>101</v>
      </c>
      <c r="C2468" t="s">
        <v>3112</v>
      </c>
      <c r="D2468" t="s">
        <v>2433</v>
      </c>
      <c r="E2468">
        <v>1.2</v>
      </c>
      <c r="F2468" s="2">
        <v>46233</v>
      </c>
      <c r="G2468" s="2">
        <v>45868</v>
      </c>
      <c r="H2468" t="s">
        <v>641</v>
      </c>
      <c r="I2468" t="s">
        <v>713</v>
      </c>
      <c r="J2468">
        <v>95.218000000000004</v>
      </c>
      <c r="K2468">
        <v>96.072999999999993</v>
      </c>
      <c r="L2468">
        <v>4.8140000000000001</v>
      </c>
      <c r="M2468">
        <v>4.1500000000000004</v>
      </c>
      <c r="N2468">
        <v>4.1500000000000004</v>
      </c>
      <c r="O2468" t="s">
        <v>101</v>
      </c>
      <c r="P2468" t="s">
        <v>2595</v>
      </c>
      <c r="Q2468" t="s">
        <v>457</v>
      </c>
      <c r="R2468" t="s">
        <v>2436</v>
      </c>
    </row>
    <row r="2469" spans="1:18" x14ac:dyDescent="0.5">
      <c r="A2469" t="str">
        <f>"25468PDM5"</f>
        <v>25468PDM5</v>
      </c>
      <c r="B2469" t="s">
        <v>101</v>
      </c>
      <c r="C2469" t="s">
        <v>3113</v>
      </c>
      <c r="D2469" t="s">
        <v>2433</v>
      </c>
      <c r="E2469">
        <v>1.85</v>
      </c>
      <c r="F2469" s="2">
        <v>46233</v>
      </c>
      <c r="G2469" s="2" t="s">
        <v>101</v>
      </c>
      <c r="H2469" t="s">
        <v>610</v>
      </c>
      <c r="I2469" t="s">
        <v>611</v>
      </c>
      <c r="J2469">
        <v>96.635999999999996</v>
      </c>
      <c r="K2469">
        <v>96.745999999999995</v>
      </c>
      <c r="L2469">
        <v>4.3810000000000002</v>
      </c>
      <c r="M2469">
        <v>4.2969999999999997</v>
      </c>
      <c r="N2469">
        <v>4.2969999999999997</v>
      </c>
      <c r="O2469" t="s">
        <v>101</v>
      </c>
      <c r="P2469" t="s">
        <v>2447</v>
      </c>
      <c r="Q2469" t="s">
        <v>3114</v>
      </c>
      <c r="R2469" t="s">
        <v>2436</v>
      </c>
    </row>
    <row r="2470" spans="1:18" x14ac:dyDescent="0.5">
      <c r="A2470" t="str">
        <f>"92929QAQ0"</f>
        <v>92929QAQ0</v>
      </c>
      <c r="B2470" t="s">
        <v>101</v>
      </c>
      <c r="C2470" t="s">
        <v>3115</v>
      </c>
      <c r="D2470" t="s">
        <v>2433</v>
      </c>
      <c r="E2470">
        <v>7.1</v>
      </c>
      <c r="F2470" s="2">
        <v>46235</v>
      </c>
      <c r="G2470" s="2" t="s">
        <v>101</v>
      </c>
      <c r="H2470" t="s">
        <v>627</v>
      </c>
      <c r="I2470" t="s">
        <v>713</v>
      </c>
      <c r="J2470">
        <v>103.42400000000001</v>
      </c>
      <c r="K2470">
        <v>103.86799999999999</v>
      </c>
      <c r="L2470">
        <v>4.5190000000000001</v>
      </c>
      <c r="M2470">
        <v>4.194</v>
      </c>
      <c r="N2470">
        <v>4.194</v>
      </c>
      <c r="O2470" t="s">
        <v>101</v>
      </c>
      <c r="P2470" t="s">
        <v>3116</v>
      </c>
      <c r="Q2470" t="s">
        <v>2489</v>
      </c>
      <c r="R2470" t="s">
        <v>2436</v>
      </c>
    </row>
    <row r="2471" spans="1:18" x14ac:dyDescent="0.5">
      <c r="A2471" t="str">
        <f>"064159QE9"</f>
        <v>064159QE9</v>
      </c>
      <c r="B2471" t="s">
        <v>101</v>
      </c>
      <c r="C2471" t="s">
        <v>3117</v>
      </c>
      <c r="D2471" t="s">
        <v>2433</v>
      </c>
      <c r="E2471">
        <v>2.7</v>
      </c>
      <c r="F2471" s="2">
        <v>46237</v>
      </c>
      <c r="G2471" s="2" t="s">
        <v>101</v>
      </c>
      <c r="H2471" t="s">
        <v>610</v>
      </c>
      <c r="I2471" t="s">
        <v>713</v>
      </c>
      <c r="J2471">
        <v>97.504999999999995</v>
      </c>
      <c r="K2471">
        <v>97.63</v>
      </c>
      <c r="L2471">
        <v>4.569</v>
      </c>
      <c r="M2471">
        <v>4.4740000000000002</v>
      </c>
      <c r="N2471">
        <v>4.4740000000000002</v>
      </c>
      <c r="O2471" t="s">
        <v>101</v>
      </c>
      <c r="P2471" t="s">
        <v>1702</v>
      </c>
      <c r="Q2471" t="s">
        <v>2581</v>
      </c>
      <c r="R2471" t="s">
        <v>2436</v>
      </c>
    </row>
    <row r="2472" spans="1:18" x14ac:dyDescent="0.5">
      <c r="A2472" t="str">
        <f>"857477CD3"</f>
        <v>857477CD3</v>
      </c>
      <c r="B2472" t="s">
        <v>101</v>
      </c>
      <c r="C2472" t="s">
        <v>3118</v>
      </c>
      <c r="D2472" t="s">
        <v>2433</v>
      </c>
      <c r="E2472">
        <v>5.2720000000000002</v>
      </c>
      <c r="F2472" s="2">
        <v>46237</v>
      </c>
      <c r="G2472" s="2">
        <v>46207</v>
      </c>
      <c r="H2472" t="s">
        <v>624</v>
      </c>
      <c r="I2472" t="s">
        <v>611</v>
      </c>
      <c r="J2472">
        <v>101.04</v>
      </c>
      <c r="K2472">
        <v>101.175</v>
      </c>
      <c r="L2472">
        <v>4.4459999999999997</v>
      </c>
      <c r="M2472">
        <v>4.3390000000000004</v>
      </c>
      <c r="N2472">
        <v>4.3890000000000002</v>
      </c>
      <c r="O2472" t="s">
        <v>101</v>
      </c>
      <c r="P2472" t="s">
        <v>1702</v>
      </c>
      <c r="Q2472" t="s">
        <v>2940</v>
      </c>
      <c r="R2472" t="s">
        <v>2436</v>
      </c>
    </row>
    <row r="2473" spans="1:18" x14ac:dyDescent="0.5">
      <c r="A2473" t="str">
        <f>"037833BZ2"</f>
        <v>037833BZ2</v>
      </c>
      <c r="B2473" t="s">
        <v>101</v>
      </c>
      <c r="C2473" t="s">
        <v>3119</v>
      </c>
      <c r="D2473" t="s">
        <v>2433</v>
      </c>
      <c r="E2473">
        <v>2.4500000000000002</v>
      </c>
      <c r="F2473" s="2">
        <v>46238</v>
      </c>
      <c r="G2473" s="2">
        <v>46146</v>
      </c>
      <c r="H2473" t="s">
        <v>104</v>
      </c>
      <c r="I2473" t="s">
        <v>509</v>
      </c>
      <c r="J2473">
        <v>97.471000000000004</v>
      </c>
      <c r="K2473">
        <v>97.662000000000006</v>
      </c>
      <c r="L2473">
        <v>4.3369999999999997</v>
      </c>
      <c r="M2473">
        <v>4.1920000000000002</v>
      </c>
      <c r="N2473">
        <v>4.1920000000000002</v>
      </c>
      <c r="O2473" t="s">
        <v>101</v>
      </c>
      <c r="P2473" t="s">
        <v>2472</v>
      </c>
      <c r="Q2473" t="s">
        <v>2454</v>
      </c>
      <c r="R2473" t="s">
        <v>2436</v>
      </c>
    </row>
    <row r="2474" spans="1:18" x14ac:dyDescent="0.5">
      <c r="A2474" t="str">
        <f>"17325FBJ6"</f>
        <v>17325FBJ6</v>
      </c>
      <c r="B2474" t="s">
        <v>101</v>
      </c>
      <c r="C2474" t="s">
        <v>3120</v>
      </c>
      <c r="D2474" t="s">
        <v>2433</v>
      </c>
      <c r="E2474">
        <v>4.9290000000000003</v>
      </c>
      <c r="F2474" s="2">
        <v>46240</v>
      </c>
      <c r="G2474" s="2">
        <v>46209</v>
      </c>
      <c r="H2474" t="s">
        <v>624</v>
      </c>
      <c r="I2474" t="s">
        <v>658</v>
      </c>
      <c r="J2474">
        <v>100.54300000000001</v>
      </c>
      <c r="K2474">
        <v>100.703</v>
      </c>
      <c r="L2474">
        <v>4.4989999999999997</v>
      </c>
      <c r="M2474">
        <v>4.3730000000000002</v>
      </c>
      <c r="N2474">
        <v>4.4029999999999996</v>
      </c>
      <c r="O2474" t="s">
        <v>101</v>
      </c>
      <c r="P2474" t="s">
        <v>2564</v>
      </c>
      <c r="Q2474" t="s">
        <v>2564</v>
      </c>
      <c r="R2474" t="s">
        <v>2436</v>
      </c>
    </row>
    <row r="2475" spans="1:18" x14ac:dyDescent="0.5">
      <c r="A2475" t="str">
        <f>"89236TMJ1"</f>
        <v>89236TMJ1</v>
      </c>
      <c r="B2475" t="s">
        <v>101</v>
      </c>
      <c r="C2475" t="s">
        <v>3121</v>
      </c>
      <c r="D2475" t="s">
        <v>2433</v>
      </c>
      <c r="E2475">
        <v>4.55</v>
      </c>
      <c r="F2475" s="2">
        <v>46241</v>
      </c>
      <c r="G2475" s="2" t="s">
        <v>105</v>
      </c>
      <c r="H2475" t="s">
        <v>641</v>
      </c>
      <c r="I2475" t="s">
        <v>658</v>
      </c>
      <c r="J2475">
        <v>100.114</v>
      </c>
      <c r="K2475">
        <v>100.381</v>
      </c>
      <c r="L2475">
        <v>4.4619999999999997</v>
      </c>
      <c r="M2475">
        <v>4.2649999999999997</v>
      </c>
      <c r="N2475">
        <v>4.2649999999999997</v>
      </c>
      <c r="O2475" t="s">
        <v>101</v>
      </c>
      <c r="P2475" t="s">
        <v>2747</v>
      </c>
      <c r="Q2475" t="s">
        <v>2454</v>
      </c>
      <c r="R2475" t="s">
        <v>2465</v>
      </c>
    </row>
    <row r="2476" spans="1:18" x14ac:dyDescent="0.5">
      <c r="A2476" t="str">
        <f>"22550L2G5"</f>
        <v>22550L2G5</v>
      </c>
      <c r="B2476" t="s">
        <v>101</v>
      </c>
      <c r="C2476" t="s">
        <v>3122</v>
      </c>
      <c r="D2476" t="s">
        <v>2433</v>
      </c>
      <c r="E2476">
        <v>1.25</v>
      </c>
      <c r="F2476" s="2">
        <v>46241</v>
      </c>
      <c r="G2476" s="2" t="s">
        <v>101</v>
      </c>
      <c r="H2476" t="s">
        <v>613</v>
      </c>
      <c r="I2476" t="s">
        <v>658</v>
      </c>
      <c r="J2476">
        <v>95.605000000000004</v>
      </c>
      <c r="K2476">
        <v>95.813999999999993</v>
      </c>
      <c r="L2476">
        <v>4.5179999999999998</v>
      </c>
      <c r="M2476">
        <v>4.3579999999999997</v>
      </c>
      <c r="N2476">
        <v>4.3579999999999997</v>
      </c>
      <c r="O2476" t="s">
        <v>101</v>
      </c>
      <c r="P2476" t="s">
        <v>2566</v>
      </c>
      <c r="Q2476" t="s">
        <v>3123</v>
      </c>
      <c r="R2476" t="s">
        <v>2436</v>
      </c>
    </row>
    <row r="2477" spans="1:18" x14ac:dyDescent="0.5">
      <c r="A2477" t="str">
        <f>"594918BR4"</f>
        <v>594918BR4</v>
      </c>
      <c r="B2477" t="s">
        <v>101</v>
      </c>
      <c r="C2477" t="s">
        <v>3124</v>
      </c>
      <c r="D2477" t="s">
        <v>2433</v>
      </c>
      <c r="E2477">
        <v>2.4</v>
      </c>
      <c r="F2477" s="2">
        <v>46242</v>
      </c>
      <c r="G2477" s="2">
        <v>46150</v>
      </c>
      <c r="H2477" t="s">
        <v>104</v>
      </c>
      <c r="I2477" t="s">
        <v>104</v>
      </c>
      <c r="J2477">
        <v>97.52</v>
      </c>
      <c r="K2477">
        <v>97.628</v>
      </c>
      <c r="L2477">
        <v>4.2350000000000003</v>
      </c>
      <c r="M2477">
        <v>4.1529999999999996</v>
      </c>
      <c r="N2477">
        <v>4.1529999999999996</v>
      </c>
      <c r="O2477" t="s">
        <v>101</v>
      </c>
      <c r="P2477" t="s">
        <v>2491</v>
      </c>
      <c r="Q2477" t="s">
        <v>2472</v>
      </c>
      <c r="R2477" t="s">
        <v>2436</v>
      </c>
    </row>
    <row r="2478" spans="1:18" x14ac:dyDescent="0.5">
      <c r="A2478" t="str">
        <f>"14912L6T3"</f>
        <v>14912L6T3</v>
      </c>
      <c r="B2478" t="s">
        <v>101</v>
      </c>
      <c r="C2478" t="s">
        <v>3125</v>
      </c>
      <c r="D2478" t="s">
        <v>2433</v>
      </c>
      <c r="E2478">
        <v>2.4</v>
      </c>
      <c r="F2478" s="2">
        <v>46243</v>
      </c>
      <c r="G2478" s="2" t="s">
        <v>101</v>
      </c>
      <c r="H2478" t="s">
        <v>610</v>
      </c>
      <c r="I2478" t="s">
        <v>611</v>
      </c>
      <c r="J2478">
        <v>97.305000000000007</v>
      </c>
      <c r="K2478">
        <v>97.456000000000003</v>
      </c>
      <c r="L2478">
        <v>4.3929999999999998</v>
      </c>
      <c r="M2478">
        <v>4.2789999999999999</v>
      </c>
      <c r="N2478">
        <v>4.2789999999999999</v>
      </c>
      <c r="O2478" t="s">
        <v>101</v>
      </c>
      <c r="P2478" t="s">
        <v>3126</v>
      </c>
      <c r="Q2478" t="s">
        <v>858</v>
      </c>
      <c r="R2478" t="s">
        <v>2436</v>
      </c>
    </row>
    <row r="2479" spans="1:18" x14ac:dyDescent="0.5">
      <c r="A2479" t="str">
        <f>"61746BCY0"</f>
        <v>61746BCY0</v>
      </c>
      <c r="B2479" t="s">
        <v>101</v>
      </c>
      <c r="C2479" t="s">
        <v>3127</v>
      </c>
      <c r="D2479" t="s">
        <v>2433</v>
      </c>
      <c r="E2479">
        <v>6.25</v>
      </c>
      <c r="F2479" s="2">
        <v>46243</v>
      </c>
      <c r="G2479" s="2" t="s">
        <v>101</v>
      </c>
      <c r="H2479" t="s">
        <v>641</v>
      </c>
      <c r="I2479" t="s">
        <v>713</v>
      </c>
      <c r="J2479">
        <v>102.253</v>
      </c>
      <c r="K2479">
        <v>102.392</v>
      </c>
      <c r="L2479">
        <v>4.5759999999999996</v>
      </c>
      <c r="M2479">
        <v>4.4749999999999996</v>
      </c>
      <c r="N2479">
        <v>4.4749999999999996</v>
      </c>
      <c r="O2479" t="s">
        <v>101</v>
      </c>
      <c r="P2479" t="s">
        <v>2988</v>
      </c>
      <c r="Q2479" t="s">
        <v>3040</v>
      </c>
      <c r="R2479" t="s">
        <v>2436</v>
      </c>
    </row>
    <row r="2480" spans="1:18" x14ac:dyDescent="0.5">
      <c r="A2480" t="str">
        <f>"69371RS56"</f>
        <v>69371RS56</v>
      </c>
      <c r="B2480" t="s">
        <v>101</v>
      </c>
      <c r="C2480" t="s">
        <v>3128</v>
      </c>
      <c r="D2480" t="s">
        <v>2433</v>
      </c>
      <c r="E2480">
        <v>5.05</v>
      </c>
      <c r="F2480" s="2">
        <v>46244</v>
      </c>
      <c r="G2480" s="2" t="s">
        <v>105</v>
      </c>
      <c r="H2480" t="s">
        <v>641</v>
      </c>
      <c r="I2480" t="s">
        <v>658</v>
      </c>
      <c r="J2480">
        <v>100.889</v>
      </c>
      <c r="K2480">
        <v>101.02800000000001</v>
      </c>
      <c r="L2480">
        <v>4.3899999999999997</v>
      </c>
      <c r="M2480">
        <v>4.2889999999999997</v>
      </c>
      <c r="N2480">
        <v>4.2889999999999997</v>
      </c>
      <c r="O2480" t="s">
        <v>101</v>
      </c>
      <c r="P2480" t="s">
        <v>228</v>
      </c>
      <c r="Q2480" t="s">
        <v>3129</v>
      </c>
      <c r="R2480" t="s">
        <v>2465</v>
      </c>
    </row>
    <row r="2481" spans="1:18" x14ac:dyDescent="0.5">
      <c r="A2481" t="str">
        <f>"883556CV2"</f>
        <v>883556CV2</v>
      </c>
      <c r="B2481" t="s">
        <v>101</v>
      </c>
      <c r="C2481" t="s">
        <v>3130</v>
      </c>
      <c r="D2481" t="s">
        <v>2433</v>
      </c>
      <c r="E2481">
        <v>4.9530000000000003</v>
      </c>
      <c r="F2481" s="2">
        <v>46244</v>
      </c>
      <c r="G2481" s="2">
        <v>46213</v>
      </c>
      <c r="H2481" t="s">
        <v>627</v>
      </c>
      <c r="I2481" t="s">
        <v>713</v>
      </c>
      <c r="J2481">
        <v>100.83199999999999</v>
      </c>
      <c r="K2481">
        <v>100.92</v>
      </c>
      <c r="L2481">
        <v>4.3010000000000002</v>
      </c>
      <c r="M2481">
        <v>4.2329999999999997</v>
      </c>
      <c r="N2481">
        <v>4.2709999999999999</v>
      </c>
      <c r="O2481" t="s">
        <v>101</v>
      </c>
      <c r="P2481" t="s">
        <v>1702</v>
      </c>
      <c r="Q2481" t="s">
        <v>2454</v>
      </c>
      <c r="R2481" t="s">
        <v>2436</v>
      </c>
    </row>
    <row r="2482" spans="1:18" x14ac:dyDescent="0.5">
      <c r="A2482" t="str">
        <f>"039483BL5"</f>
        <v>039483BL5</v>
      </c>
      <c r="B2482" t="s">
        <v>101</v>
      </c>
      <c r="C2482" t="s">
        <v>3131</v>
      </c>
      <c r="D2482" t="s">
        <v>2433</v>
      </c>
      <c r="E2482">
        <v>2.5</v>
      </c>
      <c r="F2482" s="2">
        <v>46245</v>
      </c>
      <c r="G2482" s="2">
        <v>46153</v>
      </c>
      <c r="H2482" t="s">
        <v>610</v>
      </c>
      <c r="I2482" t="s">
        <v>611</v>
      </c>
      <c r="J2482">
        <v>97.292000000000002</v>
      </c>
      <c r="K2482">
        <v>97.427000000000007</v>
      </c>
      <c r="L2482">
        <v>4.4969999999999999</v>
      </c>
      <c r="M2482">
        <v>4.3949999999999996</v>
      </c>
      <c r="N2482">
        <v>4.3949999999999996</v>
      </c>
      <c r="O2482" t="s">
        <v>101</v>
      </c>
      <c r="P2482" t="s">
        <v>2434</v>
      </c>
      <c r="Q2482" t="s">
        <v>2581</v>
      </c>
      <c r="R2482" t="s">
        <v>2436</v>
      </c>
    </row>
    <row r="2483" spans="1:18" x14ac:dyDescent="0.5">
      <c r="A2483" t="str">
        <f>"693475BB0"</f>
        <v>693475BB0</v>
      </c>
      <c r="B2483" t="s">
        <v>101</v>
      </c>
      <c r="C2483" t="s">
        <v>3132</v>
      </c>
      <c r="D2483" t="s">
        <v>2433</v>
      </c>
      <c r="E2483">
        <v>1.1499999999999999</v>
      </c>
      <c r="F2483" s="2">
        <v>46247</v>
      </c>
      <c r="G2483" s="2">
        <v>46217</v>
      </c>
      <c r="H2483" t="s">
        <v>627</v>
      </c>
      <c r="I2483" t="s">
        <v>713</v>
      </c>
      <c r="J2483">
        <v>95.543000000000006</v>
      </c>
      <c r="K2483">
        <v>95.596999999999994</v>
      </c>
      <c r="L2483">
        <v>4.4240000000000004</v>
      </c>
      <c r="M2483">
        <v>4.383</v>
      </c>
      <c r="N2483">
        <v>4.383</v>
      </c>
      <c r="O2483" t="s">
        <v>101</v>
      </c>
      <c r="P2483" t="s">
        <v>2776</v>
      </c>
      <c r="Q2483" t="s">
        <v>2454</v>
      </c>
      <c r="R2483" t="s">
        <v>2436</v>
      </c>
    </row>
    <row r="2484" spans="1:18" x14ac:dyDescent="0.5">
      <c r="A2484" t="str">
        <f>"89236TKX2"</f>
        <v>89236TKX2</v>
      </c>
      <c r="B2484" t="s">
        <v>101</v>
      </c>
      <c r="C2484" t="s">
        <v>3133</v>
      </c>
      <c r="D2484" t="s">
        <v>2433</v>
      </c>
      <c r="E2484">
        <v>5</v>
      </c>
      <c r="F2484" s="2">
        <v>46248</v>
      </c>
      <c r="G2484" s="2" t="s">
        <v>105</v>
      </c>
      <c r="H2484" t="s">
        <v>641</v>
      </c>
      <c r="I2484" t="s">
        <v>658</v>
      </c>
      <c r="J2484">
        <v>100.78100000000001</v>
      </c>
      <c r="K2484">
        <v>100.89</v>
      </c>
      <c r="L2484">
        <v>4.4249999999999998</v>
      </c>
      <c r="M2484">
        <v>4.3449999999999998</v>
      </c>
      <c r="N2484">
        <v>4.3449999999999998</v>
      </c>
      <c r="O2484" t="s">
        <v>101</v>
      </c>
      <c r="P2484" t="s">
        <v>3134</v>
      </c>
      <c r="Q2484" t="s">
        <v>2581</v>
      </c>
      <c r="R2484" t="s">
        <v>2465</v>
      </c>
    </row>
    <row r="2485" spans="1:18" x14ac:dyDescent="0.5">
      <c r="A2485" t="str">
        <f>"02079KAC1"</f>
        <v>02079KAC1</v>
      </c>
      <c r="B2485" t="s">
        <v>101</v>
      </c>
      <c r="C2485" t="s">
        <v>3135</v>
      </c>
      <c r="D2485" t="s">
        <v>2433</v>
      </c>
      <c r="E2485">
        <v>1.998</v>
      </c>
      <c r="F2485" s="2">
        <v>46249</v>
      </c>
      <c r="G2485" s="2">
        <v>46157</v>
      </c>
      <c r="H2485" t="s">
        <v>613</v>
      </c>
      <c r="I2485" t="s">
        <v>509</v>
      </c>
      <c r="J2485">
        <v>96.912999999999997</v>
      </c>
      <c r="K2485">
        <v>97.102999999999994</v>
      </c>
      <c r="L2485">
        <v>4.2530000000000001</v>
      </c>
      <c r="M2485">
        <v>4.1109999999999998</v>
      </c>
      <c r="N2485">
        <v>4.1109999999999998</v>
      </c>
      <c r="O2485" t="s">
        <v>101</v>
      </c>
      <c r="P2485" t="s">
        <v>2544</v>
      </c>
      <c r="Q2485" t="s">
        <v>2472</v>
      </c>
      <c r="R2485" t="s">
        <v>2436</v>
      </c>
    </row>
    <row r="2486" spans="1:18" x14ac:dyDescent="0.5">
      <c r="A2486" t="str">
        <f>"059165EG1"</f>
        <v>059165EG1</v>
      </c>
      <c r="B2486" t="s">
        <v>101</v>
      </c>
      <c r="C2486" t="s">
        <v>3136</v>
      </c>
      <c r="D2486" t="s">
        <v>2433</v>
      </c>
      <c r="E2486">
        <v>2.4</v>
      </c>
      <c r="F2486" s="2">
        <v>46249</v>
      </c>
      <c r="G2486" s="2">
        <v>46157</v>
      </c>
      <c r="H2486" t="s">
        <v>627</v>
      </c>
      <c r="I2486" t="s">
        <v>611</v>
      </c>
      <c r="J2486">
        <v>97.254000000000005</v>
      </c>
      <c r="K2486">
        <v>97.471999999999994</v>
      </c>
      <c r="L2486">
        <v>4.4080000000000004</v>
      </c>
      <c r="M2486">
        <v>4.2460000000000004</v>
      </c>
      <c r="N2486">
        <v>4.2460000000000004</v>
      </c>
      <c r="O2486" t="s">
        <v>101</v>
      </c>
      <c r="P2486" t="s">
        <v>3137</v>
      </c>
      <c r="Q2486" t="s">
        <v>2731</v>
      </c>
      <c r="R2486" t="s">
        <v>2436</v>
      </c>
    </row>
    <row r="2487" spans="1:18" x14ac:dyDescent="0.5">
      <c r="A2487" t="str">
        <f>"369550AX6"</f>
        <v>369550AX6</v>
      </c>
      <c r="B2487" t="s">
        <v>101</v>
      </c>
      <c r="C2487" t="s">
        <v>3138</v>
      </c>
      <c r="D2487" t="s">
        <v>2433</v>
      </c>
      <c r="E2487">
        <v>2.125</v>
      </c>
      <c r="F2487" s="2">
        <v>46249</v>
      </c>
      <c r="G2487" s="2">
        <v>46157</v>
      </c>
      <c r="H2487" t="s">
        <v>610</v>
      </c>
      <c r="I2487" t="s">
        <v>611</v>
      </c>
      <c r="J2487">
        <v>96.88</v>
      </c>
      <c r="K2487">
        <v>96.992000000000004</v>
      </c>
      <c r="L2487">
        <v>4.407</v>
      </c>
      <c r="M2487">
        <v>4.3230000000000004</v>
      </c>
      <c r="N2487">
        <v>4.3230000000000004</v>
      </c>
      <c r="O2487" t="s">
        <v>101</v>
      </c>
      <c r="P2487" t="s">
        <v>2454</v>
      </c>
      <c r="Q2487" t="s">
        <v>3139</v>
      </c>
      <c r="R2487" t="s">
        <v>2436</v>
      </c>
    </row>
    <row r="2488" spans="1:18" x14ac:dyDescent="0.5">
      <c r="A2488" t="str">
        <f>"30231GBD3"</f>
        <v>30231GBD3</v>
      </c>
      <c r="B2488" t="s">
        <v>101</v>
      </c>
      <c r="C2488" t="s">
        <v>3140</v>
      </c>
      <c r="D2488" t="s">
        <v>2433</v>
      </c>
      <c r="E2488">
        <v>2.2749999999999999</v>
      </c>
      <c r="F2488" s="2">
        <v>46250</v>
      </c>
      <c r="G2488" s="2">
        <v>46189</v>
      </c>
      <c r="H2488" t="s">
        <v>613</v>
      </c>
      <c r="I2488" t="s">
        <v>616</v>
      </c>
      <c r="J2488">
        <v>97.265000000000001</v>
      </c>
      <c r="K2488">
        <v>97.397000000000006</v>
      </c>
      <c r="L2488">
        <v>4.2690000000000001</v>
      </c>
      <c r="M2488">
        <v>4.1710000000000003</v>
      </c>
      <c r="N2488">
        <v>4.1710000000000003</v>
      </c>
      <c r="O2488" t="s">
        <v>101</v>
      </c>
      <c r="P2488" t="s">
        <v>3141</v>
      </c>
      <c r="Q2488" t="s">
        <v>2489</v>
      </c>
      <c r="R2488" t="s">
        <v>2436</v>
      </c>
    </row>
    <row r="2489" spans="1:18" x14ac:dyDescent="0.5">
      <c r="A2489" t="str">
        <f>"06406FAE3"</f>
        <v>06406FAE3</v>
      </c>
      <c r="B2489" t="s">
        <v>101</v>
      </c>
      <c r="C2489" t="s">
        <v>3142</v>
      </c>
      <c r="D2489" t="s">
        <v>2433</v>
      </c>
      <c r="E2489">
        <v>2.4500000000000002</v>
      </c>
      <c r="F2489" s="2">
        <v>46251</v>
      </c>
      <c r="G2489" s="2">
        <v>46159</v>
      </c>
      <c r="H2489" t="s">
        <v>624</v>
      </c>
      <c r="I2489" t="s">
        <v>611</v>
      </c>
      <c r="J2489">
        <v>97.34</v>
      </c>
      <c r="K2489">
        <v>97.444999999999993</v>
      </c>
      <c r="L2489">
        <v>4.3879999999999999</v>
      </c>
      <c r="M2489">
        <v>4.3099999999999996</v>
      </c>
      <c r="N2489">
        <v>4.3099999999999996</v>
      </c>
      <c r="O2489" t="s">
        <v>101</v>
      </c>
      <c r="P2489" t="s">
        <v>2438</v>
      </c>
      <c r="Q2489" t="s">
        <v>3075</v>
      </c>
      <c r="R2489" t="s">
        <v>2436</v>
      </c>
    </row>
    <row r="2490" spans="1:18" x14ac:dyDescent="0.5">
      <c r="A2490" t="str">
        <f>"06428CAA2"</f>
        <v>06428CAA2</v>
      </c>
      <c r="B2490" t="s">
        <v>101</v>
      </c>
      <c r="C2490" t="s">
        <v>3143</v>
      </c>
      <c r="D2490" t="s">
        <v>2433</v>
      </c>
      <c r="E2490">
        <v>5.5259999999999998</v>
      </c>
      <c r="F2490" s="2">
        <v>46252</v>
      </c>
      <c r="G2490" s="2">
        <v>46220</v>
      </c>
      <c r="H2490" t="s">
        <v>540</v>
      </c>
      <c r="I2490" t="s">
        <v>658</v>
      </c>
      <c r="J2490">
        <v>101.453</v>
      </c>
      <c r="K2490">
        <v>101.557</v>
      </c>
      <c r="L2490">
        <v>4.4039999999999999</v>
      </c>
      <c r="M2490">
        <v>4.3239999999999998</v>
      </c>
      <c r="N2490">
        <v>4.391</v>
      </c>
      <c r="O2490" t="s">
        <v>101</v>
      </c>
      <c r="P2490" t="s">
        <v>2566</v>
      </c>
      <c r="Q2490" t="s">
        <v>3123</v>
      </c>
      <c r="R2490" t="s">
        <v>2436</v>
      </c>
    </row>
    <row r="2491" spans="1:18" x14ac:dyDescent="0.5">
      <c r="A2491" t="str">
        <f>"961214DC4"</f>
        <v>961214DC4</v>
      </c>
      <c r="B2491" t="s">
        <v>101</v>
      </c>
      <c r="C2491" t="s">
        <v>3144</v>
      </c>
      <c r="D2491" t="s">
        <v>2433</v>
      </c>
      <c r="E2491">
        <v>2.7</v>
      </c>
      <c r="F2491" s="2">
        <v>46253</v>
      </c>
      <c r="G2491" s="2" t="s">
        <v>101</v>
      </c>
      <c r="H2491" t="s">
        <v>613</v>
      </c>
      <c r="I2491" t="s">
        <v>616</v>
      </c>
      <c r="J2491">
        <v>97.77</v>
      </c>
      <c r="K2491">
        <v>97.924999999999997</v>
      </c>
      <c r="L2491">
        <v>4.3170000000000002</v>
      </c>
      <c r="M2491">
        <v>4.2030000000000003</v>
      </c>
      <c r="N2491">
        <v>4.2030000000000003</v>
      </c>
      <c r="O2491" t="s">
        <v>101</v>
      </c>
      <c r="P2491" t="s">
        <v>2454</v>
      </c>
      <c r="Q2491" t="s">
        <v>2454</v>
      </c>
      <c r="R2491" t="s">
        <v>2436</v>
      </c>
    </row>
    <row r="2492" spans="1:18" x14ac:dyDescent="0.5">
      <c r="A2492" t="str">
        <f>"808513CG8"</f>
        <v>808513CG8</v>
      </c>
      <c r="B2492" t="s">
        <v>101</v>
      </c>
      <c r="C2492" t="s">
        <v>3145</v>
      </c>
      <c r="D2492" t="s">
        <v>2433</v>
      </c>
      <c r="E2492">
        <v>5.875</v>
      </c>
      <c r="F2492" s="2">
        <v>46258</v>
      </c>
      <c r="G2492" s="2">
        <v>46227</v>
      </c>
      <c r="H2492" t="s">
        <v>610</v>
      </c>
      <c r="I2492" t="s">
        <v>713</v>
      </c>
      <c r="J2492">
        <v>101.782</v>
      </c>
      <c r="K2492">
        <v>101.889</v>
      </c>
      <c r="L2492">
        <v>4.5170000000000003</v>
      </c>
      <c r="M2492">
        <v>4.4359999999999999</v>
      </c>
      <c r="N2492">
        <v>4.5119999999999996</v>
      </c>
      <c r="O2492" t="s">
        <v>101</v>
      </c>
      <c r="P2492" t="s">
        <v>3146</v>
      </c>
      <c r="Q2492" t="s">
        <v>2581</v>
      </c>
      <c r="R2492" t="s">
        <v>2436</v>
      </c>
    </row>
    <row r="2493" spans="1:18" x14ac:dyDescent="0.5">
      <c r="A2493" t="str">
        <f>"15189XAQ1"</f>
        <v>15189XAQ1</v>
      </c>
      <c r="B2493" t="s">
        <v>101</v>
      </c>
      <c r="C2493" t="s">
        <v>3147</v>
      </c>
      <c r="D2493" t="s">
        <v>2433</v>
      </c>
      <c r="E2493">
        <v>2.4</v>
      </c>
      <c r="F2493" s="2">
        <v>46266</v>
      </c>
      <c r="G2493" s="2">
        <v>46174</v>
      </c>
      <c r="H2493" t="s">
        <v>610</v>
      </c>
      <c r="I2493" t="s">
        <v>611</v>
      </c>
      <c r="J2493">
        <v>97.203000000000003</v>
      </c>
      <c r="K2493">
        <v>97.41</v>
      </c>
      <c r="L2493">
        <v>4.3860000000000001</v>
      </c>
      <c r="M2493">
        <v>4.2359999999999998</v>
      </c>
      <c r="N2493">
        <v>4.2359999999999998</v>
      </c>
      <c r="O2493" t="s">
        <v>101</v>
      </c>
      <c r="P2493" t="s">
        <v>2920</v>
      </c>
      <c r="Q2493" t="s">
        <v>3148</v>
      </c>
      <c r="R2493" t="s">
        <v>2436</v>
      </c>
    </row>
    <row r="2494" spans="1:18" x14ac:dyDescent="0.5">
      <c r="A2494" t="str">
        <f>"06055JKL2"</f>
        <v>06055JKL2</v>
      </c>
      <c r="B2494" t="s">
        <v>101</v>
      </c>
      <c r="C2494" t="s">
        <v>3149</v>
      </c>
      <c r="D2494" t="s">
        <v>2433</v>
      </c>
      <c r="E2494">
        <v>4.55</v>
      </c>
      <c r="F2494" s="2">
        <v>46269</v>
      </c>
      <c r="G2494" s="2">
        <v>45904</v>
      </c>
      <c r="H2494" t="s">
        <v>641</v>
      </c>
      <c r="I2494" t="s">
        <v>713</v>
      </c>
      <c r="J2494">
        <v>99.516999999999996</v>
      </c>
      <c r="K2494">
        <v>99.99</v>
      </c>
      <c r="L2494">
        <v>4.8920000000000003</v>
      </c>
      <c r="M2494">
        <v>4.556</v>
      </c>
      <c r="N2494">
        <v>4.556</v>
      </c>
      <c r="O2494" t="s">
        <v>101</v>
      </c>
      <c r="P2494" t="s">
        <v>2438</v>
      </c>
      <c r="Q2494" t="s">
        <v>3150</v>
      </c>
      <c r="R2494" t="s">
        <v>2726</v>
      </c>
    </row>
    <row r="2495" spans="1:18" x14ac:dyDescent="0.5">
      <c r="A2495" t="str">
        <f>"842400JF1"</f>
        <v>842400JF1</v>
      </c>
      <c r="B2495" t="s">
        <v>101</v>
      </c>
      <c r="C2495" t="s">
        <v>3151</v>
      </c>
      <c r="D2495" t="s">
        <v>2433</v>
      </c>
      <c r="E2495">
        <v>4.4000000000000004</v>
      </c>
      <c r="F2495" s="2">
        <v>46271</v>
      </c>
      <c r="G2495" s="2">
        <v>46209</v>
      </c>
      <c r="H2495" t="s">
        <v>610</v>
      </c>
      <c r="I2495" t="s">
        <v>713</v>
      </c>
      <c r="J2495">
        <v>99.418000000000006</v>
      </c>
      <c r="K2495">
        <v>99.557000000000002</v>
      </c>
      <c r="L2495">
        <v>4.8109999999999999</v>
      </c>
      <c r="M2495">
        <v>4.7119999999999997</v>
      </c>
      <c r="N2495">
        <v>4.7119999999999997</v>
      </c>
      <c r="O2495" t="s">
        <v>101</v>
      </c>
      <c r="P2495" t="s">
        <v>1702</v>
      </c>
      <c r="Q2495" t="s">
        <v>3075</v>
      </c>
      <c r="R2495" t="s">
        <v>2726</v>
      </c>
    </row>
    <row r="2496" spans="1:18" x14ac:dyDescent="0.5">
      <c r="A2496" t="str">
        <f>"055451BB3"</f>
        <v>055451BB3</v>
      </c>
      <c r="B2496" t="s">
        <v>101</v>
      </c>
      <c r="C2496" t="s">
        <v>3152</v>
      </c>
      <c r="D2496" t="s">
        <v>2433</v>
      </c>
      <c r="E2496">
        <v>5.25</v>
      </c>
      <c r="F2496" s="2">
        <v>46273</v>
      </c>
      <c r="G2496" s="2" t="s">
        <v>101</v>
      </c>
      <c r="H2496" t="s">
        <v>641</v>
      </c>
      <c r="I2496" t="s">
        <v>713</v>
      </c>
      <c r="J2496">
        <v>101.13500000000001</v>
      </c>
      <c r="K2496">
        <v>101.256</v>
      </c>
      <c r="L2496">
        <v>4.4530000000000003</v>
      </c>
      <c r="M2496">
        <v>4.3689999999999998</v>
      </c>
      <c r="N2496">
        <v>4.3689999999999998</v>
      </c>
      <c r="O2496" t="s">
        <v>101</v>
      </c>
      <c r="P2496" t="s">
        <v>554</v>
      </c>
      <c r="Q2496" t="s">
        <v>2454</v>
      </c>
      <c r="R2496" t="s">
        <v>2436</v>
      </c>
    </row>
    <row r="2497" spans="1:18" x14ac:dyDescent="0.5">
      <c r="A2497" t="str">
        <f>"24422EXD6"</f>
        <v>24422EXD6</v>
      </c>
      <c r="B2497" t="s">
        <v>101</v>
      </c>
      <c r="C2497" t="s">
        <v>3153</v>
      </c>
      <c r="D2497" t="s">
        <v>2433</v>
      </c>
      <c r="E2497">
        <v>5.15</v>
      </c>
      <c r="F2497" s="2">
        <v>46273</v>
      </c>
      <c r="G2497" s="2" t="s">
        <v>105</v>
      </c>
      <c r="H2497" t="s">
        <v>641</v>
      </c>
      <c r="I2497" t="s">
        <v>611</v>
      </c>
      <c r="J2497">
        <v>101.26300000000001</v>
      </c>
      <c r="K2497">
        <v>101.373</v>
      </c>
      <c r="L2497">
        <v>4.2649999999999997</v>
      </c>
      <c r="M2497">
        <v>4.1890000000000001</v>
      </c>
      <c r="N2497">
        <v>4.1890000000000001</v>
      </c>
      <c r="O2497" t="s">
        <v>101</v>
      </c>
      <c r="P2497" t="s">
        <v>2507</v>
      </c>
      <c r="Q2497" t="s">
        <v>3075</v>
      </c>
      <c r="R2497" t="s">
        <v>2465</v>
      </c>
    </row>
    <row r="2498" spans="1:18" x14ac:dyDescent="0.5">
      <c r="A2498" t="str">
        <f>"02665WBH3"</f>
        <v>02665WBH3</v>
      </c>
      <c r="B2498" t="s">
        <v>101</v>
      </c>
      <c r="C2498" t="s">
        <v>3154</v>
      </c>
      <c r="D2498" t="s">
        <v>2433</v>
      </c>
      <c r="E2498">
        <v>2.2999999999999998</v>
      </c>
      <c r="F2498" s="2">
        <v>46274</v>
      </c>
      <c r="G2498" s="2" t="s">
        <v>101</v>
      </c>
      <c r="H2498" t="s">
        <v>627</v>
      </c>
      <c r="I2498" t="s">
        <v>713</v>
      </c>
      <c r="J2498">
        <v>96.751999999999995</v>
      </c>
      <c r="K2498">
        <v>96.894999999999996</v>
      </c>
      <c r="L2498">
        <v>4.577</v>
      </c>
      <c r="M2498">
        <v>4.4749999999999996</v>
      </c>
      <c r="N2498">
        <v>4.4749999999999996</v>
      </c>
      <c r="O2498" t="s">
        <v>101</v>
      </c>
      <c r="P2498" t="s">
        <v>2454</v>
      </c>
      <c r="Q2498" t="s">
        <v>2581</v>
      </c>
      <c r="R2498" t="s">
        <v>2436</v>
      </c>
    </row>
    <row r="2499" spans="1:18" x14ac:dyDescent="0.5">
      <c r="A2499" t="str">
        <f>"02665WDZ1"</f>
        <v>02665WDZ1</v>
      </c>
      <c r="B2499" t="s">
        <v>101</v>
      </c>
      <c r="C2499" t="s">
        <v>3155</v>
      </c>
      <c r="D2499" t="s">
        <v>2433</v>
      </c>
      <c r="E2499">
        <v>1.3</v>
      </c>
      <c r="F2499" s="2">
        <v>46274</v>
      </c>
      <c r="G2499" s="2" t="s">
        <v>101</v>
      </c>
      <c r="H2499" t="s">
        <v>627</v>
      </c>
      <c r="I2499" t="s">
        <v>713</v>
      </c>
      <c r="J2499">
        <v>95.35</v>
      </c>
      <c r="K2499">
        <v>95.47</v>
      </c>
      <c r="L2499">
        <v>4.5599999999999996</v>
      </c>
      <c r="M2499">
        <v>4.4729999999999999</v>
      </c>
      <c r="N2499">
        <v>4.4729999999999999</v>
      </c>
      <c r="O2499" t="s">
        <v>101</v>
      </c>
      <c r="P2499" t="s">
        <v>503</v>
      </c>
      <c r="Q2499" t="s">
        <v>2581</v>
      </c>
      <c r="R2499" t="s">
        <v>2436</v>
      </c>
    </row>
    <row r="2500" spans="1:18" x14ac:dyDescent="0.5">
      <c r="A2500" t="str">
        <f>"06048WN63"</f>
        <v>06048WN63</v>
      </c>
      <c r="B2500" t="s">
        <v>101</v>
      </c>
      <c r="C2500" t="s">
        <v>3156</v>
      </c>
      <c r="D2500" t="s">
        <v>2433</v>
      </c>
      <c r="E2500">
        <v>1.1499999999999999</v>
      </c>
      <c r="F2500" s="2">
        <v>46275</v>
      </c>
      <c r="G2500" s="2">
        <v>45910</v>
      </c>
      <c r="H2500" t="s">
        <v>641</v>
      </c>
      <c r="I2500" t="s">
        <v>713</v>
      </c>
      <c r="J2500">
        <v>94.903000000000006</v>
      </c>
      <c r="K2500">
        <v>95.721000000000004</v>
      </c>
      <c r="L2500">
        <v>4.7220000000000004</v>
      </c>
      <c r="M2500">
        <v>4.1319999999999997</v>
      </c>
      <c r="N2500">
        <v>4.1319999999999997</v>
      </c>
      <c r="O2500" t="s">
        <v>101</v>
      </c>
      <c r="P2500" t="s">
        <v>2595</v>
      </c>
      <c r="Q2500" t="s">
        <v>457</v>
      </c>
      <c r="R2500" t="s">
        <v>2436</v>
      </c>
    </row>
    <row r="2501" spans="1:18" x14ac:dyDescent="0.5">
      <c r="A2501" t="str">
        <f>"89114TZG0"</f>
        <v>89114TZG0</v>
      </c>
      <c r="B2501" t="s">
        <v>101</v>
      </c>
      <c r="C2501" t="s">
        <v>3157</v>
      </c>
      <c r="D2501" t="s">
        <v>2433</v>
      </c>
      <c r="E2501">
        <v>1.25</v>
      </c>
      <c r="F2501" s="2">
        <v>46275</v>
      </c>
      <c r="G2501" s="2" t="s">
        <v>101</v>
      </c>
      <c r="H2501" t="s">
        <v>610</v>
      </c>
      <c r="I2501" t="s">
        <v>713</v>
      </c>
      <c r="J2501">
        <v>95.222999999999999</v>
      </c>
      <c r="K2501">
        <v>95.358999999999995</v>
      </c>
      <c r="L2501">
        <v>4.5940000000000003</v>
      </c>
      <c r="M2501">
        <v>4.4960000000000004</v>
      </c>
      <c r="N2501">
        <v>4.4960000000000004</v>
      </c>
      <c r="O2501" t="s">
        <v>101</v>
      </c>
      <c r="P2501" t="s">
        <v>2454</v>
      </c>
      <c r="Q2501" t="s">
        <v>2581</v>
      </c>
      <c r="R2501" t="s">
        <v>2436</v>
      </c>
    </row>
    <row r="2502" spans="1:18" x14ac:dyDescent="0.5">
      <c r="A2502" t="str">
        <f>"037833DN7"</f>
        <v>037833DN7</v>
      </c>
      <c r="B2502" t="s">
        <v>101</v>
      </c>
      <c r="C2502" t="s">
        <v>3158</v>
      </c>
      <c r="D2502" t="s">
        <v>2433</v>
      </c>
      <c r="E2502">
        <v>2.0499999999999998</v>
      </c>
      <c r="F2502" s="2">
        <v>46276</v>
      </c>
      <c r="G2502" s="2">
        <v>46214</v>
      </c>
      <c r="H2502" t="s">
        <v>104</v>
      </c>
      <c r="I2502" t="s">
        <v>509</v>
      </c>
      <c r="J2502">
        <v>96.811999999999998</v>
      </c>
      <c r="K2502">
        <v>96.926000000000002</v>
      </c>
      <c r="L2502">
        <v>4.2709999999999999</v>
      </c>
      <c r="M2502">
        <v>4.1900000000000004</v>
      </c>
      <c r="N2502">
        <v>4.1900000000000004</v>
      </c>
      <c r="O2502" t="s">
        <v>101</v>
      </c>
      <c r="P2502" t="s">
        <v>2595</v>
      </c>
      <c r="Q2502" t="s">
        <v>2438</v>
      </c>
      <c r="R2502" t="s">
        <v>2436</v>
      </c>
    </row>
    <row r="2503" spans="1:18" x14ac:dyDescent="0.5">
      <c r="A2503" t="str">
        <f>"822582BX9"</f>
        <v>822582BX9</v>
      </c>
      <c r="B2503" t="s">
        <v>101</v>
      </c>
      <c r="C2503" t="s">
        <v>3159</v>
      </c>
      <c r="D2503" t="s">
        <v>2433</v>
      </c>
      <c r="E2503">
        <v>2.5</v>
      </c>
      <c r="F2503" s="2">
        <v>46277</v>
      </c>
      <c r="G2503" s="2" t="s">
        <v>101</v>
      </c>
      <c r="H2503" t="s">
        <v>613</v>
      </c>
      <c r="I2503" t="s">
        <v>658</v>
      </c>
      <c r="J2503">
        <v>97.355000000000004</v>
      </c>
      <c r="K2503">
        <v>97.486999999999995</v>
      </c>
      <c r="L2503">
        <v>4.34</v>
      </c>
      <c r="M2503">
        <v>4.2469999999999999</v>
      </c>
      <c r="N2503">
        <v>4.2469999999999999</v>
      </c>
      <c r="O2503" t="s">
        <v>101</v>
      </c>
      <c r="P2503" t="s">
        <v>3160</v>
      </c>
      <c r="Q2503" t="s">
        <v>3161</v>
      </c>
      <c r="R2503" t="s">
        <v>2436</v>
      </c>
    </row>
    <row r="2504" spans="1:18" x14ac:dyDescent="0.5">
      <c r="A2504" t="str">
        <f>"606822AJ3"</f>
        <v>606822AJ3</v>
      </c>
      <c r="B2504" t="s">
        <v>101</v>
      </c>
      <c r="C2504" t="s">
        <v>3162</v>
      </c>
      <c r="D2504" t="s">
        <v>2433</v>
      </c>
      <c r="E2504">
        <v>2.7570000000000001</v>
      </c>
      <c r="F2504" s="2">
        <v>46278</v>
      </c>
      <c r="G2504" s="2" t="s">
        <v>101</v>
      </c>
      <c r="H2504" t="s">
        <v>641</v>
      </c>
      <c r="I2504" t="s">
        <v>713</v>
      </c>
      <c r="J2504">
        <v>97.397999999999996</v>
      </c>
      <c r="K2504">
        <v>97.650999999999996</v>
      </c>
      <c r="L2504">
        <v>4.5679999999999996</v>
      </c>
      <c r="M2504">
        <v>4.3890000000000002</v>
      </c>
      <c r="N2504">
        <v>4.3890000000000002</v>
      </c>
      <c r="O2504" t="s">
        <v>101</v>
      </c>
      <c r="P2504" t="s">
        <v>542</v>
      </c>
      <c r="Q2504" t="s">
        <v>3163</v>
      </c>
      <c r="R2504" t="s">
        <v>2436</v>
      </c>
    </row>
    <row r="2505" spans="1:18" x14ac:dyDescent="0.5">
      <c r="A2505" t="str">
        <f>"60687YAG4"</f>
        <v>60687YAG4</v>
      </c>
      <c r="B2505" t="s">
        <v>101</v>
      </c>
      <c r="C2505" t="s">
        <v>3164</v>
      </c>
      <c r="D2505" t="s">
        <v>2433</v>
      </c>
      <c r="E2505">
        <v>2.839</v>
      </c>
      <c r="F2505" s="2">
        <v>46278</v>
      </c>
      <c r="G2505" s="2" t="s">
        <v>101</v>
      </c>
      <c r="H2505" t="s">
        <v>641</v>
      </c>
      <c r="I2505" t="s">
        <v>713</v>
      </c>
      <c r="J2505">
        <v>97.557000000000002</v>
      </c>
      <c r="K2505">
        <v>97.757999999999996</v>
      </c>
      <c r="L2505">
        <v>4.5389999999999997</v>
      </c>
      <c r="M2505">
        <v>4.3970000000000002</v>
      </c>
      <c r="N2505">
        <v>4.3970000000000002</v>
      </c>
      <c r="O2505" t="s">
        <v>101</v>
      </c>
      <c r="P2505" t="s">
        <v>2687</v>
      </c>
      <c r="Q2505" t="s">
        <v>2843</v>
      </c>
      <c r="R2505" t="s">
        <v>2436</v>
      </c>
    </row>
    <row r="2506" spans="1:18" x14ac:dyDescent="0.5">
      <c r="A2506" t="str">
        <f>"14913R2Q9"</f>
        <v>14913R2Q9</v>
      </c>
      <c r="B2506" t="s">
        <v>101</v>
      </c>
      <c r="C2506" t="s">
        <v>3165</v>
      </c>
      <c r="D2506" t="s">
        <v>2433</v>
      </c>
      <c r="E2506">
        <v>1.1499999999999999</v>
      </c>
      <c r="F2506" s="2">
        <v>46279</v>
      </c>
      <c r="G2506" s="2" t="s">
        <v>101</v>
      </c>
      <c r="H2506" t="s">
        <v>610</v>
      </c>
      <c r="I2506" t="s">
        <v>611</v>
      </c>
      <c r="J2506">
        <v>95.37</v>
      </c>
      <c r="K2506">
        <v>95.46</v>
      </c>
      <c r="L2506">
        <v>4.3609999999999998</v>
      </c>
      <c r="M2506">
        <v>4.2960000000000003</v>
      </c>
      <c r="N2506">
        <v>4.2960000000000003</v>
      </c>
      <c r="O2506" t="s">
        <v>101</v>
      </c>
      <c r="P2506" t="s">
        <v>1236</v>
      </c>
      <c r="Q2506" t="s">
        <v>554</v>
      </c>
      <c r="R2506" t="s">
        <v>2436</v>
      </c>
    </row>
    <row r="2507" spans="1:18" x14ac:dyDescent="0.5">
      <c r="A2507" t="str">
        <f>"24422EVB2"</f>
        <v>24422EVB2</v>
      </c>
      <c r="B2507" t="s">
        <v>101</v>
      </c>
      <c r="C2507" t="s">
        <v>3166</v>
      </c>
      <c r="D2507" t="s">
        <v>2433</v>
      </c>
      <c r="E2507">
        <v>2.25</v>
      </c>
      <c r="F2507" s="2">
        <v>46279</v>
      </c>
      <c r="G2507" s="2" t="s">
        <v>105</v>
      </c>
      <c r="H2507" t="s">
        <v>641</v>
      </c>
      <c r="I2507" t="s">
        <v>611</v>
      </c>
      <c r="J2507">
        <v>96.894999999999996</v>
      </c>
      <c r="K2507">
        <v>97.103999999999999</v>
      </c>
      <c r="L2507">
        <v>4.4039999999999999</v>
      </c>
      <c r="M2507">
        <v>4.2560000000000002</v>
      </c>
      <c r="N2507">
        <v>4.2560000000000002</v>
      </c>
      <c r="O2507" t="s">
        <v>101</v>
      </c>
      <c r="P2507" t="s">
        <v>2507</v>
      </c>
      <c r="Q2507" t="s">
        <v>858</v>
      </c>
      <c r="R2507" t="s">
        <v>2465</v>
      </c>
    </row>
    <row r="2508" spans="1:18" x14ac:dyDescent="0.5">
      <c r="A2508" t="str">
        <f>"03076CAH9"</f>
        <v>03076CAH9</v>
      </c>
      <c r="B2508" t="s">
        <v>101</v>
      </c>
      <c r="C2508" t="s">
        <v>3167</v>
      </c>
      <c r="D2508" t="s">
        <v>2433</v>
      </c>
      <c r="E2508">
        <v>2.875</v>
      </c>
      <c r="F2508" s="2">
        <v>46280</v>
      </c>
      <c r="G2508" s="2">
        <v>46188</v>
      </c>
      <c r="H2508" t="s">
        <v>627</v>
      </c>
      <c r="I2508" t="s">
        <v>713</v>
      </c>
      <c r="J2508">
        <v>97.796000000000006</v>
      </c>
      <c r="K2508">
        <v>97.914000000000001</v>
      </c>
      <c r="L2508">
        <v>4.4009999999999998</v>
      </c>
      <c r="M2508">
        <v>4.3179999999999996</v>
      </c>
      <c r="N2508">
        <v>4.3179999999999996</v>
      </c>
      <c r="O2508" t="s">
        <v>101</v>
      </c>
      <c r="P2508" t="s">
        <v>2447</v>
      </c>
      <c r="Q2508" t="s">
        <v>2581</v>
      </c>
      <c r="R2508" t="s">
        <v>2436</v>
      </c>
    </row>
    <row r="2509" spans="1:18" x14ac:dyDescent="0.5">
      <c r="A2509" t="str">
        <f>"06368FAC3"</f>
        <v>06368FAC3</v>
      </c>
      <c r="B2509" t="s">
        <v>101</v>
      </c>
      <c r="C2509" t="s">
        <v>3168</v>
      </c>
      <c r="D2509" t="s">
        <v>2433</v>
      </c>
      <c r="E2509">
        <v>1.25</v>
      </c>
      <c r="F2509" s="2">
        <v>46280</v>
      </c>
      <c r="G2509" s="2" t="s">
        <v>101</v>
      </c>
      <c r="H2509" t="s">
        <v>610</v>
      </c>
      <c r="I2509" t="s">
        <v>713</v>
      </c>
      <c r="J2509">
        <v>95.18</v>
      </c>
      <c r="K2509">
        <v>95.287000000000006</v>
      </c>
      <c r="L2509">
        <v>4.5940000000000003</v>
      </c>
      <c r="M2509">
        <v>4.5170000000000003</v>
      </c>
      <c r="N2509">
        <v>4.5170000000000003</v>
      </c>
      <c r="O2509" t="s">
        <v>101</v>
      </c>
      <c r="P2509" t="s">
        <v>2454</v>
      </c>
      <c r="Q2509" t="s">
        <v>2581</v>
      </c>
      <c r="R2509" t="s">
        <v>2436</v>
      </c>
    </row>
    <row r="2510" spans="1:18" x14ac:dyDescent="0.5">
      <c r="A2510" t="str">
        <f>"0641598K5"</f>
        <v>0641598K5</v>
      </c>
      <c r="B2510" t="s">
        <v>101</v>
      </c>
      <c r="C2510" t="s">
        <v>3169</v>
      </c>
      <c r="D2510" t="s">
        <v>2433</v>
      </c>
      <c r="E2510">
        <v>1.3</v>
      </c>
      <c r="F2510" s="2">
        <v>46280</v>
      </c>
      <c r="G2510" s="2" t="s">
        <v>101</v>
      </c>
      <c r="H2510" t="s">
        <v>610</v>
      </c>
      <c r="I2510" t="s">
        <v>713</v>
      </c>
      <c r="J2510">
        <v>95.311000000000007</v>
      </c>
      <c r="K2510">
        <v>95.462999999999994</v>
      </c>
      <c r="L2510">
        <v>4.5519999999999996</v>
      </c>
      <c r="M2510">
        <v>4.4429999999999996</v>
      </c>
      <c r="N2510">
        <v>4.4429999999999996</v>
      </c>
      <c r="O2510" t="s">
        <v>101</v>
      </c>
      <c r="P2510" t="s">
        <v>2581</v>
      </c>
      <c r="Q2510" t="s">
        <v>2628</v>
      </c>
      <c r="R2510" t="s">
        <v>2436</v>
      </c>
    </row>
    <row r="2511" spans="1:18" x14ac:dyDescent="0.5">
      <c r="A2511" t="str">
        <f>"437076BN1"</f>
        <v>437076BN1</v>
      </c>
      <c r="B2511" t="s">
        <v>101</v>
      </c>
      <c r="C2511" t="s">
        <v>3170</v>
      </c>
      <c r="D2511" t="s">
        <v>2433</v>
      </c>
      <c r="E2511">
        <v>2.125</v>
      </c>
      <c r="F2511" s="2">
        <v>46280</v>
      </c>
      <c r="G2511" s="2">
        <v>46188</v>
      </c>
      <c r="H2511" t="s">
        <v>610</v>
      </c>
      <c r="I2511" t="s">
        <v>611</v>
      </c>
      <c r="J2511">
        <v>96.784999999999997</v>
      </c>
      <c r="K2511">
        <v>96.887</v>
      </c>
      <c r="L2511">
        <v>4.3499999999999996</v>
      </c>
      <c r="M2511">
        <v>4.2779999999999996</v>
      </c>
      <c r="N2511">
        <v>4.2779999999999996</v>
      </c>
      <c r="O2511" t="s">
        <v>101</v>
      </c>
      <c r="P2511" t="s">
        <v>2454</v>
      </c>
      <c r="Q2511" t="s">
        <v>2447</v>
      </c>
      <c r="R2511" t="s">
        <v>2436</v>
      </c>
    </row>
    <row r="2512" spans="1:18" x14ac:dyDescent="0.5">
      <c r="A2512" t="str">
        <f>"46124HAE6"</f>
        <v>46124HAE6</v>
      </c>
      <c r="B2512" t="s">
        <v>101</v>
      </c>
      <c r="C2512" t="s">
        <v>3171</v>
      </c>
      <c r="D2512" t="s">
        <v>2433</v>
      </c>
      <c r="E2512">
        <v>5.25</v>
      </c>
      <c r="F2512" s="2">
        <v>46280</v>
      </c>
      <c r="G2512" s="2">
        <v>46249</v>
      </c>
      <c r="H2512" t="s">
        <v>627</v>
      </c>
      <c r="I2512" t="s">
        <v>713</v>
      </c>
      <c r="J2512">
        <v>101.182</v>
      </c>
      <c r="K2512">
        <v>101.267</v>
      </c>
      <c r="L2512">
        <v>4.3879999999999999</v>
      </c>
      <c r="M2512">
        <v>4.3259999999999996</v>
      </c>
      <c r="N2512">
        <v>4.3730000000000002</v>
      </c>
      <c r="O2512" t="s">
        <v>101</v>
      </c>
      <c r="P2512" t="s">
        <v>3172</v>
      </c>
      <c r="Q2512" t="s">
        <v>2786</v>
      </c>
      <c r="R2512" t="s">
        <v>2436</v>
      </c>
    </row>
    <row r="2513" spans="1:18" x14ac:dyDescent="0.5">
      <c r="A2513" t="str">
        <f>"594918CN2"</f>
        <v>594918CN2</v>
      </c>
      <c r="B2513" t="s">
        <v>101</v>
      </c>
      <c r="C2513" t="s">
        <v>3173</v>
      </c>
      <c r="D2513" t="s">
        <v>2433</v>
      </c>
      <c r="E2513">
        <v>3.4</v>
      </c>
      <c r="F2513" s="2">
        <v>46280</v>
      </c>
      <c r="G2513" s="2">
        <v>46188</v>
      </c>
      <c r="H2513" t="s">
        <v>104</v>
      </c>
      <c r="I2513" t="s">
        <v>104</v>
      </c>
      <c r="J2513">
        <v>98.822999999999993</v>
      </c>
      <c r="K2513">
        <v>98.975999999999999</v>
      </c>
      <c r="L2513">
        <v>4.2130000000000001</v>
      </c>
      <c r="M2513">
        <v>4.1070000000000002</v>
      </c>
      <c r="N2513">
        <v>4.1070000000000002</v>
      </c>
      <c r="O2513" t="s">
        <v>101</v>
      </c>
      <c r="P2513" t="s">
        <v>2581</v>
      </c>
      <c r="Q2513" t="s">
        <v>2454</v>
      </c>
      <c r="R2513" t="s">
        <v>2436</v>
      </c>
    </row>
    <row r="2514" spans="1:18" x14ac:dyDescent="0.5">
      <c r="A2514" t="str">
        <f>"59523UAT4"</f>
        <v>59523UAT4</v>
      </c>
      <c r="B2514" t="s">
        <v>101</v>
      </c>
      <c r="C2514" t="s">
        <v>3174</v>
      </c>
      <c r="D2514" t="s">
        <v>2433</v>
      </c>
      <c r="E2514">
        <v>1.1000000000000001</v>
      </c>
      <c r="F2514" s="2">
        <v>46280</v>
      </c>
      <c r="G2514" s="2">
        <v>46249</v>
      </c>
      <c r="H2514" t="s">
        <v>627</v>
      </c>
      <c r="I2514" t="s">
        <v>713</v>
      </c>
      <c r="J2514">
        <v>95.033000000000001</v>
      </c>
      <c r="K2514">
        <v>95.228999999999999</v>
      </c>
      <c r="L2514">
        <v>4.5439999999999996</v>
      </c>
      <c r="M2514">
        <v>4.4039999999999999</v>
      </c>
      <c r="N2514">
        <v>4.4039999999999999</v>
      </c>
      <c r="O2514" t="s">
        <v>101</v>
      </c>
      <c r="P2514" t="s">
        <v>1999</v>
      </c>
      <c r="Q2514" t="s">
        <v>1702</v>
      </c>
      <c r="R2514" t="s">
        <v>2436</v>
      </c>
    </row>
    <row r="2515" spans="1:18" x14ac:dyDescent="0.5">
      <c r="A2515" t="str">
        <f>"74456QBR6"</f>
        <v>74456QBR6</v>
      </c>
      <c r="B2515" t="s">
        <v>101</v>
      </c>
      <c r="C2515" t="s">
        <v>3175</v>
      </c>
      <c r="D2515" t="s">
        <v>2433</v>
      </c>
      <c r="E2515">
        <v>2.25</v>
      </c>
      <c r="F2515" s="2">
        <v>46280</v>
      </c>
      <c r="G2515" s="2">
        <v>46188</v>
      </c>
      <c r="H2515" t="s">
        <v>641</v>
      </c>
      <c r="I2515" t="s">
        <v>611</v>
      </c>
      <c r="J2515">
        <v>96.924999999999997</v>
      </c>
      <c r="K2515">
        <v>97.117000000000004</v>
      </c>
      <c r="L2515">
        <v>4.3789999999999996</v>
      </c>
      <c r="M2515">
        <v>4.2430000000000003</v>
      </c>
      <c r="N2515">
        <v>4.2430000000000003</v>
      </c>
      <c r="O2515" t="s">
        <v>101</v>
      </c>
      <c r="P2515" t="s">
        <v>2460</v>
      </c>
      <c r="Q2515" t="s">
        <v>2527</v>
      </c>
      <c r="R2515" t="s">
        <v>2436</v>
      </c>
    </row>
    <row r="2516" spans="1:18" x14ac:dyDescent="0.5">
      <c r="A2516" t="str">
        <f>"756109BY9"</f>
        <v>756109BY9</v>
      </c>
      <c r="B2516" t="s">
        <v>101</v>
      </c>
      <c r="C2516" t="s">
        <v>3176</v>
      </c>
      <c r="D2516" t="s">
        <v>2433</v>
      </c>
      <c r="E2516">
        <v>4.45</v>
      </c>
      <c r="F2516" s="2">
        <v>46280</v>
      </c>
      <c r="G2516" s="2">
        <v>46188</v>
      </c>
      <c r="H2516" t="s">
        <v>627</v>
      </c>
      <c r="I2516" t="s">
        <v>713</v>
      </c>
      <c r="J2516">
        <v>99.65</v>
      </c>
      <c r="K2516">
        <v>99.835999999999999</v>
      </c>
      <c r="L2516">
        <v>4.6929999999999996</v>
      </c>
      <c r="M2516">
        <v>4.5629999999999997</v>
      </c>
      <c r="N2516">
        <v>4.5629999999999997</v>
      </c>
      <c r="O2516" t="s">
        <v>101</v>
      </c>
      <c r="P2516" t="s">
        <v>2673</v>
      </c>
      <c r="Q2516" t="s">
        <v>663</v>
      </c>
      <c r="R2516" t="s">
        <v>2436</v>
      </c>
    </row>
    <row r="2517" spans="1:18" x14ac:dyDescent="0.5">
      <c r="A2517" t="str">
        <f>"759351AM1"</f>
        <v>759351AM1</v>
      </c>
      <c r="B2517" t="s">
        <v>101</v>
      </c>
      <c r="C2517" t="s">
        <v>3177</v>
      </c>
      <c r="D2517" t="s">
        <v>2433</v>
      </c>
      <c r="E2517">
        <v>3.95</v>
      </c>
      <c r="F2517" s="2">
        <v>46280</v>
      </c>
      <c r="G2517" s="2">
        <v>46188</v>
      </c>
      <c r="H2517" t="s">
        <v>670</v>
      </c>
      <c r="I2517" t="s">
        <v>611</v>
      </c>
      <c r="J2517">
        <v>99.003</v>
      </c>
      <c r="K2517">
        <v>99.200999999999993</v>
      </c>
      <c r="L2517">
        <v>4.6420000000000003</v>
      </c>
      <c r="M2517">
        <v>4.5039999999999996</v>
      </c>
      <c r="N2517">
        <v>4.5039999999999996</v>
      </c>
      <c r="O2517" t="s">
        <v>101</v>
      </c>
      <c r="P2517" t="s">
        <v>3178</v>
      </c>
      <c r="Q2517" t="s">
        <v>2731</v>
      </c>
      <c r="R2517" t="s">
        <v>2436</v>
      </c>
    </row>
    <row r="2518" spans="1:18" x14ac:dyDescent="0.5">
      <c r="A2518" t="str">
        <f>"882508BK9"</f>
        <v>882508BK9</v>
      </c>
      <c r="B2518" t="s">
        <v>101</v>
      </c>
      <c r="C2518" t="s">
        <v>3179</v>
      </c>
      <c r="D2518" t="s">
        <v>2433</v>
      </c>
      <c r="E2518">
        <v>1.125</v>
      </c>
      <c r="F2518" s="2">
        <v>46280</v>
      </c>
      <c r="G2518" s="2">
        <v>46249</v>
      </c>
      <c r="H2518" t="s">
        <v>624</v>
      </c>
      <c r="I2518" t="s">
        <v>658</v>
      </c>
      <c r="J2518">
        <v>95.305999999999997</v>
      </c>
      <c r="K2518">
        <v>95.52</v>
      </c>
      <c r="L2518">
        <v>4.375</v>
      </c>
      <c r="M2518">
        <v>4.2220000000000004</v>
      </c>
      <c r="N2518">
        <v>4.2220000000000004</v>
      </c>
      <c r="O2518" t="s">
        <v>101</v>
      </c>
      <c r="P2518" t="s">
        <v>2746</v>
      </c>
      <c r="Q2518" t="s">
        <v>2581</v>
      </c>
      <c r="R2518" t="s">
        <v>2436</v>
      </c>
    </row>
    <row r="2519" spans="1:18" x14ac:dyDescent="0.5">
      <c r="A2519" t="str">
        <f>"872540AQ2"</f>
        <v>872540AQ2</v>
      </c>
      <c r="B2519" t="s">
        <v>101</v>
      </c>
      <c r="C2519" t="s">
        <v>3180</v>
      </c>
      <c r="D2519" t="s">
        <v>2433</v>
      </c>
      <c r="E2519">
        <v>2.25</v>
      </c>
      <c r="F2519" s="2">
        <v>46280</v>
      </c>
      <c r="G2519" s="2">
        <v>46188</v>
      </c>
      <c r="H2519" t="s">
        <v>610</v>
      </c>
      <c r="I2519" t="s">
        <v>611</v>
      </c>
      <c r="J2519">
        <v>96.998000000000005</v>
      </c>
      <c r="K2519">
        <v>97.075999999999993</v>
      </c>
      <c r="L2519">
        <v>4.327</v>
      </c>
      <c r="M2519">
        <v>4.2720000000000002</v>
      </c>
      <c r="N2519">
        <v>4.2720000000000002</v>
      </c>
      <c r="O2519" t="s">
        <v>101</v>
      </c>
      <c r="P2519" t="s">
        <v>2447</v>
      </c>
      <c r="Q2519" t="s">
        <v>2581</v>
      </c>
      <c r="R2519" t="s">
        <v>2436</v>
      </c>
    </row>
    <row r="2520" spans="1:18" x14ac:dyDescent="0.5">
      <c r="A2520" t="str">
        <f>"67066GAE4"</f>
        <v>67066GAE4</v>
      </c>
      <c r="B2520" t="s">
        <v>101</v>
      </c>
      <c r="C2520" t="s">
        <v>3181</v>
      </c>
      <c r="D2520" t="s">
        <v>2433</v>
      </c>
      <c r="E2520">
        <v>3.2</v>
      </c>
      <c r="F2520" s="2">
        <v>46281</v>
      </c>
      <c r="G2520" s="2">
        <v>46189</v>
      </c>
      <c r="H2520" t="s">
        <v>624</v>
      </c>
      <c r="I2520" t="s">
        <v>616</v>
      </c>
      <c r="J2520">
        <v>98.481999999999999</v>
      </c>
      <c r="K2520">
        <v>98.608000000000004</v>
      </c>
      <c r="L2520">
        <v>4.2480000000000002</v>
      </c>
      <c r="M2520">
        <v>4.16</v>
      </c>
      <c r="N2520">
        <v>4.16</v>
      </c>
      <c r="O2520" t="s">
        <v>101</v>
      </c>
      <c r="P2520" t="s">
        <v>2581</v>
      </c>
      <c r="Q2520" t="s">
        <v>2438</v>
      </c>
      <c r="R2520" t="s">
        <v>2436</v>
      </c>
    </row>
    <row r="2521" spans="1:18" x14ac:dyDescent="0.5">
      <c r="A2521" t="str">
        <f>"86562MCH1"</f>
        <v>86562MCH1</v>
      </c>
      <c r="B2521" t="s">
        <v>101</v>
      </c>
      <c r="C2521" t="s">
        <v>3182</v>
      </c>
      <c r="D2521" t="s">
        <v>2433</v>
      </c>
      <c r="E2521">
        <v>1.4019999999999999</v>
      </c>
      <c r="F2521" s="2">
        <v>46282</v>
      </c>
      <c r="G2521" s="2" t="s">
        <v>101</v>
      </c>
      <c r="H2521" t="s">
        <v>641</v>
      </c>
      <c r="I2521" t="s">
        <v>713</v>
      </c>
      <c r="J2521">
        <v>95.403999999999996</v>
      </c>
      <c r="K2521">
        <v>95.593999999999994</v>
      </c>
      <c r="L2521">
        <v>4.5789999999999997</v>
      </c>
      <c r="M2521">
        <v>4.4429999999999996</v>
      </c>
      <c r="N2521">
        <v>4.4429999999999996</v>
      </c>
      <c r="O2521" t="s">
        <v>101</v>
      </c>
      <c r="P2521" t="s">
        <v>542</v>
      </c>
      <c r="Q2521" t="s">
        <v>2625</v>
      </c>
      <c r="R2521" t="s">
        <v>2436</v>
      </c>
    </row>
    <row r="2522" spans="1:18" x14ac:dyDescent="0.5">
      <c r="A2522" t="str">
        <f>"931142ER0"</f>
        <v>931142ER0</v>
      </c>
      <c r="B2522" t="s">
        <v>101</v>
      </c>
      <c r="C2522" t="s">
        <v>3183</v>
      </c>
      <c r="D2522" t="s">
        <v>2433</v>
      </c>
      <c r="E2522">
        <v>1.05</v>
      </c>
      <c r="F2522" s="2">
        <v>46282</v>
      </c>
      <c r="G2522" s="2">
        <v>46251</v>
      </c>
      <c r="H2522" t="s">
        <v>613</v>
      </c>
      <c r="I2522" t="s">
        <v>628</v>
      </c>
      <c r="J2522">
        <v>95.326999999999998</v>
      </c>
      <c r="K2522">
        <v>95.484999999999999</v>
      </c>
      <c r="L2522">
        <v>4.2699999999999996</v>
      </c>
      <c r="M2522">
        <v>4.1580000000000004</v>
      </c>
      <c r="N2522">
        <v>4.1580000000000004</v>
      </c>
      <c r="O2522" t="s">
        <v>101</v>
      </c>
      <c r="P2522" t="s">
        <v>2472</v>
      </c>
      <c r="Q2522" t="s">
        <v>2447</v>
      </c>
      <c r="R2522" t="s">
        <v>2436</v>
      </c>
    </row>
    <row r="2523" spans="1:18" x14ac:dyDescent="0.5">
      <c r="A2523" t="str">
        <f>"17275RBL5"</f>
        <v>17275RBL5</v>
      </c>
      <c r="B2523" t="s">
        <v>101</v>
      </c>
      <c r="C2523" t="s">
        <v>3184</v>
      </c>
      <c r="D2523" t="s">
        <v>2433</v>
      </c>
      <c r="E2523">
        <v>2.5</v>
      </c>
      <c r="F2523" s="2">
        <v>46285</v>
      </c>
      <c r="G2523" s="2">
        <v>46193</v>
      </c>
      <c r="H2523" t="s">
        <v>641</v>
      </c>
      <c r="I2523" t="s">
        <v>616</v>
      </c>
      <c r="J2523">
        <v>97.438999999999993</v>
      </c>
      <c r="K2523">
        <v>97.606999999999999</v>
      </c>
      <c r="L2523">
        <v>4.2549999999999999</v>
      </c>
      <c r="M2523">
        <v>4.1379999999999999</v>
      </c>
      <c r="N2523">
        <v>4.1379999999999999</v>
      </c>
      <c r="O2523" t="s">
        <v>101</v>
      </c>
      <c r="P2523" t="s">
        <v>3178</v>
      </c>
      <c r="Q2523" t="s">
        <v>2472</v>
      </c>
      <c r="R2523" t="s">
        <v>2436</v>
      </c>
    </row>
    <row r="2524" spans="1:18" x14ac:dyDescent="0.5">
      <c r="A2524" t="str">
        <f>"13605W6T3"</f>
        <v>13605W6T3</v>
      </c>
      <c r="B2524" t="s">
        <v>101</v>
      </c>
      <c r="C2524" t="s">
        <v>3185</v>
      </c>
      <c r="D2524" t="s">
        <v>2433</v>
      </c>
      <c r="E2524">
        <v>1.34</v>
      </c>
      <c r="F2524" s="2">
        <v>46287</v>
      </c>
      <c r="G2524" s="2">
        <v>45922</v>
      </c>
      <c r="H2524" t="s">
        <v>610</v>
      </c>
      <c r="I2524" t="s">
        <v>713</v>
      </c>
      <c r="J2524">
        <v>93.647999999999996</v>
      </c>
      <c r="K2524">
        <v>95.265000000000001</v>
      </c>
      <c r="L2524">
        <v>5.742</v>
      </c>
      <c r="M2524">
        <v>4.5839999999999996</v>
      </c>
      <c r="N2524">
        <v>4.5839999999999996</v>
      </c>
      <c r="O2524" t="s">
        <v>101</v>
      </c>
      <c r="P2524" t="s">
        <v>1702</v>
      </c>
      <c r="Q2524" t="s">
        <v>460</v>
      </c>
      <c r="R2524" t="s">
        <v>2436</v>
      </c>
    </row>
    <row r="2525" spans="1:18" x14ac:dyDescent="0.5">
      <c r="A2525" t="str">
        <f>"437076CV2"</f>
        <v>437076CV2</v>
      </c>
      <c r="B2525" t="s">
        <v>101</v>
      </c>
      <c r="C2525" t="s">
        <v>3186</v>
      </c>
      <c r="D2525" t="s">
        <v>2433</v>
      </c>
      <c r="E2525">
        <v>4.95</v>
      </c>
      <c r="F2525" s="2">
        <v>46295</v>
      </c>
      <c r="G2525" s="2">
        <v>46264</v>
      </c>
      <c r="H2525" t="s">
        <v>610</v>
      </c>
      <c r="I2525" t="s">
        <v>611</v>
      </c>
      <c r="J2525">
        <v>100.82299999999999</v>
      </c>
      <c r="K2525">
        <v>100.956</v>
      </c>
      <c r="L2525">
        <v>4.3650000000000002</v>
      </c>
      <c r="M2525">
        <v>4.2709999999999999</v>
      </c>
      <c r="N2525">
        <v>4.3040000000000003</v>
      </c>
      <c r="O2525" t="s">
        <v>101</v>
      </c>
      <c r="P2525" t="s">
        <v>2472</v>
      </c>
      <c r="Q2525" t="s">
        <v>2581</v>
      </c>
      <c r="R2525" t="s">
        <v>2436</v>
      </c>
    </row>
    <row r="2526" spans="1:18" x14ac:dyDescent="0.5">
      <c r="A2526" t="str">
        <f>"191219AW4"</f>
        <v>191219AW4</v>
      </c>
      <c r="B2526" t="s">
        <v>101</v>
      </c>
      <c r="C2526" t="s">
        <v>3187</v>
      </c>
      <c r="D2526" t="s">
        <v>2433</v>
      </c>
      <c r="E2526">
        <v>7</v>
      </c>
      <c r="F2526" s="2">
        <v>46296</v>
      </c>
      <c r="G2526" s="2" t="s">
        <v>101</v>
      </c>
      <c r="H2526" t="s">
        <v>2760</v>
      </c>
      <c r="I2526" t="s">
        <v>658</v>
      </c>
      <c r="J2526">
        <v>103.72</v>
      </c>
      <c r="K2526">
        <v>104.25700000000001</v>
      </c>
      <c r="L2526">
        <v>4.4909999999999997</v>
      </c>
      <c r="M2526">
        <v>4.1390000000000002</v>
      </c>
      <c r="N2526">
        <v>4.1390000000000002</v>
      </c>
      <c r="O2526" t="s">
        <v>101</v>
      </c>
      <c r="P2526" t="s">
        <v>2506</v>
      </c>
      <c r="Q2526" t="s">
        <v>503</v>
      </c>
      <c r="R2526" t="s">
        <v>2436</v>
      </c>
    </row>
    <row r="2527" spans="1:18" x14ac:dyDescent="0.5">
      <c r="A2527" t="str">
        <f>"254687DH6"</f>
        <v>254687DH6</v>
      </c>
      <c r="B2527" t="s">
        <v>101</v>
      </c>
      <c r="C2527" t="s">
        <v>3188</v>
      </c>
      <c r="D2527" t="s">
        <v>2433</v>
      </c>
      <c r="E2527">
        <v>7.43</v>
      </c>
      <c r="F2527" s="2">
        <v>46296</v>
      </c>
      <c r="G2527" s="2" t="s">
        <v>105</v>
      </c>
      <c r="H2527" t="s">
        <v>610</v>
      </c>
      <c r="I2527" t="s">
        <v>611</v>
      </c>
      <c r="J2527">
        <v>104.185</v>
      </c>
      <c r="K2527">
        <v>104.934</v>
      </c>
      <c r="L2527">
        <v>4.6040000000000001</v>
      </c>
      <c r="M2527">
        <v>4.1150000000000002</v>
      </c>
      <c r="N2527">
        <v>4.1150000000000002</v>
      </c>
      <c r="O2527" t="s">
        <v>101</v>
      </c>
      <c r="P2527" t="s">
        <v>2472</v>
      </c>
      <c r="Q2527" t="s">
        <v>3189</v>
      </c>
      <c r="R2527" t="s">
        <v>2465</v>
      </c>
    </row>
    <row r="2528" spans="1:18" x14ac:dyDescent="0.5">
      <c r="A2528" t="str">
        <f>"29364WAY4"</f>
        <v>29364WAY4</v>
      </c>
      <c r="B2528" t="s">
        <v>101</v>
      </c>
      <c r="C2528" t="s">
        <v>3190</v>
      </c>
      <c r="D2528" t="s">
        <v>2433</v>
      </c>
      <c r="E2528">
        <v>2.4</v>
      </c>
      <c r="F2528" s="2">
        <v>46296</v>
      </c>
      <c r="G2528" s="2">
        <v>46204</v>
      </c>
      <c r="H2528" t="s">
        <v>610</v>
      </c>
      <c r="I2528" t="s">
        <v>611</v>
      </c>
      <c r="J2528">
        <v>96.953000000000003</v>
      </c>
      <c r="K2528">
        <v>97.131</v>
      </c>
      <c r="L2528">
        <v>4.452</v>
      </c>
      <c r="M2528">
        <v>4.33</v>
      </c>
      <c r="N2528">
        <v>4.33</v>
      </c>
      <c r="O2528" t="s">
        <v>101</v>
      </c>
      <c r="P2528" t="s">
        <v>226</v>
      </c>
      <c r="Q2528" t="s">
        <v>3191</v>
      </c>
      <c r="R2528" t="s">
        <v>2436</v>
      </c>
    </row>
    <row r="2529" spans="1:18" x14ac:dyDescent="0.5">
      <c r="A2529" t="str">
        <f>"46625HRV4"</f>
        <v>46625HRV4</v>
      </c>
      <c r="B2529" t="s">
        <v>101</v>
      </c>
      <c r="C2529" t="s">
        <v>3192</v>
      </c>
      <c r="D2529" t="s">
        <v>2433</v>
      </c>
      <c r="E2529">
        <v>2.95</v>
      </c>
      <c r="F2529" s="2">
        <v>46296</v>
      </c>
      <c r="G2529" s="2">
        <v>46204</v>
      </c>
      <c r="H2529" t="s">
        <v>641</v>
      </c>
      <c r="I2529" t="s">
        <v>611</v>
      </c>
      <c r="J2529">
        <v>97.831999999999994</v>
      </c>
      <c r="K2529">
        <v>97.915000000000006</v>
      </c>
      <c r="L2529">
        <v>4.4089999999999998</v>
      </c>
      <c r="M2529">
        <v>4.3520000000000003</v>
      </c>
      <c r="N2529">
        <v>4.3520000000000003</v>
      </c>
      <c r="O2529" t="s">
        <v>101</v>
      </c>
      <c r="P2529" t="s">
        <v>2581</v>
      </c>
      <c r="Q2529" t="s">
        <v>3193</v>
      </c>
      <c r="R2529" t="s">
        <v>2436</v>
      </c>
    </row>
    <row r="2530" spans="1:18" x14ac:dyDescent="0.5">
      <c r="A2530" t="str">
        <f>"70450YAD5"</f>
        <v>70450YAD5</v>
      </c>
      <c r="B2530" t="s">
        <v>101</v>
      </c>
      <c r="C2530" t="s">
        <v>3194</v>
      </c>
      <c r="D2530" t="s">
        <v>2433</v>
      </c>
      <c r="E2530">
        <v>2.65</v>
      </c>
      <c r="F2530" s="2">
        <v>46296</v>
      </c>
      <c r="G2530" s="2">
        <v>46235</v>
      </c>
      <c r="H2530" t="s">
        <v>627</v>
      </c>
      <c r="I2530" t="s">
        <v>713</v>
      </c>
      <c r="J2530">
        <v>97.274000000000001</v>
      </c>
      <c r="K2530">
        <v>97.394000000000005</v>
      </c>
      <c r="L2530">
        <v>4.4859999999999998</v>
      </c>
      <c r="M2530">
        <v>4.4039999999999999</v>
      </c>
      <c r="N2530">
        <v>4.4039999999999999</v>
      </c>
      <c r="O2530" t="s">
        <v>101</v>
      </c>
      <c r="P2530" t="s">
        <v>1702</v>
      </c>
      <c r="Q2530" t="s">
        <v>2581</v>
      </c>
      <c r="R2530" t="s">
        <v>2436</v>
      </c>
    </row>
    <row r="2531" spans="1:18" x14ac:dyDescent="0.5">
      <c r="A2531" t="str">
        <f>"74340XBK6"</f>
        <v>74340XBK6</v>
      </c>
      <c r="B2531" t="s">
        <v>101</v>
      </c>
      <c r="C2531" t="s">
        <v>3195</v>
      </c>
      <c r="D2531" t="s">
        <v>2433</v>
      </c>
      <c r="E2531">
        <v>3.25</v>
      </c>
      <c r="F2531" s="2">
        <v>46296</v>
      </c>
      <c r="G2531" s="2">
        <v>46204</v>
      </c>
      <c r="H2531" t="s">
        <v>610</v>
      </c>
      <c r="I2531" t="s">
        <v>611</v>
      </c>
      <c r="J2531">
        <v>98.162000000000006</v>
      </c>
      <c r="K2531">
        <v>98.316999999999993</v>
      </c>
      <c r="L2531">
        <v>4.4870000000000001</v>
      </c>
      <c r="M2531">
        <v>4.3819999999999997</v>
      </c>
      <c r="N2531">
        <v>4.3819999999999997</v>
      </c>
      <c r="O2531" t="s">
        <v>101</v>
      </c>
      <c r="P2531" t="s">
        <v>2460</v>
      </c>
      <c r="Q2531" t="s">
        <v>1702</v>
      </c>
      <c r="R2531" t="s">
        <v>2436</v>
      </c>
    </row>
    <row r="2532" spans="1:18" x14ac:dyDescent="0.5">
      <c r="A2532" t="str">
        <f>"13607LWT6"</f>
        <v>13607LWT6</v>
      </c>
      <c r="B2532" t="s">
        <v>101</v>
      </c>
      <c r="C2532" t="s">
        <v>3196</v>
      </c>
      <c r="D2532" t="s">
        <v>2433</v>
      </c>
      <c r="E2532">
        <v>5.9260000000000002</v>
      </c>
      <c r="F2532" s="2">
        <v>46297</v>
      </c>
      <c r="G2532" s="2" t="s">
        <v>101</v>
      </c>
      <c r="H2532" t="s">
        <v>610</v>
      </c>
      <c r="I2532" t="s">
        <v>713</v>
      </c>
      <c r="J2532">
        <v>102.054</v>
      </c>
      <c r="K2532">
        <v>102.187</v>
      </c>
      <c r="L2532">
        <v>4.5410000000000004</v>
      </c>
      <c r="M2532">
        <v>4.4530000000000003</v>
      </c>
      <c r="N2532">
        <v>4.4530000000000003</v>
      </c>
      <c r="O2532" t="s">
        <v>101</v>
      </c>
      <c r="P2532" t="s">
        <v>2581</v>
      </c>
      <c r="Q2532" t="s">
        <v>2454</v>
      </c>
      <c r="R2532" t="s">
        <v>2436</v>
      </c>
    </row>
    <row r="2533" spans="1:18" x14ac:dyDescent="0.5">
      <c r="A2533" t="str">
        <f>"02665WFP1"</f>
        <v>02665WFP1</v>
      </c>
      <c r="B2533" t="s">
        <v>101</v>
      </c>
      <c r="C2533" t="s">
        <v>3197</v>
      </c>
      <c r="D2533" t="s">
        <v>2433</v>
      </c>
      <c r="E2533">
        <v>4.4000000000000004</v>
      </c>
      <c r="F2533" s="2">
        <v>46300</v>
      </c>
      <c r="G2533" s="2" t="s">
        <v>101</v>
      </c>
      <c r="H2533" t="s">
        <v>627</v>
      </c>
      <c r="I2533" t="s">
        <v>713</v>
      </c>
      <c r="J2533">
        <v>99.760999999999996</v>
      </c>
      <c r="K2533">
        <v>99.861000000000004</v>
      </c>
      <c r="L2533">
        <v>4.5579999999999998</v>
      </c>
      <c r="M2533">
        <v>4.4909999999999997</v>
      </c>
      <c r="N2533">
        <v>4.4909999999999997</v>
      </c>
      <c r="O2533" t="s">
        <v>101</v>
      </c>
      <c r="P2533" t="s">
        <v>3198</v>
      </c>
      <c r="Q2533" t="s">
        <v>1391</v>
      </c>
      <c r="R2533" t="s">
        <v>2726</v>
      </c>
    </row>
    <row r="2534" spans="1:18" x14ac:dyDescent="0.5">
      <c r="A2534" t="str">
        <f>"25243YBK4"</f>
        <v>25243YBK4</v>
      </c>
      <c r="B2534" t="s">
        <v>101</v>
      </c>
      <c r="C2534" t="s">
        <v>3199</v>
      </c>
      <c r="D2534" t="s">
        <v>2433</v>
      </c>
      <c r="E2534">
        <v>5.375</v>
      </c>
      <c r="F2534" s="2">
        <v>46300</v>
      </c>
      <c r="G2534" s="2">
        <v>46270</v>
      </c>
      <c r="H2534" t="s">
        <v>627</v>
      </c>
      <c r="I2534" t="s">
        <v>713</v>
      </c>
      <c r="J2534">
        <v>101.32599999999999</v>
      </c>
      <c r="K2534">
        <v>101.441</v>
      </c>
      <c r="L2534">
        <v>4.4400000000000004</v>
      </c>
      <c r="M2534">
        <v>4.3600000000000003</v>
      </c>
      <c r="N2534">
        <v>4.4089999999999998</v>
      </c>
      <c r="O2534" t="s">
        <v>101</v>
      </c>
      <c r="P2534" t="s">
        <v>3200</v>
      </c>
      <c r="Q2534" t="s">
        <v>542</v>
      </c>
      <c r="R2534" t="s">
        <v>2436</v>
      </c>
    </row>
    <row r="2535" spans="1:18" x14ac:dyDescent="0.5">
      <c r="A2535" t="str">
        <f>"713448DN5"</f>
        <v>713448DN5</v>
      </c>
      <c r="B2535" t="s">
        <v>101</v>
      </c>
      <c r="C2535" t="s">
        <v>3201</v>
      </c>
      <c r="D2535" t="s">
        <v>2433</v>
      </c>
      <c r="E2535">
        <v>2.375</v>
      </c>
      <c r="F2535" s="2">
        <v>46301</v>
      </c>
      <c r="G2535" s="2">
        <v>46209</v>
      </c>
      <c r="H2535" t="s">
        <v>641</v>
      </c>
      <c r="I2535" t="s">
        <v>658</v>
      </c>
      <c r="J2535">
        <v>97.16</v>
      </c>
      <c r="K2535">
        <v>97.224000000000004</v>
      </c>
      <c r="L2535">
        <v>4.2670000000000003</v>
      </c>
      <c r="M2535">
        <v>4.2240000000000002</v>
      </c>
      <c r="N2535">
        <v>4.2240000000000002</v>
      </c>
      <c r="O2535" t="s">
        <v>101</v>
      </c>
      <c r="P2535" t="s">
        <v>2931</v>
      </c>
      <c r="Q2535" t="s">
        <v>2581</v>
      </c>
      <c r="R2535" t="s">
        <v>2436</v>
      </c>
    </row>
    <row r="2536" spans="1:18" x14ac:dyDescent="0.5">
      <c r="A2536" t="str">
        <f>"24422EVW6"</f>
        <v>24422EVW6</v>
      </c>
      <c r="B2536" t="s">
        <v>101</v>
      </c>
      <c r="C2536" t="s">
        <v>3202</v>
      </c>
      <c r="D2536" t="s">
        <v>2433</v>
      </c>
      <c r="E2536">
        <v>1.3</v>
      </c>
      <c r="F2536" s="2">
        <v>46308</v>
      </c>
      <c r="G2536" s="2" t="s">
        <v>105</v>
      </c>
      <c r="H2536" t="s">
        <v>641</v>
      </c>
      <c r="I2536" t="s">
        <v>611</v>
      </c>
      <c r="J2536">
        <v>95.334999999999994</v>
      </c>
      <c r="K2536">
        <v>95.566999999999993</v>
      </c>
      <c r="L2536">
        <v>4.3760000000000003</v>
      </c>
      <c r="M2536">
        <v>4.218</v>
      </c>
      <c r="N2536">
        <v>4.218</v>
      </c>
      <c r="O2536" t="s">
        <v>101</v>
      </c>
      <c r="P2536" t="s">
        <v>3082</v>
      </c>
      <c r="Q2536" t="s">
        <v>2494</v>
      </c>
      <c r="R2536" t="s">
        <v>2465</v>
      </c>
    </row>
    <row r="2537" spans="1:18" x14ac:dyDescent="0.5">
      <c r="A2537" t="str">
        <f>"001055AQ5"</f>
        <v>001055AQ5</v>
      </c>
      <c r="B2537" t="s">
        <v>101</v>
      </c>
      <c r="C2537" t="s">
        <v>3203</v>
      </c>
      <c r="D2537" t="s">
        <v>2433</v>
      </c>
      <c r="E2537">
        <v>2.875</v>
      </c>
      <c r="F2537" s="2">
        <v>46310</v>
      </c>
      <c r="G2537" s="2">
        <v>46218</v>
      </c>
      <c r="H2537" t="s">
        <v>627</v>
      </c>
      <c r="I2537" t="s">
        <v>713</v>
      </c>
      <c r="J2537">
        <v>97.451999999999998</v>
      </c>
      <c r="K2537">
        <v>97.628</v>
      </c>
      <c r="L2537">
        <v>4.5510000000000002</v>
      </c>
      <c r="M2537">
        <v>4.4329999999999998</v>
      </c>
      <c r="N2537">
        <v>4.4329999999999998</v>
      </c>
      <c r="O2537" t="s">
        <v>101</v>
      </c>
      <c r="P2537" t="s">
        <v>2447</v>
      </c>
      <c r="Q2537" t="s">
        <v>1236</v>
      </c>
      <c r="R2537" t="s">
        <v>2436</v>
      </c>
    </row>
    <row r="2538" spans="1:18" x14ac:dyDescent="0.5">
      <c r="A2538" t="str">
        <f>"05348EAY5"</f>
        <v>05348EAY5</v>
      </c>
      <c r="B2538" t="s">
        <v>101</v>
      </c>
      <c r="C2538" t="s">
        <v>3204</v>
      </c>
      <c r="D2538" t="s">
        <v>2433</v>
      </c>
      <c r="E2538">
        <v>2.9</v>
      </c>
      <c r="F2538" s="2">
        <v>46310</v>
      </c>
      <c r="G2538" s="2">
        <v>46218</v>
      </c>
      <c r="H2538" t="s">
        <v>627</v>
      </c>
      <c r="I2538" t="s">
        <v>713</v>
      </c>
      <c r="J2538">
        <v>97.474999999999994</v>
      </c>
      <c r="K2538">
        <v>97.661000000000001</v>
      </c>
      <c r="L2538">
        <v>4.5609999999999999</v>
      </c>
      <c r="M2538">
        <v>4.4370000000000003</v>
      </c>
      <c r="N2538">
        <v>4.4370000000000003</v>
      </c>
      <c r="O2538" t="s">
        <v>101</v>
      </c>
      <c r="P2538" t="s">
        <v>2460</v>
      </c>
      <c r="Q2538" t="s">
        <v>2851</v>
      </c>
      <c r="R2538" t="s">
        <v>2436</v>
      </c>
    </row>
    <row r="2539" spans="1:18" x14ac:dyDescent="0.5">
      <c r="A2539" t="str">
        <f>"06406RAV9"</f>
        <v>06406RAV9</v>
      </c>
      <c r="B2539" t="s">
        <v>101</v>
      </c>
      <c r="C2539" t="s">
        <v>3205</v>
      </c>
      <c r="D2539" t="s">
        <v>2433</v>
      </c>
      <c r="E2539">
        <v>1.05</v>
      </c>
      <c r="F2539" s="2">
        <v>46310</v>
      </c>
      <c r="G2539" s="2">
        <v>46280</v>
      </c>
      <c r="H2539" t="s">
        <v>624</v>
      </c>
      <c r="I2539" t="s">
        <v>611</v>
      </c>
      <c r="J2539">
        <v>94.878</v>
      </c>
      <c r="K2539">
        <v>95.078000000000003</v>
      </c>
      <c r="L2539">
        <v>4.4169999999999998</v>
      </c>
      <c r="M2539">
        <v>4.2809999999999997</v>
      </c>
      <c r="N2539">
        <v>4.2809999999999997</v>
      </c>
      <c r="O2539" t="s">
        <v>101</v>
      </c>
      <c r="P2539" t="s">
        <v>3206</v>
      </c>
      <c r="Q2539" t="s">
        <v>2507</v>
      </c>
      <c r="R2539" t="s">
        <v>2436</v>
      </c>
    </row>
    <row r="2540" spans="1:18" x14ac:dyDescent="0.5">
      <c r="A2540" t="str">
        <f>"291011BP8"</f>
        <v>291011BP8</v>
      </c>
      <c r="B2540" t="s">
        <v>101</v>
      </c>
      <c r="C2540" t="s">
        <v>3207</v>
      </c>
      <c r="D2540" t="s">
        <v>2433</v>
      </c>
      <c r="E2540">
        <v>0.875</v>
      </c>
      <c r="F2540" s="2">
        <v>46310</v>
      </c>
      <c r="G2540" s="2">
        <v>46280</v>
      </c>
      <c r="H2540" t="s">
        <v>610</v>
      </c>
      <c r="I2540" t="s">
        <v>611</v>
      </c>
      <c r="J2540">
        <v>94.715000000000003</v>
      </c>
      <c r="K2540">
        <v>94.866</v>
      </c>
      <c r="L2540">
        <v>4.3470000000000004</v>
      </c>
      <c r="M2540">
        <v>4.2439999999999998</v>
      </c>
      <c r="N2540">
        <v>4.2439999999999998</v>
      </c>
      <c r="O2540" t="s">
        <v>101</v>
      </c>
      <c r="P2540" t="s">
        <v>2454</v>
      </c>
      <c r="Q2540" t="s">
        <v>2454</v>
      </c>
      <c r="R2540" t="s">
        <v>2436</v>
      </c>
    </row>
    <row r="2541" spans="1:18" x14ac:dyDescent="0.5">
      <c r="A2541" t="str">
        <f>"059438AH4"</f>
        <v>059438AH4</v>
      </c>
      <c r="B2541" t="s">
        <v>101</v>
      </c>
      <c r="C2541" t="s">
        <v>3208</v>
      </c>
      <c r="D2541" t="s">
        <v>2433</v>
      </c>
      <c r="E2541">
        <v>7.625</v>
      </c>
      <c r="F2541" s="2">
        <v>46310</v>
      </c>
      <c r="G2541" s="2" t="s">
        <v>105</v>
      </c>
      <c r="H2541" t="s">
        <v>627</v>
      </c>
      <c r="I2541" t="s">
        <v>713</v>
      </c>
      <c r="J2541">
        <v>104.846</v>
      </c>
      <c r="K2541">
        <v>105.14100000000001</v>
      </c>
      <c r="L2541">
        <v>4.4340000000000002</v>
      </c>
      <c r="M2541">
        <v>4.2469999999999999</v>
      </c>
      <c r="N2541">
        <v>4.2469999999999999</v>
      </c>
      <c r="O2541" t="s">
        <v>101</v>
      </c>
      <c r="P2541" t="s">
        <v>1702</v>
      </c>
      <c r="Q2541" t="s">
        <v>2507</v>
      </c>
      <c r="R2541" t="s">
        <v>2465</v>
      </c>
    </row>
    <row r="2542" spans="1:18" x14ac:dyDescent="0.5">
      <c r="A2542" t="str">
        <f>"63743FUS3"</f>
        <v>63743FUS3</v>
      </c>
      <c r="B2542" t="s">
        <v>101</v>
      </c>
      <c r="C2542" t="s">
        <v>3209</v>
      </c>
      <c r="D2542" t="s">
        <v>2433</v>
      </c>
      <c r="E2542">
        <v>3.5</v>
      </c>
      <c r="F2542" s="2">
        <v>46310</v>
      </c>
      <c r="G2542" s="2" t="s">
        <v>105</v>
      </c>
      <c r="H2542" t="s">
        <v>610</v>
      </c>
      <c r="I2542" t="s">
        <v>713</v>
      </c>
      <c r="J2542">
        <v>97.516000000000005</v>
      </c>
      <c r="K2542">
        <v>98.738</v>
      </c>
      <c r="L2542">
        <v>5.1280000000000001</v>
      </c>
      <c r="M2542">
        <v>4.3220000000000001</v>
      </c>
      <c r="N2542">
        <v>4.3220000000000001</v>
      </c>
      <c r="O2542" t="s">
        <v>101</v>
      </c>
      <c r="P2542" t="s">
        <v>858</v>
      </c>
      <c r="Q2542" t="s">
        <v>2739</v>
      </c>
      <c r="R2542" t="s">
        <v>2610</v>
      </c>
    </row>
    <row r="2543" spans="1:18" x14ac:dyDescent="0.5">
      <c r="A2543" t="str">
        <f>"756109AR5"</f>
        <v>756109AR5</v>
      </c>
      <c r="B2543" t="s">
        <v>101</v>
      </c>
      <c r="C2543" t="s">
        <v>3210</v>
      </c>
      <c r="D2543" t="s">
        <v>2433</v>
      </c>
      <c r="E2543">
        <v>4.125</v>
      </c>
      <c r="F2543" s="2">
        <v>46310</v>
      </c>
      <c r="G2543" s="2">
        <v>46218</v>
      </c>
      <c r="H2543" t="s">
        <v>627</v>
      </c>
      <c r="I2543" t="s">
        <v>713</v>
      </c>
      <c r="J2543">
        <v>99.369</v>
      </c>
      <c r="K2543">
        <v>99.438000000000002</v>
      </c>
      <c r="L2543">
        <v>4.5380000000000003</v>
      </c>
      <c r="M2543">
        <v>4.4930000000000003</v>
      </c>
      <c r="N2543">
        <v>4.4930000000000003</v>
      </c>
      <c r="O2543" t="s">
        <v>101</v>
      </c>
      <c r="P2543" t="s">
        <v>2447</v>
      </c>
      <c r="Q2543" t="s">
        <v>2652</v>
      </c>
      <c r="R2543" t="s">
        <v>2436</v>
      </c>
    </row>
    <row r="2544" spans="1:18" x14ac:dyDescent="0.5">
      <c r="A2544" t="str">
        <f>"14913UAN0"</f>
        <v>14913UAN0</v>
      </c>
      <c r="B2544" t="s">
        <v>101</v>
      </c>
      <c r="C2544" t="s">
        <v>3211</v>
      </c>
      <c r="D2544" t="s">
        <v>2433</v>
      </c>
      <c r="E2544">
        <v>4.45</v>
      </c>
      <c r="F2544" s="2">
        <v>46311</v>
      </c>
      <c r="G2544" s="2" t="s">
        <v>101</v>
      </c>
      <c r="H2544" t="s">
        <v>610</v>
      </c>
      <c r="I2544" t="s">
        <v>611</v>
      </c>
      <c r="J2544">
        <v>100.208</v>
      </c>
      <c r="K2544">
        <v>100.336</v>
      </c>
      <c r="L2544">
        <v>4.3070000000000004</v>
      </c>
      <c r="M2544">
        <v>4.2279999999999998</v>
      </c>
      <c r="N2544">
        <v>4.2279999999999998</v>
      </c>
      <c r="O2544" t="s">
        <v>101</v>
      </c>
      <c r="P2544" t="s">
        <v>2507</v>
      </c>
      <c r="Q2544" t="s">
        <v>2507</v>
      </c>
      <c r="R2544" t="s">
        <v>2436</v>
      </c>
    </row>
    <row r="2545" spans="1:18" x14ac:dyDescent="0.5">
      <c r="A2545" t="str">
        <f>"86562MAK6"</f>
        <v>86562MAK6</v>
      </c>
      <c r="B2545" t="s">
        <v>101</v>
      </c>
      <c r="C2545" t="s">
        <v>3212</v>
      </c>
      <c r="D2545" t="s">
        <v>2433</v>
      </c>
      <c r="E2545">
        <v>3.01</v>
      </c>
      <c r="F2545" s="2">
        <v>46314</v>
      </c>
      <c r="G2545" s="2" t="s">
        <v>101</v>
      </c>
      <c r="H2545" t="s">
        <v>641</v>
      </c>
      <c r="I2545" t="s">
        <v>713</v>
      </c>
      <c r="J2545">
        <v>97.584000000000003</v>
      </c>
      <c r="K2545">
        <v>97.799000000000007</v>
      </c>
      <c r="L2545">
        <v>4.5890000000000004</v>
      </c>
      <c r="M2545">
        <v>4.4459999999999997</v>
      </c>
      <c r="N2545">
        <v>4.4459999999999997</v>
      </c>
      <c r="O2545" t="s">
        <v>101</v>
      </c>
      <c r="P2545" t="s">
        <v>3213</v>
      </c>
      <c r="Q2545" t="s">
        <v>2894</v>
      </c>
      <c r="R2545" t="s">
        <v>2436</v>
      </c>
    </row>
    <row r="2546" spans="1:18" x14ac:dyDescent="0.5">
      <c r="A2546" t="str">
        <f>"500630DZ8"</f>
        <v>500630DZ8</v>
      </c>
      <c r="B2546" t="s">
        <v>101</v>
      </c>
      <c r="C2546" t="s">
        <v>3214</v>
      </c>
      <c r="D2546" t="s">
        <v>2433</v>
      </c>
      <c r="E2546">
        <v>5.375</v>
      </c>
      <c r="F2546" s="2">
        <v>46318</v>
      </c>
      <c r="G2546" s="2" t="s">
        <v>105</v>
      </c>
      <c r="H2546" t="s">
        <v>613</v>
      </c>
      <c r="I2546" t="s">
        <v>628</v>
      </c>
      <c r="J2546" t="s">
        <v>101</v>
      </c>
      <c r="K2546">
        <v>101.673</v>
      </c>
      <c r="L2546" t="s">
        <v>101</v>
      </c>
      <c r="M2546">
        <v>4.2880000000000003</v>
      </c>
      <c r="N2546">
        <v>4.2880000000000003</v>
      </c>
      <c r="O2546" t="s">
        <v>101</v>
      </c>
      <c r="P2546" t="s">
        <v>448</v>
      </c>
      <c r="Q2546" t="s">
        <v>2688</v>
      </c>
      <c r="R2546" t="s">
        <v>2713</v>
      </c>
    </row>
    <row r="2547" spans="1:18" x14ac:dyDescent="0.5">
      <c r="A2547" t="str">
        <f>"872898AA9"</f>
        <v>872898AA9</v>
      </c>
      <c r="B2547" t="s">
        <v>101</v>
      </c>
      <c r="C2547" t="s">
        <v>3215</v>
      </c>
      <c r="D2547" t="s">
        <v>2433</v>
      </c>
      <c r="E2547">
        <v>1.75</v>
      </c>
      <c r="F2547" s="2">
        <v>46320</v>
      </c>
      <c r="G2547" s="2">
        <v>46290</v>
      </c>
      <c r="H2547" t="s">
        <v>624</v>
      </c>
      <c r="I2547" t="s">
        <v>616</v>
      </c>
      <c r="J2547">
        <v>95.686999999999998</v>
      </c>
      <c r="K2547">
        <v>95.941999999999993</v>
      </c>
      <c r="L2547">
        <v>4.5410000000000004</v>
      </c>
      <c r="M2547">
        <v>4.3719999999999999</v>
      </c>
      <c r="N2547">
        <v>4.3719999999999999</v>
      </c>
      <c r="O2547" t="s">
        <v>101</v>
      </c>
      <c r="P2547" t="s">
        <v>2625</v>
      </c>
      <c r="Q2547" t="s">
        <v>2516</v>
      </c>
      <c r="R2547" t="s">
        <v>2436</v>
      </c>
    </row>
    <row r="2548" spans="1:18" x14ac:dyDescent="0.5">
      <c r="A2548" t="str">
        <f>"036752BG7"</f>
        <v>036752BG7</v>
      </c>
      <c r="B2548" t="s">
        <v>101</v>
      </c>
      <c r="C2548" t="s">
        <v>3216</v>
      </c>
      <c r="D2548" t="s">
        <v>2433</v>
      </c>
      <c r="E2548">
        <v>4.5</v>
      </c>
      <c r="F2548" s="2">
        <v>46325</v>
      </c>
      <c r="G2548" s="2" t="s">
        <v>101</v>
      </c>
      <c r="H2548" t="s">
        <v>677</v>
      </c>
      <c r="I2548" t="s">
        <v>611</v>
      </c>
      <c r="J2548">
        <v>99.894999999999996</v>
      </c>
      <c r="K2548">
        <v>100.10899999999999</v>
      </c>
      <c r="L2548">
        <v>4.5640000000000001</v>
      </c>
      <c r="M2548">
        <v>4.4269999999999996</v>
      </c>
      <c r="N2548">
        <v>4.4269999999999996</v>
      </c>
      <c r="O2548" t="s">
        <v>101</v>
      </c>
      <c r="P2548" t="s">
        <v>3160</v>
      </c>
      <c r="Q2548" t="s">
        <v>2507</v>
      </c>
      <c r="R2548" t="s">
        <v>2726</v>
      </c>
    </row>
    <row r="2549" spans="1:18" x14ac:dyDescent="0.5">
      <c r="A2549" t="str">
        <f>"278865AV2"</f>
        <v>278865AV2</v>
      </c>
      <c r="B2549" t="s">
        <v>101</v>
      </c>
      <c r="C2549" t="s">
        <v>3217</v>
      </c>
      <c r="D2549" t="s">
        <v>2433</v>
      </c>
      <c r="E2549">
        <v>2.7</v>
      </c>
      <c r="F2549" s="2">
        <v>46327</v>
      </c>
      <c r="G2549" s="2">
        <v>46235</v>
      </c>
      <c r="H2549" t="s">
        <v>627</v>
      </c>
      <c r="I2549" t="s">
        <v>713</v>
      </c>
      <c r="J2549">
        <v>97.406999999999996</v>
      </c>
      <c r="K2549">
        <v>97.552000000000007</v>
      </c>
      <c r="L2549">
        <v>4.3570000000000002</v>
      </c>
      <c r="M2549">
        <v>4.2629999999999999</v>
      </c>
      <c r="N2549">
        <v>4.2629999999999999</v>
      </c>
      <c r="O2549" t="s">
        <v>101</v>
      </c>
      <c r="P2549" t="s">
        <v>2786</v>
      </c>
      <c r="Q2549" t="s">
        <v>2454</v>
      </c>
      <c r="R2549" t="s">
        <v>2436</v>
      </c>
    </row>
    <row r="2550" spans="1:18" x14ac:dyDescent="0.5">
      <c r="A2550" t="str">
        <f>"26884ABF9"</f>
        <v>26884ABF9</v>
      </c>
      <c r="B2550" t="s">
        <v>101</v>
      </c>
      <c r="C2550" t="s">
        <v>3218</v>
      </c>
      <c r="D2550" t="s">
        <v>2433</v>
      </c>
      <c r="E2550">
        <v>2.85</v>
      </c>
      <c r="F2550" s="2">
        <v>46327</v>
      </c>
      <c r="G2550" s="2">
        <v>46235</v>
      </c>
      <c r="H2550" t="s">
        <v>627</v>
      </c>
      <c r="I2550" t="s">
        <v>713</v>
      </c>
      <c r="J2550">
        <v>97.403999999999996</v>
      </c>
      <c r="K2550">
        <v>97.421999999999997</v>
      </c>
      <c r="L2550">
        <v>4.5119999999999996</v>
      </c>
      <c r="M2550">
        <v>4.5</v>
      </c>
      <c r="N2550">
        <v>4.5</v>
      </c>
      <c r="O2550" t="s">
        <v>101</v>
      </c>
      <c r="P2550" t="s">
        <v>1702</v>
      </c>
      <c r="Q2550" t="s">
        <v>3219</v>
      </c>
      <c r="R2550" t="s">
        <v>2436</v>
      </c>
    </row>
    <row r="2551" spans="1:18" x14ac:dyDescent="0.5">
      <c r="A2551" t="str">
        <f>"438516BL9"</f>
        <v>438516BL9</v>
      </c>
      <c r="B2551" t="s">
        <v>101</v>
      </c>
      <c r="C2551" t="s">
        <v>3220</v>
      </c>
      <c r="D2551" t="s">
        <v>2433</v>
      </c>
      <c r="E2551">
        <v>2.5</v>
      </c>
      <c r="F2551" s="2">
        <v>46327</v>
      </c>
      <c r="G2551" s="2">
        <v>46235</v>
      </c>
      <c r="H2551" t="s">
        <v>610</v>
      </c>
      <c r="I2551" t="s">
        <v>611</v>
      </c>
      <c r="J2551">
        <v>96.882999999999996</v>
      </c>
      <c r="K2551">
        <v>97.036000000000001</v>
      </c>
      <c r="L2551">
        <v>4.4960000000000004</v>
      </c>
      <c r="M2551">
        <v>4.3959999999999999</v>
      </c>
      <c r="N2551">
        <v>4.3959999999999999</v>
      </c>
      <c r="O2551" t="s">
        <v>101</v>
      </c>
      <c r="P2551" t="s">
        <v>1702</v>
      </c>
      <c r="Q2551" t="s">
        <v>2940</v>
      </c>
      <c r="R2551" t="s">
        <v>2436</v>
      </c>
    </row>
    <row r="2552" spans="1:18" x14ac:dyDescent="0.5">
      <c r="A2552" t="str">
        <f>"654106AF0"</f>
        <v>654106AF0</v>
      </c>
      <c r="B2552" t="s">
        <v>101</v>
      </c>
      <c r="C2552" t="s">
        <v>3221</v>
      </c>
      <c r="D2552" t="s">
        <v>2433</v>
      </c>
      <c r="E2552">
        <v>2.375</v>
      </c>
      <c r="F2552" s="2">
        <v>46327</v>
      </c>
      <c r="G2552" s="2">
        <v>46235</v>
      </c>
      <c r="H2552" t="s">
        <v>641</v>
      </c>
      <c r="I2552" t="s">
        <v>616</v>
      </c>
      <c r="J2552">
        <v>97.091999999999999</v>
      </c>
      <c r="K2552">
        <v>97.13</v>
      </c>
      <c r="L2552">
        <v>4.2320000000000002</v>
      </c>
      <c r="M2552">
        <v>4.2069999999999999</v>
      </c>
      <c r="N2552">
        <v>4.2069999999999999</v>
      </c>
      <c r="O2552" t="s">
        <v>101</v>
      </c>
      <c r="P2552" t="s">
        <v>2438</v>
      </c>
      <c r="Q2552" t="s">
        <v>3222</v>
      </c>
      <c r="R2552" t="s">
        <v>2436</v>
      </c>
    </row>
    <row r="2553" spans="1:18" x14ac:dyDescent="0.5">
      <c r="A2553" t="str">
        <f>"78016EZZ3"</f>
        <v>78016EZZ3</v>
      </c>
      <c r="B2553" t="s">
        <v>101</v>
      </c>
      <c r="C2553" t="s">
        <v>3223</v>
      </c>
      <c r="D2553" t="s">
        <v>2433</v>
      </c>
      <c r="E2553">
        <v>1.4</v>
      </c>
      <c r="F2553" s="2">
        <v>46328</v>
      </c>
      <c r="G2553" s="2" t="s">
        <v>101</v>
      </c>
      <c r="H2553" t="s">
        <v>641</v>
      </c>
      <c r="I2553" t="s">
        <v>611</v>
      </c>
      <c r="J2553">
        <v>95.293999999999997</v>
      </c>
      <c r="K2553">
        <v>95.436999999999998</v>
      </c>
      <c r="L2553">
        <v>4.407</v>
      </c>
      <c r="M2553">
        <v>4.3129999999999997</v>
      </c>
      <c r="N2553">
        <v>4.3129999999999997</v>
      </c>
      <c r="O2553" t="s">
        <v>101</v>
      </c>
      <c r="P2553" t="s">
        <v>3224</v>
      </c>
      <c r="Q2553" t="s">
        <v>2776</v>
      </c>
      <c r="R2553" t="s">
        <v>2436</v>
      </c>
    </row>
    <row r="2554" spans="1:18" x14ac:dyDescent="0.5">
      <c r="A2554" t="str">
        <f>"133131BA9"</f>
        <v>133131BA9</v>
      </c>
      <c r="B2554" t="s">
        <v>101</v>
      </c>
      <c r="C2554" t="s">
        <v>3225</v>
      </c>
      <c r="D2554" t="s">
        <v>2433</v>
      </c>
      <c r="E2554">
        <v>5.85</v>
      </c>
      <c r="F2554" s="2">
        <v>46329</v>
      </c>
      <c r="G2554" s="2">
        <v>46298</v>
      </c>
      <c r="H2554" t="s">
        <v>627</v>
      </c>
      <c r="I2554" t="s">
        <v>713</v>
      </c>
      <c r="J2554">
        <v>101.98</v>
      </c>
      <c r="K2554">
        <v>102.14400000000001</v>
      </c>
      <c r="L2554">
        <v>4.5179999999999998</v>
      </c>
      <c r="M2554">
        <v>4.41</v>
      </c>
      <c r="N2554">
        <v>4.4770000000000003</v>
      </c>
      <c r="O2554" t="s">
        <v>101</v>
      </c>
      <c r="P2554" t="s">
        <v>1702</v>
      </c>
      <c r="Q2554" t="s">
        <v>2786</v>
      </c>
      <c r="R2554" t="s">
        <v>2436</v>
      </c>
    </row>
    <row r="2555" spans="1:18" x14ac:dyDescent="0.5">
      <c r="A2555" t="str">
        <f>"742718ER6"</f>
        <v>742718ER6</v>
      </c>
      <c r="B2555" t="s">
        <v>101</v>
      </c>
      <c r="C2555" t="s">
        <v>3226</v>
      </c>
      <c r="D2555" t="s">
        <v>2433</v>
      </c>
      <c r="E2555">
        <v>2.4500000000000002</v>
      </c>
      <c r="F2555" s="2">
        <v>46329</v>
      </c>
      <c r="G2555" s="2" t="s">
        <v>101</v>
      </c>
      <c r="H2555" t="s">
        <v>624</v>
      </c>
      <c r="I2555" t="s">
        <v>616</v>
      </c>
      <c r="J2555">
        <v>97.206999999999994</v>
      </c>
      <c r="K2555">
        <v>97.278999999999996</v>
      </c>
      <c r="L2555">
        <v>4.2270000000000003</v>
      </c>
      <c r="M2555">
        <v>4.181</v>
      </c>
      <c r="N2555">
        <v>4.181</v>
      </c>
      <c r="O2555" t="s">
        <v>101</v>
      </c>
      <c r="P2555" t="s">
        <v>2454</v>
      </c>
      <c r="Q2555" t="s">
        <v>2581</v>
      </c>
      <c r="R2555" t="s">
        <v>2436</v>
      </c>
    </row>
    <row r="2556" spans="1:18" x14ac:dyDescent="0.5">
      <c r="A2556" t="str">
        <f>"025816CM9"</f>
        <v>025816CM9</v>
      </c>
      <c r="B2556" t="s">
        <v>101</v>
      </c>
      <c r="C2556" t="s">
        <v>3227</v>
      </c>
      <c r="D2556" t="s">
        <v>2433</v>
      </c>
      <c r="E2556">
        <v>1.65</v>
      </c>
      <c r="F2556" s="2">
        <v>46330</v>
      </c>
      <c r="G2556" s="2">
        <v>46299</v>
      </c>
      <c r="H2556" t="s">
        <v>610</v>
      </c>
      <c r="I2556" t="s">
        <v>713</v>
      </c>
      <c r="J2556">
        <v>95.503</v>
      </c>
      <c r="K2556">
        <v>95.656000000000006</v>
      </c>
      <c r="L2556">
        <v>4.5170000000000003</v>
      </c>
      <c r="M2556">
        <v>4.4169999999999998</v>
      </c>
      <c r="N2556">
        <v>4.4169999999999998</v>
      </c>
      <c r="O2556" t="s">
        <v>101</v>
      </c>
      <c r="P2556" t="s">
        <v>2454</v>
      </c>
      <c r="Q2556" t="s">
        <v>2940</v>
      </c>
      <c r="R2556" t="s">
        <v>2436</v>
      </c>
    </row>
    <row r="2557" spans="1:18" x14ac:dyDescent="0.5">
      <c r="A2557" t="str">
        <f>"69371RS72"</f>
        <v>69371RS72</v>
      </c>
      <c r="B2557" t="s">
        <v>101</v>
      </c>
      <c r="C2557" t="s">
        <v>3228</v>
      </c>
      <c r="D2557" t="s">
        <v>2433</v>
      </c>
      <c r="E2557">
        <v>5.2</v>
      </c>
      <c r="F2557" s="2">
        <v>46335</v>
      </c>
      <c r="G2557" s="2" t="s">
        <v>105</v>
      </c>
      <c r="H2557" t="s">
        <v>641</v>
      </c>
      <c r="I2557" t="s">
        <v>658</v>
      </c>
      <c r="J2557">
        <v>101.53</v>
      </c>
      <c r="K2557">
        <v>101.538</v>
      </c>
      <c r="L2557">
        <v>4.2309999999999999</v>
      </c>
      <c r="M2557">
        <v>4.226</v>
      </c>
      <c r="N2557">
        <v>4.226</v>
      </c>
      <c r="O2557" t="s">
        <v>101</v>
      </c>
      <c r="P2557" t="s">
        <v>1236</v>
      </c>
      <c r="Q2557" t="s">
        <v>3075</v>
      </c>
      <c r="R2557" t="s">
        <v>2465</v>
      </c>
    </row>
    <row r="2558" spans="1:18" x14ac:dyDescent="0.5">
      <c r="A2558" t="str">
        <f>"74460DAG4"</f>
        <v>74460DAG4</v>
      </c>
      <c r="B2558" t="s">
        <v>101</v>
      </c>
      <c r="C2558" t="s">
        <v>3229</v>
      </c>
      <c r="D2558" t="s">
        <v>2433</v>
      </c>
      <c r="E2558">
        <v>1.5</v>
      </c>
      <c r="F2558" s="2">
        <v>46335</v>
      </c>
      <c r="G2558" s="2">
        <v>46304</v>
      </c>
      <c r="H2558" t="s">
        <v>610</v>
      </c>
      <c r="I2558" t="s">
        <v>611</v>
      </c>
      <c r="J2558">
        <v>95.314999999999998</v>
      </c>
      <c r="K2558">
        <v>95.391000000000005</v>
      </c>
      <c r="L2558">
        <v>4.4610000000000003</v>
      </c>
      <c r="M2558">
        <v>4.4119999999999999</v>
      </c>
      <c r="N2558">
        <v>4.4119999999999999</v>
      </c>
      <c r="O2558" t="s">
        <v>101</v>
      </c>
      <c r="P2558" t="s">
        <v>2447</v>
      </c>
      <c r="Q2558" t="s">
        <v>2581</v>
      </c>
      <c r="R2558" t="s">
        <v>2436</v>
      </c>
    </row>
    <row r="2559" spans="1:18" x14ac:dyDescent="0.5">
      <c r="A2559" t="str">
        <f>"713448FW3"</f>
        <v>713448FW3</v>
      </c>
      <c r="B2559" t="s">
        <v>101</v>
      </c>
      <c r="C2559" t="s">
        <v>3230</v>
      </c>
      <c r="D2559" t="s">
        <v>2433</v>
      </c>
      <c r="E2559">
        <v>5.125</v>
      </c>
      <c r="F2559" s="2">
        <v>46336</v>
      </c>
      <c r="G2559" s="2">
        <v>46305</v>
      </c>
      <c r="H2559" t="s">
        <v>641</v>
      </c>
      <c r="I2559" t="s">
        <v>658</v>
      </c>
      <c r="J2559">
        <v>101.245</v>
      </c>
      <c r="K2559">
        <v>101.428</v>
      </c>
      <c r="L2559">
        <v>4.2990000000000004</v>
      </c>
      <c r="M2559">
        <v>4.1790000000000003</v>
      </c>
      <c r="N2559">
        <v>4.2220000000000004</v>
      </c>
      <c r="O2559" t="s">
        <v>101</v>
      </c>
      <c r="P2559" t="s">
        <v>2454</v>
      </c>
      <c r="Q2559" t="s">
        <v>2454</v>
      </c>
      <c r="R2559" t="s">
        <v>2436</v>
      </c>
    </row>
    <row r="2560" spans="1:18" x14ac:dyDescent="0.5">
      <c r="A2560" t="str">
        <f>"63743HFK3"</f>
        <v>63743HFK3</v>
      </c>
      <c r="B2560" t="s">
        <v>101</v>
      </c>
      <c r="C2560" t="s">
        <v>3231</v>
      </c>
      <c r="D2560" t="s">
        <v>2433</v>
      </c>
      <c r="E2560">
        <v>5.6</v>
      </c>
      <c r="F2560" s="2">
        <v>46339</v>
      </c>
      <c r="G2560" s="2">
        <v>46308</v>
      </c>
      <c r="H2560" t="s">
        <v>610</v>
      </c>
      <c r="I2560" t="s">
        <v>713</v>
      </c>
      <c r="J2560">
        <v>101.658</v>
      </c>
      <c r="K2560">
        <v>101.9</v>
      </c>
      <c r="L2560">
        <v>4.5030000000000001</v>
      </c>
      <c r="M2560">
        <v>4.3460000000000001</v>
      </c>
      <c r="N2560">
        <v>4.4029999999999996</v>
      </c>
      <c r="O2560" t="s">
        <v>101</v>
      </c>
      <c r="P2560" t="s">
        <v>1702</v>
      </c>
      <c r="Q2560" t="s">
        <v>1702</v>
      </c>
      <c r="R2560" t="s">
        <v>2436</v>
      </c>
    </row>
    <row r="2561" spans="1:18" x14ac:dyDescent="0.5">
      <c r="A2561" t="str">
        <f>"110122AB4"</f>
        <v>110122AB4</v>
      </c>
      <c r="B2561" t="s">
        <v>101</v>
      </c>
      <c r="C2561" t="s">
        <v>3232</v>
      </c>
      <c r="D2561" t="s">
        <v>2433</v>
      </c>
      <c r="E2561">
        <v>6.8</v>
      </c>
      <c r="F2561" s="2">
        <v>46341</v>
      </c>
      <c r="G2561" s="2" t="s">
        <v>105</v>
      </c>
      <c r="H2561" t="s">
        <v>610</v>
      </c>
      <c r="I2561" t="s">
        <v>611</v>
      </c>
      <c r="J2561">
        <v>103.913</v>
      </c>
      <c r="K2561">
        <v>104.345</v>
      </c>
      <c r="L2561">
        <v>4.3470000000000004</v>
      </c>
      <c r="M2561">
        <v>4.085</v>
      </c>
      <c r="N2561">
        <v>4.085</v>
      </c>
      <c r="O2561" t="s">
        <v>101</v>
      </c>
      <c r="P2561" t="s">
        <v>2527</v>
      </c>
      <c r="Q2561" t="s">
        <v>3233</v>
      </c>
      <c r="R2561" t="s">
        <v>2465</v>
      </c>
    </row>
    <row r="2562" spans="1:18" x14ac:dyDescent="0.5">
      <c r="A2562" t="str">
        <f>"254687DK9"</f>
        <v>254687DK9</v>
      </c>
      <c r="B2562" t="s">
        <v>101</v>
      </c>
      <c r="C2562" t="s">
        <v>3234</v>
      </c>
      <c r="D2562" t="s">
        <v>2433</v>
      </c>
      <c r="E2562">
        <v>3.375</v>
      </c>
      <c r="F2562" s="2">
        <v>46341</v>
      </c>
      <c r="G2562" s="2">
        <v>46249</v>
      </c>
      <c r="H2562" t="s">
        <v>610</v>
      </c>
      <c r="I2562" t="s">
        <v>611</v>
      </c>
      <c r="J2562">
        <v>98.456999999999994</v>
      </c>
      <c r="K2562">
        <v>98.644000000000005</v>
      </c>
      <c r="L2562">
        <v>4.3369999999999997</v>
      </c>
      <c r="M2562">
        <v>4.2190000000000003</v>
      </c>
      <c r="N2562">
        <v>4.2190000000000003</v>
      </c>
      <c r="O2562" t="s">
        <v>101</v>
      </c>
      <c r="P2562" t="s">
        <v>1702</v>
      </c>
      <c r="Q2562" t="s">
        <v>2683</v>
      </c>
      <c r="R2562" t="s">
        <v>2436</v>
      </c>
    </row>
    <row r="2563" spans="1:18" x14ac:dyDescent="0.5">
      <c r="A2563" t="str">
        <f>"452308AX7"</f>
        <v>452308AX7</v>
      </c>
      <c r="B2563" t="s">
        <v>101</v>
      </c>
      <c r="C2563" t="s">
        <v>3235</v>
      </c>
      <c r="D2563" t="s">
        <v>2433</v>
      </c>
      <c r="E2563">
        <v>2.65</v>
      </c>
      <c r="F2563" s="2">
        <v>46341</v>
      </c>
      <c r="G2563" s="2">
        <v>46249</v>
      </c>
      <c r="H2563" t="s">
        <v>641</v>
      </c>
      <c r="I2563" t="s">
        <v>658</v>
      </c>
      <c r="J2563">
        <v>97.53</v>
      </c>
      <c r="K2563">
        <v>97.638000000000005</v>
      </c>
      <c r="L2563">
        <v>4.1900000000000004</v>
      </c>
      <c r="M2563">
        <v>4.1219999999999999</v>
      </c>
      <c r="N2563">
        <v>4.1219999999999999</v>
      </c>
      <c r="O2563" t="s">
        <v>101</v>
      </c>
      <c r="P2563" t="s">
        <v>2438</v>
      </c>
      <c r="Q2563" t="s">
        <v>2581</v>
      </c>
      <c r="R2563" t="s">
        <v>2436</v>
      </c>
    </row>
    <row r="2564" spans="1:18" x14ac:dyDescent="0.5">
      <c r="A2564" t="str">
        <f>"63743FVB9"</f>
        <v>63743FVB9</v>
      </c>
      <c r="B2564" t="s">
        <v>101</v>
      </c>
      <c r="C2564" t="s">
        <v>3236</v>
      </c>
      <c r="D2564" t="s">
        <v>2433</v>
      </c>
      <c r="E2564">
        <v>3.5</v>
      </c>
      <c r="F2564" s="2">
        <v>46341</v>
      </c>
      <c r="G2564" s="2" t="s">
        <v>105</v>
      </c>
      <c r="H2564" t="s">
        <v>610</v>
      </c>
      <c r="I2564" t="s">
        <v>713</v>
      </c>
      <c r="J2564">
        <v>97.391000000000005</v>
      </c>
      <c r="K2564">
        <v>98.572999999999993</v>
      </c>
      <c r="L2564">
        <v>5.1289999999999996</v>
      </c>
      <c r="M2564">
        <v>4.3849999999999998</v>
      </c>
      <c r="N2564">
        <v>4.3849999999999998</v>
      </c>
      <c r="O2564" t="s">
        <v>101</v>
      </c>
      <c r="P2564" t="s">
        <v>3237</v>
      </c>
      <c r="Q2564" t="s">
        <v>453</v>
      </c>
      <c r="R2564" t="s">
        <v>2610</v>
      </c>
    </row>
    <row r="2565" spans="1:18" x14ac:dyDescent="0.5">
      <c r="A2565" t="str">
        <f>"64110LAN6"</f>
        <v>64110LAN6</v>
      </c>
      <c r="B2565" t="s">
        <v>101</v>
      </c>
      <c r="C2565" t="s">
        <v>3238</v>
      </c>
      <c r="D2565" t="s">
        <v>2433</v>
      </c>
      <c r="E2565">
        <v>4.375</v>
      </c>
      <c r="F2565" s="2">
        <v>46341</v>
      </c>
      <c r="G2565" s="2" t="s">
        <v>101</v>
      </c>
      <c r="H2565" t="s">
        <v>670</v>
      </c>
      <c r="I2565" t="s">
        <v>611</v>
      </c>
      <c r="J2565">
        <v>100.048</v>
      </c>
      <c r="K2565">
        <v>100.181</v>
      </c>
      <c r="L2565">
        <v>4.3419999999999996</v>
      </c>
      <c r="M2565">
        <v>4.2590000000000003</v>
      </c>
      <c r="N2565">
        <v>4.2590000000000003</v>
      </c>
      <c r="O2565" t="s">
        <v>101</v>
      </c>
      <c r="P2565" t="s">
        <v>2581</v>
      </c>
      <c r="Q2565" t="s">
        <v>3239</v>
      </c>
      <c r="R2565" t="s">
        <v>2436</v>
      </c>
    </row>
    <row r="2566" spans="1:18" x14ac:dyDescent="0.5">
      <c r="A2566" t="str">
        <f>"74251VAM4"</f>
        <v>74251VAM4</v>
      </c>
      <c r="B2566" t="s">
        <v>101</v>
      </c>
      <c r="C2566" t="s">
        <v>3240</v>
      </c>
      <c r="D2566" t="s">
        <v>2433</v>
      </c>
      <c r="E2566">
        <v>3.1</v>
      </c>
      <c r="F2566" s="2">
        <v>46341</v>
      </c>
      <c r="G2566" s="2">
        <v>46249</v>
      </c>
      <c r="H2566" t="s">
        <v>670</v>
      </c>
      <c r="I2566" t="s">
        <v>713</v>
      </c>
      <c r="J2566">
        <v>97.397000000000006</v>
      </c>
      <c r="K2566">
        <v>97.68</v>
      </c>
      <c r="L2566">
        <v>4.7320000000000002</v>
      </c>
      <c r="M2566">
        <v>4.5519999999999996</v>
      </c>
      <c r="N2566">
        <v>4.5519999999999996</v>
      </c>
      <c r="O2566" t="s">
        <v>101</v>
      </c>
      <c r="P2566" t="s">
        <v>3241</v>
      </c>
      <c r="Q2566" t="s">
        <v>2454</v>
      </c>
      <c r="R2566" t="s">
        <v>2436</v>
      </c>
    </row>
    <row r="2567" spans="1:18" x14ac:dyDescent="0.5">
      <c r="A2567" t="str">
        <f>"911312AY2"</f>
        <v>911312AY2</v>
      </c>
      <c r="B2567" t="s">
        <v>101</v>
      </c>
      <c r="C2567" t="s">
        <v>3242</v>
      </c>
      <c r="D2567" t="s">
        <v>2433</v>
      </c>
      <c r="E2567">
        <v>2.4</v>
      </c>
      <c r="F2567" s="2">
        <v>46341</v>
      </c>
      <c r="G2567" s="2">
        <v>46249</v>
      </c>
      <c r="H2567" t="s">
        <v>610</v>
      </c>
      <c r="I2567" t="s">
        <v>611</v>
      </c>
      <c r="J2567">
        <v>96.823999999999998</v>
      </c>
      <c r="K2567">
        <v>96.980999999999995</v>
      </c>
      <c r="L2567">
        <v>4.3849999999999998</v>
      </c>
      <c r="M2567">
        <v>4.2850000000000001</v>
      </c>
      <c r="N2567">
        <v>4.2850000000000001</v>
      </c>
      <c r="O2567" t="s">
        <v>101</v>
      </c>
      <c r="P2567" t="s">
        <v>2447</v>
      </c>
      <c r="Q2567" t="s">
        <v>1236</v>
      </c>
      <c r="R2567" t="s">
        <v>2436</v>
      </c>
    </row>
    <row r="2568" spans="1:18" x14ac:dyDescent="0.5">
      <c r="A2568" t="str">
        <f>"61766YGU9"</f>
        <v>61766YGU9</v>
      </c>
      <c r="B2568" t="s">
        <v>101</v>
      </c>
      <c r="C2568" t="s">
        <v>3243</v>
      </c>
      <c r="D2568" t="s">
        <v>2433</v>
      </c>
      <c r="E2568">
        <v>1.5</v>
      </c>
      <c r="F2568" s="2">
        <v>46344</v>
      </c>
      <c r="G2568" s="2">
        <v>45979</v>
      </c>
      <c r="H2568" t="s">
        <v>641</v>
      </c>
      <c r="I2568" t="s">
        <v>713</v>
      </c>
      <c r="J2568">
        <v>94.682000000000002</v>
      </c>
      <c r="K2568">
        <v>95.352999999999994</v>
      </c>
      <c r="L2568">
        <v>4.8259999999999996</v>
      </c>
      <c r="M2568">
        <v>4.3929999999999998</v>
      </c>
      <c r="N2568">
        <v>4.3929999999999998</v>
      </c>
      <c r="O2568" t="s">
        <v>101</v>
      </c>
      <c r="P2568" t="s">
        <v>2595</v>
      </c>
      <c r="Q2568" t="s">
        <v>782</v>
      </c>
      <c r="R2568" t="s">
        <v>2436</v>
      </c>
    </row>
    <row r="2569" spans="1:18" x14ac:dyDescent="0.5">
      <c r="A2569" t="str">
        <f>"89236TLD5"</f>
        <v>89236TLD5</v>
      </c>
      <c r="B2569" t="s">
        <v>101</v>
      </c>
      <c r="C2569" t="s">
        <v>3244</v>
      </c>
      <c r="D2569" t="s">
        <v>2433</v>
      </c>
      <c r="E2569">
        <v>5.4</v>
      </c>
      <c r="F2569" s="2">
        <v>46346</v>
      </c>
      <c r="G2569" s="2" t="s">
        <v>105</v>
      </c>
      <c r="H2569" t="s">
        <v>641</v>
      </c>
      <c r="I2569" t="s">
        <v>658</v>
      </c>
      <c r="J2569">
        <v>101.66500000000001</v>
      </c>
      <c r="K2569">
        <v>101.768</v>
      </c>
      <c r="L2569">
        <v>4.3620000000000001</v>
      </c>
      <c r="M2569">
        <v>4.2990000000000004</v>
      </c>
      <c r="N2569">
        <v>4.2990000000000004</v>
      </c>
      <c r="O2569" t="s">
        <v>101</v>
      </c>
      <c r="P2569" t="s">
        <v>3245</v>
      </c>
      <c r="Q2569" t="s">
        <v>2581</v>
      </c>
      <c r="R2569" t="s">
        <v>2465</v>
      </c>
    </row>
    <row r="2570" spans="1:18" x14ac:dyDescent="0.5">
      <c r="A2570" t="str">
        <f>"00287YBV0"</f>
        <v>00287YBV0</v>
      </c>
      <c r="B2570" t="s">
        <v>101</v>
      </c>
      <c r="C2570" t="s">
        <v>3246</v>
      </c>
      <c r="D2570" t="s">
        <v>2433</v>
      </c>
      <c r="E2570">
        <v>2.95</v>
      </c>
      <c r="F2570" s="2">
        <v>46347</v>
      </c>
      <c r="G2570" s="2">
        <v>46286</v>
      </c>
      <c r="H2570" t="s">
        <v>627</v>
      </c>
      <c r="I2570" t="s">
        <v>713</v>
      </c>
      <c r="J2570">
        <v>97.576999999999998</v>
      </c>
      <c r="K2570">
        <v>97.686000000000007</v>
      </c>
      <c r="L2570">
        <v>4.45</v>
      </c>
      <c r="M2570">
        <v>4.3819999999999997</v>
      </c>
      <c r="N2570">
        <v>4.3819999999999997</v>
      </c>
      <c r="O2570" t="s">
        <v>101</v>
      </c>
      <c r="P2570" t="s">
        <v>2454</v>
      </c>
      <c r="Q2570" t="s">
        <v>2581</v>
      </c>
      <c r="R2570" t="s">
        <v>2436</v>
      </c>
    </row>
    <row r="2571" spans="1:18" x14ac:dyDescent="0.5">
      <c r="A2571" t="str">
        <f>"57636QAG9"</f>
        <v>57636QAG9</v>
      </c>
      <c r="B2571" t="s">
        <v>101</v>
      </c>
      <c r="C2571" t="s">
        <v>3247</v>
      </c>
      <c r="D2571" t="s">
        <v>2433</v>
      </c>
      <c r="E2571">
        <v>2.95</v>
      </c>
      <c r="F2571" s="2">
        <v>46347</v>
      </c>
      <c r="G2571" s="2">
        <v>46255</v>
      </c>
      <c r="H2571" t="s">
        <v>624</v>
      </c>
      <c r="I2571" t="s">
        <v>658</v>
      </c>
      <c r="J2571">
        <v>97.930999999999997</v>
      </c>
      <c r="K2571">
        <v>98.052999999999997</v>
      </c>
      <c r="L2571">
        <v>4.2279999999999998</v>
      </c>
      <c r="M2571">
        <v>4.1520000000000001</v>
      </c>
      <c r="N2571">
        <v>4.1520000000000001</v>
      </c>
      <c r="O2571" t="s">
        <v>101</v>
      </c>
      <c r="P2571" t="s">
        <v>1702</v>
      </c>
      <c r="Q2571" t="s">
        <v>2581</v>
      </c>
      <c r="R2571" t="s">
        <v>2436</v>
      </c>
    </row>
    <row r="2572" spans="1:18" x14ac:dyDescent="0.5">
      <c r="A2572" t="str">
        <f>"69371RT55"</f>
        <v>69371RT55</v>
      </c>
      <c r="B2572" t="s">
        <v>101</v>
      </c>
      <c r="C2572" t="s">
        <v>3248</v>
      </c>
      <c r="D2572" t="s">
        <v>2433</v>
      </c>
      <c r="E2572">
        <v>4.5</v>
      </c>
      <c r="F2572" s="2">
        <v>46351</v>
      </c>
      <c r="G2572" s="2" t="s">
        <v>105</v>
      </c>
      <c r="H2572" t="s">
        <v>641</v>
      </c>
      <c r="I2572" t="s">
        <v>658</v>
      </c>
      <c r="J2572">
        <v>100.34699999999999</v>
      </c>
      <c r="K2572">
        <v>100.57599999999999</v>
      </c>
      <c r="L2572">
        <v>4.2830000000000004</v>
      </c>
      <c r="M2572">
        <v>4.1429999999999998</v>
      </c>
      <c r="N2572">
        <v>4.1429999999999998</v>
      </c>
      <c r="O2572" t="s">
        <v>101</v>
      </c>
      <c r="P2572" t="s">
        <v>2507</v>
      </c>
      <c r="Q2572" t="s">
        <v>2507</v>
      </c>
      <c r="R2572" t="s">
        <v>2465</v>
      </c>
    </row>
    <row r="2573" spans="1:18" x14ac:dyDescent="0.5">
      <c r="A2573" t="str">
        <f>"857449AC6"</f>
        <v>857449AC6</v>
      </c>
      <c r="B2573" t="s">
        <v>101</v>
      </c>
      <c r="C2573" t="s">
        <v>3249</v>
      </c>
      <c r="D2573" t="s">
        <v>2433</v>
      </c>
      <c r="E2573">
        <v>4.5940000000000003</v>
      </c>
      <c r="F2573" s="2">
        <v>46351</v>
      </c>
      <c r="G2573" s="2" t="s">
        <v>105</v>
      </c>
      <c r="H2573" t="s">
        <v>613</v>
      </c>
      <c r="I2573" t="s">
        <v>616</v>
      </c>
      <c r="J2573">
        <v>100.44799999999999</v>
      </c>
      <c r="K2573">
        <v>100.651</v>
      </c>
      <c r="L2573">
        <v>4.3099999999999996</v>
      </c>
      <c r="M2573">
        <v>4.1900000000000004</v>
      </c>
      <c r="N2573">
        <v>4.1900000000000004</v>
      </c>
      <c r="O2573" t="s">
        <v>101</v>
      </c>
      <c r="P2573" t="s">
        <v>3250</v>
      </c>
      <c r="Q2573" t="s">
        <v>3123</v>
      </c>
      <c r="R2573" t="s">
        <v>2465</v>
      </c>
    </row>
    <row r="2574" spans="1:18" x14ac:dyDescent="0.5">
      <c r="A2574" t="str">
        <f>"828807CY1"</f>
        <v>828807CY1</v>
      </c>
      <c r="B2574" t="s">
        <v>101</v>
      </c>
      <c r="C2574" t="s">
        <v>3251</v>
      </c>
      <c r="D2574" t="s">
        <v>2433</v>
      </c>
      <c r="E2574">
        <v>3.25</v>
      </c>
      <c r="F2574" s="2">
        <v>46356</v>
      </c>
      <c r="G2574" s="2">
        <v>46264</v>
      </c>
      <c r="H2574" t="s">
        <v>627</v>
      </c>
      <c r="I2574" t="s">
        <v>713</v>
      </c>
      <c r="J2574">
        <v>97.941999999999993</v>
      </c>
      <c r="K2574">
        <v>98.016000000000005</v>
      </c>
      <c r="L2574">
        <v>4.5069999999999997</v>
      </c>
      <c r="M2574">
        <v>4.4610000000000003</v>
      </c>
      <c r="N2574">
        <v>4.4610000000000003</v>
      </c>
      <c r="O2574" t="s">
        <v>101</v>
      </c>
      <c r="P2574" t="s">
        <v>1702</v>
      </c>
      <c r="Q2574" t="s">
        <v>3252</v>
      </c>
      <c r="R2574" t="s">
        <v>2436</v>
      </c>
    </row>
    <row r="2575" spans="1:18" x14ac:dyDescent="0.5">
      <c r="A2575" t="str">
        <f>"03040WAN5"</f>
        <v>03040WAN5</v>
      </c>
      <c r="B2575" t="s">
        <v>101</v>
      </c>
      <c r="C2575" t="s">
        <v>3253</v>
      </c>
      <c r="D2575" t="s">
        <v>2433</v>
      </c>
      <c r="E2575">
        <v>3</v>
      </c>
      <c r="F2575" s="2">
        <v>46357</v>
      </c>
      <c r="G2575" s="2">
        <v>46266</v>
      </c>
      <c r="H2575" t="s">
        <v>670</v>
      </c>
      <c r="I2575" t="s">
        <v>611</v>
      </c>
      <c r="J2575">
        <v>97.438000000000002</v>
      </c>
      <c r="K2575">
        <v>97.676000000000002</v>
      </c>
      <c r="L2575">
        <v>4.5640000000000001</v>
      </c>
      <c r="M2575">
        <v>4.4160000000000004</v>
      </c>
      <c r="N2575">
        <v>4.4160000000000004</v>
      </c>
      <c r="O2575" t="s">
        <v>101</v>
      </c>
      <c r="P2575" t="s">
        <v>2948</v>
      </c>
      <c r="Q2575" t="s">
        <v>1236</v>
      </c>
      <c r="R2575" t="s">
        <v>2436</v>
      </c>
    </row>
    <row r="2576" spans="1:18" x14ac:dyDescent="0.5">
      <c r="A2576" t="str">
        <f>"209111FJ7"</f>
        <v>209111FJ7</v>
      </c>
      <c r="B2576" t="s">
        <v>101</v>
      </c>
      <c r="C2576" t="s">
        <v>3254</v>
      </c>
      <c r="D2576" t="s">
        <v>2433</v>
      </c>
      <c r="E2576">
        <v>2.9</v>
      </c>
      <c r="F2576" s="2">
        <v>46357</v>
      </c>
      <c r="G2576" s="2">
        <v>46266</v>
      </c>
      <c r="H2576" t="s">
        <v>627</v>
      </c>
      <c r="I2576" t="s">
        <v>713</v>
      </c>
      <c r="J2576">
        <v>97.137</v>
      </c>
      <c r="K2576">
        <v>97.272999999999996</v>
      </c>
      <c r="L2576">
        <v>4.649</v>
      </c>
      <c r="M2576">
        <v>4.5650000000000004</v>
      </c>
      <c r="N2576">
        <v>4.5650000000000004</v>
      </c>
      <c r="O2576" t="s">
        <v>101</v>
      </c>
      <c r="P2576" t="s">
        <v>2507</v>
      </c>
      <c r="Q2576" t="s">
        <v>527</v>
      </c>
      <c r="R2576" t="s">
        <v>2436</v>
      </c>
    </row>
    <row r="2577" spans="1:18" x14ac:dyDescent="0.5">
      <c r="A2577" t="str">
        <f>"23338VAU0"</f>
        <v>23338VAU0</v>
      </c>
      <c r="B2577" t="s">
        <v>101</v>
      </c>
      <c r="C2577" t="s">
        <v>3255</v>
      </c>
      <c r="D2577" t="s">
        <v>2433</v>
      </c>
      <c r="E2577">
        <v>4.8499999999999996</v>
      </c>
      <c r="F2577" s="2">
        <v>46357</v>
      </c>
      <c r="G2577" s="2" t="s">
        <v>101</v>
      </c>
      <c r="H2577" t="s">
        <v>624</v>
      </c>
      <c r="I2577" t="s">
        <v>611</v>
      </c>
      <c r="J2577">
        <v>100.822</v>
      </c>
      <c r="K2577">
        <v>100.974</v>
      </c>
      <c r="L2577">
        <v>4.3449999999999998</v>
      </c>
      <c r="M2577">
        <v>4.2530000000000001</v>
      </c>
      <c r="N2577">
        <v>4.2530000000000001</v>
      </c>
      <c r="O2577" t="s">
        <v>101</v>
      </c>
      <c r="P2577" t="s">
        <v>2472</v>
      </c>
      <c r="Q2577" t="s">
        <v>3222</v>
      </c>
      <c r="R2577" t="s">
        <v>2436</v>
      </c>
    </row>
    <row r="2578" spans="1:18" x14ac:dyDescent="0.5">
      <c r="A2578" t="str">
        <f>"26442CAS3"</f>
        <v>26442CAS3</v>
      </c>
      <c r="B2578" t="s">
        <v>101</v>
      </c>
      <c r="C2578" t="s">
        <v>3256</v>
      </c>
      <c r="D2578" t="s">
        <v>2433</v>
      </c>
      <c r="E2578">
        <v>2.95</v>
      </c>
      <c r="F2578" s="2">
        <v>46357</v>
      </c>
      <c r="G2578" s="2">
        <v>46266</v>
      </c>
      <c r="H2578" t="s">
        <v>624</v>
      </c>
      <c r="I2578" t="s">
        <v>611</v>
      </c>
      <c r="J2578">
        <v>97.673000000000002</v>
      </c>
      <c r="K2578">
        <v>97.793000000000006</v>
      </c>
      <c r="L2578">
        <v>4.367</v>
      </c>
      <c r="M2578">
        <v>4.2930000000000001</v>
      </c>
      <c r="N2578">
        <v>4.2930000000000001</v>
      </c>
      <c r="O2578" t="s">
        <v>101</v>
      </c>
      <c r="P2578" t="s">
        <v>3257</v>
      </c>
      <c r="Q2578" t="s">
        <v>2454</v>
      </c>
      <c r="R2578" t="s">
        <v>2436</v>
      </c>
    </row>
    <row r="2579" spans="1:18" x14ac:dyDescent="0.5">
      <c r="A2579" t="str">
        <f>"032654AN5"</f>
        <v>032654AN5</v>
      </c>
      <c r="B2579" t="s">
        <v>101</v>
      </c>
      <c r="C2579" t="s">
        <v>3258</v>
      </c>
      <c r="D2579" t="s">
        <v>2433</v>
      </c>
      <c r="E2579">
        <v>3.5</v>
      </c>
      <c r="F2579" s="2">
        <v>46361</v>
      </c>
      <c r="G2579" s="2">
        <v>46270</v>
      </c>
      <c r="H2579" t="s">
        <v>610</v>
      </c>
      <c r="I2579" t="s">
        <v>713</v>
      </c>
      <c r="J2579">
        <v>98.463999999999999</v>
      </c>
      <c r="K2579">
        <v>98.602999999999994</v>
      </c>
      <c r="L2579">
        <v>4.4290000000000003</v>
      </c>
      <c r="M2579">
        <v>4.3440000000000003</v>
      </c>
      <c r="N2579">
        <v>4.3440000000000003</v>
      </c>
      <c r="O2579" t="s">
        <v>101</v>
      </c>
      <c r="P2579" t="s">
        <v>3084</v>
      </c>
      <c r="Q2579" t="s">
        <v>2581</v>
      </c>
      <c r="R2579" t="s">
        <v>2436</v>
      </c>
    </row>
    <row r="2580" spans="1:18" x14ac:dyDescent="0.5">
      <c r="A2580" t="str">
        <f>"883556CZ3"</f>
        <v>883556CZ3</v>
      </c>
      <c r="B2580" t="s">
        <v>101</v>
      </c>
      <c r="C2580" t="s">
        <v>3259</v>
      </c>
      <c r="D2580" t="s">
        <v>2433</v>
      </c>
      <c r="E2580">
        <v>5</v>
      </c>
      <c r="F2580" s="2">
        <v>46361</v>
      </c>
      <c r="G2580" s="2">
        <v>46331</v>
      </c>
      <c r="H2580" t="s">
        <v>627</v>
      </c>
      <c r="I2580" t="s">
        <v>713</v>
      </c>
      <c r="J2580">
        <v>100.91</v>
      </c>
      <c r="K2580">
        <v>101.044</v>
      </c>
      <c r="L2580">
        <v>4.4189999999999996</v>
      </c>
      <c r="M2580">
        <v>4.3339999999999996</v>
      </c>
      <c r="N2580">
        <v>4.3630000000000004</v>
      </c>
      <c r="O2580" t="s">
        <v>101</v>
      </c>
      <c r="P2580" t="s">
        <v>2522</v>
      </c>
      <c r="Q2580" t="s">
        <v>2454</v>
      </c>
      <c r="R2580" t="s">
        <v>2436</v>
      </c>
    </row>
    <row r="2581" spans="1:18" x14ac:dyDescent="0.5">
      <c r="A2581" t="str">
        <f>"06418JAA9"</f>
        <v>06418JAA9</v>
      </c>
      <c r="B2581" t="s">
        <v>101</v>
      </c>
      <c r="C2581" t="s">
        <v>3260</v>
      </c>
      <c r="D2581" t="s">
        <v>2433</v>
      </c>
      <c r="E2581">
        <v>5.35</v>
      </c>
      <c r="F2581" s="2">
        <v>46363</v>
      </c>
      <c r="G2581" s="2" t="s">
        <v>101</v>
      </c>
      <c r="H2581" t="s">
        <v>610</v>
      </c>
      <c r="I2581" t="s">
        <v>713</v>
      </c>
      <c r="J2581">
        <v>101.21899999999999</v>
      </c>
      <c r="K2581">
        <v>101.334</v>
      </c>
      <c r="L2581">
        <v>4.6070000000000002</v>
      </c>
      <c r="M2581">
        <v>4.5380000000000003</v>
      </c>
      <c r="N2581">
        <v>4.5380000000000003</v>
      </c>
      <c r="O2581" t="s">
        <v>101</v>
      </c>
      <c r="P2581" t="s">
        <v>2454</v>
      </c>
      <c r="Q2581" t="s">
        <v>2581</v>
      </c>
      <c r="R2581" t="s">
        <v>2436</v>
      </c>
    </row>
    <row r="2582" spans="1:18" x14ac:dyDescent="0.5">
      <c r="A2582" t="str">
        <f>"48125LRU8"</f>
        <v>48125LRU8</v>
      </c>
      <c r="B2582" t="s">
        <v>101</v>
      </c>
      <c r="C2582" t="s">
        <v>3261</v>
      </c>
      <c r="D2582" t="s">
        <v>2433</v>
      </c>
      <c r="E2582">
        <v>5.1100000000000003</v>
      </c>
      <c r="F2582" s="2">
        <v>46364</v>
      </c>
      <c r="G2582" s="2">
        <v>46334</v>
      </c>
      <c r="H2582" t="s">
        <v>613</v>
      </c>
      <c r="I2582" t="s">
        <v>616</v>
      </c>
      <c r="J2582">
        <v>101.187</v>
      </c>
      <c r="K2582">
        <v>101.282</v>
      </c>
      <c r="L2582">
        <v>4.3570000000000002</v>
      </c>
      <c r="M2582">
        <v>4.2969999999999997</v>
      </c>
      <c r="N2582">
        <v>4.3330000000000002</v>
      </c>
      <c r="O2582" t="s">
        <v>101</v>
      </c>
      <c r="P2582" t="s">
        <v>2564</v>
      </c>
      <c r="Q2582" t="s">
        <v>2597</v>
      </c>
      <c r="R2582" t="s">
        <v>2436</v>
      </c>
    </row>
    <row r="2583" spans="1:18" x14ac:dyDescent="0.5">
      <c r="A2583" t="str">
        <f>"06368LC53"</f>
        <v>06368LC53</v>
      </c>
      <c r="B2583" t="s">
        <v>101</v>
      </c>
      <c r="C2583" t="s">
        <v>3262</v>
      </c>
      <c r="D2583" t="s">
        <v>2433</v>
      </c>
      <c r="E2583">
        <v>5.266</v>
      </c>
      <c r="F2583" s="2">
        <v>46367</v>
      </c>
      <c r="G2583" s="2" t="s">
        <v>101</v>
      </c>
      <c r="H2583" t="s">
        <v>610</v>
      </c>
      <c r="I2583" t="s">
        <v>713</v>
      </c>
      <c r="J2583">
        <v>101.149</v>
      </c>
      <c r="K2583">
        <v>101.262</v>
      </c>
      <c r="L2583">
        <v>4.57</v>
      </c>
      <c r="M2583">
        <v>4.5019999999999998</v>
      </c>
      <c r="N2583">
        <v>4.5019999999999998</v>
      </c>
      <c r="O2583" t="s">
        <v>101</v>
      </c>
      <c r="P2583" t="s">
        <v>1702</v>
      </c>
      <c r="Q2583" t="s">
        <v>2581</v>
      </c>
      <c r="R2583" t="s">
        <v>2436</v>
      </c>
    </row>
    <row r="2584" spans="1:18" x14ac:dyDescent="0.5">
      <c r="A2584" t="str">
        <f>"89115A2V3"</f>
        <v>89115A2V3</v>
      </c>
      <c r="B2584" t="s">
        <v>101</v>
      </c>
      <c r="C2584" t="s">
        <v>3263</v>
      </c>
      <c r="D2584" t="s">
        <v>2433</v>
      </c>
      <c r="E2584">
        <v>5.2640000000000002</v>
      </c>
      <c r="F2584" s="2">
        <v>46367</v>
      </c>
      <c r="G2584" s="2" t="s">
        <v>101</v>
      </c>
      <c r="H2584" t="s">
        <v>610</v>
      </c>
      <c r="I2584" t="s">
        <v>713</v>
      </c>
      <c r="J2584">
        <v>101.19499999999999</v>
      </c>
      <c r="K2584">
        <v>101.324</v>
      </c>
      <c r="L2584">
        <v>4.54</v>
      </c>
      <c r="M2584">
        <v>4.4640000000000004</v>
      </c>
      <c r="N2584">
        <v>4.4640000000000004</v>
      </c>
      <c r="O2584" t="s">
        <v>101</v>
      </c>
      <c r="P2584" t="s">
        <v>2454</v>
      </c>
      <c r="Q2584" t="s">
        <v>2581</v>
      </c>
      <c r="R2584" t="s">
        <v>2436</v>
      </c>
    </row>
    <row r="2585" spans="1:18" x14ac:dyDescent="0.5">
      <c r="A2585" t="str">
        <f>"94988J6F9"</f>
        <v>94988J6F9</v>
      </c>
      <c r="B2585" t="s">
        <v>101</v>
      </c>
      <c r="C2585" t="s">
        <v>3264</v>
      </c>
      <c r="D2585" t="s">
        <v>2433</v>
      </c>
      <c r="E2585">
        <v>5.2539999999999996</v>
      </c>
      <c r="F2585" s="2">
        <v>46367</v>
      </c>
      <c r="G2585" s="2">
        <v>46337</v>
      </c>
      <c r="H2585" t="s">
        <v>613</v>
      </c>
      <c r="I2585" t="s">
        <v>658</v>
      </c>
      <c r="J2585">
        <v>101.40300000000001</v>
      </c>
      <c r="K2585">
        <v>101.41800000000001</v>
      </c>
      <c r="L2585">
        <v>4.3680000000000003</v>
      </c>
      <c r="M2585">
        <v>4.359</v>
      </c>
      <c r="N2585">
        <v>4.3979999999999997</v>
      </c>
      <c r="O2585" t="s">
        <v>101</v>
      </c>
      <c r="P2585" t="s">
        <v>2564</v>
      </c>
      <c r="Q2585" t="s">
        <v>2564</v>
      </c>
      <c r="R2585" t="s">
        <v>2436</v>
      </c>
    </row>
    <row r="2586" spans="1:18" x14ac:dyDescent="0.5">
      <c r="A2586" t="str">
        <f>"03939CAA1"</f>
        <v>03939CAA1</v>
      </c>
      <c r="B2586" t="s">
        <v>101</v>
      </c>
      <c r="C2586" t="s">
        <v>3265</v>
      </c>
      <c r="D2586" t="s">
        <v>2433</v>
      </c>
      <c r="E2586">
        <v>4.0110000000000001</v>
      </c>
      <c r="F2586" s="2">
        <v>46371</v>
      </c>
      <c r="G2586" s="2">
        <v>46280</v>
      </c>
      <c r="H2586" t="s">
        <v>627</v>
      </c>
      <c r="I2586" t="s">
        <v>713</v>
      </c>
      <c r="J2586">
        <v>99.125</v>
      </c>
      <c r="K2586">
        <v>99.224999999999994</v>
      </c>
      <c r="L2586">
        <v>4.5309999999999997</v>
      </c>
      <c r="M2586">
        <v>4.4710000000000001</v>
      </c>
      <c r="N2586">
        <v>4.4710000000000001</v>
      </c>
      <c r="O2586" t="s">
        <v>101</v>
      </c>
      <c r="P2586" t="s">
        <v>2447</v>
      </c>
      <c r="Q2586" t="s">
        <v>2555</v>
      </c>
      <c r="R2586" t="s">
        <v>2436</v>
      </c>
    </row>
    <row r="2587" spans="1:18" x14ac:dyDescent="0.5">
      <c r="A2587" t="str">
        <f>"46625HJZ4"</f>
        <v>46625HJZ4</v>
      </c>
      <c r="B2587" t="s">
        <v>101</v>
      </c>
      <c r="C2587" t="s">
        <v>3266</v>
      </c>
      <c r="D2587" t="s">
        <v>2433</v>
      </c>
      <c r="E2587">
        <v>4.125</v>
      </c>
      <c r="F2587" s="2">
        <v>46371</v>
      </c>
      <c r="G2587" s="2" t="s">
        <v>105</v>
      </c>
      <c r="H2587" t="s">
        <v>627</v>
      </c>
      <c r="I2587" t="s">
        <v>713</v>
      </c>
      <c r="J2587">
        <v>99.313000000000002</v>
      </c>
      <c r="K2587">
        <v>99.414000000000001</v>
      </c>
      <c r="L2587">
        <v>4.532</v>
      </c>
      <c r="M2587">
        <v>4.4720000000000004</v>
      </c>
      <c r="N2587">
        <v>4.4720000000000004</v>
      </c>
      <c r="O2587" t="s">
        <v>101</v>
      </c>
      <c r="P2587" t="s">
        <v>2776</v>
      </c>
      <c r="Q2587" t="s">
        <v>2581</v>
      </c>
      <c r="R2587" t="s">
        <v>2465</v>
      </c>
    </row>
    <row r="2588" spans="1:18" x14ac:dyDescent="0.5">
      <c r="A2588" t="str">
        <f>"717081EA7"</f>
        <v>717081EA7</v>
      </c>
      <c r="B2588" t="s">
        <v>101</v>
      </c>
      <c r="C2588" t="s">
        <v>3267</v>
      </c>
      <c r="D2588" t="s">
        <v>2433</v>
      </c>
      <c r="E2588">
        <v>3</v>
      </c>
      <c r="F2588" s="2">
        <v>46371</v>
      </c>
      <c r="G2588" s="2" t="s">
        <v>101</v>
      </c>
      <c r="H2588" t="s">
        <v>610</v>
      </c>
      <c r="I2588" t="s">
        <v>611</v>
      </c>
      <c r="J2588">
        <v>97.706000000000003</v>
      </c>
      <c r="K2588">
        <v>97.787999999999997</v>
      </c>
      <c r="L2588">
        <v>4.367</v>
      </c>
      <c r="M2588">
        <v>4.3179999999999996</v>
      </c>
      <c r="N2588">
        <v>4.3179999999999996</v>
      </c>
      <c r="O2588" t="s">
        <v>101</v>
      </c>
      <c r="P2588" t="s">
        <v>2454</v>
      </c>
      <c r="Q2588" t="s">
        <v>1236</v>
      </c>
      <c r="R2588" t="s">
        <v>2436</v>
      </c>
    </row>
    <row r="2589" spans="1:18" x14ac:dyDescent="0.5">
      <c r="A2589" t="str">
        <f>"89115A3A8"</f>
        <v>89115A3A8</v>
      </c>
      <c r="B2589" t="s">
        <v>101</v>
      </c>
      <c r="C2589" t="s">
        <v>3268</v>
      </c>
      <c r="D2589" t="s">
        <v>2433</v>
      </c>
      <c r="E2589">
        <v>4.5679999999999996</v>
      </c>
      <c r="F2589" s="2">
        <v>46373</v>
      </c>
      <c r="G2589" s="2" t="s">
        <v>101</v>
      </c>
      <c r="H2589" t="s">
        <v>610</v>
      </c>
      <c r="I2589" t="s">
        <v>713</v>
      </c>
      <c r="J2589">
        <v>100.003</v>
      </c>
      <c r="K2589">
        <v>100.13500000000001</v>
      </c>
      <c r="L2589">
        <v>4.5620000000000003</v>
      </c>
      <c r="M2589">
        <v>4.484</v>
      </c>
      <c r="N2589">
        <v>4.484</v>
      </c>
      <c r="O2589" t="s">
        <v>101</v>
      </c>
      <c r="P2589" t="s">
        <v>1702</v>
      </c>
      <c r="Q2589" t="s">
        <v>2581</v>
      </c>
      <c r="R2589" t="s">
        <v>2436</v>
      </c>
    </row>
    <row r="2590" spans="1:18" x14ac:dyDescent="0.5">
      <c r="A2590" t="str">
        <f>"06747PXX2"</f>
        <v>06747PXX2</v>
      </c>
      <c r="B2590" t="s">
        <v>101</v>
      </c>
      <c r="C2590" t="s">
        <v>3269</v>
      </c>
      <c r="D2590" t="s">
        <v>2433</v>
      </c>
      <c r="E2590">
        <v>2</v>
      </c>
      <c r="F2590" s="2">
        <v>46378</v>
      </c>
      <c r="G2590" s="2">
        <v>45830</v>
      </c>
      <c r="H2590" t="s">
        <v>641</v>
      </c>
      <c r="I2590" t="s">
        <v>658</v>
      </c>
      <c r="J2590">
        <v>94.284000000000006</v>
      </c>
      <c r="K2590">
        <v>95.861000000000004</v>
      </c>
      <c r="L2590">
        <v>5.4139999999999997</v>
      </c>
      <c r="M2590">
        <v>4.4459999999999997</v>
      </c>
      <c r="N2590">
        <v>4.4459999999999997</v>
      </c>
      <c r="O2590" t="s">
        <v>101</v>
      </c>
      <c r="P2590" t="s">
        <v>2527</v>
      </c>
      <c r="Q2590" t="s">
        <v>3270</v>
      </c>
      <c r="R2590" t="s">
        <v>2436</v>
      </c>
    </row>
    <row r="2591" spans="1:18" x14ac:dyDescent="0.5">
      <c r="A2591" t="str">
        <f>"14913UAV2"</f>
        <v>14913UAV2</v>
      </c>
      <c r="B2591" t="s">
        <v>101</v>
      </c>
      <c r="C2591" t="s">
        <v>3271</v>
      </c>
      <c r="D2591" t="s">
        <v>2433</v>
      </c>
      <c r="E2591">
        <v>4.5</v>
      </c>
      <c r="F2591" s="2">
        <v>46394</v>
      </c>
      <c r="G2591" s="2" t="s">
        <v>101</v>
      </c>
      <c r="H2591" t="s">
        <v>610</v>
      </c>
      <c r="I2591" t="s">
        <v>611</v>
      </c>
      <c r="J2591">
        <v>100.38800000000001</v>
      </c>
      <c r="K2591">
        <v>100.536</v>
      </c>
      <c r="L2591">
        <v>4.2729999999999997</v>
      </c>
      <c r="M2591">
        <v>4.1879999999999997</v>
      </c>
      <c r="N2591">
        <v>4.1879999999999997</v>
      </c>
      <c r="O2591" t="s">
        <v>101</v>
      </c>
      <c r="P2591" t="s">
        <v>1391</v>
      </c>
      <c r="Q2591" t="s">
        <v>2507</v>
      </c>
      <c r="R2591" t="s">
        <v>2436</v>
      </c>
    </row>
    <row r="2592" spans="1:18" x14ac:dyDescent="0.5">
      <c r="A2592" t="str">
        <f>"02665WDJ7"</f>
        <v>02665WDJ7</v>
      </c>
      <c r="B2592" t="s">
        <v>101</v>
      </c>
      <c r="C2592" t="s">
        <v>3272</v>
      </c>
      <c r="D2592" t="s">
        <v>2433</v>
      </c>
      <c r="E2592">
        <v>2.35</v>
      </c>
      <c r="F2592" s="2">
        <v>46395</v>
      </c>
      <c r="G2592" s="2" t="s">
        <v>101</v>
      </c>
      <c r="H2592" t="s">
        <v>627</v>
      </c>
      <c r="I2592" t="s">
        <v>713</v>
      </c>
      <c r="J2592">
        <v>96.111999999999995</v>
      </c>
      <c r="K2592">
        <v>96.272999999999996</v>
      </c>
      <c r="L2592">
        <v>4.5970000000000004</v>
      </c>
      <c r="M2592">
        <v>4.5019999999999998</v>
      </c>
      <c r="N2592">
        <v>4.5019999999999998</v>
      </c>
      <c r="O2592" t="s">
        <v>101</v>
      </c>
      <c r="P2592" t="s">
        <v>2454</v>
      </c>
      <c r="Q2592" t="s">
        <v>2581</v>
      </c>
      <c r="R2592" t="s">
        <v>2436</v>
      </c>
    </row>
    <row r="2593" spans="1:18" x14ac:dyDescent="0.5">
      <c r="A2593" t="str">
        <f>"14913R2U0"</f>
        <v>14913R2U0</v>
      </c>
      <c r="B2593" t="s">
        <v>101</v>
      </c>
      <c r="C2593" t="s">
        <v>3273</v>
      </c>
      <c r="D2593" t="s">
        <v>2433</v>
      </c>
      <c r="E2593">
        <v>1.7</v>
      </c>
      <c r="F2593" s="2">
        <v>46395</v>
      </c>
      <c r="G2593" s="2" t="s">
        <v>101</v>
      </c>
      <c r="H2593" t="s">
        <v>610</v>
      </c>
      <c r="I2593" t="s">
        <v>611</v>
      </c>
      <c r="J2593">
        <v>95.387</v>
      </c>
      <c r="K2593">
        <v>95.539000000000001</v>
      </c>
      <c r="L2593">
        <v>4.3600000000000003</v>
      </c>
      <c r="M2593">
        <v>4.2690000000000001</v>
      </c>
      <c r="N2593">
        <v>4.2690000000000001</v>
      </c>
      <c r="O2593" t="s">
        <v>101</v>
      </c>
      <c r="P2593" t="s">
        <v>3206</v>
      </c>
      <c r="Q2593" t="s">
        <v>2507</v>
      </c>
      <c r="R2593" t="s">
        <v>2436</v>
      </c>
    </row>
    <row r="2594" spans="1:18" x14ac:dyDescent="0.5">
      <c r="A2594" t="str">
        <f>"14913UAE0"</f>
        <v>14913UAE0</v>
      </c>
      <c r="B2594" t="s">
        <v>101</v>
      </c>
      <c r="C2594" t="s">
        <v>3274</v>
      </c>
      <c r="D2594" t="s">
        <v>2433</v>
      </c>
      <c r="E2594">
        <v>4.5</v>
      </c>
      <c r="F2594" s="2">
        <v>46395</v>
      </c>
      <c r="G2594" s="2" t="s">
        <v>101</v>
      </c>
      <c r="H2594" t="s">
        <v>610</v>
      </c>
      <c r="I2594" t="s">
        <v>611</v>
      </c>
      <c r="J2594">
        <v>100.387</v>
      </c>
      <c r="K2594">
        <v>100.53700000000001</v>
      </c>
      <c r="L2594">
        <v>4.274</v>
      </c>
      <c r="M2594">
        <v>4.1879999999999997</v>
      </c>
      <c r="N2594">
        <v>4.1879999999999997</v>
      </c>
      <c r="O2594" t="s">
        <v>101</v>
      </c>
      <c r="P2594" t="s">
        <v>858</v>
      </c>
      <c r="Q2594" t="s">
        <v>2922</v>
      </c>
      <c r="R2594" t="s">
        <v>2436</v>
      </c>
    </row>
    <row r="2595" spans="1:18" x14ac:dyDescent="0.5">
      <c r="A2595" t="str">
        <f>"24422EXF1"</f>
        <v>24422EXF1</v>
      </c>
      <c r="B2595" t="s">
        <v>101</v>
      </c>
      <c r="C2595" t="s">
        <v>3275</v>
      </c>
      <c r="D2595" t="s">
        <v>2433</v>
      </c>
      <c r="E2595">
        <v>4.5</v>
      </c>
      <c r="F2595" s="2">
        <v>46395</v>
      </c>
      <c r="G2595" s="2" t="s">
        <v>105</v>
      </c>
      <c r="H2595" t="s">
        <v>641</v>
      </c>
      <c r="I2595" t="s">
        <v>611</v>
      </c>
      <c r="J2595">
        <v>100.26300000000001</v>
      </c>
      <c r="K2595">
        <v>100.38</v>
      </c>
      <c r="L2595">
        <v>4.3449999999999998</v>
      </c>
      <c r="M2595">
        <v>4.2779999999999996</v>
      </c>
      <c r="N2595">
        <v>4.2779999999999996</v>
      </c>
      <c r="O2595" t="s">
        <v>101</v>
      </c>
      <c r="P2595" t="s">
        <v>3276</v>
      </c>
      <c r="Q2595" t="s">
        <v>3075</v>
      </c>
      <c r="R2595" t="s">
        <v>2465</v>
      </c>
    </row>
    <row r="2596" spans="1:18" x14ac:dyDescent="0.5">
      <c r="A2596" t="str">
        <f>"24422EXY0"</f>
        <v>24422EXY0</v>
      </c>
      <c r="B2596" t="s">
        <v>101</v>
      </c>
      <c r="C2596" t="s">
        <v>3275</v>
      </c>
      <c r="D2596" t="s">
        <v>2433</v>
      </c>
      <c r="E2596">
        <v>4.5</v>
      </c>
      <c r="F2596" s="2">
        <v>46395</v>
      </c>
      <c r="G2596" s="2" t="s">
        <v>105</v>
      </c>
      <c r="H2596" t="s">
        <v>641</v>
      </c>
      <c r="I2596" t="s">
        <v>611</v>
      </c>
      <c r="J2596">
        <v>100.312</v>
      </c>
      <c r="K2596">
        <v>100.495</v>
      </c>
      <c r="L2596">
        <v>4.3170000000000002</v>
      </c>
      <c r="M2596">
        <v>4.2119999999999997</v>
      </c>
      <c r="N2596">
        <v>4.2119999999999997</v>
      </c>
      <c r="O2596" t="s">
        <v>101</v>
      </c>
      <c r="P2596" t="s">
        <v>2507</v>
      </c>
      <c r="Q2596" t="s">
        <v>2507</v>
      </c>
      <c r="R2596" t="s">
        <v>2465</v>
      </c>
    </row>
    <row r="2597" spans="1:18" x14ac:dyDescent="0.5">
      <c r="A2597" t="str">
        <f>"89236TMY8"</f>
        <v>89236TMY8</v>
      </c>
      <c r="B2597" t="s">
        <v>101</v>
      </c>
      <c r="C2597" t="s">
        <v>3277</v>
      </c>
      <c r="D2597" t="s">
        <v>2433</v>
      </c>
      <c r="E2597">
        <v>4.5999999999999996</v>
      </c>
      <c r="F2597" s="2">
        <v>46395</v>
      </c>
      <c r="G2597" s="2" t="s">
        <v>105</v>
      </c>
      <c r="H2597" t="s">
        <v>641</v>
      </c>
      <c r="I2597" t="s">
        <v>658</v>
      </c>
      <c r="J2597">
        <v>100.471</v>
      </c>
      <c r="K2597">
        <v>100.718</v>
      </c>
      <c r="L2597">
        <v>4.3250000000000002</v>
      </c>
      <c r="M2597">
        <v>4.1840000000000002</v>
      </c>
      <c r="N2597">
        <v>4.1840000000000002</v>
      </c>
      <c r="O2597" t="s">
        <v>101</v>
      </c>
      <c r="P2597" t="s">
        <v>2472</v>
      </c>
      <c r="Q2597" t="s">
        <v>3278</v>
      </c>
      <c r="R2597" t="s">
        <v>2465</v>
      </c>
    </row>
    <row r="2598" spans="1:18" x14ac:dyDescent="0.5">
      <c r="A2598" t="str">
        <f>"29379VCE1"</f>
        <v>29379VCE1</v>
      </c>
      <c r="B2598" t="s">
        <v>101</v>
      </c>
      <c r="C2598" t="s">
        <v>3279</v>
      </c>
      <c r="D2598" t="s">
        <v>2433</v>
      </c>
      <c r="E2598">
        <v>4.5999999999999996</v>
      </c>
      <c r="F2598" s="2">
        <v>46398</v>
      </c>
      <c r="G2598" s="2">
        <v>46367</v>
      </c>
      <c r="H2598" t="s">
        <v>627</v>
      </c>
      <c r="I2598" t="s">
        <v>713</v>
      </c>
      <c r="J2598">
        <v>100.30200000000001</v>
      </c>
      <c r="K2598">
        <v>100.351</v>
      </c>
      <c r="L2598">
        <v>4.4169999999999998</v>
      </c>
      <c r="M2598">
        <v>4.3879999999999999</v>
      </c>
      <c r="N2598">
        <v>4.3949999999999996</v>
      </c>
      <c r="O2598" t="s">
        <v>101</v>
      </c>
      <c r="P2598" t="s">
        <v>3280</v>
      </c>
      <c r="Q2598" t="s">
        <v>2506</v>
      </c>
      <c r="R2598" t="s">
        <v>2436</v>
      </c>
    </row>
    <row r="2599" spans="1:18" x14ac:dyDescent="0.5">
      <c r="A2599" t="str">
        <f>"24422EWA3"</f>
        <v>24422EWA3</v>
      </c>
      <c r="B2599" t="s">
        <v>101</v>
      </c>
      <c r="C2599" t="s">
        <v>3281</v>
      </c>
      <c r="D2599" t="s">
        <v>2433</v>
      </c>
      <c r="E2599">
        <v>1.7</v>
      </c>
      <c r="F2599" s="2">
        <v>46398</v>
      </c>
      <c r="G2599" s="2" t="s">
        <v>105</v>
      </c>
      <c r="H2599" t="s">
        <v>641</v>
      </c>
      <c r="I2599" t="s">
        <v>611</v>
      </c>
      <c r="J2599">
        <v>95.358999999999995</v>
      </c>
      <c r="K2599">
        <v>95.498000000000005</v>
      </c>
      <c r="L2599">
        <v>4.3600000000000003</v>
      </c>
      <c r="M2599">
        <v>4.282</v>
      </c>
      <c r="N2599">
        <v>4.282</v>
      </c>
      <c r="O2599" t="s">
        <v>101</v>
      </c>
      <c r="P2599" t="s">
        <v>3282</v>
      </c>
      <c r="Q2599" t="s">
        <v>3075</v>
      </c>
      <c r="R2599" t="s">
        <v>2465</v>
      </c>
    </row>
    <row r="2600" spans="1:18" x14ac:dyDescent="0.5">
      <c r="A2600" t="str">
        <f>"86562MAN0"</f>
        <v>86562MAN0</v>
      </c>
      <c r="B2600" t="s">
        <v>101</v>
      </c>
      <c r="C2600" t="s">
        <v>3283</v>
      </c>
      <c r="D2600" t="s">
        <v>2433</v>
      </c>
      <c r="E2600">
        <v>3.4460000000000002</v>
      </c>
      <c r="F2600" s="2">
        <v>46398</v>
      </c>
      <c r="G2600" s="2" t="s">
        <v>101</v>
      </c>
      <c r="H2600" t="s">
        <v>641</v>
      </c>
      <c r="I2600" t="s">
        <v>713</v>
      </c>
      <c r="J2600">
        <v>98.153000000000006</v>
      </c>
      <c r="K2600">
        <v>98.367000000000004</v>
      </c>
      <c r="L2600">
        <v>4.5060000000000002</v>
      </c>
      <c r="M2600">
        <v>4.3819999999999997</v>
      </c>
      <c r="N2600">
        <v>4.3819999999999997</v>
      </c>
      <c r="O2600" t="s">
        <v>101</v>
      </c>
      <c r="P2600" t="s">
        <v>3284</v>
      </c>
      <c r="Q2600" t="s">
        <v>2731</v>
      </c>
      <c r="R2600" t="s">
        <v>2436</v>
      </c>
    </row>
    <row r="2601" spans="1:18" x14ac:dyDescent="0.5">
      <c r="A2601" t="str">
        <f>"89236TDR3"</f>
        <v>89236TDR3</v>
      </c>
      <c r="B2601" t="s">
        <v>101</v>
      </c>
      <c r="C2601" t="s">
        <v>3285</v>
      </c>
      <c r="D2601" t="s">
        <v>2433</v>
      </c>
      <c r="E2601">
        <v>3.2</v>
      </c>
      <c r="F2601" s="2">
        <v>46398</v>
      </c>
      <c r="G2601" s="2" t="s">
        <v>101</v>
      </c>
      <c r="H2601" t="s">
        <v>641</v>
      </c>
      <c r="I2601" t="s">
        <v>658</v>
      </c>
      <c r="J2601">
        <v>97.944999999999993</v>
      </c>
      <c r="K2601">
        <v>98.096000000000004</v>
      </c>
      <c r="L2601">
        <v>4.3780000000000001</v>
      </c>
      <c r="M2601">
        <v>4.29</v>
      </c>
      <c r="N2601">
        <v>4.29</v>
      </c>
      <c r="O2601" t="s">
        <v>101</v>
      </c>
      <c r="P2601" t="s">
        <v>2595</v>
      </c>
      <c r="Q2601" t="s">
        <v>2581</v>
      </c>
      <c r="R2601" t="s">
        <v>2436</v>
      </c>
    </row>
    <row r="2602" spans="1:18" x14ac:dyDescent="0.5">
      <c r="A2602" t="str">
        <f>"12503MAA6"</f>
        <v>12503MAA6</v>
      </c>
      <c r="B2602" t="s">
        <v>101</v>
      </c>
      <c r="C2602" t="s">
        <v>3286</v>
      </c>
      <c r="D2602" t="s">
        <v>2433</v>
      </c>
      <c r="E2602">
        <v>3.65</v>
      </c>
      <c r="F2602" s="2">
        <v>46399</v>
      </c>
      <c r="G2602" s="2">
        <v>46307</v>
      </c>
      <c r="H2602" t="s">
        <v>627</v>
      </c>
      <c r="I2602" t="s">
        <v>713</v>
      </c>
      <c r="J2602">
        <v>98.628</v>
      </c>
      <c r="K2602">
        <v>98.778000000000006</v>
      </c>
      <c r="L2602">
        <v>4.43</v>
      </c>
      <c r="M2602">
        <v>4.3479999999999999</v>
      </c>
      <c r="N2602">
        <v>4.3479999999999999</v>
      </c>
      <c r="O2602" t="s">
        <v>101</v>
      </c>
      <c r="P2602" t="s">
        <v>2454</v>
      </c>
      <c r="Q2602" t="s">
        <v>2776</v>
      </c>
      <c r="R2602" t="s">
        <v>2436</v>
      </c>
    </row>
    <row r="2603" spans="1:18" x14ac:dyDescent="0.5">
      <c r="A2603" t="str">
        <f>"89114TZN5"</f>
        <v>89114TZN5</v>
      </c>
      <c r="B2603" t="s">
        <v>101</v>
      </c>
      <c r="C2603" t="s">
        <v>3287</v>
      </c>
      <c r="D2603" t="s">
        <v>2433</v>
      </c>
      <c r="E2603">
        <v>1.95</v>
      </c>
      <c r="F2603" s="2">
        <v>46399</v>
      </c>
      <c r="G2603" s="2" t="s">
        <v>101</v>
      </c>
      <c r="H2603" t="s">
        <v>610</v>
      </c>
      <c r="I2603" t="s">
        <v>713</v>
      </c>
      <c r="J2603">
        <v>95.378</v>
      </c>
      <c r="K2603">
        <v>95.54</v>
      </c>
      <c r="L2603">
        <v>4.6070000000000002</v>
      </c>
      <c r="M2603">
        <v>4.5110000000000001</v>
      </c>
      <c r="N2603">
        <v>4.5110000000000001</v>
      </c>
      <c r="O2603" t="s">
        <v>101</v>
      </c>
      <c r="P2603" t="s">
        <v>1702</v>
      </c>
      <c r="Q2603" t="s">
        <v>2581</v>
      </c>
      <c r="R2603" t="s">
        <v>2436</v>
      </c>
    </row>
    <row r="2604" spans="1:18" x14ac:dyDescent="0.5">
      <c r="A2604" t="str">
        <f>"4581X0EB0"</f>
        <v>4581X0EB0</v>
      </c>
      <c r="B2604" t="s">
        <v>101</v>
      </c>
      <c r="C2604" t="s">
        <v>3288</v>
      </c>
      <c r="D2604" t="s">
        <v>2433</v>
      </c>
      <c r="E2604">
        <v>1.5</v>
      </c>
      <c r="F2604" s="2">
        <v>46400</v>
      </c>
      <c r="G2604" s="2" t="s">
        <v>105</v>
      </c>
      <c r="H2604" t="s">
        <v>104</v>
      </c>
      <c r="I2604" t="s">
        <v>104</v>
      </c>
      <c r="J2604">
        <v>95.027000000000001</v>
      </c>
      <c r="K2604">
        <v>95.495000000000005</v>
      </c>
      <c r="L2604">
        <v>4.3460000000000001</v>
      </c>
      <c r="M2604">
        <v>4.07</v>
      </c>
      <c r="N2604">
        <v>4.07</v>
      </c>
      <c r="O2604" t="s">
        <v>101</v>
      </c>
      <c r="P2604" t="s">
        <v>2618</v>
      </c>
      <c r="Q2604" t="s">
        <v>3289</v>
      </c>
      <c r="R2604" t="s">
        <v>2713</v>
      </c>
    </row>
    <row r="2605" spans="1:18" x14ac:dyDescent="0.5">
      <c r="A2605" t="str">
        <f>"89236TJV8"</f>
        <v>89236TJV8</v>
      </c>
      <c r="B2605" t="s">
        <v>101</v>
      </c>
      <c r="C2605" t="s">
        <v>3290</v>
      </c>
      <c r="D2605" t="s">
        <v>2433</v>
      </c>
      <c r="E2605">
        <v>1.9</v>
      </c>
      <c r="F2605" s="2">
        <v>46400</v>
      </c>
      <c r="G2605" s="2" t="s">
        <v>101</v>
      </c>
      <c r="H2605" t="s">
        <v>641</v>
      </c>
      <c r="I2605" t="s">
        <v>658</v>
      </c>
      <c r="J2605">
        <v>95.631</v>
      </c>
      <c r="K2605">
        <v>95.774000000000001</v>
      </c>
      <c r="L2605">
        <v>4.4020000000000001</v>
      </c>
      <c r="M2605">
        <v>4.3179999999999996</v>
      </c>
      <c r="N2605">
        <v>4.3179999999999996</v>
      </c>
      <c r="O2605" t="s">
        <v>101</v>
      </c>
      <c r="P2605" t="s">
        <v>2595</v>
      </c>
      <c r="Q2605" t="s">
        <v>2581</v>
      </c>
      <c r="R2605" t="s">
        <v>2436</v>
      </c>
    </row>
    <row r="2606" spans="1:18" x14ac:dyDescent="0.5">
      <c r="A2606" t="str">
        <f>"86562MCM0"</f>
        <v>86562MCM0</v>
      </c>
      <c r="B2606" t="s">
        <v>101</v>
      </c>
      <c r="C2606" t="s">
        <v>3291</v>
      </c>
      <c r="D2606" t="s">
        <v>2433</v>
      </c>
      <c r="E2606">
        <v>2.1739999999999999</v>
      </c>
      <c r="F2606" s="2">
        <v>46401</v>
      </c>
      <c r="G2606" s="2" t="s">
        <v>101</v>
      </c>
      <c r="H2606" t="s">
        <v>641</v>
      </c>
      <c r="I2606" t="s">
        <v>713</v>
      </c>
      <c r="J2606">
        <v>95.781000000000006</v>
      </c>
      <c r="K2606">
        <v>96.117000000000004</v>
      </c>
      <c r="L2606">
        <v>4.5910000000000002</v>
      </c>
      <c r="M2606">
        <v>4.3940000000000001</v>
      </c>
      <c r="N2606">
        <v>4.3940000000000001</v>
      </c>
      <c r="O2606" t="s">
        <v>101</v>
      </c>
      <c r="P2606" t="s">
        <v>542</v>
      </c>
      <c r="Q2606" t="s">
        <v>3292</v>
      </c>
      <c r="R2606" t="s">
        <v>2436</v>
      </c>
    </row>
    <row r="2607" spans="1:18" x14ac:dyDescent="0.5">
      <c r="A2607" t="str">
        <f>"20030NBW0"</f>
        <v>20030NBW0</v>
      </c>
      <c r="B2607" t="s">
        <v>101</v>
      </c>
      <c r="C2607" t="s">
        <v>3293</v>
      </c>
      <c r="D2607" t="s">
        <v>2433</v>
      </c>
      <c r="E2607">
        <v>2.35</v>
      </c>
      <c r="F2607" s="2">
        <v>46402</v>
      </c>
      <c r="G2607" s="2">
        <v>46310</v>
      </c>
      <c r="H2607" t="s">
        <v>627</v>
      </c>
      <c r="I2607" t="s">
        <v>713</v>
      </c>
      <c r="J2607">
        <v>96.332999999999998</v>
      </c>
      <c r="K2607">
        <v>96.45</v>
      </c>
      <c r="L2607">
        <v>4.444</v>
      </c>
      <c r="M2607">
        <v>4.3760000000000003</v>
      </c>
      <c r="N2607">
        <v>4.3760000000000003</v>
      </c>
      <c r="O2607" t="s">
        <v>101</v>
      </c>
      <c r="P2607" t="s">
        <v>1236</v>
      </c>
      <c r="Q2607" t="s">
        <v>2581</v>
      </c>
      <c r="R2607" t="s">
        <v>2436</v>
      </c>
    </row>
    <row r="2608" spans="1:18" x14ac:dyDescent="0.5">
      <c r="A2608" t="str">
        <f>"26444HAC5"</f>
        <v>26444HAC5</v>
      </c>
      <c r="B2608" t="s">
        <v>101</v>
      </c>
      <c r="C2608" t="s">
        <v>3294</v>
      </c>
      <c r="D2608" t="s">
        <v>2433</v>
      </c>
      <c r="E2608">
        <v>3.2</v>
      </c>
      <c r="F2608" s="2">
        <v>46402</v>
      </c>
      <c r="G2608" s="2">
        <v>46310</v>
      </c>
      <c r="H2608" t="s">
        <v>641</v>
      </c>
      <c r="I2608" t="s">
        <v>611</v>
      </c>
      <c r="J2608">
        <v>97.906000000000006</v>
      </c>
      <c r="K2608">
        <v>98.010999999999996</v>
      </c>
      <c r="L2608">
        <v>4.3940000000000001</v>
      </c>
      <c r="M2608">
        <v>4.3330000000000002</v>
      </c>
      <c r="N2608">
        <v>4.3330000000000002</v>
      </c>
      <c r="O2608" t="s">
        <v>101</v>
      </c>
      <c r="P2608" t="s">
        <v>1236</v>
      </c>
      <c r="Q2608" t="s">
        <v>2454</v>
      </c>
      <c r="R2608" t="s">
        <v>2436</v>
      </c>
    </row>
    <row r="2609" spans="1:18" x14ac:dyDescent="0.5">
      <c r="A2609" t="str">
        <f>"448814CT8"</f>
        <v>448814CT8</v>
      </c>
      <c r="B2609" t="s">
        <v>101</v>
      </c>
      <c r="C2609" t="s">
        <v>3295</v>
      </c>
      <c r="D2609" t="s">
        <v>2433</v>
      </c>
      <c r="E2609">
        <v>8.25</v>
      </c>
      <c r="F2609" s="2">
        <v>46402</v>
      </c>
      <c r="G2609" s="2" t="s">
        <v>105</v>
      </c>
      <c r="H2609" t="s">
        <v>613</v>
      </c>
      <c r="I2609" t="s">
        <v>616</v>
      </c>
      <c r="J2609">
        <v>106.127</v>
      </c>
      <c r="K2609">
        <v>107.334</v>
      </c>
      <c r="L2609">
        <v>4.7309999999999999</v>
      </c>
      <c r="M2609">
        <v>4.0709999999999997</v>
      </c>
      <c r="N2609">
        <v>4.0709999999999997</v>
      </c>
      <c r="O2609" t="s">
        <v>101</v>
      </c>
      <c r="P2609" t="s">
        <v>858</v>
      </c>
      <c r="Q2609" t="s">
        <v>3296</v>
      </c>
      <c r="R2609" t="s">
        <v>2465</v>
      </c>
    </row>
    <row r="2610" spans="1:18" x14ac:dyDescent="0.5">
      <c r="A2610" t="str">
        <f>"448814FH1"</f>
        <v>448814FH1</v>
      </c>
      <c r="B2610" t="s">
        <v>101</v>
      </c>
      <c r="C2610" t="s">
        <v>3297</v>
      </c>
      <c r="D2610" t="s">
        <v>2433</v>
      </c>
      <c r="E2610">
        <v>8.25</v>
      </c>
      <c r="F2610" s="2">
        <v>46402</v>
      </c>
      <c r="G2610" s="2" t="s">
        <v>105</v>
      </c>
      <c r="H2610" t="s">
        <v>613</v>
      </c>
      <c r="I2610" t="s">
        <v>616</v>
      </c>
      <c r="J2610">
        <v>106.04300000000001</v>
      </c>
      <c r="K2610">
        <v>107.29</v>
      </c>
      <c r="L2610">
        <v>4.7770000000000001</v>
      </c>
      <c r="M2610">
        <v>4.0949999999999998</v>
      </c>
      <c r="N2610">
        <v>4.0949999999999998</v>
      </c>
      <c r="O2610" t="s">
        <v>101</v>
      </c>
      <c r="P2610" t="s">
        <v>858</v>
      </c>
      <c r="Q2610" t="s">
        <v>3298</v>
      </c>
      <c r="R2610" t="s">
        <v>2465</v>
      </c>
    </row>
    <row r="2611" spans="1:18" x14ac:dyDescent="0.5">
      <c r="A2611" t="str">
        <f>"743315AR4"</f>
        <v>743315AR4</v>
      </c>
      <c r="B2611" t="s">
        <v>101</v>
      </c>
      <c r="C2611" t="s">
        <v>3299</v>
      </c>
      <c r="D2611" t="s">
        <v>2433</v>
      </c>
      <c r="E2611">
        <v>2.4500000000000002</v>
      </c>
      <c r="F2611" s="2">
        <v>46402</v>
      </c>
      <c r="G2611" s="2" t="s">
        <v>101</v>
      </c>
      <c r="H2611" t="s">
        <v>610</v>
      </c>
      <c r="I2611" t="s">
        <v>611</v>
      </c>
      <c r="J2611">
        <v>96.616</v>
      </c>
      <c r="K2611">
        <v>96.777000000000001</v>
      </c>
      <c r="L2611">
        <v>4.3810000000000002</v>
      </c>
      <c r="M2611">
        <v>4.2869999999999999</v>
      </c>
      <c r="N2611">
        <v>4.2869999999999999</v>
      </c>
      <c r="O2611" t="s">
        <v>101</v>
      </c>
      <c r="P2611" t="s">
        <v>2447</v>
      </c>
      <c r="Q2611" t="s">
        <v>3300</v>
      </c>
      <c r="R2611" t="s">
        <v>2436</v>
      </c>
    </row>
    <row r="2612" spans="1:18" x14ac:dyDescent="0.5">
      <c r="A2612" t="str">
        <f>"756109AS3"</f>
        <v>756109AS3</v>
      </c>
      <c r="B2612" t="s">
        <v>101</v>
      </c>
      <c r="C2612" t="s">
        <v>3301</v>
      </c>
      <c r="D2612" t="s">
        <v>2433</v>
      </c>
      <c r="E2612">
        <v>3</v>
      </c>
      <c r="F2612" s="2">
        <v>46402</v>
      </c>
      <c r="G2612" s="2">
        <v>46310</v>
      </c>
      <c r="H2612" t="s">
        <v>627</v>
      </c>
      <c r="I2612" t="s">
        <v>713</v>
      </c>
      <c r="J2612">
        <v>97.242999999999995</v>
      </c>
      <c r="K2612">
        <v>97.325999999999993</v>
      </c>
      <c r="L2612">
        <v>4.5759999999999996</v>
      </c>
      <c r="M2612">
        <v>4.5279999999999996</v>
      </c>
      <c r="N2612">
        <v>4.5279999999999996</v>
      </c>
      <c r="O2612" t="s">
        <v>101</v>
      </c>
      <c r="P2612" t="s">
        <v>1702</v>
      </c>
      <c r="Q2612" t="s">
        <v>2581</v>
      </c>
      <c r="R2612" t="s">
        <v>2436</v>
      </c>
    </row>
    <row r="2613" spans="1:18" x14ac:dyDescent="0.5">
      <c r="A2613" t="str">
        <f>"756109BZ6"</f>
        <v>756109BZ6</v>
      </c>
      <c r="B2613" t="s">
        <v>101</v>
      </c>
      <c r="C2613" t="s">
        <v>3302</v>
      </c>
      <c r="D2613" t="s">
        <v>2433</v>
      </c>
      <c r="E2613">
        <v>3.2</v>
      </c>
      <c r="F2613" s="2">
        <v>46402</v>
      </c>
      <c r="G2613" s="2">
        <v>46341</v>
      </c>
      <c r="H2613" t="s">
        <v>627</v>
      </c>
      <c r="I2613" t="s">
        <v>713</v>
      </c>
      <c r="J2613">
        <v>97.334000000000003</v>
      </c>
      <c r="K2613">
        <v>97.652000000000001</v>
      </c>
      <c r="L2613">
        <v>4.726</v>
      </c>
      <c r="M2613">
        <v>4.5410000000000004</v>
      </c>
      <c r="N2613">
        <v>4.5410000000000004</v>
      </c>
      <c r="O2613" t="s">
        <v>101</v>
      </c>
      <c r="P2613" t="s">
        <v>2581</v>
      </c>
      <c r="Q2613" t="s">
        <v>2454</v>
      </c>
      <c r="R2613" t="s">
        <v>2436</v>
      </c>
    </row>
    <row r="2614" spans="1:18" x14ac:dyDescent="0.5">
      <c r="A2614" t="str">
        <f>"828807DP9"</f>
        <v>828807DP9</v>
      </c>
      <c r="B2614" t="s">
        <v>101</v>
      </c>
      <c r="C2614" t="s">
        <v>3303</v>
      </c>
      <c r="D2614" t="s">
        <v>2433</v>
      </c>
      <c r="E2614">
        <v>1.375</v>
      </c>
      <c r="F2614" s="2">
        <v>46402</v>
      </c>
      <c r="G2614" s="2">
        <v>46310</v>
      </c>
      <c r="H2614" t="s">
        <v>627</v>
      </c>
      <c r="I2614" t="s">
        <v>713</v>
      </c>
      <c r="J2614">
        <v>94.549000000000007</v>
      </c>
      <c r="K2614">
        <v>94.623000000000005</v>
      </c>
      <c r="L2614">
        <v>4.4909999999999997</v>
      </c>
      <c r="M2614">
        <v>4.4470000000000001</v>
      </c>
      <c r="N2614">
        <v>4.4470000000000001</v>
      </c>
      <c r="O2614" t="s">
        <v>101</v>
      </c>
      <c r="P2614" t="s">
        <v>2447</v>
      </c>
      <c r="Q2614" t="s">
        <v>3304</v>
      </c>
      <c r="R2614" t="s">
        <v>2436</v>
      </c>
    </row>
    <row r="2615" spans="1:18" x14ac:dyDescent="0.5">
      <c r="A2615" t="str">
        <f>"87612EBM7"</f>
        <v>87612EBM7</v>
      </c>
      <c r="B2615" t="s">
        <v>101</v>
      </c>
      <c r="C2615" t="s">
        <v>3305</v>
      </c>
      <c r="D2615" t="s">
        <v>2433</v>
      </c>
      <c r="E2615">
        <v>1.95</v>
      </c>
      <c r="F2615" s="2">
        <v>46402</v>
      </c>
      <c r="G2615" s="2">
        <v>46371</v>
      </c>
      <c r="H2615" t="s">
        <v>610</v>
      </c>
      <c r="I2615" t="s">
        <v>611</v>
      </c>
      <c r="J2615">
        <v>95.87</v>
      </c>
      <c r="K2615">
        <v>95.986999999999995</v>
      </c>
      <c r="L2615">
        <v>4.3049999999999997</v>
      </c>
      <c r="M2615">
        <v>4.2370000000000001</v>
      </c>
      <c r="N2615">
        <v>4.2370000000000001</v>
      </c>
      <c r="O2615" t="s">
        <v>101</v>
      </c>
      <c r="P2615" t="s">
        <v>1702</v>
      </c>
      <c r="Q2615" t="s">
        <v>3306</v>
      </c>
      <c r="R2615" t="s">
        <v>2436</v>
      </c>
    </row>
    <row r="2616" spans="1:18" x14ac:dyDescent="0.5">
      <c r="A2616" t="str">
        <f>"91324PCW0"</f>
        <v>91324PCW0</v>
      </c>
      <c r="B2616" t="s">
        <v>101</v>
      </c>
      <c r="C2616" t="s">
        <v>3307</v>
      </c>
      <c r="D2616" t="s">
        <v>2433</v>
      </c>
      <c r="E2616">
        <v>3.45</v>
      </c>
      <c r="F2616" s="2">
        <v>46402</v>
      </c>
      <c r="G2616" s="2" t="s">
        <v>101</v>
      </c>
      <c r="H2616" t="s">
        <v>610</v>
      </c>
      <c r="I2616" t="s">
        <v>658</v>
      </c>
      <c r="J2616">
        <v>98.384</v>
      </c>
      <c r="K2616">
        <v>98.504000000000005</v>
      </c>
      <c r="L2616">
        <v>4.3710000000000004</v>
      </c>
      <c r="M2616">
        <v>4.3010000000000002</v>
      </c>
      <c r="N2616">
        <v>4.3010000000000002</v>
      </c>
      <c r="O2616" t="s">
        <v>101</v>
      </c>
      <c r="P2616" t="s">
        <v>2438</v>
      </c>
      <c r="Q2616" t="s">
        <v>2581</v>
      </c>
      <c r="R2616" t="s">
        <v>2436</v>
      </c>
    </row>
    <row r="2617" spans="1:18" x14ac:dyDescent="0.5">
      <c r="A2617" t="str">
        <f>"10373QAV2"</f>
        <v>10373QAV2</v>
      </c>
      <c r="B2617" t="s">
        <v>101</v>
      </c>
      <c r="C2617" t="s">
        <v>3308</v>
      </c>
      <c r="D2617" t="s">
        <v>2433</v>
      </c>
      <c r="E2617">
        <v>3.0169999999999999</v>
      </c>
      <c r="F2617" s="2">
        <v>46403</v>
      </c>
      <c r="G2617" s="2">
        <v>46311</v>
      </c>
      <c r="H2617" t="s">
        <v>641</v>
      </c>
      <c r="I2617" t="s">
        <v>713</v>
      </c>
      <c r="J2617">
        <v>97.483999999999995</v>
      </c>
      <c r="K2617">
        <v>97.521000000000001</v>
      </c>
      <c r="L2617">
        <v>4.4509999999999996</v>
      </c>
      <c r="M2617">
        <v>4.4290000000000003</v>
      </c>
      <c r="N2617">
        <v>4.4290000000000003</v>
      </c>
      <c r="O2617" t="s">
        <v>101</v>
      </c>
      <c r="P2617" t="s">
        <v>2460</v>
      </c>
      <c r="Q2617" t="s">
        <v>858</v>
      </c>
      <c r="R2617" t="s">
        <v>2436</v>
      </c>
    </row>
    <row r="2618" spans="1:18" x14ac:dyDescent="0.5">
      <c r="A2618" t="str">
        <f>"78016HZT0"</f>
        <v>78016HZT0</v>
      </c>
      <c r="B2618" t="s">
        <v>101</v>
      </c>
      <c r="C2618" t="s">
        <v>3309</v>
      </c>
      <c r="D2618" t="s">
        <v>2433</v>
      </c>
      <c r="E2618">
        <v>4.875</v>
      </c>
      <c r="F2618" s="2">
        <v>46406</v>
      </c>
      <c r="G2618" s="2" t="s">
        <v>101</v>
      </c>
      <c r="H2618" t="s">
        <v>641</v>
      </c>
      <c r="I2618" t="s">
        <v>611</v>
      </c>
      <c r="J2618">
        <v>100.68600000000001</v>
      </c>
      <c r="K2618">
        <v>100.861</v>
      </c>
      <c r="L2618">
        <v>4.4820000000000002</v>
      </c>
      <c r="M2618">
        <v>4.383</v>
      </c>
      <c r="N2618">
        <v>4.383</v>
      </c>
      <c r="O2618" t="s">
        <v>101</v>
      </c>
      <c r="P2618" t="s">
        <v>485</v>
      </c>
      <c r="Q2618" t="s">
        <v>2454</v>
      </c>
      <c r="R2618" t="s">
        <v>2436</v>
      </c>
    </row>
    <row r="2619" spans="1:18" x14ac:dyDescent="0.5">
      <c r="A2619" t="str">
        <f>"61746BEF9"</f>
        <v>61746BEF9</v>
      </c>
      <c r="B2619" t="s">
        <v>101</v>
      </c>
      <c r="C2619" t="s">
        <v>3310</v>
      </c>
      <c r="D2619" t="s">
        <v>2433</v>
      </c>
      <c r="E2619">
        <v>3.625</v>
      </c>
      <c r="F2619" s="2">
        <v>46407</v>
      </c>
      <c r="G2619" s="2" t="s">
        <v>101</v>
      </c>
      <c r="H2619" t="s">
        <v>641</v>
      </c>
      <c r="I2619" t="s">
        <v>713</v>
      </c>
      <c r="J2619">
        <v>98.637</v>
      </c>
      <c r="K2619">
        <v>98.768000000000001</v>
      </c>
      <c r="L2619">
        <v>4.3959999999999999</v>
      </c>
      <c r="M2619">
        <v>4.3209999999999997</v>
      </c>
      <c r="N2619">
        <v>4.3209999999999997</v>
      </c>
      <c r="O2619" t="s">
        <v>101</v>
      </c>
      <c r="P2619" t="s">
        <v>2289</v>
      </c>
      <c r="Q2619" t="s">
        <v>2527</v>
      </c>
      <c r="R2619" t="s">
        <v>2436</v>
      </c>
    </row>
    <row r="2620" spans="1:18" x14ac:dyDescent="0.5">
      <c r="A2620" t="str">
        <f>"78016EYV3"</f>
        <v>78016EYV3</v>
      </c>
      <c r="B2620" t="s">
        <v>101</v>
      </c>
      <c r="C2620" t="s">
        <v>3311</v>
      </c>
      <c r="D2620" t="s">
        <v>2433</v>
      </c>
      <c r="E2620">
        <v>2.0499999999999998</v>
      </c>
      <c r="F2620" s="2">
        <v>46408</v>
      </c>
      <c r="G2620" s="2" t="s">
        <v>101</v>
      </c>
      <c r="H2620" t="s">
        <v>641</v>
      </c>
      <c r="I2620" t="s">
        <v>611</v>
      </c>
      <c r="J2620">
        <v>95.872</v>
      </c>
      <c r="K2620">
        <v>96.105999999999995</v>
      </c>
      <c r="L2620">
        <v>4.3860000000000001</v>
      </c>
      <c r="M2620">
        <v>4.25</v>
      </c>
      <c r="N2620">
        <v>4.25</v>
      </c>
      <c r="O2620" t="s">
        <v>101</v>
      </c>
      <c r="P2620" t="s">
        <v>1702</v>
      </c>
      <c r="Q2620" t="s">
        <v>3312</v>
      </c>
      <c r="R2620" t="s">
        <v>2436</v>
      </c>
    </row>
    <row r="2621" spans="1:18" x14ac:dyDescent="0.5">
      <c r="A2621" t="str">
        <f>"06406RBA4"</f>
        <v>06406RBA4</v>
      </c>
      <c r="B2621" t="s">
        <v>101</v>
      </c>
      <c r="C2621" t="s">
        <v>3313</v>
      </c>
      <c r="D2621" t="s">
        <v>2433</v>
      </c>
      <c r="E2621">
        <v>2.0499999999999998</v>
      </c>
      <c r="F2621" s="2">
        <v>46413</v>
      </c>
      <c r="G2621" s="2">
        <v>46380</v>
      </c>
      <c r="H2621" t="s">
        <v>624</v>
      </c>
      <c r="I2621" t="s">
        <v>611</v>
      </c>
      <c r="J2621">
        <v>95.99</v>
      </c>
      <c r="K2621">
        <v>96.132000000000005</v>
      </c>
      <c r="L2621">
        <v>4.3010000000000002</v>
      </c>
      <c r="M2621">
        <v>4.2190000000000003</v>
      </c>
      <c r="N2621">
        <v>4.2190000000000003</v>
      </c>
      <c r="O2621" t="s">
        <v>101</v>
      </c>
      <c r="P2621" t="s">
        <v>2507</v>
      </c>
      <c r="Q2621" t="s">
        <v>3075</v>
      </c>
      <c r="R2621" t="s">
        <v>2436</v>
      </c>
    </row>
    <row r="2622" spans="1:18" x14ac:dyDescent="0.5">
      <c r="A2622" t="str">
        <f>"459200JR3"</f>
        <v>459200JR3</v>
      </c>
      <c r="B2622" t="s">
        <v>101</v>
      </c>
      <c r="C2622" t="s">
        <v>3314</v>
      </c>
      <c r="D2622" t="s">
        <v>2433</v>
      </c>
      <c r="E2622">
        <v>3.3</v>
      </c>
      <c r="F2622" s="2">
        <v>46414</v>
      </c>
      <c r="G2622" s="2" t="s">
        <v>101</v>
      </c>
      <c r="H2622" t="s">
        <v>627</v>
      </c>
      <c r="I2622" t="s">
        <v>713</v>
      </c>
      <c r="J2622">
        <v>97.802999999999997</v>
      </c>
      <c r="K2622">
        <v>98.106999999999999</v>
      </c>
      <c r="L2622">
        <v>4.5339999999999998</v>
      </c>
      <c r="M2622">
        <v>4.3609999999999998</v>
      </c>
      <c r="N2622">
        <v>4.3609999999999998</v>
      </c>
      <c r="O2622" t="s">
        <v>101</v>
      </c>
      <c r="P2622" t="s">
        <v>3315</v>
      </c>
      <c r="Q2622" t="s">
        <v>2635</v>
      </c>
      <c r="R2622" t="s">
        <v>2436</v>
      </c>
    </row>
    <row r="2623" spans="1:18" x14ac:dyDescent="0.5">
      <c r="A2623" t="str">
        <f>"89114TNA6"</f>
        <v>89114TNA6</v>
      </c>
      <c r="B2623" t="s">
        <v>101</v>
      </c>
      <c r="C2623" t="s">
        <v>3316</v>
      </c>
      <c r="D2623" t="s">
        <v>2433</v>
      </c>
      <c r="E2623">
        <v>1.2</v>
      </c>
      <c r="F2623" s="2">
        <v>46417</v>
      </c>
      <c r="G2623" s="2">
        <v>45777</v>
      </c>
      <c r="H2623" t="s">
        <v>610</v>
      </c>
      <c r="I2623" t="s">
        <v>713</v>
      </c>
      <c r="J2623">
        <v>91.923000000000002</v>
      </c>
      <c r="K2623">
        <v>94.21</v>
      </c>
      <c r="L2623">
        <v>5.7560000000000002</v>
      </c>
      <c r="M2623">
        <v>4.4210000000000003</v>
      </c>
      <c r="N2623">
        <v>4.4210000000000003</v>
      </c>
      <c r="O2623" t="s">
        <v>101</v>
      </c>
      <c r="P2623" t="s">
        <v>1236</v>
      </c>
      <c r="Q2623" t="s">
        <v>591</v>
      </c>
      <c r="R2623" t="s">
        <v>2436</v>
      </c>
    </row>
    <row r="2624" spans="1:18" x14ac:dyDescent="0.5">
      <c r="A2624" t="str">
        <f>"168863DX3"</f>
        <v>168863DX3</v>
      </c>
      <c r="B2624" t="s">
        <v>101</v>
      </c>
      <c r="C2624" t="s">
        <v>3317</v>
      </c>
      <c r="D2624" t="s">
        <v>2433</v>
      </c>
      <c r="E2624">
        <v>2.75</v>
      </c>
      <c r="F2624" s="2">
        <v>46418</v>
      </c>
      <c r="G2624" s="2">
        <v>46387</v>
      </c>
      <c r="H2624" t="s">
        <v>610</v>
      </c>
      <c r="I2624" t="s">
        <v>611</v>
      </c>
      <c r="J2624">
        <v>96.27</v>
      </c>
      <c r="K2624">
        <v>96.713999999999999</v>
      </c>
      <c r="L2624">
        <v>4.8369999999999997</v>
      </c>
      <c r="M2624">
        <v>4.5830000000000002</v>
      </c>
      <c r="N2624">
        <v>4.59</v>
      </c>
      <c r="O2624" t="s">
        <v>101</v>
      </c>
      <c r="P2624" t="s">
        <v>228</v>
      </c>
      <c r="Q2624" t="s">
        <v>2688</v>
      </c>
      <c r="R2624" t="s">
        <v>2436</v>
      </c>
    </row>
    <row r="2625" spans="1:18" x14ac:dyDescent="0.5">
      <c r="A2625" t="str">
        <f>"00724PAC3"</f>
        <v>00724PAC3</v>
      </c>
      <c r="B2625" t="s">
        <v>101</v>
      </c>
      <c r="C2625" t="s">
        <v>3318</v>
      </c>
      <c r="D2625" t="s">
        <v>2433</v>
      </c>
      <c r="E2625">
        <v>2.15</v>
      </c>
      <c r="F2625" s="2">
        <v>46419</v>
      </c>
      <c r="G2625" s="2">
        <v>46357</v>
      </c>
      <c r="H2625" t="s">
        <v>641</v>
      </c>
      <c r="I2625" t="s">
        <v>658</v>
      </c>
      <c r="J2625">
        <v>96.241</v>
      </c>
      <c r="K2625">
        <v>96.376999999999995</v>
      </c>
      <c r="L2625">
        <v>4.2439999999999998</v>
      </c>
      <c r="M2625">
        <v>4.1660000000000004</v>
      </c>
      <c r="N2625">
        <v>4.1660000000000004</v>
      </c>
      <c r="O2625" t="s">
        <v>101</v>
      </c>
      <c r="P2625" t="s">
        <v>1236</v>
      </c>
      <c r="Q2625" t="s">
        <v>2454</v>
      </c>
      <c r="R2625" t="s">
        <v>2436</v>
      </c>
    </row>
    <row r="2626" spans="1:18" x14ac:dyDescent="0.5">
      <c r="A2626" t="str">
        <f>"15189XAR9"</f>
        <v>15189XAR9</v>
      </c>
      <c r="B2626" t="s">
        <v>101</v>
      </c>
      <c r="C2626" t="s">
        <v>3319</v>
      </c>
      <c r="D2626" t="s">
        <v>2433</v>
      </c>
      <c r="E2626">
        <v>3</v>
      </c>
      <c r="F2626" s="2">
        <v>46419</v>
      </c>
      <c r="G2626" s="2">
        <v>46327</v>
      </c>
      <c r="H2626" t="s">
        <v>610</v>
      </c>
      <c r="I2626" t="s">
        <v>611</v>
      </c>
      <c r="J2626">
        <v>97.393000000000001</v>
      </c>
      <c r="K2626">
        <v>97.64</v>
      </c>
      <c r="L2626">
        <v>4.4550000000000001</v>
      </c>
      <c r="M2626">
        <v>4.3150000000000004</v>
      </c>
      <c r="N2626">
        <v>4.3150000000000004</v>
      </c>
      <c r="O2626" t="s">
        <v>101</v>
      </c>
      <c r="P2626" t="s">
        <v>2434</v>
      </c>
      <c r="Q2626" t="s">
        <v>3148</v>
      </c>
      <c r="R2626" t="s">
        <v>2436</v>
      </c>
    </row>
    <row r="2627" spans="1:18" x14ac:dyDescent="0.5">
      <c r="A2627" t="str">
        <f>"20030NBY6"</f>
        <v>20030NBY6</v>
      </c>
      <c r="B2627" t="s">
        <v>101</v>
      </c>
      <c r="C2627" t="s">
        <v>3320</v>
      </c>
      <c r="D2627" t="s">
        <v>2433</v>
      </c>
      <c r="E2627">
        <v>3.3</v>
      </c>
      <c r="F2627" s="2">
        <v>46419</v>
      </c>
      <c r="G2627" s="2">
        <v>46327</v>
      </c>
      <c r="H2627" t="s">
        <v>627</v>
      </c>
      <c r="I2627" t="s">
        <v>713</v>
      </c>
      <c r="J2627">
        <v>98.031999999999996</v>
      </c>
      <c r="K2627">
        <v>98.165000000000006</v>
      </c>
      <c r="L2627">
        <v>4.3970000000000002</v>
      </c>
      <c r="M2627">
        <v>4.3220000000000001</v>
      </c>
      <c r="N2627">
        <v>4.3220000000000001</v>
      </c>
      <c r="O2627" t="s">
        <v>101</v>
      </c>
      <c r="P2627" t="s">
        <v>2552</v>
      </c>
      <c r="Q2627" t="s">
        <v>2472</v>
      </c>
      <c r="R2627" t="s">
        <v>2436</v>
      </c>
    </row>
    <row r="2628" spans="1:18" x14ac:dyDescent="0.5">
      <c r="A2628" t="str">
        <f>"278865BL3"</f>
        <v>278865BL3</v>
      </c>
      <c r="B2628" t="s">
        <v>101</v>
      </c>
      <c r="C2628" t="s">
        <v>3321</v>
      </c>
      <c r="D2628" t="s">
        <v>2433</v>
      </c>
      <c r="E2628">
        <v>1.65</v>
      </c>
      <c r="F2628" s="2">
        <v>46419</v>
      </c>
      <c r="G2628" s="2">
        <v>46388</v>
      </c>
      <c r="H2628" t="s">
        <v>627</v>
      </c>
      <c r="I2628" t="s">
        <v>713</v>
      </c>
      <c r="J2628">
        <v>95.150999999999996</v>
      </c>
      <c r="K2628">
        <v>95.304000000000002</v>
      </c>
      <c r="L2628">
        <v>4.3550000000000004</v>
      </c>
      <c r="M2628">
        <v>4.2670000000000003</v>
      </c>
      <c r="N2628">
        <v>4.2670000000000003</v>
      </c>
      <c r="O2628" t="s">
        <v>101</v>
      </c>
      <c r="P2628" t="s">
        <v>1236</v>
      </c>
      <c r="Q2628" t="s">
        <v>1236</v>
      </c>
      <c r="R2628" t="s">
        <v>2436</v>
      </c>
    </row>
    <row r="2629" spans="1:18" x14ac:dyDescent="0.5">
      <c r="A2629" t="str">
        <f>"742718FV6"</f>
        <v>742718FV6</v>
      </c>
      <c r="B2629" t="s">
        <v>101</v>
      </c>
      <c r="C2629" t="s">
        <v>3322</v>
      </c>
      <c r="D2629" t="s">
        <v>2433</v>
      </c>
      <c r="E2629">
        <v>1.9</v>
      </c>
      <c r="F2629" s="2">
        <v>46419</v>
      </c>
      <c r="G2629" s="2" t="s">
        <v>101</v>
      </c>
      <c r="H2629" t="s">
        <v>624</v>
      </c>
      <c r="I2629" t="s">
        <v>616</v>
      </c>
      <c r="J2629">
        <v>95.915999999999997</v>
      </c>
      <c r="K2629">
        <v>96.036000000000001</v>
      </c>
      <c r="L2629">
        <v>4.173</v>
      </c>
      <c r="M2629">
        <v>4.1050000000000004</v>
      </c>
      <c r="N2629">
        <v>4.1050000000000004</v>
      </c>
      <c r="O2629" t="s">
        <v>101</v>
      </c>
      <c r="P2629" t="s">
        <v>2438</v>
      </c>
      <c r="Q2629" t="s">
        <v>2454</v>
      </c>
      <c r="R2629" t="s">
        <v>2436</v>
      </c>
    </row>
    <row r="2630" spans="1:18" x14ac:dyDescent="0.5">
      <c r="A2630" t="str">
        <f>"75884RAV5"</f>
        <v>75884RAV5</v>
      </c>
      <c r="B2630" t="s">
        <v>101</v>
      </c>
      <c r="C2630" t="s">
        <v>3323</v>
      </c>
      <c r="D2630" t="s">
        <v>2433</v>
      </c>
      <c r="E2630">
        <v>3.6</v>
      </c>
      <c r="F2630" s="2">
        <v>46419</v>
      </c>
      <c r="G2630" s="2">
        <v>46327</v>
      </c>
      <c r="H2630" t="s">
        <v>627</v>
      </c>
      <c r="I2630" t="s">
        <v>713</v>
      </c>
      <c r="J2630">
        <v>98.025000000000006</v>
      </c>
      <c r="K2630">
        <v>98.177999999999997</v>
      </c>
      <c r="L2630">
        <v>4.7039999999999997</v>
      </c>
      <c r="M2630">
        <v>4.6180000000000003</v>
      </c>
      <c r="N2630">
        <v>4.6180000000000003</v>
      </c>
      <c r="O2630" t="s">
        <v>101</v>
      </c>
      <c r="P2630" t="s">
        <v>1999</v>
      </c>
      <c r="Q2630" t="s">
        <v>2581</v>
      </c>
      <c r="R2630" t="s">
        <v>2436</v>
      </c>
    </row>
    <row r="2631" spans="1:18" x14ac:dyDescent="0.5">
      <c r="A2631" t="str">
        <f>"842400JA2"</f>
        <v>842400JA2</v>
      </c>
      <c r="B2631" t="s">
        <v>101</v>
      </c>
      <c r="C2631" t="s">
        <v>3324</v>
      </c>
      <c r="D2631" t="s">
        <v>2433</v>
      </c>
      <c r="E2631">
        <v>4.875</v>
      </c>
      <c r="F2631" s="2">
        <v>46419</v>
      </c>
      <c r="G2631" s="2">
        <v>46388</v>
      </c>
      <c r="H2631" t="s">
        <v>610</v>
      </c>
      <c r="I2631" t="s">
        <v>713</v>
      </c>
      <c r="J2631">
        <v>100.14400000000001</v>
      </c>
      <c r="K2631">
        <v>100.301</v>
      </c>
      <c r="L2631">
        <v>4.79</v>
      </c>
      <c r="M2631">
        <v>4.6980000000000004</v>
      </c>
      <c r="N2631">
        <v>4.7039999999999997</v>
      </c>
      <c r="O2631" t="s">
        <v>101</v>
      </c>
      <c r="P2631" t="s">
        <v>1702</v>
      </c>
      <c r="Q2631" t="s">
        <v>2642</v>
      </c>
      <c r="R2631" t="s">
        <v>2436</v>
      </c>
    </row>
    <row r="2632" spans="1:18" x14ac:dyDescent="0.5">
      <c r="A2632" t="str">
        <f>"06417XAD3"</f>
        <v>06417XAD3</v>
      </c>
      <c r="B2632" t="s">
        <v>101</v>
      </c>
      <c r="C2632" t="s">
        <v>3325</v>
      </c>
      <c r="D2632" t="s">
        <v>2433</v>
      </c>
      <c r="E2632">
        <v>1.95</v>
      </c>
      <c r="F2632" s="2">
        <v>46420</v>
      </c>
      <c r="G2632" s="2" t="s">
        <v>101</v>
      </c>
      <c r="H2632" t="s">
        <v>610</v>
      </c>
      <c r="I2632" t="s">
        <v>713</v>
      </c>
      <c r="J2632">
        <v>95.603999999999999</v>
      </c>
      <c r="K2632">
        <v>95.802999999999997</v>
      </c>
      <c r="L2632">
        <v>4.4000000000000004</v>
      </c>
      <c r="M2632">
        <v>4.2859999999999996</v>
      </c>
      <c r="N2632">
        <v>4.2859999999999996</v>
      </c>
      <c r="O2632" t="s">
        <v>101</v>
      </c>
      <c r="P2632" t="s">
        <v>3241</v>
      </c>
      <c r="Q2632" t="s">
        <v>2747</v>
      </c>
      <c r="R2632" t="s">
        <v>2436</v>
      </c>
    </row>
    <row r="2633" spans="1:18" x14ac:dyDescent="0.5">
      <c r="A2633" t="str">
        <f>"69371RR65"</f>
        <v>69371RR65</v>
      </c>
      <c r="B2633" t="s">
        <v>101</v>
      </c>
      <c r="C2633" t="s">
        <v>3326</v>
      </c>
      <c r="D2633" t="s">
        <v>2433</v>
      </c>
      <c r="E2633">
        <v>2</v>
      </c>
      <c r="F2633" s="2">
        <v>46422</v>
      </c>
      <c r="G2633" s="2" t="s">
        <v>105</v>
      </c>
      <c r="H2633" t="s">
        <v>641</v>
      </c>
      <c r="I2633" t="s">
        <v>658</v>
      </c>
      <c r="J2633">
        <v>95.835999999999999</v>
      </c>
      <c r="K2633">
        <v>96.180999999999997</v>
      </c>
      <c r="L2633">
        <v>4.3120000000000003</v>
      </c>
      <c r="M2633">
        <v>4.1150000000000002</v>
      </c>
      <c r="N2633">
        <v>4.1150000000000002</v>
      </c>
      <c r="O2633" t="s">
        <v>101</v>
      </c>
      <c r="P2633" t="s">
        <v>858</v>
      </c>
      <c r="Q2633" t="s">
        <v>453</v>
      </c>
      <c r="R2633" t="s">
        <v>2465</v>
      </c>
    </row>
    <row r="2634" spans="1:18" x14ac:dyDescent="0.5">
      <c r="A2634" t="str">
        <f>"449276AB0"</f>
        <v>449276AB0</v>
      </c>
      <c r="B2634" t="s">
        <v>101</v>
      </c>
      <c r="C2634" t="s">
        <v>3327</v>
      </c>
      <c r="D2634" t="s">
        <v>2433</v>
      </c>
      <c r="E2634">
        <v>4.5999999999999996</v>
      </c>
      <c r="F2634" s="2">
        <v>46423</v>
      </c>
      <c r="G2634" s="2">
        <v>46392</v>
      </c>
      <c r="H2634" t="s">
        <v>627</v>
      </c>
      <c r="I2634" t="s">
        <v>713</v>
      </c>
      <c r="J2634">
        <v>100.223</v>
      </c>
      <c r="K2634">
        <v>100.5</v>
      </c>
      <c r="L2634">
        <v>4.47</v>
      </c>
      <c r="M2634">
        <v>4.3099999999999996</v>
      </c>
      <c r="N2634">
        <v>4.32</v>
      </c>
      <c r="O2634" t="s">
        <v>101</v>
      </c>
      <c r="P2634" t="s">
        <v>2635</v>
      </c>
      <c r="Q2634" t="s">
        <v>3328</v>
      </c>
      <c r="R2634" t="s">
        <v>2436</v>
      </c>
    </row>
    <row r="2635" spans="1:18" x14ac:dyDescent="0.5">
      <c r="A2635" t="str">
        <f>"63743HFM9"</f>
        <v>63743HFM9</v>
      </c>
      <c r="B2635" t="s">
        <v>101</v>
      </c>
      <c r="C2635" t="s">
        <v>3329</v>
      </c>
      <c r="D2635" t="s">
        <v>2433</v>
      </c>
      <c r="E2635">
        <v>4.8</v>
      </c>
      <c r="F2635" s="2">
        <v>46423</v>
      </c>
      <c r="G2635" s="2">
        <v>46392</v>
      </c>
      <c r="H2635" t="s">
        <v>610</v>
      </c>
      <c r="I2635" t="s">
        <v>713</v>
      </c>
      <c r="J2635">
        <v>100.53400000000001</v>
      </c>
      <c r="K2635">
        <v>100.76</v>
      </c>
      <c r="L2635">
        <v>4.49</v>
      </c>
      <c r="M2635">
        <v>4.359</v>
      </c>
      <c r="N2635">
        <v>4.3760000000000003</v>
      </c>
      <c r="O2635" t="s">
        <v>101</v>
      </c>
      <c r="P2635" t="s">
        <v>2289</v>
      </c>
      <c r="Q2635" t="s">
        <v>2454</v>
      </c>
      <c r="R2635" t="s">
        <v>2436</v>
      </c>
    </row>
    <row r="2636" spans="1:18" x14ac:dyDescent="0.5">
      <c r="A2636" t="str">
        <f>"907818FJ2"</f>
        <v>907818FJ2</v>
      </c>
      <c r="B2636" t="s">
        <v>101</v>
      </c>
      <c r="C2636" t="s">
        <v>3330</v>
      </c>
      <c r="D2636" t="s">
        <v>2433</v>
      </c>
      <c r="E2636">
        <v>2.15</v>
      </c>
      <c r="F2636" s="2">
        <v>46423</v>
      </c>
      <c r="G2636" s="2">
        <v>46361</v>
      </c>
      <c r="H2636" t="s">
        <v>627</v>
      </c>
      <c r="I2636" t="s">
        <v>713</v>
      </c>
      <c r="J2636">
        <v>95.984999999999999</v>
      </c>
      <c r="K2636">
        <v>96.165000000000006</v>
      </c>
      <c r="L2636">
        <v>4.3769999999999998</v>
      </c>
      <c r="M2636">
        <v>4.2750000000000004</v>
      </c>
      <c r="N2636">
        <v>4.2750000000000004</v>
      </c>
      <c r="O2636" t="s">
        <v>101</v>
      </c>
      <c r="P2636" t="s">
        <v>1236</v>
      </c>
      <c r="Q2636" t="s">
        <v>1236</v>
      </c>
      <c r="R2636" t="s">
        <v>2436</v>
      </c>
    </row>
    <row r="2637" spans="1:18" x14ac:dyDescent="0.5">
      <c r="A2637" t="str">
        <f>"594918BY9"</f>
        <v>594918BY9</v>
      </c>
      <c r="B2637" t="s">
        <v>101</v>
      </c>
      <c r="C2637" t="s">
        <v>3331</v>
      </c>
      <c r="D2637" t="s">
        <v>2433</v>
      </c>
      <c r="E2637">
        <v>3.3</v>
      </c>
      <c r="F2637" s="2">
        <v>46424</v>
      </c>
      <c r="G2637" s="2">
        <v>46332</v>
      </c>
      <c r="H2637" t="s">
        <v>104</v>
      </c>
      <c r="I2637" t="s">
        <v>104</v>
      </c>
      <c r="J2637">
        <v>98.438000000000002</v>
      </c>
      <c r="K2637">
        <v>98.572000000000003</v>
      </c>
      <c r="L2637">
        <v>4.1619999999999999</v>
      </c>
      <c r="M2637">
        <v>4.08</v>
      </c>
      <c r="N2637">
        <v>4.0869999999999997</v>
      </c>
      <c r="O2637" t="s">
        <v>101</v>
      </c>
      <c r="P2637" t="s">
        <v>1236</v>
      </c>
      <c r="Q2637" t="s">
        <v>2454</v>
      </c>
      <c r="R2637" t="s">
        <v>2436</v>
      </c>
    </row>
    <row r="2638" spans="1:18" x14ac:dyDescent="0.5">
      <c r="A2638" t="str">
        <f>"713448GD4"</f>
        <v>713448GD4</v>
      </c>
      <c r="B2638" t="s">
        <v>101</v>
      </c>
      <c r="C2638" t="s">
        <v>3332</v>
      </c>
      <c r="D2638" t="s">
        <v>2433</v>
      </c>
      <c r="E2638">
        <v>4.4000000000000004</v>
      </c>
      <c r="F2638" s="2">
        <v>46425</v>
      </c>
      <c r="G2638" s="2" t="s">
        <v>101</v>
      </c>
      <c r="H2638" t="s">
        <v>641</v>
      </c>
      <c r="I2638" t="s">
        <v>658</v>
      </c>
      <c r="J2638">
        <v>100.26600000000001</v>
      </c>
      <c r="K2638">
        <v>100.44199999999999</v>
      </c>
      <c r="L2638">
        <v>4.2510000000000003</v>
      </c>
      <c r="M2638">
        <v>4.1539999999999999</v>
      </c>
      <c r="N2638">
        <v>4.1539999999999999</v>
      </c>
      <c r="O2638" t="s">
        <v>101</v>
      </c>
      <c r="P2638" t="s">
        <v>2472</v>
      </c>
      <c r="Q2638" t="s">
        <v>2454</v>
      </c>
      <c r="R2638" t="s">
        <v>2436</v>
      </c>
    </row>
    <row r="2639" spans="1:18" x14ac:dyDescent="0.5">
      <c r="A2639" t="str">
        <f>"882508CE2"</f>
        <v>882508CE2</v>
      </c>
      <c r="B2639" t="s">
        <v>101</v>
      </c>
      <c r="C2639" t="s">
        <v>3333</v>
      </c>
      <c r="D2639" t="s">
        <v>2433</v>
      </c>
      <c r="E2639">
        <v>4.5999999999999996</v>
      </c>
      <c r="F2639" s="2">
        <v>46426</v>
      </c>
      <c r="G2639" s="2">
        <v>46395</v>
      </c>
      <c r="H2639" t="s">
        <v>624</v>
      </c>
      <c r="I2639" t="s">
        <v>658</v>
      </c>
      <c r="J2639">
        <v>100.5</v>
      </c>
      <c r="K2639">
        <v>100.72799999999999</v>
      </c>
      <c r="L2639">
        <v>4.3109999999999999</v>
      </c>
      <c r="M2639">
        <v>4.181</v>
      </c>
      <c r="N2639">
        <v>4.1959999999999997</v>
      </c>
      <c r="O2639" t="s">
        <v>101</v>
      </c>
      <c r="P2639" t="s">
        <v>2472</v>
      </c>
      <c r="Q2639" t="s">
        <v>1702</v>
      </c>
      <c r="R2639" t="s">
        <v>2436</v>
      </c>
    </row>
    <row r="2640" spans="1:18" x14ac:dyDescent="0.5">
      <c r="A2640" t="str">
        <f>"037833CJ7"</f>
        <v>037833CJ7</v>
      </c>
      <c r="B2640" t="s">
        <v>101</v>
      </c>
      <c r="C2640" t="s">
        <v>3334</v>
      </c>
      <c r="D2640" t="s">
        <v>2433</v>
      </c>
      <c r="E2640">
        <v>3.35</v>
      </c>
      <c r="F2640" s="2">
        <v>46427</v>
      </c>
      <c r="G2640" s="2">
        <v>46335</v>
      </c>
      <c r="H2640" t="s">
        <v>104</v>
      </c>
      <c r="I2640" t="s">
        <v>509</v>
      </c>
      <c r="J2640">
        <v>98.534999999999997</v>
      </c>
      <c r="K2640">
        <v>98.6</v>
      </c>
      <c r="L2640">
        <v>4.1550000000000002</v>
      </c>
      <c r="M2640">
        <v>4.1189999999999998</v>
      </c>
      <c r="N2640">
        <v>4.1189999999999998</v>
      </c>
      <c r="O2640" t="s">
        <v>101</v>
      </c>
      <c r="P2640" t="s">
        <v>1236</v>
      </c>
      <c r="Q2640" t="s">
        <v>2581</v>
      </c>
      <c r="R2640" t="s">
        <v>2436</v>
      </c>
    </row>
    <row r="2641" spans="1:18" x14ac:dyDescent="0.5">
      <c r="A2641" t="str">
        <f>"532457CJ5"</f>
        <v>532457CJ5</v>
      </c>
      <c r="B2641" t="s">
        <v>101</v>
      </c>
      <c r="C2641" t="s">
        <v>3335</v>
      </c>
      <c r="D2641" t="s">
        <v>2433</v>
      </c>
      <c r="E2641">
        <v>4.5</v>
      </c>
      <c r="F2641" s="2">
        <v>46427</v>
      </c>
      <c r="G2641" s="2">
        <v>46396</v>
      </c>
      <c r="H2641" t="s">
        <v>624</v>
      </c>
      <c r="I2641" t="s">
        <v>658</v>
      </c>
      <c r="J2641">
        <v>100.44</v>
      </c>
      <c r="K2641">
        <v>100.60299999999999</v>
      </c>
      <c r="L2641">
        <v>4.2430000000000003</v>
      </c>
      <c r="M2641">
        <v>4.1529999999999996</v>
      </c>
      <c r="N2641">
        <v>4.1660000000000004</v>
      </c>
      <c r="O2641" t="s">
        <v>101</v>
      </c>
      <c r="P2641" t="s">
        <v>2454</v>
      </c>
      <c r="Q2641" t="s">
        <v>1391</v>
      </c>
      <c r="R2641" t="s">
        <v>2436</v>
      </c>
    </row>
    <row r="2642" spans="1:18" x14ac:dyDescent="0.5">
      <c r="A2642" t="str">
        <f>"459200KM2"</f>
        <v>459200KM2</v>
      </c>
      <c r="B2642" t="s">
        <v>101</v>
      </c>
      <c r="C2642" t="s">
        <v>3336</v>
      </c>
      <c r="D2642" t="s">
        <v>2433</v>
      </c>
      <c r="E2642">
        <v>2.2000000000000002</v>
      </c>
      <c r="F2642" s="2">
        <v>46427</v>
      </c>
      <c r="G2642" s="2">
        <v>46396</v>
      </c>
      <c r="H2642" t="s">
        <v>627</v>
      </c>
      <c r="I2642" t="s">
        <v>713</v>
      </c>
      <c r="J2642">
        <v>95.847999999999999</v>
      </c>
      <c r="K2642">
        <v>96.061000000000007</v>
      </c>
      <c r="L2642">
        <v>4.4939999999999998</v>
      </c>
      <c r="M2642">
        <v>4.3730000000000002</v>
      </c>
      <c r="N2642">
        <v>4.3730000000000002</v>
      </c>
      <c r="O2642" t="s">
        <v>101</v>
      </c>
      <c r="P2642" t="s">
        <v>3040</v>
      </c>
      <c r="Q2642" t="s">
        <v>2635</v>
      </c>
      <c r="R2642" t="s">
        <v>2436</v>
      </c>
    </row>
    <row r="2643" spans="1:18" x14ac:dyDescent="0.5">
      <c r="A2643" t="str">
        <f>"718172DF3"</f>
        <v>718172DF3</v>
      </c>
      <c r="B2643" t="s">
        <v>101</v>
      </c>
      <c r="C2643" t="s">
        <v>3337</v>
      </c>
      <c r="D2643" t="s">
        <v>2433</v>
      </c>
      <c r="E2643">
        <v>4.75</v>
      </c>
      <c r="F2643" s="2">
        <v>46430</v>
      </c>
      <c r="G2643" s="2" t="s">
        <v>101</v>
      </c>
      <c r="H2643" t="s">
        <v>610</v>
      </c>
      <c r="I2643" t="s">
        <v>713</v>
      </c>
      <c r="J2643">
        <v>100.497</v>
      </c>
      <c r="K2643">
        <v>100.623</v>
      </c>
      <c r="L2643">
        <v>4.4749999999999996</v>
      </c>
      <c r="M2643">
        <v>4.4059999999999997</v>
      </c>
      <c r="N2643">
        <v>4.4059999999999997</v>
      </c>
      <c r="O2643" t="s">
        <v>101</v>
      </c>
      <c r="P2643" t="s">
        <v>1702</v>
      </c>
      <c r="Q2643" t="s">
        <v>2454</v>
      </c>
      <c r="R2643" t="s">
        <v>2436</v>
      </c>
    </row>
    <row r="2644" spans="1:18" x14ac:dyDescent="0.5">
      <c r="A2644" t="str">
        <f>"66989HAQ1"</f>
        <v>66989HAQ1</v>
      </c>
      <c r="B2644" t="s">
        <v>101</v>
      </c>
      <c r="C2644" t="s">
        <v>3338</v>
      </c>
      <c r="D2644" t="s">
        <v>2433</v>
      </c>
      <c r="E2644">
        <v>2</v>
      </c>
      <c r="F2644" s="2">
        <v>46432</v>
      </c>
      <c r="G2644" s="2">
        <v>46370</v>
      </c>
      <c r="H2644" t="s">
        <v>624</v>
      </c>
      <c r="I2644" t="s">
        <v>616</v>
      </c>
      <c r="J2644">
        <v>95.855000000000004</v>
      </c>
      <c r="K2644">
        <v>96.052000000000007</v>
      </c>
      <c r="L2644">
        <v>4.2679999999999998</v>
      </c>
      <c r="M2644">
        <v>4.1580000000000004</v>
      </c>
      <c r="N2644">
        <v>4.1580000000000004</v>
      </c>
      <c r="O2644" t="s">
        <v>101</v>
      </c>
      <c r="P2644" t="s">
        <v>1236</v>
      </c>
      <c r="Q2644" t="s">
        <v>2454</v>
      </c>
      <c r="R2644" t="s">
        <v>2436</v>
      </c>
    </row>
    <row r="2645" spans="1:18" x14ac:dyDescent="0.5">
      <c r="A2645" t="str">
        <f>"231021AD8"</f>
        <v>231021AD8</v>
      </c>
      <c r="B2645" t="s">
        <v>101</v>
      </c>
      <c r="C2645" t="s">
        <v>3339</v>
      </c>
      <c r="D2645" t="s">
        <v>2433</v>
      </c>
      <c r="E2645">
        <v>6.75</v>
      </c>
      <c r="F2645" s="2">
        <v>46433</v>
      </c>
      <c r="G2645" s="2" t="s">
        <v>101</v>
      </c>
      <c r="H2645" t="s">
        <v>610</v>
      </c>
      <c r="I2645" t="s">
        <v>611</v>
      </c>
      <c r="J2645">
        <v>103.63800000000001</v>
      </c>
      <c r="K2645">
        <v>104.70699999999999</v>
      </c>
      <c r="L2645">
        <v>4.7469999999999999</v>
      </c>
      <c r="M2645">
        <v>4.1769999999999996</v>
      </c>
      <c r="N2645">
        <v>4.1769999999999996</v>
      </c>
      <c r="O2645" t="s">
        <v>101</v>
      </c>
      <c r="P2645" t="s">
        <v>858</v>
      </c>
      <c r="Q2645" t="s">
        <v>488</v>
      </c>
      <c r="R2645" t="s">
        <v>2436</v>
      </c>
    </row>
    <row r="2646" spans="1:18" x14ac:dyDescent="0.5">
      <c r="A2646" t="str">
        <f>"29379VBL6"</f>
        <v>29379VBL6</v>
      </c>
      <c r="B2646" t="s">
        <v>101</v>
      </c>
      <c r="C2646" t="s">
        <v>3340</v>
      </c>
      <c r="D2646" t="s">
        <v>2433</v>
      </c>
      <c r="E2646">
        <v>3.95</v>
      </c>
      <c r="F2646" s="2">
        <v>46433</v>
      </c>
      <c r="G2646" s="2">
        <v>46341</v>
      </c>
      <c r="H2646" t="s">
        <v>627</v>
      </c>
      <c r="I2646" t="s">
        <v>713</v>
      </c>
      <c r="J2646">
        <v>99.155000000000001</v>
      </c>
      <c r="K2646">
        <v>99.328000000000003</v>
      </c>
      <c r="L2646">
        <v>4.4109999999999996</v>
      </c>
      <c r="M2646">
        <v>4.3159999999999998</v>
      </c>
      <c r="N2646">
        <v>4.3159999999999998</v>
      </c>
      <c r="O2646" t="s">
        <v>101</v>
      </c>
      <c r="P2646" t="s">
        <v>2460</v>
      </c>
      <c r="Q2646" t="s">
        <v>2507</v>
      </c>
      <c r="R2646" t="s">
        <v>2436</v>
      </c>
    </row>
    <row r="2647" spans="1:18" x14ac:dyDescent="0.5">
      <c r="A2647" t="str">
        <f>"63743FXF8"</f>
        <v>63743FXF8</v>
      </c>
      <c r="B2647" t="s">
        <v>101</v>
      </c>
      <c r="C2647" t="s">
        <v>3341</v>
      </c>
      <c r="D2647" t="s">
        <v>2433</v>
      </c>
      <c r="E2647">
        <v>3.5</v>
      </c>
      <c r="F2647" s="2">
        <v>46433</v>
      </c>
      <c r="G2647" s="2" t="s">
        <v>105</v>
      </c>
      <c r="H2647" t="s">
        <v>610</v>
      </c>
      <c r="I2647" t="s">
        <v>713</v>
      </c>
      <c r="J2647">
        <v>97.527000000000001</v>
      </c>
      <c r="K2647">
        <v>98.459000000000003</v>
      </c>
      <c r="L2647">
        <v>4.8479999999999999</v>
      </c>
      <c r="M2647">
        <v>4.3360000000000003</v>
      </c>
      <c r="N2647">
        <v>4.3360000000000003</v>
      </c>
      <c r="O2647" t="s">
        <v>101</v>
      </c>
      <c r="P2647" t="s">
        <v>858</v>
      </c>
      <c r="Q2647" t="s">
        <v>2739</v>
      </c>
      <c r="R2647" t="s">
        <v>2610</v>
      </c>
    </row>
    <row r="2648" spans="1:18" x14ac:dyDescent="0.5">
      <c r="A2648" t="str">
        <f>"89114XDV2"</f>
        <v>89114XDV2</v>
      </c>
      <c r="B2648" t="s">
        <v>101</v>
      </c>
      <c r="C2648" t="s">
        <v>3342</v>
      </c>
      <c r="D2648" t="s">
        <v>2433</v>
      </c>
      <c r="E2648">
        <v>5.0999999999999996</v>
      </c>
      <c r="F2648" s="2">
        <v>46433</v>
      </c>
      <c r="G2648" s="2">
        <v>45792</v>
      </c>
      <c r="H2648" t="s">
        <v>610</v>
      </c>
      <c r="I2648" t="s">
        <v>713</v>
      </c>
      <c r="J2648">
        <v>99.105999999999995</v>
      </c>
      <c r="K2648">
        <v>100.11499999999999</v>
      </c>
      <c r="L2648">
        <v>5.5919999999999996</v>
      </c>
      <c r="M2648">
        <v>4.4210000000000003</v>
      </c>
      <c r="N2648">
        <v>5.0359999999999996</v>
      </c>
      <c r="O2648" t="s">
        <v>101</v>
      </c>
      <c r="P2648" t="s">
        <v>1236</v>
      </c>
      <c r="Q2648" t="s">
        <v>3343</v>
      </c>
      <c r="R2648" t="s">
        <v>2436</v>
      </c>
    </row>
    <row r="2649" spans="1:18" x14ac:dyDescent="0.5">
      <c r="A2649" t="str">
        <f>"713466AA8"</f>
        <v>713466AA8</v>
      </c>
      <c r="B2649" t="s">
        <v>101</v>
      </c>
      <c r="C2649" t="s">
        <v>3344</v>
      </c>
      <c r="D2649" t="s">
        <v>2433</v>
      </c>
      <c r="E2649">
        <v>4.6500000000000004</v>
      </c>
      <c r="F2649" s="2">
        <v>46434</v>
      </c>
      <c r="G2649" s="2">
        <v>46403</v>
      </c>
      <c r="H2649" t="s">
        <v>641</v>
      </c>
      <c r="I2649" t="s">
        <v>658</v>
      </c>
      <c r="J2649">
        <v>100.67100000000001</v>
      </c>
      <c r="K2649">
        <v>100.80800000000001</v>
      </c>
      <c r="L2649">
        <v>4.2679999999999998</v>
      </c>
      <c r="M2649">
        <v>4.1900000000000004</v>
      </c>
      <c r="N2649">
        <v>4.2080000000000002</v>
      </c>
      <c r="O2649" t="s">
        <v>101</v>
      </c>
      <c r="P2649" t="s">
        <v>2581</v>
      </c>
      <c r="Q2649" t="s">
        <v>2454</v>
      </c>
      <c r="R2649" t="s">
        <v>2436</v>
      </c>
    </row>
    <row r="2650" spans="1:18" x14ac:dyDescent="0.5">
      <c r="A2650" t="str">
        <f>"110122EE4"</f>
        <v>110122EE4</v>
      </c>
      <c r="B2650" t="s">
        <v>101</v>
      </c>
      <c r="C2650" t="s">
        <v>3345</v>
      </c>
      <c r="D2650" t="s">
        <v>2433</v>
      </c>
      <c r="E2650">
        <v>4.9000000000000004</v>
      </c>
      <c r="F2650" s="2">
        <v>46440</v>
      </c>
      <c r="G2650" s="2">
        <v>46409</v>
      </c>
      <c r="H2650" t="s">
        <v>610</v>
      </c>
      <c r="I2650" t="s">
        <v>611</v>
      </c>
      <c r="J2650">
        <v>101.01600000000001</v>
      </c>
      <c r="K2650">
        <v>101.175</v>
      </c>
      <c r="L2650">
        <v>4.3259999999999996</v>
      </c>
      <c r="M2650">
        <v>4.2370000000000001</v>
      </c>
      <c r="N2650">
        <v>4.2629999999999999</v>
      </c>
      <c r="O2650" t="s">
        <v>101</v>
      </c>
      <c r="P2650" t="s">
        <v>2454</v>
      </c>
      <c r="Q2650" t="s">
        <v>3346</v>
      </c>
      <c r="R2650" t="s">
        <v>2436</v>
      </c>
    </row>
    <row r="2651" spans="1:18" x14ac:dyDescent="0.5">
      <c r="A2651" t="str">
        <f>"606822AN4"</f>
        <v>606822AN4</v>
      </c>
      <c r="B2651" t="s">
        <v>101</v>
      </c>
      <c r="C2651" t="s">
        <v>3347</v>
      </c>
      <c r="D2651" t="s">
        <v>2433</v>
      </c>
      <c r="E2651">
        <v>3.677</v>
      </c>
      <c r="F2651" s="2">
        <v>46440</v>
      </c>
      <c r="G2651" s="2" t="s">
        <v>101</v>
      </c>
      <c r="H2651" t="s">
        <v>641</v>
      </c>
      <c r="I2651" t="s">
        <v>713</v>
      </c>
      <c r="J2651">
        <v>98.548000000000002</v>
      </c>
      <c r="K2651">
        <v>98.748999999999995</v>
      </c>
      <c r="L2651">
        <v>4.4640000000000004</v>
      </c>
      <c r="M2651">
        <v>4.3540000000000001</v>
      </c>
      <c r="N2651">
        <v>4.3540000000000001</v>
      </c>
      <c r="O2651" t="s">
        <v>101</v>
      </c>
      <c r="P2651" t="s">
        <v>2795</v>
      </c>
      <c r="Q2651" t="s">
        <v>3348</v>
      </c>
      <c r="R2651" t="s">
        <v>2436</v>
      </c>
    </row>
    <row r="2652" spans="1:18" x14ac:dyDescent="0.5">
      <c r="A2652" t="str">
        <f>"373334KV2"</f>
        <v>373334KV2</v>
      </c>
      <c r="B2652" t="s">
        <v>101</v>
      </c>
      <c r="C2652" t="s">
        <v>3349</v>
      </c>
      <c r="D2652" t="s">
        <v>2433</v>
      </c>
      <c r="E2652">
        <v>5.0039999999999996</v>
      </c>
      <c r="F2652" s="2">
        <v>46441</v>
      </c>
      <c r="G2652" s="2">
        <v>46410</v>
      </c>
      <c r="H2652" t="s">
        <v>627</v>
      </c>
      <c r="I2652" t="s">
        <v>611</v>
      </c>
      <c r="J2652">
        <v>100.93300000000001</v>
      </c>
      <c r="K2652">
        <v>101.154</v>
      </c>
      <c r="L2652">
        <v>4.4770000000000003</v>
      </c>
      <c r="M2652">
        <v>4.3529999999999998</v>
      </c>
      <c r="N2652">
        <v>4.3780000000000001</v>
      </c>
      <c r="O2652" t="s">
        <v>101</v>
      </c>
      <c r="P2652" t="s">
        <v>2472</v>
      </c>
      <c r="Q2652" t="s">
        <v>2454</v>
      </c>
      <c r="R2652" t="s">
        <v>2436</v>
      </c>
    </row>
    <row r="2653" spans="1:18" x14ac:dyDescent="0.5">
      <c r="A2653" t="str">
        <f>"04636NAK9"</f>
        <v>04636NAK9</v>
      </c>
      <c r="B2653" t="s">
        <v>101</v>
      </c>
      <c r="C2653" t="s">
        <v>3350</v>
      </c>
      <c r="D2653" t="s">
        <v>2433</v>
      </c>
      <c r="E2653">
        <v>4.8</v>
      </c>
      <c r="F2653" s="2">
        <v>46444</v>
      </c>
      <c r="G2653" s="2">
        <v>46413</v>
      </c>
      <c r="H2653" t="s">
        <v>641</v>
      </c>
      <c r="I2653" t="s">
        <v>658</v>
      </c>
      <c r="J2653">
        <v>100.92700000000001</v>
      </c>
      <c r="K2653">
        <v>101.009</v>
      </c>
      <c r="L2653">
        <v>4.28</v>
      </c>
      <c r="M2653">
        <v>4.234</v>
      </c>
      <c r="N2653">
        <v>4.2560000000000002</v>
      </c>
      <c r="O2653" t="s">
        <v>101</v>
      </c>
      <c r="P2653" t="s">
        <v>1999</v>
      </c>
      <c r="Q2653" t="s">
        <v>2454</v>
      </c>
      <c r="R2653" t="s">
        <v>2436</v>
      </c>
    </row>
    <row r="2654" spans="1:18" x14ac:dyDescent="0.5">
      <c r="A2654" t="str">
        <f>"166756AZ9"</f>
        <v>166756AZ9</v>
      </c>
      <c r="B2654" t="s">
        <v>101</v>
      </c>
      <c r="C2654" t="s">
        <v>3351</v>
      </c>
      <c r="D2654" t="s">
        <v>2433</v>
      </c>
      <c r="E2654">
        <v>4.4050000000000002</v>
      </c>
      <c r="F2654" s="2">
        <v>46444</v>
      </c>
      <c r="G2654" s="2" t="s">
        <v>101</v>
      </c>
      <c r="H2654" t="s">
        <v>613</v>
      </c>
      <c r="I2654" t="s">
        <v>616</v>
      </c>
      <c r="J2654">
        <v>100.331</v>
      </c>
      <c r="K2654">
        <v>100.458</v>
      </c>
      <c r="L2654">
        <v>4.226</v>
      </c>
      <c r="M2654">
        <v>4.1580000000000004</v>
      </c>
      <c r="N2654">
        <v>4.1580000000000004</v>
      </c>
      <c r="O2654" t="s">
        <v>101</v>
      </c>
      <c r="P2654" t="s">
        <v>3178</v>
      </c>
      <c r="Q2654" t="s">
        <v>3352</v>
      </c>
      <c r="R2654" t="s">
        <v>2726</v>
      </c>
    </row>
    <row r="2655" spans="1:18" x14ac:dyDescent="0.5">
      <c r="A2655" t="str">
        <f>"17275RBQ4"</f>
        <v>17275RBQ4</v>
      </c>
      <c r="B2655" t="s">
        <v>101</v>
      </c>
      <c r="C2655" t="s">
        <v>3353</v>
      </c>
      <c r="D2655" t="s">
        <v>2433</v>
      </c>
      <c r="E2655">
        <v>4.8</v>
      </c>
      <c r="F2655" s="2">
        <v>46444</v>
      </c>
      <c r="G2655" s="2">
        <v>46413</v>
      </c>
      <c r="H2655" t="s">
        <v>641</v>
      </c>
      <c r="I2655" t="s">
        <v>616</v>
      </c>
      <c r="J2655">
        <v>100.82599999999999</v>
      </c>
      <c r="K2655">
        <v>100.943</v>
      </c>
      <c r="L2655">
        <v>4.3369999999999997</v>
      </c>
      <c r="M2655">
        <v>4.2709999999999999</v>
      </c>
      <c r="N2655">
        <v>4.2910000000000004</v>
      </c>
      <c r="O2655" t="s">
        <v>101</v>
      </c>
      <c r="P2655" t="s">
        <v>3241</v>
      </c>
      <c r="Q2655" t="s">
        <v>2454</v>
      </c>
      <c r="R2655" t="s">
        <v>2436</v>
      </c>
    </row>
    <row r="2656" spans="1:18" x14ac:dyDescent="0.5">
      <c r="A2656" t="str">
        <f>"110122BB3"</f>
        <v>110122BB3</v>
      </c>
      <c r="B2656" t="s">
        <v>101</v>
      </c>
      <c r="C2656" t="s">
        <v>3354</v>
      </c>
      <c r="D2656" t="s">
        <v>2433</v>
      </c>
      <c r="E2656">
        <v>3.25</v>
      </c>
      <c r="F2656" s="2">
        <v>46445</v>
      </c>
      <c r="G2656" s="2" t="s">
        <v>101</v>
      </c>
      <c r="H2656" t="s">
        <v>610</v>
      </c>
      <c r="I2656" t="s">
        <v>611</v>
      </c>
      <c r="J2656">
        <v>98.102000000000004</v>
      </c>
      <c r="K2656">
        <v>98.311999999999998</v>
      </c>
      <c r="L2656">
        <v>4.2699999999999996</v>
      </c>
      <c r="M2656">
        <v>4.1559999999999997</v>
      </c>
      <c r="N2656">
        <v>4.1559999999999997</v>
      </c>
      <c r="O2656" t="s">
        <v>101</v>
      </c>
      <c r="P2656" t="s">
        <v>2472</v>
      </c>
      <c r="Q2656" t="s">
        <v>2454</v>
      </c>
      <c r="R2656" t="s">
        <v>2436</v>
      </c>
    </row>
    <row r="2657" spans="1:18" x14ac:dyDescent="0.5">
      <c r="A2657" t="str">
        <f>"60687YAK5"</f>
        <v>60687YAK5</v>
      </c>
      <c r="B2657" t="s">
        <v>101</v>
      </c>
      <c r="C2657" t="s">
        <v>3355</v>
      </c>
      <c r="D2657" t="s">
        <v>2433</v>
      </c>
      <c r="E2657">
        <v>3.6629999999999998</v>
      </c>
      <c r="F2657" s="2">
        <v>46446</v>
      </c>
      <c r="G2657" s="2" t="s">
        <v>101</v>
      </c>
      <c r="H2657" t="s">
        <v>641</v>
      </c>
      <c r="I2657" t="s">
        <v>713</v>
      </c>
      <c r="J2657">
        <v>98.403999999999996</v>
      </c>
      <c r="K2657">
        <v>98.710999999999999</v>
      </c>
      <c r="L2657">
        <v>4.5220000000000002</v>
      </c>
      <c r="M2657">
        <v>4.3550000000000004</v>
      </c>
      <c r="N2657">
        <v>4.3550000000000004</v>
      </c>
      <c r="O2657" t="s">
        <v>101</v>
      </c>
      <c r="P2657" t="s">
        <v>3356</v>
      </c>
      <c r="Q2657" t="s">
        <v>2608</v>
      </c>
      <c r="R2657" t="s">
        <v>2436</v>
      </c>
    </row>
    <row r="2658" spans="1:18" x14ac:dyDescent="0.5">
      <c r="A2658" t="str">
        <f>"03740MAA8"</f>
        <v>03740MAA8</v>
      </c>
      <c r="B2658" t="s">
        <v>101</v>
      </c>
      <c r="C2658" t="s">
        <v>3357</v>
      </c>
      <c r="D2658" t="s">
        <v>2433</v>
      </c>
      <c r="E2658">
        <v>5.125</v>
      </c>
      <c r="F2658" s="2">
        <v>46447</v>
      </c>
      <c r="G2658" s="2">
        <v>46419</v>
      </c>
      <c r="H2658" t="s">
        <v>677</v>
      </c>
      <c r="I2658" t="s">
        <v>713</v>
      </c>
      <c r="J2658">
        <v>100.902</v>
      </c>
      <c r="K2658">
        <v>100.991</v>
      </c>
      <c r="L2658">
        <v>4.6210000000000004</v>
      </c>
      <c r="M2658">
        <v>4.5720000000000001</v>
      </c>
      <c r="N2658">
        <v>4.5919999999999996</v>
      </c>
      <c r="O2658" t="s">
        <v>101</v>
      </c>
      <c r="P2658" t="s">
        <v>2447</v>
      </c>
      <c r="Q2658" t="s">
        <v>2454</v>
      </c>
      <c r="R2658" t="s">
        <v>2436</v>
      </c>
    </row>
    <row r="2659" spans="1:18" x14ac:dyDescent="0.5">
      <c r="A2659" t="str">
        <f>"30219GAN8"</f>
        <v>30219GAN8</v>
      </c>
      <c r="B2659" t="s">
        <v>101</v>
      </c>
      <c r="C2659" t="s">
        <v>3358</v>
      </c>
      <c r="D2659" t="s">
        <v>2433</v>
      </c>
      <c r="E2659">
        <v>3.4</v>
      </c>
      <c r="F2659" s="2">
        <v>46447</v>
      </c>
      <c r="G2659" s="2">
        <v>46357</v>
      </c>
      <c r="H2659" t="s">
        <v>2760</v>
      </c>
      <c r="I2659" t="s">
        <v>713</v>
      </c>
      <c r="J2659">
        <v>97.507000000000005</v>
      </c>
      <c r="K2659">
        <v>98.084000000000003</v>
      </c>
      <c r="L2659">
        <v>4.74</v>
      </c>
      <c r="M2659">
        <v>4.4260000000000002</v>
      </c>
      <c r="N2659">
        <v>4.4260000000000002</v>
      </c>
      <c r="O2659" t="s">
        <v>101</v>
      </c>
      <c r="P2659" t="s">
        <v>2472</v>
      </c>
      <c r="Q2659" t="s">
        <v>2768</v>
      </c>
      <c r="R2659" t="s">
        <v>2436</v>
      </c>
    </row>
    <row r="2660" spans="1:18" x14ac:dyDescent="0.5">
      <c r="A2660" t="str">
        <f>"438516CE4"</f>
        <v>438516CE4</v>
      </c>
      <c r="B2660" t="s">
        <v>101</v>
      </c>
      <c r="C2660" t="s">
        <v>3359</v>
      </c>
      <c r="D2660" t="s">
        <v>2433</v>
      </c>
      <c r="E2660">
        <v>1.1000000000000001</v>
      </c>
      <c r="F2660" s="2">
        <v>46447</v>
      </c>
      <c r="G2660" s="2">
        <v>46419</v>
      </c>
      <c r="H2660" t="s">
        <v>610</v>
      </c>
      <c r="I2660" t="s">
        <v>611</v>
      </c>
      <c r="J2660">
        <v>93.742000000000004</v>
      </c>
      <c r="K2660">
        <v>93.879000000000005</v>
      </c>
      <c r="L2660">
        <v>4.4539999999999997</v>
      </c>
      <c r="M2660">
        <v>4.3780000000000001</v>
      </c>
      <c r="N2660">
        <v>4.3780000000000001</v>
      </c>
      <c r="O2660" t="s">
        <v>101</v>
      </c>
      <c r="P2660" t="s">
        <v>2454</v>
      </c>
      <c r="Q2660" t="s">
        <v>2454</v>
      </c>
      <c r="R2660" t="s">
        <v>2436</v>
      </c>
    </row>
    <row r="2661" spans="1:18" x14ac:dyDescent="0.5">
      <c r="A2661" t="str">
        <f>"478160DG6"</f>
        <v>478160DG6</v>
      </c>
      <c r="B2661" t="s">
        <v>101</v>
      </c>
      <c r="C2661" t="s">
        <v>3360</v>
      </c>
      <c r="D2661" t="s">
        <v>2433</v>
      </c>
      <c r="E2661">
        <v>4.5</v>
      </c>
      <c r="F2661" s="2">
        <v>46447</v>
      </c>
      <c r="G2661" s="2" t="s">
        <v>101</v>
      </c>
      <c r="H2661" t="s">
        <v>104</v>
      </c>
      <c r="I2661" t="s">
        <v>104</v>
      </c>
      <c r="J2661">
        <v>100.574</v>
      </c>
      <c r="K2661">
        <v>100.69499999999999</v>
      </c>
      <c r="L2661">
        <v>4.1909999999999998</v>
      </c>
      <c r="M2661">
        <v>4.1269999999999998</v>
      </c>
      <c r="N2661">
        <v>4.1269999999999998</v>
      </c>
      <c r="O2661" t="s">
        <v>101</v>
      </c>
      <c r="P2661" t="s">
        <v>2438</v>
      </c>
      <c r="Q2661" t="s">
        <v>2454</v>
      </c>
      <c r="R2661" t="s">
        <v>2436</v>
      </c>
    </row>
    <row r="2662" spans="1:18" x14ac:dyDescent="0.5">
      <c r="A2662" t="str">
        <f>"833034AK7"</f>
        <v>833034AK7</v>
      </c>
      <c r="B2662" t="s">
        <v>101</v>
      </c>
      <c r="C2662" t="s">
        <v>3361</v>
      </c>
      <c r="D2662" t="s">
        <v>2433</v>
      </c>
      <c r="E2662">
        <v>3.25</v>
      </c>
      <c r="F2662" s="2">
        <v>46447</v>
      </c>
      <c r="G2662" s="2">
        <v>46357</v>
      </c>
      <c r="H2662" t="s">
        <v>610</v>
      </c>
      <c r="I2662" t="s">
        <v>713</v>
      </c>
      <c r="J2662">
        <v>97.614000000000004</v>
      </c>
      <c r="K2662">
        <v>97.849000000000004</v>
      </c>
      <c r="L2662">
        <v>4.5289999999999999</v>
      </c>
      <c r="M2662">
        <v>4.4020000000000001</v>
      </c>
      <c r="N2662">
        <v>4.4020000000000001</v>
      </c>
      <c r="O2662" t="s">
        <v>101</v>
      </c>
      <c r="P2662" t="s">
        <v>1236</v>
      </c>
      <c r="Q2662" t="s">
        <v>2555</v>
      </c>
      <c r="R2662" t="s">
        <v>2436</v>
      </c>
    </row>
    <row r="2663" spans="1:18" x14ac:dyDescent="0.5">
      <c r="A2663" t="str">
        <f>"125523CB4"</f>
        <v>125523CB4</v>
      </c>
      <c r="B2663" t="s">
        <v>101</v>
      </c>
      <c r="C2663" t="s">
        <v>3362</v>
      </c>
      <c r="D2663" t="s">
        <v>2433</v>
      </c>
      <c r="E2663">
        <v>3.4</v>
      </c>
      <c r="F2663" s="2">
        <v>46447</v>
      </c>
      <c r="G2663" s="2">
        <v>46357</v>
      </c>
      <c r="H2663" t="s">
        <v>670</v>
      </c>
      <c r="I2663" t="s">
        <v>713</v>
      </c>
      <c r="J2663">
        <v>97.822999999999993</v>
      </c>
      <c r="K2663">
        <v>97.954999999999998</v>
      </c>
      <c r="L2663">
        <v>4.5679999999999996</v>
      </c>
      <c r="M2663">
        <v>4.4960000000000004</v>
      </c>
      <c r="N2663">
        <v>4.4960000000000004</v>
      </c>
      <c r="O2663" t="s">
        <v>101</v>
      </c>
      <c r="P2663" t="s">
        <v>1702</v>
      </c>
      <c r="Q2663" t="s">
        <v>2454</v>
      </c>
      <c r="R2663" t="s">
        <v>2436</v>
      </c>
    </row>
    <row r="2664" spans="1:18" x14ac:dyDescent="0.5">
      <c r="A2664" t="str">
        <f>"06048WS84"</f>
        <v>06048WS84</v>
      </c>
      <c r="B2664" t="s">
        <v>101</v>
      </c>
      <c r="C2664" t="s">
        <v>3363</v>
      </c>
      <c r="D2664" t="s">
        <v>2433</v>
      </c>
      <c r="E2664">
        <v>2.75</v>
      </c>
      <c r="F2664" s="2">
        <v>46448</v>
      </c>
      <c r="G2664" s="2">
        <v>45902</v>
      </c>
      <c r="H2664" t="s">
        <v>641</v>
      </c>
      <c r="I2664" t="s">
        <v>713</v>
      </c>
      <c r="J2664">
        <v>96.307000000000002</v>
      </c>
      <c r="K2664">
        <v>96.805000000000007</v>
      </c>
      <c r="L2664">
        <v>4.7329999999999997</v>
      </c>
      <c r="M2664">
        <v>4.46</v>
      </c>
      <c r="N2664">
        <v>4.46</v>
      </c>
      <c r="O2664" t="s">
        <v>101</v>
      </c>
      <c r="P2664" t="s">
        <v>2595</v>
      </c>
      <c r="Q2664" t="s">
        <v>3364</v>
      </c>
      <c r="R2664" t="s">
        <v>2436</v>
      </c>
    </row>
    <row r="2665" spans="1:18" x14ac:dyDescent="0.5">
      <c r="A2665" t="str">
        <f>"808513AQ8"</f>
        <v>808513AQ8</v>
      </c>
      <c r="B2665" t="s">
        <v>101</v>
      </c>
      <c r="C2665" t="s">
        <v>3365</v>
      </c>
      <c r="D2665" t="s">
        <v>2433</v>
      </c>
      <c r="E2665">
        <v>3.2</v>
      </c>
      <c r="F2665" s="2">
        <v>46448</v>
      </c>
      <c r="G2665" s="2">
        <v>46358</v>
      </c>
      <c r="H2665" t="s">
        <v>610</v>
      </c>
      <c r="I2665" t="s">
        <v>713</v>
      </c>
      <c r="J2665">
        <v>97.507999999999996</v>
      </c>
      <c r="K2665">
        <v>97.742999999999995</v>
      </c>
      <c r="L2665">
        <v>4.5350000000000001</v>
      </c>
      <c r="M2665">
        <v>4.407</v>
      </c>
      <c r="N2665">
        <v>4.407</v>
      </c>
      <c r="O2665" t="s">
        <v>101</v>
      </c>
      <c r="P2665" t="s">
        <v>3222</v>
      </c>
      <c r="Q2665" t="s">
        <v>3366</v>
      </c>
      <c r="R2665" t="s">
        <v>2436</v>
      </c>
    </row>
    <row r="2666" spans="1:18" x14ac:dyDescent="0.5">
      <c r="A2666" t="str">
        <f>"478160CE2"</f>
        <v>478160CE2</v>
      </c>
      <c r="B2666" t="s">
        <v>101</v>
      </c>
      <c r="C2666" t="s">
        <v>3367</v>
      </c>
      <c r="D2666" t="s">
        <v>2433</v>
      </c>
      <c r="E2666">
        <v>2.95</v>
      </c>
      <c r="F2666" s="2">
        <v>46449</v>
      </c>
      <c r="G2666" s="2">
        <v>46359</v>
      </c>
      <c r="H2666" t="s">
        <v>104</v>
      </c>
      <c r="I2666" t="s">
        <v>104</v>
      </c>
      <c r="J2666">
        <v>97.73</v>
      </c>
      <c r="K2666">
        <v>97.796000000000006</v>
      </c>
      <c r="L2666">
        <v>4.1589999999999998</v>
      </c>
      <c r="M2666">
        <v>4.1230000000000002</v>
      </c>
      <c r="N2666">
        <v>4.1230000000000002</v>
      </c>
      <c r="O2666" t="s">
        <v>101</v>
      </c>
      <c r="P2666" t="s">
        <v>2438</v>
      </c>
      <c r="Q2666" t="s">
        <v>2454</v>
      </c>
      <c r="R2666" t="s">
        <v>2436</v>
      </c>
    </row>
    <row r="2667" spans="1:18" x14ac:dyDescent="0.5">
      <c r="A2667" t="str">
        <f>"808513BY0"</f>
        <v>808513BY0</v>
      </c>
      <c r="B2667" t="s">
        <v>101</v>
      </c>
      <c r="C2667" t="s">
        <v>3368</v>
      </c>
      <c r="D2667" t="s">
        <v>2433</v>
      </c>
      <c r="E2667">
        <v>2.4500000000000002</v>
      </c>
      <c r="F2667" s="2">
        <v>46449</v>
      </c>
      <c r="G2667" s="2">
        <v>46421</v>
      </c>
      <c r="H2667" t="s">
        <v>610</v>
      </c>
      <c r="I2667" t="s">
        <v>713</v>
      </c>
      <c r="J2667">
        <v>96.081000000000003</v>
      </c>
      <c r="K2667">
        <v>96.215000000000003</v>
      </c>
      <c r="L2667">
        <v>4.5469999999999997</v>
      </c>
      <c r="M2667">
        <v>4.4729999999999999</v>
      </c>
      <c r="N2667">
        <v>4.4729999999999999</v>
      </c>
      <c r="O2667" t="s">
        <v>101</v>
      </c>
      <c r="P2667" t="s">
        <v>2454</v>
      </c>
      <c r="Q2667" t="s">
        <v>2581</v>
      </c>
      <c r="R2667" t="s">
        <v>2436</v>
      </c>
    </row>
    <row r="2668" spans="1:18" x14ac:dyDescent="0.5">
      <c r="A2668" t="str">
        <f>"025816CS6"</f>
        <v>025816CS6</v>
      </c>
      <c r="B2668" t="s">
        <v>101</v>
      </c>
      <c r="C2668" t="s">
        <v>3369</v>
      </c>
      <c r="D2668" t="s">
        <v>2433</v>
      </c>
      <c r="E2668">
        <v>2.5499999999999998</v>
      </c>
      <c r="F2668" s="2">
        <v>46450</v>
      </c>
      <c r="G2668" s="2">
        <v>46419</v>
      </c>
      <c r="H2668" t="s">
        <v>610</v>
      </c>
      <c r="I2668" t="s">
        <v>713</v>
      </c>
      <c r="J2668">
        <v>96.369</v>
      </c>
      <c r="K2668">
        <v>96.527000000000001</v>
      </c>
      <c r="L2668">
        <v>4.4889999999999999</v>
      </c>
      <c r="M2668">
        <v>4.4029999999999996</v>
      </c>
      <c r="N2668">
        <v>4.4029999999999996</v>
      </c>
      <c r="O2668" t="s">
        <v>101</v>
      </c>
      <c r="P2668" t="s">
        <v>1702</v>
      </c>
      <c r="Q2668" t="s">
        <v>2454</v>
      </c>
      <c r="R2668" t="s">
        <v>2436</v>
      </c>
    </row>
    <row r="2669" spans="1:18" x14ac:dyDescent="0.5">
      <c r="A2669" t="str">
        <f>"40428HA44"</f>
        <v>40428HA44</v>
      </c>
      <c r="B2669" t="s">
        <v>101</v>
      </c>
      <c r="C2669" t="s">
        <v>3370</v>
      </c>
      <c r="D2669" t="s">
        <v>2433</v>
      </c>
      <c r="E2669">
        <v>5.2939999999999996</v>
      </c>
      <c r="F2669" s="2">
        <v>46450</v>
      </c>
      <c r="G2669" s="2" t="s">
        <v>105</v>
      </c>
      <c r="H2669" t="s">
        <v>610</v>
      </c>
      <c r="I2669" t="s">
        <v>713</v>
      </c>
      <c r="J2669">
        <v>101.471</v>
      </c>
      <c r="K2669">
        <v>101.691</v>
      </c>
      <c r="L2669">
        <v>4.508</v>
      </c>
      <c r="M2669">
        <v>4.391</v>
      </c>
      <c r="N2669">
        <v>4.391</v>
      </c>
      <c r="O2669" t="s">
        <v>101</v>
      </c>
      <c r="P2669" t="s">
        <v>228</v>
      </c>
      <c r="Q2669" t="s">
        <v>542</v>
      </c>
      <c r="R2669" t="s">
        <v>2465</v>
      </c>
    </row>
    <row r="2670" spans="1:18" x14ac:dyDescent="0.5">
      <c r="A2670" t="str">
        <f>"24422EXM6"</f>
        <v>24422EXM6</v>
      </c>
      <c r="B2670" t="s">
        <v>101</v>
      </c>
      <c r="C2670" t="s">
        <v>3371</v>
      </c>
      <c r="D2670" t="s">
        <v>2433</v>
      </c>
      <c r="E2670">
        <v>4.8499999999999996</v>
      </c>
      <c r="F2670" s="2">
        <v>46451</v>
      </c>
      <c r="G2670" s="2" t="s">
        <v>105</v>
      </c>
      <c r="H2670" t="s">
        <v>641</v>
      </c>
      <c r="I2670" t="s">
        <v>611</v>
      </c>
      <c r="J2670">
        <v>100.983</v>
      </c>
      <c r="K2670">
        <v>101.157</v>
      </c>
      <c r="L2670">
        <v>4.3259999999999996</v>
      </c>
      <c r="M2670">
        <v>4.234</v>
      </c>
      <c r="N2670">
        <v>4.234</v>
      </c>
      <c r="O2670" t="s">
        <v>101</v>
      </c>
      <c r="P2670" t="s">
        <v>2289</v>
      </c>
      <c r="Q2670" t="s">
        <v>3075</v>
      </c>
      <c r="R2670" t="s">
        <v>2465</v>
      </c>
    </row>
    <row r="2671" spans="1:18" x14ac:dyDescent="0.5">
      <c r="A2671" t="str">
        <f>"26442UAT1"</f>
        <v>26442UAT1</v>
      </c>
      <c r="B2671" t="s">
        <v>101</v>
      </c>
      <c r="C2671" t="s">
        <v>3372</v>
      </c>
      <c r="D2671" t="s">
        <v>2433</v>
      </c>
      <c r="E2671">
        <v>4.3499999999999996</v>
      </c>
      <c r="F2671" s="2">
        <v>46452</v>
      </c>
      <c r="G2671" s="2" t="s">
        <v>101</v>
      </c>
      <c r="H2671" t="s">
        <v>624</v>
      </c>
      <c r="I2671" t="s">
        <v>611</v>
      </c>
      <c r="J2671">
        <v>100.137</v>
      </c>
      <c r="K2671">
        <v>100.217</v>
      </c>
      <c r="L2671">
        <v>4.2770000000000001</v>
      </c>
      <c r="M2671">
        <v>4.234</v>
      </c>
      <c r="N2671">
        <v>4.234</v>
      </c>
      <c r="O2671" t="s">
        <v>101</v>
      </c>
      <c r="P2671" t="s">
        <v>2786</v>
      </c>
      <c r="Q2671" t="s">
        <v>2454</v>
      </c>
      <c r="R2671" t="s">
        <v>2726</v>
      </c>
    </row>
    <row r="2672" spans="1:18" x14ac:dyDescent="0.5">
      <c r="A2672" t="str">
        <f>"06368FAJ8"</f>
        <v>06368FAJ8</v>
      </c>
      <c r="B2672" t="s">
        <v>101</v>
      </c>
      <c r="C2672" t="s">
        <v>3373</v>
      </c>
      <c r="D2672" t="s">
        <v>2433</v>
      </c>
      <c r="E2672">
        <v>2.65</v>
      </c>
      <c r="F2672" s="2">
        <v>46454</v>
      </c>
      <c r="G2672" s="2" t="s">
        <v>101</v>
      </c>
      <c r="H2672" t="s">
        <v>610</v>
      </c>
      <c r="I2672" t="s">
        <v>713</v>
      </c>
      <c r="J2672">
        <v>96.646000000000001</v>
      </c>
      <c r="K2672">
        <v>96.816999999999993</v>
      </c>
      <c r="L2672">
        <v>4.43</v>
      </c>
      <c r="M2672">
        <v>4.3380000000000001</v>
      </c>
      <c r="N2672">
        <v>4.3380000000000001</v>
      </c>
      <c r="O2672" t="s">
        <v>101</v>
      </c>
      <c r="P2672" t="s">
        <v>2472</v>
      </c>
      <c r="Q2672" t="s">
        <v>2774</v>
      </c>
      <c r="R2672" t="s">
        <v>2436</v>
      </c>
    </row>
    <row r="2673" spans="1:18" x14ac:dyDescent="0.5">
      <c r="A2673" t="str">
        <f>"24422EWD7"</f>
        <v>24422EWD7</v>
      </c>
      <c r="B2673" t="s">
        <v>101</v>
      </c>
      <c r="C2673" t="s">
        <v>3374</v>
      </c>
      <c r="D2673" t="s">
        <v>2433</v>
      </c>
      <c r="E2673">
        <v>2.35</v>
      </c>
      <c r="F2673" s="2">
        <v>46454</v>
      </c>
      <c r="G2673" s="2" t="s">
        <v>105</v>
      </c>
      <c r="H2673" t="s">
        <v>641</v>
      </c>
      <c r="I2673" t="s">
        <v>611</v>
      </c>
      <c r="J2673">
        <v>96.262</v>
      </c>
      <c r="K2673">
        <v>96.481999999999999</v>
      </c>
      <c r="L2673">
        <v>4.3319999999999999</v>
      </c>
      <c r="M2673">
        <v>4.2119999999999997</v>
      </c>
      <c r="N2673">
        <v>4.2119999999999997</v>
      </c>
      <c r="O2673" t="s">
        <v>101</v>
      </c>
      <c r="P2673" t="s">
        <v>2774</v>
      </c>
      <c r="Q2673" t="s">
        <v>2507</v>
      </c>
      <c r="R2673" t="s">
        <v>2465</v>
      </c>
    </row>
    <row r="2674" spans="1:18" x14ac:dyDescent="0.5">
      <c r="A2674" t="str">
        <f>"961214DK6"</f>
        <v>961214DK6</v>
      </c>
      <c r="B2674" t="s">
        <v>101</v>
      </c>
      <c r="C2674" t="s">
        <v>3375</v>
      </c>
      <c r="D2674" t="s">
        <v>2433</v>
      </c>
      <c r="E2674">
        <v>3.35</v>
      </c>
      <c r="F2674" s="2">
        <v>46454</v>
      </c>
      <c r="G2674" s="2" t="s">
        <v>101</v>
      </c>
      <c r="H2674" t="s">
        <v>613</v>
      </c>
      <c r="I2674" t="s">
        <v>616</v>
      </c>
      <c r="J2674">
        <v>98.093000000000004</v>
      </c>
      <c r="K2674">
        <v>98.236000000000004</v>
      </c>
      <c r="L2674">
        <v>4.3609999999999998</v>
      </c>
      <c r="M2674">
        <v>4.2850000000000001</v>
      </c>
      <c r="N2674">
        <v>4.2850000000000001</v>
      </c>
      <c r="O2674" t="s">
        <v>101</v>
      </c>
      <c r="P2674" t="s">
        <v>2795</v>
      </c>
      <c r="Q2674" t="s">
        <v>2776</v>
      </c>
      <c r="R2674" t="s">
        <v>2436</v>
      </c>
    </row>
    <row r="2675" spans="1:18" x14ac:dyDescent="0.5">
      <c r="A2675" t="str">
        <f>"24422EVF3"</f>
        <v>24422EVF3</v>
      </c>
      <c r="B2675" t="s">
        <v>101</v>
      </c>
      <c r="C2675" t="s">
        <v>3376</v>
      </c>
      <c r="D2675" t="s">
        <v>2433</v>
      </c>
      <c r="E2675">
        <v>1.75</v>
      </c>
      <c r="F2675" s="2">
        <v>46455</v>
      </c>
      <c r="G2675" s="2" t="s">
        <v>105</v>
      </c>
      <c r="H2675" t="s">
        <v>641</v>
      </c>
      <c r="I2675" t="s">
        <v>611</v>
      </c>
      <c r="J2675">
        <v>95.114000000000004</v>
      </c>
      <c r="K2675">
        <v>95.216999999999999</v>
      </c>
      <c r="L2675">
        <v>4.3369999999999997</v>
      </c>
      <c r="M2675">
        <v>4.2809999999999997</v>
      </c>
      <c r="N2675">
        <v>4.2809999999999997</v>
      </c>
      <c r="O2675" t="s">
        <v>101</v>
      </c>
      <c r="P2675" t="s">
        <v>858</v>
      </c>
      <c r="Q2675" t="s">
        <v>2507</v>
      </c>
      <c r="R2675" t="s">
        <v>2465</v>
      </c>
    </row>
    <row r="2676" spans="1:18" x14ac:dyDescent="0.5">
      <c r="A2676" t="str">
        <f>"438127AB8"</f>
        <v>438127AB8</v>
      </c>
      <c r="B2676" t="s">
        <v>101</v>
      </c>
      <c r="C2676" t="s">
        <v>3377</v>
      </c>
      <c r="D2676" t="s">
        <v>2433</v>
      </c>
      <c r="E2676">
        <v>2.5339999999999998</v>
      </c>
      <c r="F2676" s="2">
        <v>46456</v>
      </c>
      <c r="G2676" s="2">
        <v>46428</v>
      </c>
      <c r="H2676" t="s">
        <v>627</v>
      </c>
      <c r="I2676" t="s">
        <v>713</v>
      </c>
      <c r="J2676">
        <v>96.2</v>
      </c>
      <c r="K2676">
        <v>96.341999999999999</v>
      </c>
      <c r="L2676">
        <v>4.5490000000000004</v>
      </c>
      <c r="M2676">
        <v>4.4710000000000001</v>
      </c>
      <c r="N2676">
        <v>4.4710000000000001</v>
      </c>
      <c r="O2676" t="s">
        <v>101</v>
      </c>
      <c r="P2676" t="s">
        <v>858</v>
      </c>
      <c r="Q2676" t="s">
        <v>2581</v>
      </c>
      <c r="R2676" t="s">
        <v>2436</v>
      </c>
    </row>
    <row r="2677" spans="1:18" x14ac:dyDescent="0.5">
      <c r="A2677" t="str">
        <f>"89114TZT2"</f>
        <v>89114TZT2</v>
      </c>
      <c r="B2677" t="s">
        <v>101</v>
      </c>
      <c r="C2677" t="s">
        <v>3378</v>
      </c>
      <c r="D2677" t="s">
        <v>2433</v>
      </c>
      <c r="E2677">
        <v>2.8</v>
      </c>
      <c r="F2677" s="2">
        <v>46456</v>
      </c>
      <c r="G2677" s="2" t="s">
        <v>101</v>
      </c>
      <c r="H2677" t="s">
        <v>610</v>
      </c>
      <c r="I2677" t="s">
        <v>713</v>
      </c>
      <c r="J2677">
        <v>96.66</v>
      </c>
      <c r="K2677">
        <v>96.826999999999998</v>
      </c>
      <c r="L2677">
        <v>4.5709999999999997</v>
      </c>
      <c r="M2677">
        <v>4.4809999999999999</v>
      </c>
      <c r="N2677">
        <v>4.4809999999999999</v>
      </c>
      <c r="O2677" t="s">
        <v>101</v>
      </c>
      <c r="P2677" t="s">
        <v>2581</v>
      </c>
      <c r="Q2677" t="s">
        <v>2454</v>
      </c>
      <c r="R2677" t="s">
        <v>2436</v>
      </c>
    </row>
    <row r="2678" spans="1:18" x14ac:dyDescent="0.5">
      <c r="A2678" t="str">
        <f>"06418BAE8"</f>
        <v>06418BAE8</v>
      </c>
      <c r="B2678" t="s">
        <v>101</v>
      </c>
      <c r="C2678" t="s">
        <v>3379</v>
      </c>
      <c r="D2678" t="s">
        <v>2433</v>
      </c>
      <c r="E2678">
        <v>2.9510000000000001</v>
      </c>
      <c r="F2678" s="2">
        <v>46457</v>
      </c>
      <c r="G2678" s="2" t="s">
        <v>101</v>
      </c>
      <c r="H2678" t="s">
        <v>610</v>
      </c>
      <c r="I2678" t="s">
        <v>713</v>
      </c>
      <c r="J2678">
        <v>96.926000000000002</v>
      </c>
      <c r="K2678">
        <v>97.085999999999999</v>
      </c>
      <c r="L2678">
        <v>4.5789999999999997</v>
      </c>
      <c r="M2678">
        <v>4.4930000000000003</v>
      </c>
      <c r="N2678">
        <v>4.4930000000000003</v>
      </c>
      <c r="O2678" t="s">
        <v>101</v>
      </c>
      <c r="P2678" t="s">
        <v>2454</v>
      </c>
      <c r="Q2678" t="s">
        <v>2525</v>
      </c>
      <c r="R2678" t="s">
        <v>2436</v>
      </c>
    </row>
    <row r="2679" spans="1:18" x14ac:dyDescent="0.5">
      <c r="A2679" t="str">
        <f>"02665WFD8"</f>
        <v>02665WFD8</v>
      </c>
      <c r="B2679" t="s">
        <v>101</v>
      </c>
      <c r="C2679" t="s">
        <v>3380</v>
      </c>
      <c r="D2679" t="s">
        <v>2433</v>
      </c>
      <c r="E2679">
        <v>4.9000000000000004</v>
      </c>
      <c r="F2679" s="2">
        <v>46458</v>
      </c>
      <c r="G2679" s="2" t="s">
        <v>101</v>
      </c>
      <c r="H2679" t="s">
        <v>627</v>
      </c>
      <c r="I2679" t="s">
        <v>713</v>
      </c>
      <c r="J2679">
        <v>100.535</v>
      </c>
      <c r="K2679">
        <v>100.71599999999999</v>
      </c>
      <c r="L2679">
        <v>4.617</v>
      </c>
      <c r="M2679">
        <v>4.5220000000000002</v>
      </c>
      <c r="N2679">
        <v>4.5220000000000002</v>
      </c>
      <c r="O2679" t="s">
        <v>101</v>
      </c>
      <c r="P2679" t="s">
        <v>2454</v>
      </c>
      <c r="Q2679" t="s">
        <v>2581</v>
      </c>
      <c r="R2679" t="s">
        <v>2436</v>
      </c>
    </row>
    <row r="2680" spans="1:18" x14ac:dyDescent="0.5">
      <c r="A2680" t="str">
        <f>"00287YDR7"</f>
        <v>00287YDR7</v>
      </c>
      <c r="B2680" t="s">
        <v>101</v>
      </c>
      <c r="C2680" t="s">
        <v>3381</v>
      </c>
      <c r="D2680" t="s">
        <v>2433</v>
      </c>
      <c r="E2680">
        <v>4.8</v>
      </c>
      <c r="F2680" s="2">
        <v>46461</v>
      </c>
      <c r="G2680" s="2">
        <v>46433</v>
      </c>
      <c r="H2680" t="s">
        <v>627</v>
      </c>
      <c r="I2680" t="s">
        <v>713</v>
      </c>
      <c r="J2680">
        <v>100.759</v>
      </c>
      <c r="K2680">
        <v>100.852</v>
      </c>
      <c r="L2680">
        <v>4.3860000000000001</v>
      </c>
      <c r="M2680">
        <v>4.335</v>
      </c>
      <c r="N2680">
        <v>4.3520000000000003</v>
      </c>
      <c r="O2680" t="s">
        <v>101</v>
      </c>
      <c r="P2680" t="s">
        <v>2581</v>
      </c>
      <c r="Q2680" t="s">
        <v>2454</v>
      </c>
      <c r="R2680" t="s">
        <v>2436</v>
      </c>
    </row>
    <row r="2681" spans="1:18" x14ac:dyDescent="0.5">
      <c r="A2681" t="str">
        <f>"084664CZ2"</f>
        <v>084664CZ2</v>
      </c>
      <c r="B2681" t="s">
        <v>101</v>
      </c>
      <c r="C2681" t="s">
        <v>3382</v>
      </c>
      <c r="D2681" t="s">
        <v>2433</v>
      </c>
      <c r="E2681">
        <v>2.2999999999999998</v>
      </c>
      <c r="F2681" s="2">
        <v>46461</v>
      </c>
      <c r="G2681" s="2">
        <v>46433</v>
      </c>
      <c r="H2681" t="s">
        <v>613</v>
      </c>
      <c r="I2681" t="s">
        <v>628</v>
      </c>
      <c r="J2681">
        <v>96.394000000000005</v>
      </c>
      <c r="K2681">
        <v>96.504000000000005</v>
      </c>
      <c r="L2681">
        <v>4.1909999999999998</v>
      </c>
      <c r="M2681">
        <v>4.1319999999999997</v>
      </c>
      <c r="N2681">
        <v>4.1319999999999997</v>
      </c>
      <c r="O2681" t="s">
        <v>101</v>
      </c>
      <c r="P2681" t="s">
        <v>2447</v>
      </c>
      <c r="Q2681" t="s">
        <v>3383</v>
      </c>
      <c r="R2681" t="s">
        <v>2436</v>
      </c>
    </row>
    <row r="2682" spans="1:18" x14ac:dyDescent="0.5">
      <c r="A2682" t="str">
        <f>"09247XAN1"</f>
        <v>09247XAN1</v>
      </c>
      <c r="B2682" t="s">
        <v>101</v>
      </c>
      <c r="C2682" t="s">
        <v>3384</v>
      </c>
      <c r="D2682" t="s">
        <v>2433</v>
      </c>
      <c r="E2682">
        <v>3.2</v>
      </c>
      <c r="F2682" s="2">
        <v>46461</v>
      </c>
      <c r="G2682" s="2" t="s">
        <v>101</v>
      </c>
      <c r="H2682" t="s">
        <v>624</v>
      </c>
      <c r="I2682" t="s">
        <v>616</v>
      </c>
      <c r="J2682">
        <v>97.938000000000002</v>
      </c>
      <c r="K2682">
        <v>98.105999999999995</v>
      </c>
      <c r="L2682">
        <v>4.282</v>
      </c>
      <c r="M2682">
        <v>4.1929999999999996</v>
      </c>
      <c r="N2682">
        <v>4.1929999999999996</v>
      </c>
      <c r="O2682" t="s">
        <v>101</v>
      </c>
      <c r="P2682" t="s">
        <v>3241</v>
      </c>
      <c r="Q2682" t="s">
        <v>2454</v>
      </c>
      <c r="R2682" t="s">
        <v>2436</v>
      </c>
    </row>
    <row r="2683" spans="1:18" x14ac:dyDescent="0.5">
      <c r="A2683" t="str">
        <f>"207597EJ0"</f>
        <v>207597EJ0</v>
      </c>
      <c r="B2683" t="s">
        <v>101</v>
      </c>
      <c r="C2683" t="s">
        <v>3385</v>
      </c>
      <c r="D2683" t="s">
        <v>2433</v>
      </c>
      <c r="E2683">
        <v>3.2</v>
      </c>
      <c r="F2683" s="2">
        <v>46461</v>
      </c>
      <c r="G2683" s="2">
        <v>46371</v>
      </c>
      <c r="H2683" t="s">
        <v>641</v>
      </c>
      <c r="I2683" t="s">
        <v>611</v>
      </c>
      <c r="J2683">
        <v>97.552999999999997</v>
      </c>
      <c r="K2683">
        <v>97.716999999999999</v>
      </c>
      <c r="L2683">
        <v>4.4880000000000004</v>
      </c>
      <c r="M2683">
        <v>4.4000000000000004</v>
      </c>
      <c r="N2683">
        <v>4.4000000000000004</v>
      </c>
      <c r="O2683" t="s">
        <v>101</v>
      </c>
      <c r="P2683" t="s">
        <v>3386</v>
      </c>
      <c r="Q2683" t="s">
        <v>810</v>
      </c>
      <c r="R2683" t="s">
        <v>2436</v>
      </c>
    </row>
    <row r="2684" spans="1:18" x14ac:dyDescent="0.5">
      <c r="A2684" t="str">
        <f>"532457AZ1"</f>
        <v>532457AZ1</v>
      </c>
      <c r="B2684" t="s">
        <v>101</v>
      </c>
      <c r="C2684" t="s">
        <v>3387</v>
      </c>
      <c r="D2684" t="s">
        <v>2433</v>
      </c>
      <c r="E2684">
        <v>5.5</v>
      </c>
      <c r="F2684" s="2">
        <v>46461</v>
      </c>
      <c r="G2684" s="2" t="s">
        <v>101</v>
      </c>
      <c r="H2684" t="s">
        <v>624</v>
      </c>
      <c r="I2684" t="s">
        <v>658</v>
      </c>
      <c r="J2684">
        <v>102.46599999999999</v>
      </c>
      <c r="K2684">
        <v>102.78100000000001</v>
      </c>
      <c r="L2684">
        <v>4.2060000000000004</v>
      </c>
      <c r="M2684">
        <v>4.0439999999999996</v>
      </c>
      <c r="N2684">
        <v>4.0439999999999996</v>
      </c>
      <c r="O2684" t="s">
        <v>101</v>
      </c>
      <c r="P2684" t="s">
        <v>3178</v>
      </c>
      <c r="Q2684" t="s">
        <v>2454</v>
      </c>
      <c r="R2684" t="s">
        <v>2436</v>
      </c>
    </row>
    <row r="2685" spans="1:18" x14ac:dyDescent="0.5">
      <c r="A2685" t="str">
        <f>"29736RAJ9"</f>
        <v>29736RAJ9</v>
      </c>
      <c r="B2685" t="s">
        <v>101</v>
      </c>
      <c r="C2685" t="s">
        <v>3388</v>
      </c>
      <c r="D2685" t="s">
        <v>2433</v>
      </c>
      <c r="E2685">
        <v>3.15</v>
      </c>
      <c r="F2685" s="2">
        <v>46461</v>
      </c>
      <c r="G2685" s="2">
        <v>46371</v>
      </c>
      <c r="H2685" t="s">
        <v>610</v>
      </c>
      <c r="I2685" t="s">
        <v>713</v>
      </c>
      <c r="J2685">
        <v>97.367000000000004</v>
      </c>
      <c r="K2685">
        <v>97.575999999999993</v>
      </c>
      <c r="L2685">
        <v>4.5359999999999996</v>
      </c>
      <c r="M2685">
        <v>4.4249999999999998</v>
      </c>
      <c r="N2685">
        <v>4.4249999999999998</v>
      </c>
      <c r="O2685" t="s">
        <v>101</v>
      </c>
      <c r="P2685" t="s">
        <v>1391</v>
      </c>
      <c r="Q2685" t="s">
        <v>3103</v>
      </c>
      <c r="R2685" t="s">
        <v>2436</v>
      </c>
    </row>
    <row r="2686" spans="1:18" x14ac:dyDescent="0.5">
      <c r="A2686" t="str">
        <f>"743315AY9"</f>
        <v>743315AY9</v>
      </c>
      <c r="B2686" t="s">
        <v>101</v>
      </c>
      <c r="C2686" t="s">
        <v>3389</v>
      </c>
      <c r="D2686" t="s">
        <v>2433</v>
      </c>
      <c r="E2686">
        <v>2.5</v>
      </c>
      <c r="F2686" s="2">
        <v>46461</v>
      </c>
      <c r="G2686" s="2">
        <v>46433</v>
      </c>
      <c r="H2686" t="s">
        <v>610</v>
      </c>
      <c r="I2686" t="s">
        <v>611</v>
      </c>
      <c r="J2686">
        <v>96.438999999999993</v>
      </c>
      <c r="K2686">
        <v>96.632999999999996</v>
      </c>
      <c r="L2686">
        <v>4.3710000000000004</v>
      </c>
      <c r="M2686">
        <v>4.2670000000000003</v>
      </c>
      <c r="N2686">
        <v>4.2670000000000003</v>
      </c>
      <c r="O2686" t="s">
        <v>101</v>
      </c>
      <c r="P2686" t="s">
        <v>2447</v>
      </c>
      <c r="Q2686" t="s">
        <v>2747</v>
      </c>
      <c r="R2686" t="s">
        <v>2436</v>
      </c>
    </row>
    <row r="2687" spans="1:18" x14ac:dyDescent="0.5">
      <c r="A2687" t="str">
        <f>"857477CL5"</f>
        <v>857477CL5</v>
      </c>
      <c r="B2687" t="s">
        <v>101</v>
      </c>
      <c r="C2687" t="s">
        <v>3390</v>
      </c>
      <c r="D2687" t="s">
        <v>2433</v>
      </c>
      <c r="E2687">
        <v>4.9930000000000003</v>
      </c>
      <c r="F2687" s="2">
        <v>46464</v>
      </c>
      <c r="G2687" s="2">
        <v>46436</v>
      </c>
      <c r="H2687" t="s">
        <v>624</v>
      </c>
      <c r="I2687" t="s">
        <v>611</v>
      </c>
      <c r="J2687">
        <v>101.021</v>
      </c>
      <c r="K2687">
        <v>101.193</v>
      </c>
      <c r="L2687">
        <v>4.4379999999999997</v>
      </c>
      <c r="M2687">
        <v>4.3440000000000003</v>
      </c>
      <c r="N2687">
        <v>4.3680000000000003</v>
      </c>
      <c r="O2687" t="s">
        <v>101</v>
      </c>
      <c r="P2687" t="s">
        <v>2438</v>
      </c>
      <c r="Q2687" t="s">
        <v>2454</v>
      </c>
      <c r="R2687" t="s">
        <v>2436</v>
      </c>
    </row>
    <row r="2688" spans="1:18" x14ac:dyDescent="0.5">
      <c r="A2688" t="str">
        <f>"30231GBJ0"</f>
        <v>30231GBJ0</v>
      </c>
      <c r="B2688" t="s">
        <v>101</v>
      </c>
      <c r="C2688" t="s">
        <v>3391</v>
      </c>
      <c r="D2688" t="s">
        <v>2433</v>
      </c>
      <c r="E2688">
        <v>3.294</v>
      </c>
      <c r="F2688" s="2">
        <v>46465</v>
      </c>
      <c r="G2688" s="2">
        <v>46406</v>
      </c>
      <c r="H2688" t="s">
        <v>613</v>
      </c>
      <c r="I2688" t="s">
        <v>616</v>
      </c>
      <c r="J2688">
        <v>98.284000000000006</v>
      </c>
      <c r="K2688">
        <v>98.397000000000006</v>
      </c>
      <c r="L2688">
        <v>4.1890000000000001</v>
      </c>
      <c r="M2688">
        <v>4.1289999999999996</v>
      </c>
      <c r="N2688">
        <v>4.1289999999999996</v>
      </c>
      <c r="O2688" t="s">
        <v>101</v>
      </c>
      <c r="P2688" t="s">
        <v>3392</v>
      </c>
      <c r="Q2688" t="s">
        <v>2581</v>
      </c>
      <c r="R2688" t="s">
        <v>2436</v>
      </c>
    </row>
    <row r="2689" spans="1:18" x14ac:dyDescent="0.5">
      <c r="A2689" t="str">
        <f>"713448ER5"</f>
        <v>713448ER5</v>
      </c>
      <c r="B2689" t="s">
        <v>101</v>
      </c>
      <c r="C2689" t="s">
        <v>3393</v>
      </c>
      <c r="D2689" t="s">
        <v>2433</v>
      </c>
      <c r="E2689">
        <v>2.625</v>
      </c>
      <c r="F2689" s="2">
        <v>46465</v>
      </c>
      <c r="G2689" s="2">
        <v>46406</v>
      </c>
      <c r="H2689" t="s">
        <v>641</v>
      </c>
      <c r="I2689" t="s">
        <v>658</v>
      </c>
      <c r="J2689">
        <v>96.962000000000003</v>
      </c>
      <c r="K2689">
        <v>97.198999999999998</v>
      </c>
      <c r="L2689">
        <v>4.21</v>
      </c>
      <c r="M2689">
        <v>4.0839999999999996</v>
      </c>
      <c r="N2689">
        <v>4.0839999999999996</v>
      </c>
      <c r="O2689" t="s">
        <v>101</v>
      </c>
      <c r="P2689" t="s">
        <v>3178</v>
      </c>
      <c r="Q2689" t="s">
        <v>2454</v>
      </c>
      <c r="R2689" t="s">
        <v>2436</v>
      </c>
    </row>
    <row r="2690" spans="1:18" x14ac:dyDescent="0.5">
      <c r="A2690" t="str">
        <f>"89236TLY9"</f>
        <v>89236TLY9</v>
      </c>
      <c r="B2690" t="s">
        <v>101</v>
      </c>
      <c r="C2690" t="s">
        <v>3394</v>
      </c>
      <c r="D2690" t="s">
        <v>2433</v>
      </c>
      <c r="E2690">
        <v>5</v>
      </c>
      <c r="F2690" s="2">
        <v>46465</v>
      </c>
      <c r="G2690" s="2" t="s">
        <v>105</v>
      </c>
      <c r="H2690" t="s">
        <v>641</v>
      </c>
      <c r="I2690" t="s">
        <v>658</v>
      </c>
      <c r="J2690">
        <v>101.099</v>
      </c>
      <c r="K2690">
        <v>101.321</v>
      </c>
      <c r="L2690">
        <v>4.4249999999999998</v>
      </c>
      <c r="M2690">
        <v>4.3090000000000002</v>
      </c>
      <c r="N2690">
        <v>4.3090000000000002</v>
      </c>
      <c r="O2690" t="s">
        <v>101</v>
      </c>
      <c r="P2690" t="s">
        <v>2438</v>
      </c>
      <c r="Q2690" t="s">
        <v>2581</v>
      </c>
      <c r="R2690" t="s">
        <v>2465</v>
      </c>
    </row>
    <row r="2691" spans="1:18" x14ac:dyDescent="0.5">
      <c r="A2691" t="str">
        <f>"89236TJZ9"</f>
        <v>89236TJZ9</v>
      </c>
      <c r="B2691" t="s">
        <v>101</v>
      </c>
      <c r="C2691" t="s">
        <v>3395</v>
      </c>
      <c r="D2691" t="s">
        <v>2433</v>
      </c>
      <c r="E2691">
        <v>3.05</v>
      </c>
      <c r="F2691" s="2">
        <v>46468</v>
      </c>
      <c r="G2691" s="2" t="s">
        <v>101</v>
      </c>
      <c r="H2691" t="s">
        <v>641</v>
      </c>
      <c r="I2691" t="s">
        <v>658</v>
      </c>
      <c r="J2691">
        <v>97.409000000000006</v>
      </c>
      <c r="K2691">
        <v>97.602999999999994</v>
      </c>
      <c r="L2691">
        <v>4.399</v>
      </c>
      <c r="M2691">
        <v>4.2969999999999997</v>
      </c>
      <c r="N2691">
        <v>4.2969999999999997</v>
      </c>
      <c r="O2691" t="s">
        <v>101</v>
      </c>
      <c r="P2691" t="s">
        <v>2595</v>
      </c>
      <c r="Q2691" t="s">
        <v>2786</v>
      </c>
      <c r="R2691" t="s">
        <v>2436</v>
      </c>
    </row>
    <row r="2692" spans="1:18" x14ac:dyDescent="0.5">
      <c r="A2692" t="str">
        <f>"254687FP6"</f>
        <v>254687FP6</v>
      </c>
      <c r="B2692" t="s">
        <v>101</v>
      </c>
      <c r="C2692" t="s">
        <v>3396</v>
      </c>
      <c r="D2692" t="s">
        <v>2433</v>
      </c>
      <c r="E2692">
        <v>3.7</v>
      </c>
      <c r="F2692" s="2">
        <v>46469</v>
      </c>
      <c r="G2692" s="2" t="s">
        <v>101</v>
      </c>
      <c r="H2692" t="s">
        <v>610</v>
      </c>
      <c r="I2692" t="s">
        <v>611</v>
      </c>
      <c r="J2692">
        <v>98.575000000000003</v>
      </c>
      <c r="K2692">
        <v>98.692999999999998</v>
      </c>
      <c r="L2692">
        <v>4.4409999999999998</v>
      </c>
      <c r="M2692">
        <v>4.3789999999999996</v>
      </c>
      <c r="N2692">
        <v>4.3789999999999996</v>
      </c>
      <c r="O2692" t="s">
        <v>101</v>
      </c>
      <c r="P2692" t="s">
        <v>2447</v>
      </c>
      <c r="Q2692" t="s">
        <v>2581</v>
      </c>
      <c r="R2692" t="s">
        <v>2436</v>
      </c>
    </row>
    <row r="2693" spans="1:18" x14ac:dyDescent="0.5">
      <c r="A2693" t="str">
        <f>"191216CR9"</f>
        <v>191216CR9</v>
      </c>
      <c r="B2693" t="s">
        <v>101</v>
      </c>
      <c r="C2693" t="s">
        <v>3397</v>
      </c>
      <c r="D2693" t="s">
        <v>2433</v>
      </c>
      <c r="E2693">
        <v>3.375</v>
      </c>
      <c r="F2693" s="2">
        <v>46471</v>
      </c>
      <c r="G2693" s="2" t="s">
        <v>101</v>
      </c>
      <c r="H2693" t="s">
        <v>641</v>
      </c>
      <c r="I2693" t="s">
        <v>658</v>
      </c>
      <c r="J2693">
        <v>98.314999999999998</v>
      </c>
      <c r="K2693">
        <v>98.41</v>
      </c>
      <c r="L2693">
        <v>4.2469999999999999</v>
      </c>
      <c r="M2693">
        <v>4.1970000000000001</v>
      </c>
      <c r="N2693">
        <v>4.1970000000000001</v>
      </c>
      <c r="O2693" t="s">
        <v>101</v>
      </c>
      <c r="P2693" t="s">
        <v>2786</v>
      </c>
      <c r="Q2693" t="s">
        <v>2581</v>
      </c>
      <c r="R2693" t="s">
        <v>2436</v>
      </c>
    </row>
    <row r="2694" spans="1:18" x14ac:dyDescent="0.5">
      <c r="A2694" t="str">
        <f>"742718FG9"</f>
        <v>742718FG9</v>
      </c>
      <c r="B2694" t="s">
        <v>101</v>
      </c>
      <c r="C2694" t="s">
        <v>3398</v>
      </c>
      <c r="D2694" t="s">
        <v>2433</v>
      </c>
      <c r="E2694">
        <v>2.8</v>
      </c>
      <c r="F2694" s="2">
        <v>46471</v>
      </c>
      <c r="G2694" s="2" t="s">
        <v>101</v>
      </c>
      <c r="H2694" t="s">
        <v>624</v>
      </c>
      <c r="I2694" t="s">
        <v>616</v>
      </c>
      <c r="J2694">
        <v>97.353999999999999</v>
      </c>
      <c r="K2694">
        <v>97.488</v>
      </c>
      <c r="L2694">
        <v>4.1680000000000001</v>
      </c>
      <c r="M2694">
        <v>4.0979999999999999</v>
      </c>
      <c r="N2694">
        <v>4.0979999999999999</v>
      </c>
      <c r="O2694" t="s">
        <v>101</v>
      </c>
      <c r="P2694" t="s">
        <v>2438</v>
      </c>
      <c r="Q2694" t="s">
        <v>3399</v>
      </c>
      <c r="R2694" t="s">
        <v>2436</v>
      </c>
    </row>
    <row r="2695" spans="1:18" x14ac:dyDescent="0.5">
      <c r="A2695" t="str">
        <f>"57636QAR5"</f>
        <v>57636QAR5</v>
      </c>
      <c r="B2695" t="s">
        <v>101</v>
      </c>
      <c r="C2695" t="s">
        <v>3400</v>
      </c>
      <c r="D2695" t="s">
        <v>2433</v>
      </c>
      <c r="E2695">
        <v>3.3</v>
      </c>
      <c r="F2695" s="2">
        <v>46472</v>
      </c>
      <c r="G2695" s="2">
        <v>46413</v>
      </c>
      <c r="H2695" t="s">
        <v>624</v>
      </c>
      <c r="I2695" t="s">
        <v>658</v>
      </c>
      <c r="J2695">
        <v>98.08</v>
      </c>
      <c r="K2695">
        <v>98.242000000000004</v>
      </c>
      <c r="L2695">
        <v>4.2930000000000001</v>
      </c>
      <c r="M2695">
        <v>4.2080000000000002</v>
      </c>
      <c r="N2695">
        <v>4.2080000000000002</v>
      </c>
      <c r="O2695" t="s">
        <v>101</v>
      </c>
      <c r="P2695" t="s">
        <v>3401</v>
      </c>
      <c r="Q2695" t="s">
        <v>2581</v>
      </c>
      <c r="R2695" t="s">
        <v>2436</v>
      </c>
    </row>
    <row r="2696" spans="1:18" x14ac:dyDescent="0.5">
      <c r="A2696" t="str">
        <f>"654106AJ2"</f>
        <v>654106AJ2</v>
      </c>
      <c r="B2696" t="s">
        <v>101</v>
      </c>
      <c r="C2696" t="s">
        <v>3402</v>
      </c>
      <c r="D2696" t="s">
        <v>2433</v>
      </c>
      <c r="E2696">
        <v>2.75</v>
      </c>
      <c r="F2696" s="2">
        <v>46473</v>
      </c>
      <c r="G2696" s="2">
        <v>46414</v>
      </c>
      <c r="H2696" t="s">
        <v>641</v>
      </c>
      <c r="I2696" t="s">
        <v>616</v>
      </c>
      <c r="J2696">
        <v>97.105000000000004</v>
      </c>
      <c r="K2696">
        <v>97.12</v>
      </c>
      <c r="L2696">
        <v>4.2450000000000001</v>
      </c>
      <c r="M2696">
        <v>4.2370000000000001</v>
      </c>
      <c r="N2696">
        <v>4.2370000000000001</v>
      </c>
      <c r="O2696" t="s">
        <v>101</v>
      </c>
      <c r="P2696" t="s">
        <v>1391</v>
      </c>
      <c r="Q2696" t="s">
        <v>2447</v>
      </c>
      <c r="R2696" t="s">
        <v>2436</v>
      </c>
    </row>
    <row r="2697" spans="1:18" x14ac:dyDescent="0.5">
      <c r="A2697" t="str">
        <f>"456837AH6"</f>
        <v>456837AH6</v>
      </c>
      <c r="B2697" t="s">
        <v>101</v>
      </c>
      <c r="C2697" t="s">
        <v>3403</v>
      </c>
      <c r="D2697" t="s">
        <v>2433</v>
      </c>
      <c r="E2697">
        <v>3.95</v>
      </c>
      <c r="F2697" s="2">
        <v>46475</v>
      </c>
      <c r="G2697" s="2" t="s">
        <v>101</v>
      </c>
      <c r="H2697" t="s">
        <v>670</v>
      </c>
      <c r="I2697" t="s">
        <v>713</v>
      </c>
      <c r="J2697">
        <v>98.822000000000003</v>
      </c>
      <c r="K2697">
        <v>98.944999999999993</v>
      </c>
      <c r="L2697">
        <v>4.5579999999999998</v>
      </c>
      <c r="M2697">
        <v>4.4939999999999998</v>
      </c>
      <c r="N2697">
        <v>4.4939999999999998</v>
      </c>
      <c r="O2697" t="s">
        <v>101</v>
      </c>
      <c r="P2697" t="s">
        <v>542</v>
      </c>
      <c r="Q2697" t="s">
        <v>2687</v>
      </c>
      <c r="R2697" t="s">
        <v>2436</v>
      </c>
    </row>
    <row r="2698" spans="1:18" x14ac:dyDescent="0.5">
      <c r="A2698" t="str">
        <f>"373334KH3"</f>
        <v>373334KH3</v>
      </c>
      <c r="B2698" t="s">
        <v>101</v>
      </c>
      <c r="C2698" t="s">
        <v>3404</v>
      </c>
      <c r="D2698" t="s">
        <v>2433</v>
      </c>
      <c r="E2698">
        <v>3.25</v>
      </c>
      <c r="F2698" s="2">
        <v>46476</v>
      </c>
      <c r="G2698" s="2">
        <v>46386</v>
      </c>
      <c r="H2698" t="s">
        <v>627</v>
      </c>
      <c r="I2698" t="s">
        <v>611</v>
      </c>
      <c r="J2698">
        <v>97.602000000000004</v>
      </c>
      <c r="K2698">
        <v>97.738</v>
      </c>
      <c r="L2698">
        <v>4.4870000000000001</v>
      </c>
      <c r="M2698">
        <v>4.415</v>
      </c>
      <c r="N2698">
        <v>4.415</v>
      </c>
      <c r="O2698" t="s">
        <v>101</v>
      </c>
      <c r="P2698" t="s">
        <v>3401</v>
      </c>
      <c r="Q2698" t="s">
        <v>2776</v>
      </c>
      <c r="R2698" t="s">
        <v>2436</v>
      </c>
    </row>
    <row r="2699" spans="1:18" x14ac:dyDescent="0.5">
      <c r="A2699" t="str">
        <f>"440452AK6"</f>
        <v>440452AK6</v>
      </c>
      <c r="B2699" t="s">
        <v>101</v>
      </c>
      <c r="C2699" t="s">
        <v>3405</v>
      </c>
      <c r="D2699" t="s">
        <v>2433</v>
      </c>
      <c r="E2699">
        <v>4.8</v>
      </c>
      <c r="F2699" s="2">
        <v>46476</v>
      </c>
      <c r="G2699" s="2">
        <v>46446</v>
      </c>
      <c r="H2699" t="s">
        <v>641</v>
      </c>
      <c r="I2699" t="s">
        <v>713</v>
      </c>
      <c r="J2699">
        <v>100.523</v>
      </c>
      <c r="K2699">
        <v>100.76300000000001</v>
      </c>
      <c r="L2699">
        <v>4.5119999999999996</v>
      </c>
      <c r="M2699">
        <v>4.3840000000000003</v>
      </c>
      <c r="N2699">
        <v>4.4050000000000002</v>
      </c>
      <c r="O2699" t="s">
        <v>101</v>
      </c>
      <c r="P2699" t="s">
        <v>3406</v>
      </c>
      <c r="Q2699" t="s">
        <v>2628</v>
      </c>
      <c r="R2699" t="s">
        <v>2436</v>
      </c>
    </row>
    <row r="2700" spans="1:18" x14ac:dyDescent="0.5">
      <c r="A2700" t="str">
        <f>"038222AL9"</f>
        <v>038222AL9</v>
      </c>
      <c r="B2700" t="s">
        <v>101</v>
      </c>
      <c r="C2700" t="s">
        <v>3407</v>
      </c>
      <c r="D2700" t="s">
        <v>2433</v>
      </c>
      <c r="E2700">
        <v>3.3</v>
      </c>
      <c r="F2700" s="2">
        <v>46478</v>
      </c>
      <c r="G2700" s="2">
        <v>46388</v>
      </c>
      <c r="H2700" t="s">
        <v>610</v>
      </c>
      <c r="I2700" t="s">
        <v>611</v>
      </c>
      <c r="J2700">
        <v>97.918000000000006</v>
      </c>
      <c r="K2700">
        <v>98.14</v>
      </c>
      <c r="L2700">
        <v>4.3710000000000004</v>
      </c>
      <c r="M2700">
        <v>4.2549999999999999</v>
      </c>
      <c r="N2700">
        <v>4.2549999999999999</v>
      </c>
      <c r="O2700" t="s">
        <v>101</v>
      </c>
      <c r="P2700" t="s">
        <v>2454</v>
      </c>
      <c r="Q2700" t="s">
        <v>2438</v>
      </c>
      <c r="R2700" t="s">
        <v>2436</v>
      </c>
    </row>
    <row r="2701" spans="1:18" x14ac:dyDescent="0.5">
      <c r="A2701" t="str">
        <f>"17252MAN0"</f>
        <v>17252MAN0</v>
      </c>
      <c r="B2701" t="s">
        <v>101</v>
      </c>
      <c r="C2701" t="s">
        <v>3408</v>
      </c>
      <c r="D2701" t="s">
        <v>2433</v>
      </c>
      <c r="E2701">
        <v>3.7</v>
      </c>
      <c r="F2701" s="2">
        <v>46478</v>
      </c>
      <c r="G2701" s="2">
        <v>46388</v>
      </c>
      <c r="H2701" t="s">
        <v>627</v>
      </c>
      <c r="I2701" t="s">
        <v>713</v>
      </c>
      <c r="J2701">
        <v>98.433000000000007</v>
      </c>
      <c r="K2701">
        <v>98.543000000000006</v>
      </c>
      <c r="L2701">
        <v>4.5069999999999997</v>
      </c>
      <c r="M2701">
        <v>4.45</v>
      </c>
      <c r="N2701">
        <v>4.45</v>
      </c>
      <c r="O2701" t="s">
        <v>101</v>
      </c>
      <c r="P2701" t="s">
        <v>2454</v>
      </c>
      <c r="Q2701" t="s">
        <v>2581</v>
      </c>
      <c r="R2701" t="s">
        <v>2436</v>
      </c>
    </row>
    <row r="2702" spans="1:18" x14ac:dyDescent="0.5">
      <c r="A2702" t="str">
        <f>"20030NDK4"</f>
        <v>20030NDK4</v>
      </c>
      <c r="B2702" t="s">
        <v>101</v>
      </c>
      <c r="C2702" t="s">
        <v>3409</v>
      </c>
      <c r="D2702" t="s">
        <v>2433</v>
      </c>
      <c r="E2702">
        <v>3.3</v>
      </c>
      <c r="F2702" s="2">
        <v>46478</v>
      </c>
      <c r="G2702" s="2">
        <v>46419</v>
      </c>
      <c r="H2702" t="s">
        <v>627</v>
      </c>
      <c r="I2702" t="s">
        <v>713</v>
      </c>
      <c r="J2702">
        <v>97.671999999999997</v>
      </c>
      <c r="K2702">
        <v>97.847999999999999</v>
      </c>
      <c r="L2702">
        <v>4.4989999999999997</v>
      </c>
      <c r="M2702">
        <v>4.407</v>
      </c>
      <c r="N2702">
        <v>4.407</v>
      </c>
      <c r="O2702" t="s">
        <v>101</v>
      </c>
      <c r="P2702" t="s">
        <v>1702</v>
      </c>
      <c r="Q2702" t="s">
        <v>2454</v>
      </c>
      <c r="R2702" t="s">
        <v>2436</v>
      </c>
    </row>
    <row r="2703" spans="1:18" x14ac:dyDescent="0.5">
      <c r="A2703" t="str">
        <f>"95709TAP5"</f>
        <v>95709TAP5</v>
      </c>
      <c r="B2703" t="s">
        <v>101</v>
      </c>
      <c r="C2703" t="s">
        <v>3410</v>
      </c>
      <c r="D2703" t="s">
        <v>2433</v>
      </c>
      <c r="E2703">
        <v>3.1</v>
      </c>
      <c r="F2703" s="2">
        <v>46478</v>
      </c>
      <c r="G2703" s="2">
        <v>46388</v>
      </c>
      <c r="H2703" t="s">
        <v>610</v>
      </c>
      <c r="I2703" t="s">
        <v>611</v>
      </c>
      <c r="J2703">
        <v>97.072000000000003</v>
      </c>
      <c r="K2703">
        <v>97.37</v>
      </c>
      <c r="L2703">
        <v>4.6100000000000003</v>
      </c>
      <c r="M2703">
        <v>4.4539999999999997</v>
      </c>
      <c r="N2703">
        <v>4.4539999999999997</v>
      </c>
      <c r="O2703" t="s">
        <v>101</v>
      </c>
      <c r="P2703" t="s">
        <v>3411</v>
      </c>
      <c r="Q2703" t="s">
        <v>2628</v>
      </c>
      <c r="R2703" t="s">
        <v>2436</v>
      </c>
    </row>
    <row r="2704" spans="1:18" x14ac:dyDescent="0.5">
      <c r="A2704" t="str">
        <f>"369550BL1"</f>
        <v>369550BL1</v>
      </c>
      <c r="B2704" t="s">
        <v>101</v>
      </c>
      <c r="C2704" t="s">
        <v>3412</v>
      </c>
      <c r="D2704" t="s">
        <v>2433</v>
      </c>
      <c r="E2704">
        <v>3.5</v>
      </c>
      <c r="F2704" s="2">
        <v>46478</v>
      </c>
      <c r="G2704" s="2">
        <v>46419</v>
      </c>
      <c r="H2704" t="s">
        <v>610</v>
      </c>
      <c r="I2704" t="s">
        <v>611</v>
      </c>
      <c r="J2704">
        <v>98.393000000000001</v>
      </c>
      <c r="K2704">
        <v>98.522000000000006</v>
      </c>
      <c r="L2704">
        <v>4.3259999999999996</v>
      </c>
      <c r="M2704">
        <v>4.2590000000000003</v>
      </c>
      <c r="N2704">
        <v>4.2590000000000003</v>
      </c>
      <c r="O2704" t="s">
        <v>101</v>
      </c>
      <c r="P2704" t="s">
        <v>858</v>
      </c>
      <c r="Q2704" t="s">
        <v>2786</v>
      </c>
      <c r="R2704" t="s">
        <v>2436</v>
      </c>
    </row>
    <row r="2705" spans="1:18" x14ac:dyDescent="0.5">
      <c r="A2705" t="str">
        <f>"808513BW4"</f>
        <v>808513BW4</v>
      </c>
      <c r="B2705" t="s">
        <v>101</v>
      </c>
      <c r="C2705" t="s">
        <v>3413</v>
      </c>
      <c r="D2705" t="s">
        <v>2433</v>
      </c>
      <c r="E2705">
        <v>3.3</v>
      </c>
      <c r="F2705" s="2">
        <v>46478</v>
      </c>
      <c r="G2705" s="2">
        <v>46388</v>
      </c>
      <c r="H2705" t="s">
        <v>610</v>
      </c>
      <c r="I2705" t="s">
        <v>713</v>
      </c>
      <c r="J2705">
        <v>97.653000000000006</v>
      </c>
      <c r="K2705">
        <v>97.855999999999995</v>
      </c>
      <c r="L2705">
        <v>4.5090000000000003</v>
      </c>
      <c r="M2705">
        <v>4.4029999999999996</v>
      </c>
      <c r="N2705">
        <v>4.4029999999999996</v>
      </c>
      <c r="O2705" t="s">
        <v>101</v>
      </c>
      <c r="P2705" t="s">
        <v>2454</v>
      </c>
      <c r="Q2705" t="s">
        <v>3414</v>
      </c>
      <c r="R2705" t="s">
        <v>2436</v>
      </c>
    </row>
    <row r="2706" spans="1:18" x14ac:dyDescent="0.5">
      <c r="A2706" t="str">
        <f>"00724PAE9"</f>
        <v>00724PAE9</v>
      </c>
      <c r="B2706" t="s">
        <v>101</v>
      </c>
      <c r="C2706" t="s">
        <v>3415</v>
      </c>
      <c r="D2706" t="s">
        <v>2433</v>
      </c>
      <c r="E2706">
        <v>4.8499999999999996</v>
      </c>
      <c r="F2706" s="2">
        <v>46481</v>
      </c>
      <c r="G2706" s="2">
        <v>46450</v>
      </c>
      <c r="H2706" t="s">
        <v>641</v>
      </c>
      <c r="I2706" t="s">
        <v>658</v>
      </c>
      <c r="J2706">
        <v>101.003</v>
      </c>
      <c r="K2706">
        <v>101.18</v>
      </c>
      <c r="L2706">
        <v>4.3109999999999999</v>
      </c>
      <c r="M2706">
        <v>4.2220000000000004</v>
      </c>
      <c r="N2706">
        <v>4.2450000000000001</v>
      </c>
      <c r="O2706" t="s">
        <v>101</v>
      </c>
      <c r="P2706" t="s">
        <v>2786</v>
      </c>
      <c r="Q2706" t="s">
        <v>2581</v>
      </c>
      <c r="R2706" t="s">
        <v>2436</v>
      </c>
    </row>
    <row r="2707" spans="1:18" x14ac:dyDescent="0.5">
      <c r="A2707" t="str">
        <f>"032095AN1"</f>
        <v>032095AN1</v>
      </c>
      <c r="B2707" t="s">
        <v>101</v>
      </c>
      <c r="C2707" t="s">
        <v>3416</v>
      </c>
      <c r="D2707" t="s">
        <v>2433</v>
      </c>
      <c r="E2707">
        <v>5.05</v>
      </c>
      <c r="F2707" s="2">
        <v>46482</v>
      </c>
      <c r="G2707" s="2">
        <v>46451</v>
      </c>
      <c r="H2707" t="s">
        <v>627</v>
      </c>
      <c r="I2707" t="s">
        <v>713</v>
      </c>
      <c r="J2707">
        <v>101.065</v>
      </c>
      <c r="K2707">
        <v>101.271</v>
      </c>
      <c r="L2707">
        <v>4.4820000000000002</v>
      </c>
      <c r="M2707">
        <v>4.3730000000000002</v>
      </c>
      <c r="N2707">
        <v>4.3970000000000002</v>
      </c>
      <c r="O2707" t="s">
        <v>101</v>
      </c>
      <c r="P2707" t="s">
        <v>2454</v>
      </c>
      <c r="Q2707" t="s">
        <v>3103</v>
      </c>
      <c r="R2707" t="s">
        <v>2436</v>
      </c>
    </row>
    <row r="2708" spans="1:18" x14ac:dyDescent="0.5">
      <c r="A2708" t="str">
        <f>"89115A2W1"</f>
        <v>89115A2W1</v>
      </c>
      <c r="B2708" t="s">
        <v>101</v>
      </c>
      <c r="C2708" t="s">
        <v>3417</v>
      </c>
      <c r="D2708" t="s">
        <v>2433</v>
      </c>
      <c r="E2708">
        <v>4.9800000000000004</v>
      </c>
      <c r="F2708" s="2">
        <v>46482</v>
      </c>
      <c r="G2708" s="2" t="s">
        <v>101</v>
      </c>
      <c r="H2708" t="s">
        <v>610</v>
      </c>
      <c r="I2708" t="s">
        <v>713</v>
      </c>
      <c r="J2708">
        <v>100.824</v>
      </c>
      <c r="K2708">
        <v>101.02800000000001</v>
      </c>
      <c r="L2708">
        <v>4.556</v>
      </c>
      <c r="M2708">
        <v>4.452</v>
      </c>
      <c r="N2708">
        <v>4.452</v>
      </c>
      <c r="O2708" t="s">
        <v>101</v>
      </c>
      <c r="P2708" t="s">
        <v>1702</v>
      </c>
      <c r="Q2708" t="s">
        <v>2454</v>
      </c>
      <c r="R2708" t="s">
        <v>2436</v>
      </c>
    </row>
    <row r="2709" spans="1:18" x14ac:dyDescent="0.5">
      <c r="A2709" t="str">
        <f>"10373QBK5"</f>
        <v>10373QBK5</v>
      </c>
      <c r="B2709" t="s">
        <v>101</v>
      </c>
      <c r="C2709" t="s">
        <v>3418</v>
      </c>
      <c r="D2709" t="s">
        <v>2433</v>
      </c>
      <c r="E2709">
        <v>3.5430000000000001</v>
      </c>
      <c r="F2709" s="2">
        <v>46483</v>
      </c>
      <c r="G2709" s="2">
        <v>46424</v>
      </c>
      <c r="H2709" t="s">
        <v>641</v>
      </c>
      <c r="I2709" t="s">
        <v>713</v>
      </c>
      <c r="J2709">
        <v>98.218999999999994</v>
      </c>
      <c r="K2709">
        <v>98.352000000000004</v>
      </c>
      <c r="L2709">
        <v>4.4530000000000003</v>
      </c>
      <c r="M2709">
        <v>4.3849999999999998</v>
      </c>
      <c r="N2709">
        <v>4.3849999999999998</v>
      </c>
      <c r="O2709" t="s">
        <v>101</v>
      </c>
      <c r="P2709" t="s">
        <v>3075</v>
      </c>
      <c r="Q2709" t="s">
        <v>3419</v>
      </c>
      <c r="R2709" t="s">
        <v>2436</v>
      </c>
    </row>
    <row r="2710" spans="1:18" x14ac:dyDescent="0.5">
      <c r="A2710" t="str">
        <f>"278265AE3"</f>
        <v>278265AE3</v>
      </c>
      <c r="B2710" t="s">
        <v>101</v>
      </c>
      <c r="C2710" t="s">
        <v>3420</v>
      </c>
      <c r="D2710" t="s">
        <v>2433</v>
      </c>
      <c r="E2710">
        <v>3.5</v>
      </c>
      <c r="F2710" s="2">
        <v>46483</v>
      </c>
      <c r="G2710" s="2">
        <v>46393</v>
      </c>
      <c r="H2710" t="s">
        <v>641</v>
      </c>
      <c r="I2710" t="s">
        <v>713</v>
      </c>
      <c r="J2710">
        <v>97.897999999999996</v>
      </c>
      <c r="K2710">
        <v>98.18</v>
      </c>
      <c r="L2710">
        <v>4.5759999999999996</v>
      </c>
      <c r="M2710">
        <v>4.43</v>
      </c>
      <c r="N2710">
        <v>4.43</v>
      </c>
      <c r="O2710" t="s">
        <v>101</v>
      </c>
      <c r="P2710" t="s">
        <v>3126</v>
      </c>
      <c r="Q2710" t="s">
        <v>2555</v>
      </c>
      <c r="R2710" t="s">
        <v>2436</v>
      </c>
    </row>
    <row r="2711" spans="1:18" x14ac:dyDescent="0.5">
      <c r="A2711" t="str">
        <f>"29446MAE2"</f>
        <v>29446MAE2</v>
      </c>
      <c r="B2711" t="s">
        <v>101</v>
      </c>
      <c r="C2711" t="s">
        <v>3421</v>
      </c>
      <c r="D2711" t="s">
        <v>2433</v>
      </c>
      <c r="E2711">
        <v>3</v>
      </c>
      <c r="F2711" s="2">
        <v>46483</v>
      </c>
      <c r="G2711" s="2">
        <v>46424</v>
      </c>
      <c r="H2711" t="s">
        <v>613</v>
      </c>
      <c r="I2711" t="s">
        <v>616</v>
      </c>
      <c r="J2711">
        <v>97.576999999999998</v>
      </c>
      <c r="K2711">
        <v>97.671000000000006</v>
      </c>
      <c r="L2711">
        <v>4.2359999999999998</v>
      </c>
      <c r="M2711">
        <v>4.1870000000000003</v>
      </c>
      <c r="N2711">
        <v>4.1870000000000003</v>
      </c>
      <c r="O2711" t="s">
        <v>101</v>
      </c>
      <c r="P2711" t="s">
        <v>3075</v>
      </c>
      <c r="Q2711" t="s">
        <v>2862</v>
      </c>
      <c r="R2711" t="s">
        <v>2436</v>
      </c>
    </row>
    <row r="2712" spans="1:18" x14ac:dyDescent="0.5">
      <c r="A2712" t="str">
        <f>"13607HR61"</f>
        <v>13607HR61</v>
      </c>
      <c r="B2712" t="s">
        <v>101</v>
      </c>
      <c r="C2712" t="s">
        <v>3422</v>
      </c>
      <c r="D2712" t="s">
        <v>2433</v>
      </c>
      <c r="E2712">
        <v>3.45</v>
      </c>
      <c r="F2712" s="2">
        <v>46484</v>
      </c>
      <c r="G2712" s="2">
        <v>46453</v>
      </c>
      <c r="H2712" t="s">
        <v>610</v>
      </c>
      <c r="I2712" t="s">
        <v>713</v>
      </c>
      <c r="J2712">
        <v>97.975999999999999</v>
      </c>
      <c r="K2712">
        <v>98.146000000000001</v>
      </c>
      <c r="L2712">
        <v>4.484</v>
      </c>
      <c r="M2712">
        <v>4.3959999999999999</v>
      </c>
      <c r="N2712">
        <v>4.3959999999999999</v>
      </c>
      <c r="O2712" t="s">
        <v>101</v>
      </c>
      <c r="P2712" t="s">
        <v>1702</v>
      </c>
      <c r="Q2712" t="s">
        <v>2454</v>
      </c>
      <c r="R2712" t="s">
        <v>2436</v>
      </c>
    </row>
    <row r="2713" spans="1:18" x14ac:dyDescent="0.5">
      <c r="A2713" t="str">
        <f>"05964HAB1"</f>
        <v>05964HAB1</v>
      </c>
      <c r="B2713" t="s">
        <v>101</v>
      </c>
      <c r="C2713" t="s">
        <v>3423</v>
      </c>
      <c r="D2713" t="s">
        <v>2433</v>
      </c>
      <c r="E2713">
        <v>4.25</v>
      </c>
      <c r="F2713" s="2">
        <v>46488</v>
      </c>
      <c r="G2713" s="2" t="s">
        <v>101</v>
      </c>
      <c r="H2713" t="s">
        <v>670</v>
      </c>
      <c r="I2713" t="s">
        <v>713</v>
      </c>
      <c r="J2713">
        <v>98.93</v>
      </c>
      <c r="K2713">
        <v>99.14</v>
      </c>
      <c r="L2713">
        <v>4.7949999999999999</v>
      </c>
      <c r="M2713">
        <v>4.6870000000000003</v>
      </c>
      <c r="N2713">
        <v>4.6870000000000003</v>
      </c>
      <c r="O2713" t="s">
        <v>101</v>
      </c>
      <c r="P2713" t="s">
        <v>3424</v>
      </c>
      <c r="Q2713" t="s">
        <v>542</v>
      </c>
      <c r="R2713" t="s">
        <v>2436</v>
      </c>
    </row>
    <row r="2714" spans="1:18" x14ac:dyDescent="0.5">
      <c r="A2714" t="str">
        <f>"023135CF1"</f>
        <v>023135CF1</v>
      </c>
      <c r="B2714" t="s">
        <v>101</v>
      </c>
      <c r="C2714" t="s">
        <v>3425</v>
      </c>
      <c r="D2714" t="s">
        <v>2433</v>
      </c>
      <c r="E2714">
        <v>3.3</v>
      </c>
      <c r="F2714" s="2">
        <v>46490</v>
      </c>
      <c r="G2714" s="2">
        <v>46459</v>
      </c>
      <c r="H2714" t="s">
        <v>641</v>
      </c>
      <c r="I2714" t="s">
        <v>628</v>
      </c>
      <c r="J2714">
        <v>98.072000000000003</v>
      </c>
      <c r="K2714">
        <v>98.18</v>
      </c>
      <c r="L2714">
        <v>4.2750000000000004</v>
      </c>
      <c r="M2714">
        <v>4.2190000000000003</v>
      </c>
      <c r="N2714">
        <v>4.2190000000000003</v>
      </c>
      <c r="O2714" t="s">
        <v>101</v>
      </c>
      <c r="P2714" t="s">
        <v>2988</v>
      </c>
      <c r="Q2714" t="s">
        <v>2581</v>
      </c>
      <c r="R2714" t="s">
        <v>2436</v>
      </c>
    </row>
    <row r="2715" spans="1:18" x14ac:dyDescent="0.5">
      <c r="A2715" t="str">
        <f>"10373QAZ3"</f>
        <v>10373QAZ3</v>
      </c>
      <c r="B2715" t="s">
        <v>101</v>
      </c>
      <c r="C2715" t="s">
        <v>3426</v>
      </c>
      <c r="D2715" t="s">
        <v>2433</v>
      </c>
      <c r="E2715">
        <v>3.5880000000000001</v>
      </c>
      <c r="F2715" s="2">
        <v>46491</v>
      </c>
      <c r="G2715" s="2">
        <v>46401</v>
      </c>
      <c r="H2715" t="s">
        <v>641</v>
      </c>
      <c r="I2715" t="s">
        <v>713</v>
      </c>
      <c r="J2715">
        <v>98.254000000000005</v>
      </c>
      <c r="K2715">
        <v>98.358999999999995</v>
      </c>
      <c r="L2715">
        <v>4.4710000000000001</v>
      </c>
      <c r="M2715">
        <v>4.4180000000000001</v>
      </c>
      <c r="N2715">
        <v>4.4180000000000001</v>
      </c>
      <c r="O2715" t="s">
        <v>101</v>
      </c>
      <c r="P2715" t="s">
        <v>2460</v>
      </c>
      <c r="Q2715" t="s">
        <v>3298</v>
      </c>
      <c r="R2715" t="s">
        <v>2436</v>
      </c>
    </row>
    <row r="2716" spans="1:18" x14ac:dyDescent="0.5">
      <c r="A2716" t="str">
        <f>"437076CA8"</f>
        <v>437076CA8</v>
      </c>
      <c r="B2716" t="s">
        <v>101</v>
      </c>
      <c r="C2716" t="s">
        <v>3427</v>
      </c>
      <c r="D2716" t="s">
        <v>2433</v>
      </c>
      <c r="E2716">
        <v>2.5</v>
      </c>
      <c r="F2716" s="2">
        <v>46492</v>
      </c>
      <c r="G2716" s="2">
        <v>46433</v>
      </c>
      <c r="H2716" t="s">
        <v>610</v>
      </c>
      <c r="I2716" t="s">
        <v>611</v>
      </c>
      <c r="J2716">
        <v>96.289000000000001</v>
      </c>
      <c r="K2716">
        <v>96.498000000000005</v>
      </c>
      <c r="L2716">
        <v>4.375</v>
      </c>
      <c r="M2716">
        <v>4.2670000000000003</v>
      </c>
      <c r="N2716">
        <v>4.2670000000000003</v>
      </c>
      <c r="O2716" t="s">
        <v>101</v>
      </c>
      <c r="P2716" t="s">
        <v>2746</v>
      </c>
      <c r="Q2716" t="s">
        <v>3428</v>
      </c>
      <c r="R2716" t="s">
        <v>2436</v>
      </c>
    </row>
    <row r="2717" spans="1:18" x14ac:dyDescent="0.5">
      <c r="A2717" t="str">
        <f>"437076CN0"</f>
        <v>437076CN0</v>
      </c>
      <c r="B2717" t="s">
        <v>101</v>
      </c>
      <c r="C2717" t="s">
        <v>3429</v>
      </c>
      <c r="D2717" t="s">
        <v>2433</v>
      </c>
      <c r="E2717">
        <v>2.875</v>
      </c>
      <c r="F2717" s="2">
        <v>46492</v>
      </c>
      <c r="G2717" s="2">
        <v>46461</v>
      </c>
      <c r="H2717" t="s">
        <v>610</v>
      </c>
      <c r="I2717" t="s">
        <v>611</v>
      </c>
      <c r="J2717">
        <v>97.116</v>
      </c>
      <c r="K2717">
        <v>97.320999999999998</v>
      </c>
      <c r="L2717">
        <v>4.3310000000000004</v>
      </c>
      <c r="M2717">
        <v>4.226</v>
      </c>
      <c r="N2717">
        <v>4.226</v>
      </c>
      <c r="O2717" t="s">
        <v>101</v>
      </c>
      <c r="P2717" t="s">
        <v>2472</v>
      </c>
      <c r="Q2717" t="s">
        <v>1702</v>
      </c>
      <c r="R2717" t="s">
        <v>2436</v>
      </c>
    </row>
    <row r="2718" spans="1:18" x14ac:dyDescent="0.5">
      <c r="A2718" t="str">
        <f>"63743FWC6"</f>
        <v>63743FWC6</v>
      </c>
      <c r="B2718" t="s">
        <v>101</v>
      </c>
      <c r="C2718" t="s">
        <v>3430</v>
      </c>
      <c r="D2718" t="s">
        <v>2433</v>
      </c>
      <c r="E2718">
        <v>3</v>
      </c>
      <c r="F2718" s="2">
        <v>46492</v>
      </c>
      <c r="G2718" s="2" t="s">
        <v>105</v>
      </c>
      <c r="H2718" t="s">
        <v>610</v>
      </c>
      <c r="I2718" t="s">
        <v>713</v>
      </c>
      <c r="J2718">
        <v>96.073999999999998</v>
      </c>
      <c r="K2718">
        <v>97.337000000000003</v>
      </c>
      <c r="L2718">
        <v>4.9800000000000004</v>
      </c>
      <c r="M2718">
        <v>4.3339999999999996</v>
      </c>
      <c r="N2718">
        <v>4.3339999999999996</v>
      </c>
      <c r="O2718" t="s">
        <v>101</v>
      </c>
      <c r="P2718" t="s">
        <v>858</v>
      </c>
      <c r="Q2718" t="s">
        <v>2491</v>
      </c>
      <c r="R2718" t="s">
        <v>2610</v>
      </c>
    </row>
    <row r="2719" spans="1:18" x14ac:dyDescent="0.5">
      <c r="A2719" t="str">
        <f>"74340XBN0"</f>
        <v>74340XBN0</v>
      </c>
      <c r="B2719" t="s">
        <v>101</v>
      </c>
      <c r="C2719" t="s">
        <v>3431</v>
      </c>
      <c r="D2719" t="s">
        <v>2433</v>
      </c>
      <c r="E2719">
        <v>2.125</v>
      </c>
      <c r="F2719" s="2">
        <v>46492</v>
      </c>
      <c r="G2719" s="2">
        <v>46433</v>
      </c>
      <c r="H2719" t="s">
        <v>610</v>
      </c>
      <c r="I2719" t="s">
        <v>611</v>
      </c>
      <c r="J2719">
        <v>95.426000000000002</v>
      </c>
      <c r="K2719">
        <v>95.466999999999999</v>
      </c>
      <c r="L2719">
        <v>4.4379999999999997</v>
      </c>
      <c r="M2719">
        <v>4.4169999999999998</v>
      </c>
      <c r="N2719">
        <v>4.4169999999999998</v>
      </c>
      <c r="O2719" t="s">
        <v>101</v>
      </c>
      <c r="P2719" t="s">
        <v>1702</v>
      </c>
      <c r="Q2719" t="s">
        <v>3432</v>
      </c>
      <c r="R2719" t="s">
        <v>2436</v>
      </c>
    </row>
    <row r="2720" spans="1:18" x14ac:dyDescent="0.5">
      <c r="A2720" t="str">
        <f>"842434CW0"</f>
        <v>842434CW0</v>
      </c>
      <c r="B2720" t="s">
        <v>101</v>
      </c>
      <c r="C2720" t="s">
        <v>3433</v>
      </c>
      <c r="D2720" t="s">
        <v>2433</v>
      </c>
      <c r="E2720">
        <v>2.95</v>
      </c>
      <c r="F2720" s="2">
        <v>46492</v>
      </c>
      <c r="G2720" s="2">
        <v>46461</v>
      </c>
      <c r="H2720" t="s">
        <v>610</v>
      </c>
      <c r="I2720" t="s">
        <v>713</v>
      </c>
      <c r="J2720">
        <v>96.74</v>
      </c>
      <c r="K2720">
        <v>96.983999999999995</v>
      </c>
      <c r="L2720">
        <v>4.601</v>
      </c>
      <c r="M2720">
        <v>4.4749999999999996</v>
      </c>
      <c r="N2720">
        <v>4.4749999999999996</v>
      </c>
      <c r="O2720" t="s">
        <v>101</v>
      </c>
      <c r="P2720" t="s">
        <v>1999</v>
      </c>
      <c r="Q2720" t="s">
        <v>2894</v>
      </c>
      <c r="R2720" t="s">
        <v>2436</v>
      </c>
    </row>
    <row r="2721" spans="1:18" x14ac:dyDescent="0.5">
      <c r="A2721" t="str">
        <f>"907818EP9"</f>
        <v>907818EP9</v>
      </c>
      <c r="B2721" t="s">
        <v>101</v>
      </c>
      <c r="C2721" t="s">
        <v>3434</v>
      </c>
      <c r="D2721" t="s">
        <v>2433</v>
      </c>
      <c r="E2721">
        <v>3</v>
      </c>
      <c r="F2721" s="2">
        <v>46492</v>
      </c>
      <c r="G2721" s="2">
        <v>46402</v>
      </c>
      <c r="H2721" t="s">
        <v>627</v>
      </c>
      <c r="I2721" t="s">
        <v>713</v>
      </c>
      <c r="J2721">
        <v>97.284999999999997</v>
      </c>
      <c r="K2721">
        <v>97.41</v>
      </c>
      <c r="L2721">
        <v>4.3710000000000004</v>
      </c>
      <c r="M2721">
        <v>4.3070000000000004</v>
      </c>
      <c r="N2721">
        <v>4.3070000000000004</v>
      </c>
      <c r="O2721" t="s">
        <v>101</v>
      </c>
      <c r="P2721" t="s">
        <v>2460</v>
      </c>
      <c r="Q2721" t="s">
        <v>2549</v>
      </c>
      <c r="R2721" t="s">
        <v>2436</v>
      </c>
    </row>
    <row r="2722" spans="1:18" x14ac:dyDescent="0.5">
      <c r="A2722" t="str">
        <f>"91324PCY6"</f>
        <v>91324PCY6</v>
      </c>
      <c r="B2722" t="s">
        <v>101</v>
      </c>
      <c r="C2722" t="s">
        <v>3435</v>
      </c>
      <c r="D2722" t="s">
        <v>2433</v>
      </c>
      <c r="E2722">
        <v>3.375</v>
      </c>
      <c r="F2722" s="2">
        <v>46492</v>
      </c>
      <c r="G2722" s="2" t="s">
        <v>101</v>
      </c>
      <c r="H2722" t="s">
        <v>610</v>
      </c>
      <c r="I2722" t="s">
        <v>658</v>
      </c>
      <c r="J2722">
        <v>97.936000000000007</v>
      </c>
      <c r="K2722">
        <v>98.111000000000004</v>
      </c>
      <c r="L2722">
        <v>4.4180000000000001</v>
      </c>
      <c r="M2722">
        <v>4.3280000000000003</v>
      </c>
      <c r="N2722">
        <v>4.3280000000000003</v>
      </c>
      <c r="O2722" t="s">
        <v>101</v>
      </c>
      <c r="P2722" t="s">
        <v>2438</v>
      </c>
      <c r="Q2722" t="s">
        <v>2747</v>
      </c>
      <c r="R2722" t="s">
        <v>2436</v>
      </c>
    </row>
    <row r="2723" spans="1:18" x14ac:dyDescent="0.5">
      <c r="A2723" t="str">
        <f>"91324PEY4"</f>
        <v>91324PEY4</v>
      </c>
      <c r="B2723" t="s">
        <v>101</v>
      </c>
      <c r="C2723" t="s">
        <v>3436</v>
      </c>
      <c r="D2723" t="s">
        <v>2433</v>
      </c>
      <c r="E2723">
        <v>4.5999999999999996</v>
      </c>
      <c r="F2723" s="2">
        <v>46492</v>
      </c>
      <c r="G2723" s="2">
        <v>46461</v>
      </c>
      <c r="H2723" t="s">
        <v>610</v>
      </c>
      <c r="I2723" t="s">
        <v>658</v>
      </c>
      <c r="J2723">
        <v>100.40900000000001</v>
      </c>
      <c r="K2723">
        <v>100.587</v>
      </c>
      <c r="L2723">
        <v>4.3849999999999998</v>
      </c>
      <c r="M2723">
        <v>4.2919999999999998</v>
      </c>
      <c r="N2723">
        <v>4.3019999999999996</v>
      </c>
      <c r="O2723" t="s">
        <v>101</v>
      </c>
      <c r="P2723" t="s">
        <v>2438</v>
      </c>
      <c r="Q2723" t="s">
        <v>2454</v>
      </c>
      <c r="R2723" t="s">
        <v>2436</v>
      </c>
    </row>
    <row r="2724" spans="1:18" x14ac:dyDescent="0.5">
      <c r="A2724" t="str">
        <f>"92826CAL6"</f>
        <v>92826CAL6</v>
      </c>
      <c r="B2724" t="s">
        <v>101</v>
      </c>
      <c r="C2724" t="s">
        <v>3437</v>
      </c>
      <c r="D2724" t="s">
        <v>2433</v>
      </c>
      <c r="E2724">
        <v>1.9</v>
      </c>
      <c r="F2724" s="2">
        <v>46492</v>
      </c>
      <c r="G2724" s="2">
        <v>46433</v>
      </c>
      <c r="H2724" t="s">
        <v>624</v>
      </c>
      <c r="I2724" t="s">
        <v>616</v>
      </c>
      <c r="J2724">
        <v>95.334999999999994</v>
      </c>
      <c r="K2724">
        <v>95.522000000000006</v>
      </c>
      <c r="L2724">
        <v>4.25</v>
      </c>
      <c r="M2724">
        <v>4.157</v>
      </c>
      <c r="N2724">
        <v>4.157</v>
      </c>
      <c r="O2724" t="s">
        <v>101</v>
      </c>
      <c r="P2724" t="s">
        <v>2454</v>
      </c>
      <c r="Q2724" t="s">
        <v>1702</v>
      </c>
      <c r="R2724" t="s">
        <v>2436</v>
      </c>
    </row>
    <row r="2725" spans="1:18" x14ac:dyDescent="0.5">
      <c r="A2725" t="str">
        <f>"872898AF8"</f>
        <v>872898AF8</v>
      </c>
      <c r="B2725" t="s">
        <v>101</v>
      </c>
      <c r="C2725" t="s">
        <v>3438</v>
      </c>
      <c r="D2725" t="s">
        <v>2433</v>
      </c>
      <c r="E2725">
        <v>3.875</v>
      </c>
      <c r="F2725" s="2">
        <v>46499</v>
      </c>
      <c r="G2725" s="2">
        <v>46468</v>
      </c>
      <c r="H2725" t="s">
        <v>624</v>
      </c>
      <c r="I2725" t="s">
        <v>616</v>
      </c>
      <c r="J2725">
        <v>98.878</v>
      </c>
      <c r="K2725">
        <v>99.063000000000002</v>
      </c>
      <c r="L2725">
        <v>4.4359999999999999</v>
      </c>
      <c r="M2725">
        <v>4.3419999999999996</v>
      </c>
      <c r="N2725">
        <v>4.3419999999999996</v>
      </c>
      <c r="O2725" t="s">
        <v>101</v>
      </c>
      <c r="P2725" t="s">
        <v>2687</v>
      </c>
      <c r="Q2725" t="s">
        <v>2687</v>
      </c>
      <c r="R2725" t="s">
        <v>2436</v>
      </c>
    </row>
    <row r="2726" spans="1:18" x14ac:dyDescent="0.5">
      <c r="A2726" t="str">
        <f>"637432NN1"</f>
        <v>637432NN1</v>
      </c>
      <c r="B2726" t="s">
        <v>101</v>
      </c>
      <c r="C2726" t="s">
        <v>3439</v>
      </c>
      <c r="D2726" t="s">
        <v>2433</v>
      </c>
      <c r="E2726">
        <v>3.05</v>
      </c>
      <c r="F2726" s="2">
        <v>46502</v>
      </c>
      <c r="G2726" s="2">
        <v>46412</v>
      </c>
      <c r="H2726" t="s">
        <v>641</v>
      </c>
      <c r="I2726" t="s">
        <v>713</v>
      </c>
      <c r="J2726">
        <v>97.224000000000004</v>
      </c>
      <c r="K2726">
        <v>97.655000000000001</v>
      </c>
      <c r="L2726">
        <v>4.4349999999999996</v>
      </c>
      <c r="M2726">
        <v>4.2169999999999996</v>
      </c>
      <c r="N2726">
        <v>4.2169999999999996</v>
      </c>
      <c r="O2726" t="s">
        <v>101</v>
      </c>
      <c r="P2726" t="s">
        <v>554</v>
      </c>
      <c r="Q2726" t="s">
        <v>3440</v>
      </c>
      <c r="R2726" t="s">
        <v>2436</v>
      </c>
    </row>
    <row r="2727" spans="1:18" x14ac:dyDescent="0.5">
      <c r="A2727" t="str">
        <f>"219868CH7"</f>
        <v>219868CH7</v>
      </c>
      <c r="B2727" t="s">
        <v>101</v>
      </c>
      <c r="C2727" t="s">
        <v>3441</v>
      </c>
      <c r="D2727" t="s">
        <v>2433</v>
      </c>
      <c r="E2727">
        <v>6</v>
      </c>
      <c r="F2727" s="2">
        <v>46503</v>
      </c>
      <c r="G2727" s="2" t="s">
        <v>101</v>
      </c>
      <c r="H2727" t="s">
        <v>624</v>
      </c>
      <c r="I2727" t="s">
        <v>628</v>
      </c>
      <c r="J2727" t="s">
        <v>101</v>
      </c>
      <c r="K2727">
        <v>103.56</v>
      </c>
      <c r="L2727" t="s">
        <v>101</v>
      </c>
      <c r="M2727">
        <v>4.226</v>
      </c>
      <c r="N2727">
        <v>4.226</v>
      </c>
      <c r="O2727" t="s">
        <v>101</v>
      </c>
      <c r="P2727" t="s">
        <v>448</v>
      </c>
      <c r="Q2727" t="s">
        <v>3442</v>
      </c>
      <c r="R2727" t="s">
        <v>3443</v>
      </c>
    </row>
    <row r="2728" spans="1:18" x14ac:dyDescent="0.5">
      <c r="A2728" t="str">
        <f>"91159HHR4"</f>
        <v>91159HHR4</v>
      </c>
      <c r="B2728" t="s">
        <v>101</v>
      </c>
      <c r="C2728" t="s">
        <v>3444</v>
      </c>
      <c r="D2728" t="s">
        <v>2433</v>
      </c>
      <c r="E2728">
        <v>3.15</v>
      </c>
      <c r="F2728" s="2">
        <v>46504</v>
      </c>
      <c r="G2728" s="2">
        <v>46473</v>
      </c>
      <c r="H2728" t="s">
        <v>627</v>
      </c>
      <c r="I2728" t="s">
        <v>611</v>
      </c>
      <c r="J2728">
        <v>97.375</v>
      </c>
      <c r="K2728">
        <v>97.447999999999993</v>
      </c>
      <c r="L2728">
        <v>4.4569999999999999</v>
      </c>
      <c r="M2728">
        <v>4.42</v>
      </c>
      <c r="N2728">
        <v>4.42</v>
      </c>
      <c r="O2728" t="s">
        <v>101</v>
      </c>
      <c r="P2728" t="s">
        <v>2594</v>
      </c>
      <c r="Q2728" t="s">
        <v>2507</v>
      </c>
      <c r="R2728" t="s">
        <v>2436</v>
      </c>
    </row>
    <row r="2729" spans="1:18" x14ac:dyDescent="0.5">
      <c r="A2729" t="str">
        <f>"06048WV23"</f>
        <v>06048WV23</v>
      </c>
      <c r="B2729" t="s">
        <v>101</v>
      </c>
      <c r="C2729" t="s">
        <v>3445</v>
      </c>
      <c r="D2729" t="s">
        <v>2433</v>
      </c>
      <c r="E2729">
        <v>4.0999999999999996</v>
      </c>
      <c r="F2729" s="2">
        <v>46506</v>
      </c>
      <c r="G2729" s="2">
        <v>45776</v>
      </c>
      <c r="H2729" t="s">
        <v>641</v>
      </c>
      <c r="I2729" t="s">
        <v>713</v>
      </c>
      <c r="J2729">
        <v>98.600999999999999</v>
      </c>
      <c r="K2729">
        <v>99.212000000000003</v>
      </c>
      <c r="L2729">
        <v>4.7960000000000003</v>
      </c>
      <c r="M2729">
        <v>4.49</v>
      </c>
      <c r="N2729">
        <v>4.49</v>
      </c>
      <c r="O2729" t="s">
        <v>101</v>
      </c>
      <c r="P2729" t="s">
        <v>2595</v>
      </c>
      <c r="Q2729" t="s">
        <v>3446</v>
      </c>
      <c r="R2729" t="s">
        <v>2436</v>
      </c>
    </row>
    <row r="2730" spans="1:18" x14ac:dyDescent="0.5">
      <c r="A2730" t="str">
        <f>"059438AK7"</f>
        <v>059438AK7</v>
      </c>
      <c r="B2730" t="s">
        <v>101</v>
      </c>
      <c r="C2730" t="s">
        <v>3447</v>
      </c>
      <c r="D2730" t="s">
        <v>2433</v>
      </c>
      <c r="E2730">
        <v>8</v>
      </c>
      <c r="F2730" s="2">
        <v>46506</v>
      </c>
      <c r="G2730" s="2" t="s">
        <v>105</v>
      </c>
      <c r="H2730" t="s">
        <v>627</v>
      </c>
      <c r="I2730" t="s">
        <v>713</v>
      </c>
      <c r="J2730">
        <v>107.01</v>
      </c>
      <c r="K2730">
        <v>107.313</v>
      </c>
      <c r="L2730">
        <v>4.508</v>
      </c>
      <c r="M2730">
        <v>4.3639999999999999</v>
      </c>
      <c r="N2730">
        <v>4.3639999999999999</v>
      </c>
      <c r="O2730" t="s">
        <v>101</v>
      </c>
      <c r="P2730" t="s">
        <v>1702</v>
      </c>
      <c r="Q2730" t="s">
        <v>2922</v>
      </c>
      <c r="R2730" t="s">
        <v>2465</v>
      </c>
    </row>
    <row r="2731" spans="1:18" x14ac:dyDescent="0.5">
      <c r="A2731" t="str">
        <f>"20029PAH2"</f>
        <v>20029PAH2</v>
      </c>
      <c r="B2731" t="s">
        <v>101</v>
      </c>
      <c r="C2731" t="s">
        <v>3448</v>
      </c>
      <c r="D2731" t="s">
        <v>2433</v>
      </c>
      <c r="E2731">
        <v>8.5</v>
      </c>
      <c r="F2731" s="2">
        <v>46508</v>
      </c>
      <c r="G2731" s="2" t="s">
        <v>101</v>
      </c>
      <c r="H2731" t="s">
        <v>627</v>
      </c>
      <c r="I2731" t="s">
        <v>713</v>
      </c>
      <c r="J2731">
        <v>107.74</v>
      </c>
      <c r="K2731">
        <v>108.068</v>
      </c>
      <c r="L2731">
        <v>4.6470000000000002</v>
      </c>
      <c r="M2731">
        <v>4.492</v>
      </c>
      <c r="N2731">
        <v>4.492</v>
      </c>
      <c r="O2731" t="s">
        <v>101</v>
      </c>
      <c r="P2731" t="s">
        <v>3449</v>
      </c>
      <c r="Q2731" t="s">
        <v>3450</v>
      </c>
      <c r="R2731" t="s">
        <v>2436</v>
      </c>
    </row>
    <row r="2732" spans="1:18" x14ac:dyDescent="0.5">
      <c r="A2732" t="str">
        <f>"595620AQ8"</f>
        <v>595620AQ8</v>
      </c>
      <c r="B2732" t="s">
        <v>101</v>
      </c>
      <c r="C2732" t="s">
        <v>3451</v>
      </c>
      <c r="D2732" t="s">
        <v>2433</v>
      </c>
      <c r="E2732">
        <v>3.1</v>
      </c>
      <c r="F2732" s="2">
        <v>46508</v>
      </c>
      <c r="G2732" s="2">
        <v>46419</v>
      </c>
      <c r="H2732" t="s">
        <v>613</v>
      </c>
      <c r="I2732" t="s">
        <v>611</v>
      </c>
      <c r="J2732">
        <v>97.260999999999996</v>
      </c>
      <c r="K2732">
        <v>97.406999999999996</v>
      </c>
      <c r="L2732">
        <v>4.4569999999999999</v>
      </c>
      <c r="M2732">
        <v>4.383</v>
      </c>
      <c r="N2732">
        <v>4.383</v>
      </c>
      <c r="O2732" t="s">
        <v>101</v>
      </c>
      <c r="P2732" t="s">
        <v>2454</v>
      </c>
      <c r="Q2732" t="s">
        <v>2889</v>
      </c>
      <c r="R2732" t="s">
        <v>2436</v>
      </c>
    </row>
    <row r="2733" spans="1:18" x14ac:dyDescent="0.5">
      <c r="A2733" t="str">
        <f>"025816CP2"</f>
        <v>025816CP2</v>
      </c>
      <c r="B2733" t="s">
        <v>101</v>
      </c>
      <c r="C2733" t="s">
        <v>3452</v>
      </c>
      <c r="D2733" t="s">
        <v>2433</v>
      </c>
      <c r="E2733">
        <v>3.3</v>
      </c>
      <c r="F2733" s="2">
        <v>46510</v>
      </c>
      <c r="G2733" s="2">
        <v>46479</v>
      </c>
      <c r="H2733" t="s">
        <v>610</v>
      </c>
      <c r="I2733" t="s">
        <v>713</v>
      </c>
      <c r="J2733">
        <v>97.546000000000006</v>
      </c>
      <c r="K2733">
        <v>97.727999999999994</v>
      </c>
      <c r="L2733">
        <v>4.5129999999999999</v>
      </c>
      <c r="M2733">
        <v>4.4219999999999997</v>
      </c>
      <c r="N2733">
        <v>4.4219999999999997</v>
      </c>
      <c r="O2733" t="s">
        <v>101</v>
      </c>
      <c r="P2733" t="s">
        <v>2454</v>
      </c>
      <c r="Q2733" t="s">
        <v>2454</v>
      </c>
      <c r="R2733" t="s">
        <v>2436</v>
      </c>
    </row>
    <row r="2734" spans="1:18" x14ac:dyDescent="0.5">
      <c r="A2734" t="str">
        <f>"78016EZD2"</f>
        <v>78016EZD2</v>
      </c>
      <c r="B2734" t="s">
        <v>101</v>
      </c>
      <c r="C2734" t="s">
        <v>3453</v>
      </c>
      <c r="D2734" t="s">
        <v>2433</v>
      </c>
      <c r="E2734">
        <v>3.625</v>
      </c>
      <c r="F2734" s="2">
        <v>46511</v>
      </c>
      <c r="G2734" s="2" t="s">
        <v>101</v>
      </c>
      <c r="H2734" t="s">
        <v>641</v>
      </c>
      <c r="I2734" t="s">
        <v>611</v>
      </c>
      <c r="J2734">
        <v>98.212000000000003</v>
      </c>
      <c r="K2734">
        <v>98.296999999999997</v>
      </c>
      <c r="L2734">
        <v>4.5069999999999997</v>
      </c>
      <c r="M2734">
        <v>4.4649999999999999</v>
      </c>
      <c r="N2734">
        <v>4.4649999999999999</v>
      </c>
      <c r="O2734" t="s">
        <v>101</v>
      </c>
      <c r="P2734" t="s">
        <v>2454</v>
      </c>
      <c r="Q2734" t="s">
        <v>2581</v>
      </c>
      <c r="R2734" t="s">
        <v>2436</v>
      </c>
    </row>
    <row r="2735" spans="1:18" x14ac:dyDescent="0.5">
      <c r="A2735" t="str">
        <f>"904764AY3"</f>
        <v>904764AY3</v>
      </c>
      <c r="B2735" t="s">
        <v>101</v>
      </c>
      <c r="C2735" t="s">
        <v>3454</v>
      </c>
      <c r="D2735" t="s">
        <v>2433</v>
      </c>
      <c r="E2735">
        <v>2.9</v>
      </c>
      <c r="F2735" s="2">
        <v>46512</v>
      </c>
      <c r="G2735" s="2">
        <v>46423</v>
      </c>
      <c r="H2735" t="s">
        <v>641</v>
      </c>
      <c r="I2735" t="s">
        <v>658</v>
      </c>
      <c r="J2735">
        <v>97.144999999999996</v>
      </c>
      <c r="K2735">
        <v>97.242999999999995</v>
      </c>
      <c r="L2735">
        <v>4.3049999999999997</v>
      </c>
      <c r="M2735">
        <v>4.2560000000000002</v>
      </c>
      <c r="N2735">
        <v>4.2560000000000002</v>
      </c>
      <c r="O2735" t="s">
        <v>101</v>
      </c>
      <c r="P2735" t="s">
        <v>2635</v>
      </c>
      <c r="Q2735" t="s">
        <v>3040</v>
      </c>
      <c r="R2735" t="s">
        <v>2436</v>
      </c>
    </row>
    <row r="2736" spans="1:18" x14ac:dyDescent="0.5">
      <c r="A2736" t="str">
        <f>"63743HFR8"</f>
        <v>63743HFR8</v>
      </c>
      <c r="B2736" t="s">
        <v>101</v>
      </c>
      <c r="C2736" t="s">
        <v>3455</v>
      </c>
      <c r="D2736" t="s">
        <v>2433</v>
      </c>
      <c r="E2736">
        <v>5.0999999999999996</v>
      </c>
      <c r="F2736" s="2">
        <v>46513</v>
      </c>
      <c r="G2736" s="2">
        <v>46483</v>
      </c>
      <c r="H2736" t="s">
        <v>610</v>
      </c>
      <c r="I2736" t="s">
        <v>713</v>
      </c>
      <c r="J2736">
        <v>101.041</v>
      </c>
      <c r="K2736">
        <v>101.227</v>
      </c>
      <c r="L2736">
        <v>4.5650000000000004</v>
      </c>
      <c r="M2736">
        <v>4.4710000000000001</v>
      </c>
      <c r="N2736">
        <v>4.492</v>
      </c>
      <c r="O2736" t="s">
        <v>101</v>
      </c>
      <c r="P2736" t="s">
        <v>1391</v>
      </c>
      <c r="Q2736" t="s">
        <v>2454</v>
      </c>
      <c r="R2736" t="s">
        <v>2436</v>
      </c>
    </row>
    <row r="2737" spans="1:18" x14ac:dyDescent="0.5">
      <c r="A2737" t="str">
        <f>"665859AW4"</f>
        <v>665859AW4</v>
      </c>
      <c r="B2737" t="s">
        <v>101</v>
      </c>
      <c r="C2737" t="s">
        <v>3456</v>
      </c>
      <c r="D2737" t="s">
        <v>2433</v>
      </c>
      <c r="E2737">
        <v>4</v>
      </c>
      <c r="F2737" s="2">
        <v>46517</v>
      </c>
      <c r="G2737" s="2">
        <v>46487</v>
      </c>
      <c r="H2737" t="s">
        <v>610</v>
      </c>
      <c r="I2737" t="s">
        <v>658</v>
      </c>
      <c r="J2737">
        <v>99.283000000000001</v>
      </c>
      <c r="K2737">
        <v>99.397000000000006</v>
      </c>
      <c r="L2737">
        <v>4.3490000000000002</v>
      </c>
      <c r="M2737">
        <v>4.2930000000000001</v>
      </c>
      <c r="N2737">
        <v>4.2930000000000001</v>
      </c>
      <c r="O2737" t="s">
        <v>101</v>
      </c>
      <c r="P2737" t="s">
        <v>1702</v>
      </c>
      <c r="Q2737" t="s">
        <v>2454</v>
      </c>
      <c r="R2737" t="s">
        <v>2436</v>
      </c>
    </row>
    <row r="2738" spans="1:18" x14ac:dyDescent="0.5">
      <c r="A2738" t="str">
        <f>"037833CR9"</f>
        <v>037833CR9</v>
      </c>
      <c r="B2738" t="s">
        <v>101</v>
      </c>
      <c r="C2738" t="s">
        <v>3457</v>
      </c>
      <c r="D2738" t="s">
        <v>2433</v>
      </c>
      <c r="E2738">
        <v>3.2</v>
      </c>
      <c r="F2738" s="2">
        <v>46518</v>
      </c>
      <c r="G2738" s="2">
        <v>46429</v>
      </c>
      <c r="H2738" t="s">
        <v>104</v>
      </c>
      <c r="I2738" t="s">
        <v>509</v>
      </c>
      <c r="J2738">
        <v>98.117000000000004</v>
      </c>
      <c r="K2738">
        <v>98.120999999999995</v>
      </c>
      <c r="L2738">
        <v>4.117</v>
      </c>
      <c r="M2738">
        <v>4.1150000000000002</v>
      </c>
      <c r="N2738">
        <v>4.1150000000000002</v>
      </c>
      <c r="O2738" t="s">
        <v>101</v>
      </c>
      <c r="P2738" t="s">
        <v>1391</v>
      </c>
      <c r="Q2738" t="s">
        <v>2454</v>
      </c>
      <c r="R2738" t="s">
        <v>2436</v>
      </c>
    </row>
    <row r="2739" spans="1:18" x14ac:dyDescent="0.5">
      <c r="A2739" t="str">
        <f>"166764BX7"</f>
        <v>166764BX7</v>
      </c>
      <c r="B2739" t="s">
        <v>101</v>
      </c>
      <c r="C2739" t="s">
        <v>3458</v>
      </c>
      <c r="D2739" t="s">
        <v>2433</v>
      </c>
      <c r="E2739">
        <v>1.9950000000000001</v>
      </c>
      <c r="F2739" s="2">
        <v>46518</v>
      </c>
      <c r="G2739" s="2">
        <v>46457</v>
      </c>
      <c r="H2739" t="s">
        <v>613</v>
      </c>
      <c r="I2739" t="s">
        <v>616</v>
      </c>
      <c r="J2739">
        <v>95.355000000000004</v>
      </c>
      <c r="K2739">
        <v>95.447999999999993</v>
      </c>
      <c r="L2739">
        <v>4.2640000000000002</v>
      </c>
      <c r="M2739">
        <v>4.2169999999999996</v>
      </c>
      <c r="N2739">
        <v>4.2169999999999996</v>
      </c>
      <c r="O2739" t="s">
        <v>101</v>
      </c>
      <c r="P2739" t="s">
        <v>858</v>
      </c>
      <c r="Q2739" t="s">
        <v>3459</v>
      </c>
      <c r="R2739" t="s">
        <v>2436</v>
      </c>
    </row>
    <row r="2740" spans="1:18" x14ac:dyDescent="0.5">
      <c r="A2740" t="str">
        <f>"69371RT22"</f>
        <v>69371RT22</v>
      </c>
      <c r="B2740" t="s">
        <v>101</v>
      </c>
      <c r="C2740" t="s">
        <v>3460</v>
      </c>
      <c r="D2740" t="s">
        <v>2433</v>
      </c>
      <c r="E2740">
        <v>5</v>
      </c>
      <c r="F2740" s="2">
        <v>46520</v>
      </c>
      <c r="G2740" s="2" t="s">
        <v>105</v>
      </c>
      <c r="H2740" t="s">
        <v>641</v>
      </c>
      <c r="I2740" t="s">
        <v>658</v>
      </c>
      <c r="J2740">
        <v>101.255</v>
      </c>
      <c r="K2740">
        <v>101.503</v>
      </c>
      <c r="L2740">
        <v>4.3840000000000003</v>
      </c>
      <c r="M2740">
        <v>4.2640000000000002</v>
      </c>
      <c r="N2740">
        <v>4.2640000000000002</v>
      </c>
      <c r="O2740" t="s">
        <v>101</v>
      </c>
      <c r="P2740" t="s">
        <v>1702</v>
      </c>
      <c r="Q2740" t="s">
        <v>3461</v>
      </c>
      <c r="R2740" t="s">
        <v>2465</v>
      </c>
    </row>
    <row r="2741" spans="1:18" x14ac:dyDescent="0.5">
      <c r="A2741" t="str">
        <f>"14913UAL4"</f>
        <v>14913UAL4</v>
      </c>
      <c r="B2741" t="s">
        <v>101</v>
      </c>
      <c r="C2741" t="s">
        <v>3462</v>
      </c>
      <c r="D2741" t="s">
        <v>2433</v>
      </c>
      <c r="E2741">
        <v>5</v>
      </c>
      <c r="F2741" s="2">
        <v>46521</v>
      </c>
      <c r="G2741" s="2" t="s">
        <v>101</v>
      </c>
      <c r="H2741" t="s">
        <v>610</v>
      </c>
      <c r="I2741" t="s">
        <v>611</v>
      </c>
      <c r="J2741">
        <v>101.325</v>
      </c>
      <c r="K2741">
        <v>101.491</v>
      </c>
      <c r="L2741">
        <v>4.351</v>
      </c>
      <c r="M2741">
        <v>4.2709999999999999</v>
      </c>
      <c r="N2741">
        <v>4.2709999999999999</v>
      </c>
      <c r="O2741" t="s">
        <v>101</v>
      </c>
      <c r="P2741" t="s">
        <v>2289</v>
      </c>
      <c r="Q2741" t="s">
        <v>3191</v>
      </c>
      <c r="R2741" t="s">
        <v>2436</v>
      </c>
    </row>
    <row r="2742" spans="1:18" x14ac:dyDescent="0.5">
      <c r="A2742" t="str">
        <f>"009158AY2"</f>
        <v>009158AY2</v>
      </c>
      <c r="B2742" t="s">
        <v>101</v>
      </c>
      <c r="C2742" t="s">
        <v>3463</v>
      </c>
      <c r="D2742" t="s">
        <v>2433</v>
      </c>
      <c r="E2742">
        <v>1.85</v>
      </c>
      <c r="F2742" s="2">
        <v>46522</v>
      </c>
      <c r="G2742" s="2">
        <v>46461</v>
      </c>
      <c r="H2742" t="s">
        <v>610</v>
      </c>
      <c r="I2742" t="s">
        <v>611</v>
      </c>
      <c r="J2742">
        <v>94.858000000000004</v>
      </c>
      <c r="K2742">
        <v>95.064999999999998</v>
      </c>
      <c r="L2742">
        <v>4.3520000000000003</v>
      </c>
      <c r="M2742">
        <v>4.2480000000000002</v>
      </c>
      <c r="N2742">
        <v>4.2480000000000002</v>
      </c>
      <c r="O2742" t="s">
        <v>101</v>
      </c>
      <c r="P2742" t="s">
        <v>2472</v>
      </c>
      <c r="Q2742" t="s">
        <v>858</v>
      </c>
      <c r="R2742" t="s">
        <v>2436</v>
      </c>
    </row>
    <row r="2743" spans="1:18" x14ac:dyDescent="0.5">
      <c r="A2743" t="str">
        <f>"05348EBA6"</f>
        <v>05348EBA6</v>
      </c>
      <c r="B2743" t="s">
        <v>101</v>
      </c>
      <c r="C2743" t="s">
        <v>3464</v>
      </c>
      <c r="D2743" t="s">
        <v>2433</v>
      </c>
      <c r="E2743">
        <v>3.35</v>
      </c>
      <c r="F2743" s="2">
        <v>46522</v>
      </c>
      <c r="G2743" s="2">
        <v>46433</v>
      </c>
      <c r="H2743" t="s">
        <v>627</v>
      </c>
      <c r="I2743" t="s">
        <v>713</v>
      </c>
      <c r="J2743">
        <v>97.539000000000001</v>
      </c>
      <c r="K2743">
        <v>97.751999999999995</v>
      </c>
      <c r="L2743">
        <v>4.5490000000000004</v>
      </c>
      <c r="M2743">
        <v>4.444</v>
      </c>
      <c r="N2743">
        <v>4.444</v>
      </c>
      <c r="O2743" t="s">
        <v>101</v>
      </c>
      <c r="P2743" t="s">
        <v>1702</v>
      </c>
      <c r="Q2743" t="s">
        <v>1702</v>
      </c>
      <c r="R2743" t="s">
        <v>2436</v>
      </c>
    </row>
    <row r="2744" spans="1:18" x14ac:dyDescent="0.5">
      <c r="A2744" t="str">
        <f>"125509AZ2"</f>
        <v>125509AZ2</v>
      </c>
      <c r="B2744" t="s">
        <v>101</v>
      </c>
      <c r="C2744" t="s">
        <v>3465</v>
      </c>
      <c r="D2744" t="s">
        <v>2433</v>
      </c>
      <c r="E2744">
        <v>7.875</v>
      </c>
      <c r="F2744" s="2">
        <v>46522</v>
      </c>
      <c r="G2744" s="2" t="s">
        <v>101</v>
      </c>
      <c r="H2744" t="s">
        <v>670</v>
      </c>
      <c r="I2744" t="s">
        <v>713</v>
      </c>
      <c r="J2744">
        <v>107.051</v>
      </c>
      <c r="K2744">
        <v>107.29300000000001</v>
      </c>
      <c r="L2744">
        <v>4.4340000000000002</v>
      </c>
      <c r="M2744">
        <v>4.3209999999999997</v>
      </c>
      <c r="N2744">
        <v>4.3209999999999997</v>
      </c>
      <c r="O2744" t="s">
        <v>101</v>
      </c>
      <c r="P2744" t="s">
        <v>1236</v>
      </c>
      <c r="Q2744" t="s">
        <v>2639</v>
      </c>
      <c r="R2744" t="s">
        <v>2436</v>
      </c>
    </row>
    <row r="2745" spans="1:18" x14ac:dyDescent="0.5">
      <c r="A2745" t="str">
        <f>"532457BP2"</f>
        <v>532457BP2</v>
      </c>
      <c r="B2745" t="s">
        <v>101</v>
      </c>
      <c r="C2745" t="s">
        <v>3466</v>
      </c>
      <c r="D2745" t="s">
        <v>2433</v>
      </c>
      <c r="E2745">
        <v>3.1</v>
      </c>
      <c r="F2745" s="2">
        <v>46522</v>
      </c>
      <c r="G2745" s="2">
        <v>46433</v>
      </c>
      <c r="H2745" t="s">
        <v>624</v>
      </c>
      <c r="I2745" t="s">
        <v>658</v>
      </c>
      <c r="J2745">
        <v>97.698999999999998</v>
      </c>
      <c r="K2745">
        <v>97.92</v>
      </c>
      <c r="L2745">
        <v>4.2160000000000002</v>
      </c>
      <c r="M2745">
        <v>4.1079999999999997</v>
      </c>
      <c r="N2745">
        <v>4.1079999999999997</v>
      </c>
      <c r="O2745" t="s">
        <v>101</v>
      </c>
      <c r="P2745" t="s">
        <v>3241</v>
      </c>
      <c r="Q2745" t="s">
        <v>2786</v>
      </c>
      <c r="R2745" t="s">
        <v>2436</v>
      </c>
    </row>
    <row r="2746" spans="1:18" x14ac:dyDescent="0.5">
      <c r="A2746" t="str">
        <f>"459200KH3"</f>
        <v>459200KH3</v>
      </c>
      <c r="B2746" t="s">
        <v>101</v>
      </c>
      <c r="C2746" t="s">
        <v>3467</v>
      </c>
      <c r="D2746" t="s">
        <v>2433</v>
      </c>
      <c r="E2746">
        <v>1.7</v>
      </c>
      <c r="F2746" s="2">
        <v>46522</v>
      </c>
      <c r="G2746" s="2">
        <v>46461</v>
      </c>
      <c r="H2746" t="s">
        <v>627</v>
      </c>
      <c r="I2746" t="s">
        <v>713</v>
      </c>
      <c r="J2746">
        <v>94.022999999999996</v>
      </c>
      <c r="K2746">
        <v>94.316999999999993</v>
      </c>
      <c r="L2746">
        <v>4.6189999999999998</v>
      </c>
      <c r="M2746">
        <v>4.47</v>
      </c>
      <c r="N2746">
        <v>4.47</v>
      </c>
      <c r="O2746" t="s">
        <v>101</v>
      </c>
      <c r="P2746" t="s">
        <v>3468</v>
      </c>
      <c r="Q2746" t="s">
        <v>3469</v>
      </c>
      <c r="R2746" t="s">
        <v>2436</v>
      </c>
    </row>
    <row r="2747" spans="1:18" x14ac:dyDescent="0.5">
      <c r="A2747" t="str">
        <f>"67021CAM9"</f>
        <v>67021CAM9</v>
      </c>
      <c r="B2747" t="s">
        <v>101</v>
      </c>
      <c r="C2747" t="s">
        <v>3470</v>
      </c>
      <c r="D2747" t="s">
        <v>2433</v>
      </c>
      <c r="E2747">
        <v>3.2</v>
      </c>
      <c r="F2747" s="2">
        <v>46522</v>
      </c>
      <c r="G2747" s="2">
        <v>46433</v>
      </c>
      <c r="H2747" t="s">
        <v>610</v>
      </c>
      <c r="I2747" t="s">
        <v>713</v>
      </c>
      <c r="J2747">
        <v>97.19</v>
      </c>
      <c r="K2747">
        <v>97.346999999999994</v>
      </c>
      <c r="L2747">
        <v>4.57</v>
      </c>
      <c r="M2747">
        <v>4.492</v>
      </c>
      <c r="N2747">
        <v>4.492</v>
      </c>
      <c r="O2747" t="s">
        <v>101</v>
      </c>
      <c r="P2747" t="s">
        <v>3411</v>
      </c>
      <c r="Q2747" t="s">
        <v>2581</v>
      </c>
      <c r="R2747" t="s">
        <v>2436</v>
      </c>
    </row>
    <row r="2748" spans="1:18" x14ac:dyDescent="0.5">
      <c r="A2748" t="str">
        <f>"74456QBS4"</f>
        <v>74456QBS4</v>
      </c>
      <c r="B2748" t="s">
        <v>101</v>
      </c>
      <c r="C2748" t="s">
        <v>3471</v>
      </c>
      <c r="D2748" t="s">
        <v>2433</v>
      </c>
      <c r="E2748">
        <v>3</v>
      </c>
      <c r="F2748" s="2">
        <v>46522</v>
      </c>
      <c r="G2748" s="2">
        <v>46433</v>
      </c>
      <c r="H2748" t="s">
        <v>641</v>
      </c>
      <c r="I2748" t="s">
        <v>611</v>
      </c>
      <c r="J2748">
        <v>97.192999999999998</v>
      </c>
      <c r="K2748">
        <v>97.438999999999993</v>
      </c>
      <c r="L2748">
        <v>4.3650000000000002</v>
      </c>
      <c r="M2748">
        <v>4.2430000000000003</v>
      </c>
      <c r="N2748">
        <v>4.2430000000000003</v>
      </c>
      <c r="O2748" t="s">
        <v>101</v>
      </c>
      <c r="P2748" t="s">
        <v>3084</v>
      </c>
      <c r="Q2748" t="s">
        <v>3386</v>
      </c>
      <c r="R2748" t="s">
        <v>2436</v>
      </c>
    </row>
    <row r="2749" spans="1:18" x14ac:dyDescent="0.5">
      <c r="A2749" t="str">
        <f>"125523AX8"</f>
        <v>125523AX8</v>
      </c>
      <c r="B2749" t="s">
        <v>101</v>
      </c>
      <c r="C2749" t="s">
        <v>3472</v>
      </c>
      <c r="D2749" t="s">
        <v>2433</v>
      </c>
      <c r="E2749">
        <v>7.875</v>
      </c>
      <c r="F2749" s="2">
        <v>46522</v>
      </c>
      <c r="G2749" s="2" t="s">
        <v>105</v>
      </c>
      <c r="H2749" t="s">
        <v>670</v>
      </c>
      <c r="I2749" t="s">
        <v>713</v>
      </c>
      <c r="J2749">
        <v>107.071</v>
      </c>
      <c r="K2749">
        <v>107.256</v>
      </c>
      <c r="L2749">
        <v>4.4240000000000004</v>
      </c>
      <c r="M2749">
        <v>4.3380000000000001</v>
      </c>
      <c r="N2749">
        <v>4.3380000000000001</v>
      </c>
      <c r="O2749" t="s">
        <v>101</v>
      </c>
      <c r="P2749" t="s">
        <v>3473</v>
      </c>
      <c r="Q2749" t="s">
        <v>1702</v>
      </c>
      <c r="R2749" t="s">
        <v>2465</v>
      </c>
    </row>
    <row r="2750" spans="1:18" x14ac:dyDescent="0.5">
      <c r="A2750" t="str">
        <f>"91324PEG3"</f>
        <v>91324PEG3</v>
      </c>
      <c r="B2750" t="s">
        <v>101</v>
      </c>
      <c r="C2750" t="s">
        <v>3474</v>
      </c>
      <c r="D2750" t="s">
        <v>2433</v>
      </c>
      <c r="E2750">
        <v>3.7</v>
      </c>
      <c r="F2750" s="2">
        <v>46522</v>
      </c>
      <c r="G2750" s="2">
        <v>46492</v>
      </c>
      <c r="H2750" t="s">
        <v>610</v>
      </c>
      <c r="I2750" t="s">
        <v>658</v>
      </c>
      <c r="J2750">
        <v>98.522999999999996</v>
      </c>
      <c r="K2750">
        <v>98.634</v>
      </c>
      <c r="L2750">
        <v>4.4169999999999998</v>
      </c>
      <c r="M2750">
        <v>4.3630000000000004</v>
      </c>
      <c r="N2750">
        <v>4.3630000000000004</v>
      </c>
      <c r="O2750" t="s">
        <v>101</v>
      </c>
      <c r="P2750" t="s">
        <v>2438</v>
      </c>
      <c r="Q2750" t="s">
        <v>2587</v>
      </c>
      <c r="R2750" t="s">
        <v>2436</v>
      </c>
    </row>
    <row r="2751" spans="1:18" x14ac:dyDescent="0.5">
      <c r="A2751" t="str">
        <f>"06406RAD9"</f>
        <v>06406RAD9</v>
      </c>
      <c r="B2751" t="s">
        <v>101</v>
      </c>
      <c r="C2751" t="s">
        <v>3475</v>
      </c>
      <c r="D2751" t="s">
        <v>2433</v>
      </c>
      <c r="E2751">
        <v>3.25</v>
      </c>
      <c r="F2751" s="2">
        <v>46523</v>
      </c>
      <c r="G2751" s="2">
        <v>46434</v>
      </c>
      <c r="H2751" t="s">
        <v>624</v>
      </c>
      <c r="I2751" t="s">
        <v>611</v>
      </c>
      <c r="J2751">
        <v>97.656000000000006</v>
      </c>
      <c r="K2751">
        <v>97.762</v>
      </c>
      <c r="L2751">
        <v>4.3879999999999999</v>
      </c>
      <c r="M2751">
        <v>4.3360000000000003</v>
      </c>
      <c r="N2751">
        <v>4.3360000000000003</v>
      </c>
      <c r="O2751" t="s">
        <v>101</v>
      </c>
      <c r="P2751" t="s">
        <v>2289</v>
      </c>
      <c r="Q2751" t="s">
        <v>2289</v>
      </c>
      <c r="R2751" t="s">
        <v>2436</v>
      </c>
    </row>
    <row r="2752" spans="1:18" x14ac:dyDescent="0.5">
      <c r="A2752" t="str">
        <f>"66989HAN8"</f>
        <v>66989HAN8</v>
      </c>
      <c r="B2752" t="s">
        <v>101</v>
      </c>
      <c r="C2752" t="s">
        <v>3476</v>
      </c>
      <c r="D2752" t="s">
        <v>2433</v>
      </c>
      <c r="E2752">
        <v>3.1</v>
      </c>
      <c r="F2752" s="2">
        <v>46524</v>
      </c>
      <c r="G2752" s="2">
        <v>46435</v>
      </c>
      <c r="H2752" t="s">
        <v>624</v>
      </c>
      <c r="I2752" t="s">
        <v>616</v>
      </c>
      <c r="J2752">
        <v>97.638999999999996</v>
      </c>
      <c r="K2752">
        <v>97.741</v>
      </c>
      <c r="L2752">
        <v>4.2430000000000003</v>
      </c>
      <c r="M2752">
        <v>4.1929999999999996</v>
      </c>
      <c r="N2752">
        <v>4.1929999999999996</v>
      </c>
      <c r="O2752" t="s">
        <v>101</v>
      </c>
      <c r="P2752" t="s">
        <v>2454</v>
      </c>
      <c r="Q2752" t="s">
        <v>1236</v>
      </c>
      <c r="R2752" t="s">
        <v>2436</v>
      </c>
    </row>
    <row r="2753" spans="1:18" x14ac:dyDescent="0.5">
      <c r="A2753" t="str">
        <f>"22160KAM7"</f>
        <v>22160KAM7</v>
      </c>
      <c r="B2753" t="s">
        <v>101</v>
      </c>
      <c r="C2753" t="s">
        <v>3477</v>
      </c>
      <c r="D2753" t="s">
        <v>2433</v>
      </c>
      <c r="E2753">
        <v>3</v>
      </c>
      <c r="F2753" s="2">
        <v>46525</v>
      </c>
      <c r="G2753" s="2">
        <v>46436</v>
      </c>
      <c r="H2753" t="s">
        <v>624</v>
      </c>
      <c r="I2753" t="s">
        <v>628</v>
      </c>
      <c r="J2753">
        <v>97.46</v>
      </c>
      <c r="K2753">
        <v>97.67</v>
      </c>
      <c r="L2753">
        <v>4.2279999999999998</v>
      </c>
      <c r="M2753">
        <v>4.125</v>
      </c>
      <c r="N2753">
        <v>4.125</v>
      </c>
      <c r="O2753" t="s">
        <v>101</v>
      </c>
      <c r="P2753" t="s">
        <v>1702</v>
      </c>
      <c r="Q2753" t="s">
        <v>2454</v>
      </c>
      <c r="R2753" t="s">
        <v>2436</v>
      </c>
    </row>
    <row r="2754" spans="1:18" x14ac:dyDescent="0.5">
      <c r="A2754" t="str">
        <f>"56501RAK2"</f>
        <v>56501RAK2</v>
      </c>
      <c r="B2754" t="s">
        <v>101</v>
      </c>
      <c r="C2754" t="s">
        <v>3478</v>
      </c>
      <c r="D2754" t="s">
        <v>2433</v>
      </c>
      <c r="E2754">
        <v>2.484</v>
      </c>
      <c r="F2754" s="2">
        <v>46526</v>
      </c>
      <c r="G2754" s="2">
        <v>46465</v>
      </c>
      <c r="H2754" t="s">
        <v>105</v>
      </c>
      <c r="I2754" t="s">
        <v>611</v>
      </c>
      <c r="J2754">
        <v>95.787000000000006</v>
      </c>
      <c r="K2754">
        <v>96.07</v>
      </c>
      <c r="L2754">
        <v>4.5279999999999996</v>
      </c>
      <c r="M2754">
        <v>4.3869999999999996</v>
      </c>
      <c r="N2754">
        <v>4.3869999999999996</v>
      </c>
      <c r="O2754" t="s">
        <v>101</v>
      </c>
      <c r="P2754" t="s">
        <v>2746</v>
      </c>
      <c r="Q2754" t="s">
        <v>2731</v>
      </c>
      <c r="R2754" t="s">
        <v>2436</v>
      </c>
    </row>
    <row r="2755" spans="1:18" x14ac:dyDescent="0.5">
      <c r="A2755" t="str">
        <f>"693475AT2"</f>
        <v>693475AT2</v>
      </c>
      <c r="B2755" t="s">
        <v>101</v>
      </c>
      <c r="C2755" t="s">
        <v>3479</v>
      </c>
      <c r="D2755" t="s">
        <v>2433</v>
      </c>
      <c r="E2755">
        <v>3.15</v>
      </c>
      <c r="F2755" s="2">
        <v>46526</v>
      </c>
      <c r="G2755" s="2">
        <v>46496</v>
      </c>
      <c r="H2755" t="s">
        <v>627</v>
      </c>
      <c r="I2755" t="s">
        <v>713</v>
      </c>
      <c r="J2755">
        <v>97.084999999999994</v>
      </c>
      <c r="K2755">
        <v>97.225999999999999</v>
      </c>
      <c r="L2755">
        <v>4.5640000000000001</v>
      </c>
      <c r="M2755">
        <v>4.4939999999999998</v>
      </c>
      <c r="N2755">
        <v>4.4939999999999998</v>
      </c>
      <c r="O2755" t="s">
        <v>101</v>
      </c>
      <c r="P2755" t="s">
        <v>2776</v>
      </c>
      <c r="Q2755" t="s">
        <v>2454</v>
      </c>
      <c r="R2755" t="s">
        <v>2436</v>
      </c>
    </row>
    <row r="2756" spans="1:18" x14ac:dyDescent="0.5">
      <c r="A2756" t="str">
        <f>"747525AU7"</f>
        <v>747525AU7</v>
      </c>
      <c r="B2756" t="s">
        <v>101</v>
      </c>
      <c r="C2756" t="s">
        <v>3480</v>
      </c>
      <c r="D2756" t="s">
        <v>2433</v>
      </c>
      <c r="E2756">
        <v>3.25</v>
      </c>
      <c r="F2756" s="2">
        <v>46527</v>
      </c>
      <c r="G2756" s="2">
        <v>46438</v>
      </c>
      <c r="H2756" t="s">
        <v>610</v>
      </c>
      <c r="I2756" t="s">
        <v>611</v>
      </c>
      <c r="J2756">
        <v>97.872</v>
      </c>
      <c r="K2756">
        <v>97.945999999999998</v>
      </c>
      <c r="L2756">
        <v>4.2770000000000001</v>
      </c>
      <c r="M2756">
        <v>4.2409999999999997</v>
      </c>
      <c r="N2756">
        <v>4.2409999999999997</v>
      </c>
      <c r="O2756" t="s">
        <v>101</v>
      </c>
      <c r="P2756" t="s">
        <v>3481</v>
      </c>
      <c r="Q2756" t="s">
        <v>2581</v>
      </c>
      <c r="R2756" t="s">
        <v>2436</v>
      </c>
    </row>
    <row r="2757" spans="1:18" x14ac:dyDescent="0.5">
      <c r="A2757" t="str">
        <f>"670346AY1"</f>
        <v>670346AY1</v>
      </c>
      <c r="B2757" t="s">
        <v>101</v>
      </c>
      <c r="C2757" t="s">
        <v>3482</v>
      </c>
      <c r="D2757" t="s">
        <v>2433</v>
      </c>
      <c r="E2757">
        <v>4.3</v>
      </c>
      <c r="F2757" s="2">
        <v>46530</v>
      </c>
      <c r="G2757" s="2">
        <v>46500</v>
      </c>
      <c r="H2757" t="s">
        <v>670</v>
      </c>
      <c r="I2757" t="s">
        <v>713</v>
      </c>
      <c r="J2757">
        <v>99.558999999999997</v>
      </c>
      <c r="K2757">
        <v>99.742999999999995</v>
      </c>
      <c r="L2757">
        <v>4.51</v>
      </c>
      <c r="M2757">
        <v>4.4210000000000003</v>
      </c>
      <c r="N2757">
        <v>4.4210000000000003</v>
      </c>
      <c r="O2757" t="s">
        <v>101</v>
      </c>
      <c r="P2757" t="s">
        <v>858</v>
      </c>
      <c r="Q2757" t="s">
        <v>2454</v>
      </c>
      <c r="R2757" t="s">
        <v>2436</v>
      </c>
    </row>
    <row r="2758" spans="1:18" x14ac:dyDescent="0.5">
      <c r="A2758" t="str">
        <f>"191216CE8"</f>
        <v>191216CE8</v>
      </c>
      <c r="B2758" t="s">
        <v>101</v>
      </c>
      <c r="C2758" t="s">
        <v>3483</v>
      </c>
      <c r="D2758" t="s">
        <v>2433</v>
      </c>
      <c r="E2758">
        <v>2.9</v>
      </c>
      <c r="F2758" s="2">
        <v>46532</v>
      </c>
      <c r="G2758" s="2" t="s">
        <v>101</v>
      </c>
      <c r="H2758" t="s">
        <v>641</v>
      </c>
      <c r="I2758" t="s">
        <v>658</v>
      </c>
      <c r="J2758">
        <v>97.200999999999993</v>
      </c>
      <c r="K2758">
        <v>97.426000000000002</v>
      </c>
      <c r="L2758">
        <v>4.2430000000000003</v>
      </c>
      <c r="M2758">
        <v>4.133</v>
      </c>
      <c r="N2758">
        <v>4.133</v>
      </c>
      <c r="O2758" t="s">
        <v>101</v>
      </c>
      <c r="P2758" t="s">
        <v>2889</v>
      </c>
      <c r="Q2758" t="s">
        <v>1236</v>
      </c>
      <c r="R2758" t="s">
        <v>2436</v>
      </c>
    </row>
    <row r="2759" spans="1:18" x14ac:dyDescent="0.5">
      <c r="A2759" t="str">
        <f>"03740LAD4"</f>
        <v>03740LAD4</v>
      </c>
      <c r="B2759" t="s">
        <v>101</v>
      </c>
      <c r="C2759" t="s">
        <v>3484</v>
      </c>
      <c r="D2759" t="s">
        <v>2433</v>
      </c>
      <c r="E2759">
        <v>2.85</v>
      </c>
      <c r="F2759" s="2">
        <v>46535</v>
      </c>
      <c r="G2759" s="2">
        <v>46505</v>
      </c>
      <c r="H2759" t="s">
        <v>677</v>
      </c>
      <c r="I2759" t="s">
        <v>713</v>
      </c>
      <c r="J2759">
        <v>96.394999999999996</v>
      </c>
      <c r="K2759">
        <v>96.551000000000002</v>
      </c>
      <c r="L2759">
        <v>4.5810000000000004</v>
      </c>
      <c r="M2759">
        <v>4.5039999999999996</v>
      </c>
      <c r="N2759">
        <v>4.5039999999999996</v>
      </c>
      <c r="O2759" t="s">
        <v>101</v>
      </c>
      <c r="P2759" t="s">
        <v>2447</v>
      </c>
      <c r="Q2759" t="s">
        <v>3312</v>
      </c>
      <c r="R2759" t="s">
        <v>2436</v>
      </c>
    </row>
    <row r="2760" spans="1:18" x14ac:dyDescent="0.5">
      <c r="A2760" t="str">
        <f>"191216CU2"</f>
        <v>191216CU2</v>
      </c>
      <c r="B2760" t="s">
        <v>101</v>
      </c>
      <c r="C2760" t="s">
        <v>3485</v>
      </c>
      <c r="D2760" t="s">
        <v>2433</v>
      </c>
      <c r="E2760">
        <v>1.45</v>
      </c>
      <c r="F2760" s="2">
        <v>46539</v>
      </c>
      <c r="G2760" s="2">
        <v>46478</v>
      </c>
      <c r="H2760" t="s">
        <v>641</v>
      </c>
      <c r="I2760" t="s">
        <v>658</v>
      </c>
      <c r="J2760">
        <v>94.113</v>
      </c>
      <c r="K2760">
        <v>94.204999999999998</v>
      </c>
      <c r="L2760">
        <v>4.2569999999999997</v>
      </c>
      <c r="M2760">
        <v>4.2110000000000003</v>
      </c>
      <c r="N2760">
        <v>4.2110000000000003</v>
      </c>
      <c r="O2760" t="s">
        <v>101</v>
      </c>
      <c r="P2760" t="s">
        <v>2454</v>
      </c>
      <c r="Q2760" t="s">
        <v>2454</v>
      </c>
      <c r="R2760" t="s">
        <v>2436</v>
      </c>
    </row>
    <row r="2761" spans="1:18" x14ac:dyDescent="0.5">
      <c r="A2761" t="str">
        <f>"59523UAN7"</f>
        <v>59523UAN7</v>
      </c>
      <c r="B2761" t="s">
        <v>101</v>
      </c>
      <c r="C2761" t="s">
        <v>3486</v>
      </c>
      <c r="D2761" t="s">
        <v>2433</v>
      </c>
      <c r="E2761">
        <v>3.6</v>
      </c>
      <c r="F2761" s="2">
        <v>46539</v>
      </c>
      <c r="G2761" s="2">
        <v>46447</v>
      </c>
      <c r="H2761" t="s">
        <v>627</v>
      </c>
      <c r="I2761" t="s">
        <v>713</v>
      </c>
      <c r="J2761">
        <v>98.012</v>
      </c>
      <c r="K2761">
        <v>98.08</v>
      </c>
      <c r="L2761">
        <v>4.5490000000000004</v>
      </c>
      <c r="M2761">
        <v>4.5170000000000003</v>
      </c>
      <c r="N2761">
        <v>4.5170000000000003</v>
      </c>
      <c r="O2761" t="s">
        <v>101</v>
      </c>
      <c r="P2761" t="s">
        <v>2447</v>
      </c>
      <c r="Q2761" t="s">
        <v>1064</v>
      </c>
      <c r="R2761" t="s">
        <v>2436</v>
      </c>
    </row>
    <row r="2762" spans="1:18" x14ac:dyDescent="0.5">
      <c r="A2762" t="str">
        <f>"70450YAK9"</f>
        <v>70450YAK9</v>
      </c>
      <c r="B2762" t="s">
        <v>101</v>
      </c>
      <c r="C2762" t="s">
        <v>3487</v>
      </c>
      <c r="D2762" t="s">
        <v>2433</v>
      </c>
      <c r="E2762">
        <v>3.9</v>
      </c>
      <c r="F2762" s="2">
        <v>46539</v>
      </c>
      <c r="G2762" s="2">
        <v>46508</v>
      </c>
      <c r="H2762" t="s">
        <v>627</v>
      </c>
      <c r="I2762" t="s">
        <v>713</v>
      </c>
      <c r="J2762">
        <v>98.811000000000007</v>
      </c>
      <c r="K2762">
        <v>99.046000000000006</v>
      </c>
      <c r="L2762">
        <v>4.4660000000000002</v>
      </c>
      <c r="M2762">
        <v>4.3529999999999998</v>
      </c>
      <c r="N2762">
        <v>4.3529999999999998</v>
      </c>
      <c r="O2762" t="s">
        <v>101</v>
      </c>
      <c r="P2762" t="s">
        <v>1702</v>
      </c>
      <c r="Q2762" t="s">
        <v>2454</v>
      </c>
      <c r="R2762" t="s">
        <v>2436</v>
      </c>
    </row>
    <row r="2763" spans="1:18" x14ac:dyDescent="0.5">
      <c r="A2763" t="str">
        <f>"842400HQ9"</f>
        <v>842400HQ9</v>
      </c>
      <c r="B2763" t="s">
        <v>101</v>
      </c>
      <c r="C2763" t="s">
        <v>3488</v>
      </c>
      <c r="D2763" t="s">
        <v>2433</v>
      </c>
      <c r="E2763">
        <v>4.7</v>
      </c>
      <c r="F2763" s="2">
        <v>46539</v>
      </c>
      <c r="G2763" s="2">
        <v>46508</v>
      </c>
      <c r="H2763" t="s">
        <v>610</v>
      </c>
      <c r="I2763" t="s">
        <v>713</v>
      </c>
      <c r="J2763">
        <v>99.596000000000004</v>
      </c>
      <c r="K2763">
        <v>99.861999999999995</v>
      </c>
      <c r="L2763">
        <v>4.891</v>
      </c>
      <c r="M2763">
        <v>4.7629999999999999</v>
      </c>
      <c r="N2763">
        <v>4.7629999999999999</v>
      </c>
      <c r="O2763" t="s">
        <v>101</v>
      </c>
      <c r="P2763" t="s">
        <v>2952</v>
      </c>
      <c r="Q2763" t="s">
        <v>2922</v>
      </c>
      <c r="R2763" t="s">
        <v>2436</v>
      </c>
    </row>
    <row r="2764" spans="1:18" x14ac:dyDescent="0.5">
      <c r="A2764" t="str">
        <f>"023135BR6"</f>
        <v>023135BR6</v>
      </c>
      <c r="B2764" t="s">
        <v>101</v>
      </c>
      <c r="C2764" t="s">
        <v>3489</v>
      </c>
      <c r="D2764" t="s">
        <v>2433</v>
      </c>
      <c r="E2764">
        <v>1.2</v>
      </c>
      <c r="F2764" s="2">
        <v>46541</v>
      </c>
      <c r="G2764" s="2">
        <v>46480</v>
      </c>
      <c r="H2764" t="s">
        <v>641</v>
      </c>
      <c r="I2764" t="s">
        <v>628</v>
      </c>
      <c r="J2764">
        <v>93.494</v>
      </c>
      <c r="K2764">
        <v>93.67</v>
      </c>
      <c r="L2764">
        <v>4.2919999999999998</v>
      </c>
      <c r="M2764">
        <v>4.2089999999999996</v>
      </c>
      <c r="N2764">
        <v>4.2089999999999996</v>
      </c>
      <c r="O2764" t="s">
        <v>101</v>
      </c>
      <c r="P2764" t="s">
        <v>2454</v>
      </c>
      <c r="Q2764" t="s">
        <v>2786</v>
      </c>
      <c r="R2764" t="s">
        <v>2436</v>
      </c>
    </row>
    <row r="2765" spans="1:18" x14ac:dyDescent="0.5">
      <c r="A2765" t="str">
        <f>"06368L3K0"</f>
        <v>06368L3K0</v>
      </c>
      <c r="B2765" t="s">
        <v>101</v>
      </c>
      <c r="C2765" t="s">
        <v>3490</v>
      </c>
      <c r="D2765" t="s">
        <v>2433</v>
      </c>
      <c r="E2765">
        <v>5.37</v>
      </c>
      <c r="F2765" s="2">
        <v>46542</v>
      </c>
      <c r="G2765" s="2" t="s">
        <v>101</v>
      </c>
      <c r="H2765" t="s">
        <v>610</v>
      </c>
      <c r="I2765" t="s">
        <v>713</v>
      </c>
      <c r="J2765">
        <v>101.675</v>
      </c>
      <c r="K2765">
        <v>101.878</v>
      </c>
      <c r="L2765">
        <v>4.5670000000000002</v>
      </c>
      <c r="M2765">
        <v>4.4710000000000001</v>
      </c>
      <c r="N2765">
        <v>4.4710000000000001</v>
      </c>
      <c r="O2765" t="s">
        <v>101</v>
      </c>
      <c r="P2765" t="s">
        <v>1702</v>
      </c>
      <c r="Q2765" t="s">
        <v>3386</v>
      </c>
      <c r="R2765" t="s">
        <v>2436</v>
      </c>
    </row>
    <row r="2766" spans="1:18" x14ac:dyDescent="0.5">
      <c r="A2766" t="str">
        <f>"06418GAH0"</f>
        <v>06418GAH0</v>
      </c>
      <c r="B2766" t="s">
        <v>101</v>
      </c>
      <c r="C2766" t="s">
        <v>3491</v>
      </c>
      <c r="D2766" t="s">
        <v>2433</v>
      </c>
      <c r="E2766">
        <v>5.4</v>
      </c>
      <c r="F2766" s="2">
        <v>46542</v>
      </c>
      <c r="G2766" s="2" t="s">
        <v>101</v>
      </c>
      <c r="H2766" t="s">
        <v>610</v>
      </c>
      <c r="I2766" t="s">
        <v>713</v>
      </c>
      <c r="J2766">
        <v>101.745</v>
      </c>
      <c r="K2766">
        <v>101.90600000000001</v>
      </c>
      <c r="L2766">
        <v>4.5640000000000001</v>
      </c>
      <c r="M2766">
        <v>4.4880000000000004</v>
      </c>
      <c r="N2766">
        <v>4.4880000000000004</v>
      </c>
      <c r="O2766" t="s">
        <v>101</v>
      </c>
      <c r="P2766" t="s">
        <v>2454</v>
      </c>
      <c r="Q2766" t="s">
        <v>2581</v>
      </c>
      <c r="R2766" t="s">
        <v>2436</v>
      </c>
    </row>
    <row r="2767" spans="1:18" x14ac:dyDescent="0.5">
      <c r="A2767" t="str">
        <f>"89115A2C5"</f>
        <v>89115A2C5</v>
      </c>
      <c r="B2767" t="s">
        <v>101</v>
      </c>
      <c r="C2767" t="s">
        <v>3492</v>
      </c>
      <c r="D2767" t="s">
        <v>2433</v>
      </c>
      <c r="E2767">
        <v>4.1079999999999997</v>
      </c>
      <c r="F2767" s="2">
        <v>46546</v>
      </c>
      <c r="G2767" s="2" t="s">
        <v>101</v>
      </c>
      <c r="H2767" t="s">
        <v>610</v>
      </c>
      <c r="I2767" t="s">
        <v>713</v>
      </c>
      <c r="J2767">
        <v>98.989000000000004</v>
      </c>
      <c r="K2767">
        <v>99.153999999999996</v>
      </c>
      <c r="L2767">
        <v>4.5860000000000003</v>
      </c>
      <c r="M2767">
        <v>4.5069999999999997</v>
      </c>
      <c r="N2767">
        <v>4.5069999999999997</v>
      </c>
      <c r="O2767" t="s">
        <v>101</v>
      </c>
      <c r="P2767" t="s">
        <v>1702</v>
      </c>
      <c r="Q2767" t="s">
        <v>3493</v>
      </c>
      <c r="R2767" t="s">
        <v>2436</v>
      </c>
    </row>
    <row r="2768" spans="1:18" x14ac:dyDescent="0.5">
      <c r="A2768" t="str">
        <f>"58933YBC8"</f>
        <v>58933YBC8</v>
      </c>
      <c r="B2768" t="s">
        <v>101</v>
      </c>
      <c r="C2768" t="s">
        <v>3494</v>
      </c>
      <c r="D2768" t="s">
        <v>2433</v>
      </c>
      <c r="E2768">
        <v>1.7</v>
      </c>
      <c r="F2768" s="2">
        <v>46548</v>
      </c>
      <c r="G2768" s="2">
        <v>46517</v>
      </c>
      <c r="H2768" t="s">
        <v>641</v>
      </c>
      <c r="I2768" t="s">
        <v>658</v>
      </c>
      <c r="J2768">
        <v>94.591999999999999</v>
      </c>
      <c r="K2768">
        <v>94.74</v>
      </c>
      <c r="L2768">
        <v>4.2510000000000003</v>
      </c>
      <c r="M2768">
        <v>4.1790000000000003</v>
      </c>
      <c r="N2768">
        <v>4.1790000000000003</v>
      </c>
      <c r="O2768" t="s">
        <v>101</v>
      </c>
      <c r="P2768" t="s">
        <v>1702</v>
      </c>
      <c r="Q2768" t="s">
        <v>2454</v>
      </c>
      <c r="R2768" t="s">
        <v>2436</v>
      </c>
    </row>
    <row r="2769" spans="1:18" x14ac:dyDescent="0.5">
      <c r="A2769" t="str">
        <f>"24422EXR5"</f>
        <v>24422EXR5</v>
      </c>
      <c r="B2769" t="s">
        <v>101</v>
      </c>
      <c r="C2769" t="s">
        <v>3495</v>
      </c>
      <c r="D2769" t="s">
        <v>2433</v>
      </c>
      <c r="E2769">
        <v>4.9000000000000004</v>
      </c>
      <c r="F2769" s="2">
        <v>46549</v>
      </c>
      <c r="G2769" s="2" t="s">
        <v>105</v>
      </c>
      <c r="H2769" t="s">
        <v>641</v>
      </c>
      <c r="I2769" t="s">
        <v>611</v>
      </c>
      <c r="J2769">
        <v>101.16</v>
      </c>
      <c r="K2769">
        <v>101.334</v>
      </c>
      <c r="L2769">
        <v>4.3490000000000002</v>
      </c>
      <c r="M2769">
        <v>4.2679999999999998</v>
      </c>
      <c r="N2769">
        <v>4.2679999999999998</v>
      </c>
      <c r="O2769" t="s">
        <v>101</v>
      </c>
      <c r="P2769" t="s">
        <v>1236</v>
      </c>
      <c r="Q2769" t="s">
        <v>2796</v>
      </c>
      <c r="R2769" t="s">
        <v>2465</v>
      </c>
    </row>
    <row r="2770" spans="1:18" x14ac:dyDescent="0.5">
      <c r="A2770" t="str">
        <f>"046353AN8"</f>
        <v>046353AN8</v>
      </c>
      <c r="B2770" t="s">
        <v>101</v>
      </c>
      <c r="C2770" t="s">
        <v>3496</v>
      </c>
      <c r="D2770" t="s">
        <v>2433</v>
      </c>
      <c r="E2770">
        <v>3.125</v>
      </c>
      <c r="F2770" s="2">
        <v>46550</v>
      </c>
      <c r="G2770" s="2">
        <v>46458</v>
      </c>
      <c r="H2770" t="s">
        <v>641</v>
      </c>
      <c r="I2770" t="s">
        <v>658</v>
      </c>
      <c r="J2770">
        <v>97.51</v>
      </c>
      <c r="K2770">
        <v>97.626000000000005</v>
      </c>
      <c r="L2770">
        <v>4.2960000000000003</v>
      </c>
      <c r="M2770">
        <v>4.24</v>
      </c>
      <c r="N2770">
        <v>4.24</v>
      </c>
      <c r="O2770" t="s">
        <v>101</v>
      </c>
      <c r="P2770" t="s">
        <v>1236</v>
      </c>
      <c r="Q2770" t="s">
        <v>1236</v>
      </c>
      <c r="R2770" t="s">
        <v>2436</v>
      </c>
    </row>
    <row r="2771" spans="1:18" x14ac:dyDescent="0.5">
      <c r="A2771" t="str">
        <f>"049560AN5"</f>
        <v>049560AN5</v>
      </c>
      <c r="B2771" t="s">
        <v>101</v>
      </c>
      <c r="C2771" t="s">
        <v>3497</v>
      </c>
      <c r="D2771" t="s">
        <v>2433</v>
      </c>
      <c r="E2771">
        <v>3</v>
      </c>
      <c r="F2771" s="2">
        <v>46553</v>
      </c>
      <c r="G2771" s="2">
        <v>46461</v>
      </c>
      <c r="H2771" t="s">
        <v>641</v>
      </c>
      <c r="I2771" t="s">
        <v>713</v>
      </c>
      <c r="J2771">
        <v>96.894000000000005</v>
      </c>
      <c r="K2771">
        <v>97.090999999999994</v>
      </c>
      <c r="L2771">
        <v>4.4589999999999996</v>
      </c>
      <c r="M2771">
        <v>4.3650000000000002</v>
      </c>
      <c r="N2771">
        <v>4.3650000000000002</v>
      </c>
      <c r="O2771" t="s">
        <v>101</v>
      </c>
      <c r="P2771" t="s">
        <v>1236</v>
      </c>
      <c r="Q2771" t="s">
        <v>2555</v>
      </c>
      <c r="R2771" t="s">
        <v>2436</v>
      </c>
    </row>
    <row r="2772" spans="1:18" x14ac:dyDescent="0.5">
      <c r="A2772" t="str">
        <f>"12189LBA8"</f>
        <v>12189LBA8</v>
      </c>
      <c r="B2772" t="s">
        <v>101</v>
      </c>
      <c r="C2772" t="s">
        <v>3498</v>
      </c>
      <c r="D2772" t="s">
        <v>2433</v>
      </c>
      <c r="E2772">
        <v>3.25</v>
      </c>
      <c r="F2772" s="2">
        <v>46553</v>
      </c>
      <c r="G2772" s="2">
        <v>46461</v>
      </c>
      <c r="H2772" t="s">
        <v>610</v>
      </c>
      <c r="I2772" t="s">
        <v>616</v>
      </c>
      <c r="J2772">
        <v>97.552000000000007</v>
      </c>
      <c r="K2772">
        <v>97.778000000000006</v>
      </c>
      <c r="L2772">
        <v>4.399</v>
      </c>
      <c r="M2772">
        <v>4.2910000000000004</v>
      </c>
      <c r="N2772">
        <v>4.2910000000000004</v>
      </c>
      <c r="O2772" t="s">
        <v>101</v>
      </c>
      <c r="P2772" t="s">
        <v>1236</v>
      </c>
      <c r="Q2772" t="s">
        <v>2454</v>
      </c>
      <c r="R2772" t="s">
        <v>2436</v>
      </c>
    </row>
    <row r="2773" spans="1:18" x14ac:dyDescent="0.5">
      <c r="A2773" t="str">
        <f>"25468PDV5"</f>
        <v>25468PDV5</v>
      </c>
      <c r="B2773" t="s">
        <v>101</v>
      </c>
      <c r="C2773" t="s">
        <v>3499</v>
      </c>
      <c r="D2773" t="s">
        <v>2433</v>
      </c>
      <c r="E2773">
        <v>2.95</v>
      </c>
      <c r="F2773" s="2">
        <v>46553</v>
      </c>
      <c r="G2773" s="2" t="s">
        <v>101</v>
      </c>
      <c r="H2773" t="s">
        <v>610</v>
      </c>
      <c r="I2773" t="s">
        <v>611</v>
      </c>
      <c r="J2773">
        <v>97.013000000000005</v>
      </c>
      <c r="K2773">
        <v>97.07</v>
      </c>
      <c r="L2773">
        <v>4.351</v>
      </c>
      <c r="M2773">
        <v>4.3239999999999998</v>
      </c>
      <c r="N2773">
        <v>4.3239999999999998</v>
      </c>
      <c r="O2773" t="s">
        <v>101</v>
      </c>
      <c r="P2773" t="s">
        <v>2447</v>
      </c>
      <c r="Q2773" t="s">
        <v>2581</v>
      </c>
      <c r="R2773" t="s">
        <v>2436</v>
      </c>
    </row>
    <row r="2774" spans="1:18" x14ac:dyDescent="0.5">
      <c r="A2774" t="str">
        <f>"594918CQ5"</f>
        <v>594918CQ5</v>
      </c>
      <c r="B2774" t="s">
        <v>101</v>
      </c>
      <c r="C2774" t="s">
        <v>3500</v>
      </c>
      <c r="D2774" t="s">
        <v>2433</v>
      </c>
      <c r="E2774">
        <v>3.4</v>
      </c>
      <c r="F2774" s="2">
        <v>46553</v>
      </c>
      <c r="G2774" s="2">
        <v>46461</v>
      </c>
      <c r="H2774" t="s">
        <v>104</v>
      </c>
      <c r="I2774" t="s">
        <v>104</v>
      </c>
      <c r="J2774">
        <v>98.341999999999999</v>
      </c>
      <c r="K2774">
        <v>98.527000000000001</v>
      </c>
      <c r="L2774">
        <v>4.1749999999999998</v>
      </c>
      <c r="M2774">
        <v>4.0869999999999997</v>
      </c>
      <c r="N2774">
        <v>4.0869999999999997</v>
      </c>
      <c r="O2774" t="s">
        <v>101</v>
      </c>
      <c r="P2774" t="s">
        <v>858</v>
      </c>
      <c r="Q2774" t="s">
        <v>2894</v>
      </c>
      <c r="R2774" t="s">
        <v>2436</v>
      </c>
    </row>
    <row r="2775" spans="1:18" x14ac:dyDescent="0.5">
      <c r="A2775" t="str">
        <f>"828807DC8"</f>
        <v>828807DC8</v>
      </c>
      <c r="B2775" t="s">
        <v>101</v>
      </c>
      <c r="C2775" t="s">
        <v>3501</v>
      </c>
      <c r="D2775" t="s">
        <v>2433</v>
      </c>
      <c r="E2775">
        <v>3.375</v>
      </c>
      <c r="F2775" s="2">
        <v>46553</v>
      </c>
      <c r="G2775" s="2">
        <v>46461</v>
      </c>
      <c r="H2775" t="s">
        <v>627</v>
      </c>
      <c r="I2775" t="s">
        <v>713</v>
      </c>
      <c r="J2775">
        <v>97.647000000000006</v>
      </c>
      <c r="K2775">
        <v>97.778000000000006</v>
      </c>
      <c r="L2775">
        <v>4.4800000000000004</v>
      </c>
      <c r="M2775">
        <v>4.4169999999999998</v>
      </c>
      <c r="N2775">
        <v>4.4169999999999998</v>
      </c>
      <c r="O2775" t="s">
        <v>101</v>
      </c>
      <c r="P2775" t="s">
        <v>2447</v>
      </c>
      <c r="Q2775" t="s">
        <v>1702</v>
      </c>
      <c r="R2775" t="s">
        <v>2436</v>
      </c>
    </row>
    <row r="2776" spans="1:18" x14ac:dyDescent="0.5">
      <c r="A2776" t="str">
        <f>"906548CM2"</f>
        <v>906548CM2</v>
      </c>
      <c r="B2776" t="s">
        <v>101</v>
      </c>
      <c r="C2776" t="s">
        <v>3502</v>
      </c>
      <c r="D2776" t="s">
        <v>2433</v>
      </c>
      <c r="E2776">
        <v>2.95</v>
      </c>
      <c r="F2776" s="2">
        <v>46553</v>
      </c>
      <c r="G2776" s="2">
        <v>46461</v>
      </c>
      <c r="H2776" t="s">
        <v>610</v>
      </c>
      <c r="I2776" t="s">
        <v>611</v>
      </c>
      <c r="J2776">
        <v>96.745999999999995</v>
      </c>
      <c r="K2776">
        <v>97.001000000000005</v>
      </c>
      <c r="L2776">
        <v>4.4790000000000001</v>
      </c>
      <c r="M2776">
        <v>4.3570000000000002</v>
      </c>
      <c r="N2776">
        <v>4.3570000000000002</v>
      </c>
      <c r="O2776" t="s">
        <v>101</v>
      </c>
      <c r="P2776" t="s">
        <v>858</v>
      </c>
      <c r="Q2776" t="s">
        <v>3503</v>
      </c>
      <c r="R2776" t="s">
        <v>2436</v>
      </c>
    </row>
    <row r="2777" spans="1:18" x14ac:dyDescent="0.5">
      <c r="A2777" t="str">
        <f>"037833CX6"</f>
        <v>037833CX6</v>
      </c>
      <c r="B2777" t="s">
        <v>101</v>
      </c>
      <c r="C2777" t="s">
        <v>3504</v>
      </c>
      <c r="D2777" t="s">
        <v>2433</v>
      </c>
      <c r="E2777">
        <v>3</v>
      </c>
      <c r="F2777" s="2">
        <v>46558</v>
      </c>
      <c r="G2777" s="2">
        <v>46466</v>
      </c>
      <c r="H2777" t="s">
        <v>104</v>
      </c>
      <c r="I2777" t="s">
        <v>509</v>
      </c>
      <c r="J2777">
        <v>97.484999999999999</v>
      </c>
      <c r="K2777">
        <v>97.631</v>
      </c>
      <c r="L2777">
        <v>4.17</v>
      </c>
      <c r="M2777">
        <v>4.0979999999999999</v>
      </c>
      <c r="N2777">
        <v>4.101</v>
      </c>
      <c r="O2777" t="s">
        <v>101</v>
      </c>
      <c r="P2777" t="s">
        <v>3084</v>
      </c>
      <c r="Q2777" t="s">
        <v>2454</v>
      </c>
      <c r="R2777" t="s">
        <v>2436</v>
      </c>
    </row>
    <row r="2778" spans="1:18" x14ac:dyDescent="0.5">
      <c r="A2778" t="str">
        <f>"22160KAN5"</f>
        <v>22160KAN5</v>
      </c>
      <c r="B2778" t="s">
        <v>101</v>
      </c>
      <c r="C2778" t="s">
        <v>3505</v>
      </c>
      <c r="D2778" t="s">
        <v>2433</v>
      </c>
      <c r="E2778">
        <v>1.375</v>
      </c>
      <c r="F2778" s="2">
        <v>46558</v>
      </c>
      <c r="G2778" s="2">
        <v>46497</v>
      </c>
      <c r="H2778" t="s">
        <v>624</v>
      </c>
      <c r="I2778" t="s">
        <v>628</v>
      </c>
      <c r="J2778">
        <v>93.727999999999994</v>
      </c>
      <c r="K2778">
        <v>93.835999999999999</v>
      </c>
      <c r="L2778">
        <v>4.3010000000000002</v>
      </c>
      <c r="M2778">
        <v>4.2489999999999997</v>
      </c>
      <c r="N2778">
        <v>4.2489999999999997</v>
      </c>
      <c r="O2778" t="s">
        <v>101</v>
      </c>
      <c r="P2778" t="s">
        <v>2447</v>
      </c>
      <c r="Q2778" t="s">
        <v>2454</v>
      </c>
      <c r="R2778" t="s">
        <v>2436</v>
      </c>
    </row>
    <row r="2779" spans="1:18" x14ac:dyDescent="0.5">
      <c r="A2779" t="str">
        <f>"06048WR36"</f>
        <v>06048WR36</v>
      </c>
      <c r="B2779" t="s">
        <v>101</v>
      </c>
      <c r="C2779" t="s">
        <v>3506</v>
      </c>
      <c r="D2779" t="s">
        <v>2433</v>
      </c>
      <c r="E2779">
        <v>2</v>
      </c>
      <c r="F2779" s="2">
        <v>46560</v>
      </c>
      <c r="G2779" s="2">
        <v>45830</v>
      </c>
      <c r="H2779" t="s">
        <v>641</v>
      </c>
      <c r="I2779" t="s">
        <v>713</v>
      </c>
      <c r="J2779">
        <v>94.236999999999995</v>
      </c>
      <c r="K2779">
        <v>94.6</v>
      </c>
      <c r="L2779">
        <v>4.6959999999999997</v>
      </c>
      <c r="M2779">
        <v>4.5199999999999996</v>
      </c>
      <c r="N2779">
        <v>4.5199999999999996</v>
      </c>
      <c r="O2779" t="s">
        <v>101</v>
      </c>
      <c r="P2779" t="s">
        <v>2595</v>
      </c>
      <c r="Q2779" t="s">
        <v>913</v>
      </c>
      <c r="R2779" t="s">
        <v>2436</v>
      </c>
    </row>
    <row r="2780" spans="1:18" x14ac:dyDescent="0.5">
      <c r="A2780" t="str">
        <f>"437076DB5"</f>
        <v>437076DB5</v>
      </c>
      <c r="B2780" t="s">
        <v>101</v>
      </c>
      <c r="C2780" t="s">
        <v>3507</v>
      </c>
      <c r="D2780" t="s">
        <v>2433</v>
      </c>
      <c r="E2780">
        <v>4.875</v>
      </c>
      <c r="F2780" s="2">
        <v>46563</v>
      </c>
      <c r="G2780" s="2">
        <v>46532</v>
      </c>
      <c r="H2780" t="s">
        <v>610</v>
      </c>
      <c r="I2780" t="s">
        <v>611</v>
      </c>
      <c r="J2780">
        <v>101.086</v>
      </c>
      <c r="K2780">
        <v>101.256</v>
      </c>
      <c r="L2780">
        <v>4.351</v>
      </c>
      <c r="M2780">
        <v>4.2679999999999998</v>
      </c>
      <c r="N2780">
        <v>4.2889999999999997</v>
      </c>
      <c r="O2780" t="s">
        <v>101</v>
      </c>
      <c r="P2780" t="s">
        <v>2454</v>
      </c>
      <c r="Q2780" t="s">
        <v>2454</v>
      </c>
      <c r="R2780" t="s">
        <v>2436</v>
      </c>
    </row>
    <row r="2781" spans="1:18" x14ac:dyDescent="0.5">
      <c r="A2781" t="str">
        <f>"13607L8C0"</f>
        <v>13607L8C0</v>
      </c>
      <c r="B2781" t="s">
        <v>101</v>
      </c>
      <c r="C2781" t="s">
        <v>3508</v>
      </c>
      <c r="D2781" t="s">
        <v>2433</v>
      </c>
      <c r="E2781">
        <v>5.2370000000000001</v>
      </c>
      <c r="F2781" s="2">
        <v>46566</v>
      </c>
      <c r="G2781" s="2" t="s">
        <v>101</v>
      </c>
      <c r="H2781" t="s">
        <v>610</v>
      </c>
      <c r="I2781" t="s">
        <v>713</v>
      </c>
      <c r="J2781">
        <v>101.358</v>
      </c>
      <c r="K2781">
        <v>101.42400000000001</v>
      </c>
      <c r="L2781">
        <v>4.6029999999999998</v>
      </c>
      <c r="M2781">
        <v>4.5730000000000004</v>
      </c>
      <c r="N2781">
        <v>4.5730000000000004</v>
      </c>
      <c r="O2781" t="s">
        <v>101</v>
      </c>
      <c r="P2781" t="s">
        <v>2581</v>
      </c>
      <c r="Q2781" t="s">
        <v>2750</v>
      </c>
      <c r="R2781" t="s">
        <v>2436</v>
      </c>
    </row>
    <row r="2782" spans="1:18" x14ac:dyDescent="0.5">
      <c r="A2782" t="str">
        <f>"75973QAA5"</f>
        <v>75973QAA5</v>
      </c>
      <c r="B2782" t="s">
        <v>101</v>
      </c>
      <c r="C2782" t="s">
        <v>3509</v>
      </c>
      <c r="D2782" t="s">
        <v>2433</v>
      </c>
      <c r="E2782">
        <v>3.45</v>
      </c>
      <c r="F2782" s="2">
        <v>46569</v>
      </c>
      <c r="G2782" s="2">
        <v>46478</v>
      </c>
      <c r="H2782" t="s">
        <v>627</v>
      </c>
      <c r="I2782" t="s">
        <v>713</v>
      </c>
      <c r="J2782">
        <v>97.543000000000006</v>
      </c>
      <c r="K2782">
        <v>97.769000000000005</v>
      </c>
      <c r="L2782">
        <v>4.5839999999999996</v>
      </c>
      <c r="M2782">
        <v>4.4779999999999998</v>
      </c>
      <c r="N2782">
        <v>4.4779999999999998</v>
      </c>
      <c r="O2782" t="s">
        <v>101</v>
      </c>
      <c r="P2782" t="s">
        <v>1702</v>
      </c>
      <c r="Q2782" t="s">
        <v>3510</v>
      </c>
      <c r="R2782" t="s">
        <v>2436</v>
      </c>
    </row>
    <row r="2783" spans="1:18" x14ac:dyDescent="0.5">
      <c r="A2783" t="str">
        <f>"94106LBX6"</f>
        <v>94106LBX6</v>
      </c>
      <c r="B2783" t="s">
        <v>101</v>
      </c>
      <c r="C2783" t="s">
        <v>3511</v>
      </c>
      <c r="D2783" t="s">
        <v>2433</v>
      </c>
      <c r="E2783">
        <v>4.95</v>
      </c>
      <c r="F2783" s="2">
        <v>46571</v>
      </c>
      <c r="G2783" s="2">
        <v>46541</v>
      </c>
      <c r="H2783" t="s">
        <v>627</v>
      </c>
      <c r="I2783" t="s">
        <v>713</v>
      </c>
      <c r="J2783">
        <v>101.17400000000001</v>
      </c>
      <c r="K2783">
        <v>101.325</v>
      </c>
      <c r="L2783">
        <v>4.3890000000000002</v>
      </c>
      <c r="M2783">
        <v>4.3179999999999996</v>
      </c>
      <c r="N2783">
        <v>4.3380000000000001</v>
      </c>
      <c r="O2783" t="s">
        <v>101</v>
      </c>
      <c r="P2783" t="s">
        <v>2454</v>
      </c>
      <c r="Q2783" t="s">
        <v>2454</v>
      </c>
      <c r="R2783" t="s">
        <v>2436</v>
      </c>
    </row>
    <row r="2784" spans="1:18" x14ac:dyDescent="0.5">
      <c r="A2784" t="str">
        <f>"02665WFK2"</f>
        <v>02665WFK2</v>
      </c>
      <c r="B2784" t="s">
        <v>101</v>
      </c>
      <c r="C2784" t="s">
        <v>3512</v>
      </c>
      <c r="D2784" t="s">
        <v>2433</v>
      </c>
      <c r="E2784">
        <v>4.9000000000000004</v>
      </c>
      <c r="F2784" s="2">
        <v>46577</v>
      </c>
      <c r="G2784" s="2" t="s">
        <v>101</v>
      </c>
      <c r="H2784" t="s">
        <v>627</v>
      </c>
      <c r="I2784" t="s">
        <v>713</v>
      </c>
      <c r="J2784">
        <v>100.733</v>
      </c>
      <c r="K2784">
        <v>100.94799999999999</v>
      </c>
      <c r="L2784">
        <v>4.5609999999999999</v>
      </c>
      <c r="M2784">
        <v>4.4630000000000001</v>
      </c>
      <c r="N2784">
        <v>4.4630000000000001</v>
      </c>
      <c r="O2784" t="s">
        <v>101</v>
      </c>
      <c r="P2784" t="s">
        <v>1391</v>
      </c>
      <c r="Q2784" t="s">
        <v>1391</v>
      </c>
      <c r="R2784" t="s">
        <v>2436</v>
      </c>
    </row>
    <row r="2785" spans="1:18" x14ac:dyDescent="0.5">
      <c r="A2785" t="str">
        <f>"22550L2K6"</f>
        <v>22550L2K6</v>
      </c>
      <c r="B2785" t="s">
        <v>101</v>
      </c>
      <c r="C2785" t="s">
        <v>3513</v>
      </c>
      <c r="D2785" t="s">
        <v>2433</v>
      </c>
      <c r="E2785">
        <v>5</v>
      </c>
      <c r="F2785" s="2">
        <v>46577</v>
      </c>
      <c r="G2785" s="2" t="s">
        <v>101</v>
      </c>
      <c r="H2785" t="s">
        <v>613</v>
      </c>
      <c r="I2785" t="s">
        <v>658</v>
      </c>
      <c r="J2785">
        <v>100.857</v>
      </c>
      <c r="K2785">
        <v>101.08799999999999</v>
      </c>
      <c r="L2785">
        <v>4.6040000000000001</v>
      </c>
      <c r="M2785">
        <v>4.4989999999999997</v>
      </c>
      <c r="N2785">
        <v>4.4989999999999997</v>
      </c>
      <c r="O2785" t="s">
        <v>101</v>
      </c>
      <c r="P2785" t="s">
        <v>2566</v>
      </c>
      <c r="Q2785" t="s">
        <v>2434</v>
      </c>
      <c r="R2785" t="s">
        <v>2436</v>
      </c>
    </row>
    <row r="2786" spans="1:18" x14ac:dyDescent="0.5">
      <c r="A2786" t="str">
        <f>"86562MAR1"</f>
        <v>86562MAR1</v>
      </c>
      <c r="B2786" t="s">
        <v>101</v>
      </c>
      <c r="C2786" t="s">
        <v>3514</v>
      </c>
      <c r="D2786" t="s">
        <v>2433</v>
      </c>
      <c r="E2786">
        <v>3.3639999999999999</v>
      </c>
      <c r="F2786" s="2">
        <v>46580</v>
      </c>
      <c r="G2786" s="2" t="s">
        <v>101</v>
      </c>
      <c r="H2786" t="s">
        <v>641</v>
      </c>
      <c r="I2786" t="s">
        <v>713</v>
      </c>
      <c r="J2786">
        <v>97.572999999999993</v>
      </c>
      <c r="K2786">
        <v>97.832999999999998</v>
      </c>
      <c r="L2786">
        <v>4.4690000000000003</v>
      </c>
      <c r="M2786">
        <v>4.3490000000000002</v>
      </c>
      <c r="N2786">
        <v>4.3490000000000002</v>
      </c>
      <c r="O2786" t="s">
        <v>101</v>
      </c>
      <c r="P2786" t="s">
        <v>2786</v>
      </c>
      <c r="Q2786" t="s">
        <v>2454</v>
      </c>
      <c r="R2786" t="s">
        <v>2436</v>
      </c>
    </row>
    <row r="2787" spans="1:18" x14ac:dyDescent="0.5">
      <c r="A2787" t="str">
        <f>"46124HAC0"</f>
        <v>46124HAC0</v>
      </c>
      <c r="B2787" t="s">
        <v>101</v>
      </c>
      <c r="C2787" t="s">
        <v>3515</v>
      </c>
      <c r="D2787" t="s">
        <v>2433</v>
      </c>
      <c r="E2787">
        <v>1.35</v>
      </c>
      <c r="F2787" s="2">
        <v>46583</v>
      </c>
      <c r="G2787" s="2">
        <v>46522</v>
      </c>
      <c r="H2787" t="s">
        <v>627</v>
      </c>
      <c r="I2787" t="s">
        <v>713</v>
      </c>
      <c r="J2787">
        <v>93.483999999999995</v>
      </c>
      <c r="K2787">
        <v>93.748000000000005</v>
      </c>
      <c r="L2787">
        <v>4.3040000000000003</v>
      </c>
      <c r="M2787">
        <v>4.18</v>
      </c>
      <c r="N2787">
        <v>4.18</v>
      </c>
      <c r="O2787" t="s">
        <v>101</v>
      </c>
      <c r="P2787" t="s">
        <v>3411</v>
      </c>
      <c r="Q2787" t="s">
        <v>3386</v>
      </c>
      <c r="R2787" t="s">
        <v>2436</v>
      </c>
    </row>
    <row r="2788" spans="1:18" x14ac:dyDescent="0.5">
      <c r="A2788" t="str">
        <f>"24422EXV6"</f>
        <v>24422EXV6</v>
      </c>
      <c r="B2788" t="s">
        <v>101</v>
      </c>
      <c r="C2788" t="s">
        <v>3516</v>
      </c>
      <c r="D2788" t="s">
        <v>2433</v>
      </c>
      <c r="E2788">
        <v>4.2</v>
      </c>
      <c r="F2788" s="2">
        <v>46583</v>
      </c>
      <c r="G2788" s="2" t="s">
        <v>105</v>
      </c>
      <c r="H2788" t="s">
        <v>641</v>
      </c>
      <c r="I2788" t="s">
        <v>611</v>
      </c>
      <c r="J2788">
        <v>99.653999999999996</v>
      </c>
      <c r="K2788">
        <v>99.888000000000005</v>
      </c>
      <c r="L2788">
        <v>4.3550000000000004</v>
      </c>
      <c r="M2788">
        <v>4.2489999999999997</v>
      </c>
      <c r="N2788">
        <v>4.2489999999999997</v>
      </c>
      <c r="O2788" t="s">
        <v>101</v>
      </c>
      <c r="P2788" t="s">
        <v>2506</v>
      </c>
      <c r="Q2788" t="s">
        <v>2642</v>
      </c>
      <c r="R2788" t="s">
        <v>2713</v>
      </c>
    </row>
    <row r="2789" spans="1:18" x14ac:dyDescent="0.5">
      <c r="A2789" t="str">
        <f>"606822AR5"</f>
        <v>606822AR5</v>
      </c>
      <c r="B2789" t="s">
        <v>101</v>
      </c>
      <c r="C2789" t="s">
        <v>3517</v>
      </c>
      <c r="D2789" t="s">
        <v>2433</v>
      </c>
      <c r="E2789">
        <v>3.2869999999999999</v>
      </c>
      <c r="F2789" s="2">
        <v>46593</v>
      </c>
      <c r="G2789" s="2" t="s">
        <v>101</v>
      </c>
      <c r="H2789" t="s">
        <v>641</v>
      </c>
      <c r="I2789" t="s">
        <v>713</v>
      </c>
      <c r="J2789">
        <v>97.51</v>
      </c>
      <c r="K2789">
        <v>97.772000000000006</v>
      </c>
      <c r="L2789">
        <v>4.4039999999999999</v>
      </c>
      <c r="M2789">
        <v>4.2839999999999998</v>
      </c>
      <c r="N2789">
        <v>4.2839999999999998</v>
      </c>
      <c r="O2789" t="s">
        <v>101</v>
      </c>
      <c r="P2789" t="s">
        <v>3411</v>
      </c>
      <c r="Q2789" t="s">
        <v>2454</v>
      </c>
      <c r="R2789" t="s">
        <v>2436</v>
      </c>
    </row>
    <row r="2790" spans="1:18" x14ac:dyDescent="0.5">
      <c r="A2790" t="str">
        <f>"09290DAH4"</f>
        <v>09290DAH4</v>
      </c>
      <c r="B2790" t="s">
        <v>101</v>
      </c>
      <c r="C2790" t="s">
        <v>3518</v>
      </c>
      <c r="D2790" t="s">
        <v>2433</v>
      </c>
      <c r="E2790">
        <v>4.5999999999999996</v>
      </c>
      <c r="F2790" s="2">
        <v>46594</v>
      </c>
      <c r="G2790" s="2">
        <v>46564</v>
      </c>
      <c r="H2790" t="s">
        <v>624</v>
      </c>
      <c r="I2790" t="s">
        <v>616</v>
      </c>
      <c r="J2790">
        <v>100.61</v>
      </c>
      <c r="K2790">
        <v>100.75</v>
      </c>
      <c r="L2790">
        <v>4.3120000000000003</v>
      </c>
      <c r="M2790">
        <v>4.2519999999999998</v>
      </c>
      <c r="N2790">
        <v>4.2619999999999996</v>
      </c>
      <c r="O2790" t="s">
        <v>101</v>
      </c>
      <c r="P2790" t="s">
        <v>2441</v>
      </c>
      <c r="Q2790" t="s">
        <v>3519</v>
      </c>
      <c r="R2790" t="s">
        <v>2436</v>
      </c>
    </row>
    <row r="2791" spans="1:18" x14ac:dyDescent="0.5">
      <c r="A2791" t="str">
        <f>"459200KT7"</f>
        <v>459200KT7</v>
      </c>
      <c r="B2791" t="s">
        <v>101</v>
      </c>
      <c r="C2791" t="s">
        <v>3520</v>
      </c>
      <c r="D2791" t="s">
        <v>2433</v>
      </c>
      <c r="E2791">
        <v>4.1500000000000004</v>
      </c>
      <c r="F2791" s="2">
        <v>46595</v>
      </c>
      <c r="G2791" s="2">
        <v>46565</v>
      </c>
      <c r="H2791" t="s">
        <v>627</v>
      </c>
      <c r="I2791" t="s">
        <v>713</v>
      </c>
      <c r="J2791">
        <v>99.278999999999996</v>
      </c>
      <c r="K2791">
        <v>99.44</v>
      </c>
      <c r="L2791">
        <v>4.4710000000000001</v>
      </c>
      <c r="M2791">
        <v>4.399</v>
      </c>
      <c r="N2791">
        <v>4.399</v>
      </c>
      <c r="O2791" t="s">
        <v>101</v>
      </c>
      <c r="P2791" t="s">
        <v>3040</v>
      </c>
      <c r="Q2791" t="s">
        <v>3521</v>
      </c>
      <c r="R2791" t="s">
        <v>2436</v>
      </c>
    </row>
    <row r="2792" spans="1:18" x14ac:dyDescent="0.5">
      <c r="A2792" t="str">
        <f>"438516CX2"</f>
        <v>438516CX2</v>
      </c>
      <c r="B2792" t="s">
        <v>101</v>
      </c>
      <c r="C2792" t="s">
        <v>3522</v>
      </c>
      <c r="D2792" t="s">
        <v>2433</v>
      </c>
      <c r="E2792">
        <v>4.6500000000000004</v>
      </c>
      <c r="F2792" s="2">
        <v>46598</v>
      </c>
      <c r="G2792" s="2">
        <v>46568</v>
      </c>
      <c r="H2792" t="s">
        <v>610</v>
      </c>
      <c r="I2792" t="s">
        <v>611</v>
      </c>
      <c r="J2792">
        <v>100.51300000000001</v>
      </c>
      <c r="K2792">
        <v>100.57599999999999</v>
      </c>
      <c r="L2792">
        <v>4.4119999999999999</v>
      </c>
      <c r="M2792">
        <v>4.383</v>
      </c>
      <c r="N2792">
        <v>4.391</v>
      </c>
      <c r="O2792" t="s">
        <v>101</v>
      </c>
      <c r="P2792" t="s">
        <v>1702</v>
      </c>
      <c r="Q2792" t="s">
        <v>2786</v>
      </c>
      <c r="R2792" t="s">
        <v>2436</v>
      </c>
    </row>
    <row r="2793" spans="1:18" x14ac:dyDescent="0.5">
      <c r="A2793" t="str">
        <f>"61766YHQ7"</f>
        <v>61766YHQ7</v>
      </c>
      <c r="B2793" t="s">
        <v>101</v>
      </c>
      <c r="C2793" t="s">
        <v>3523</v>
      </c>
      <c r="D2793" t="s">
        <v>2433</v>
      </c>
      <c r="E2793">
        <v>2</v>
      </c>
      <c r="F2793" s="2">
        <v>46599</v>
      </c>
      <c r="G2793" s="2">
        <v>46053</v>
      </c>
      <c r="H2793" t="s">
        <v>641</v>
      </c>
      <c r="I2793" t="s">
        <v>713</v>
      </c>
      <c r="J2793">
        <v>93.513999999999996</v>
      </c>
      <c r="K2793">
        <v>94.212999999999994</v>
      </c>
      <c r="L2793">
        <v>4.91</v>
      </c>
      <c r="M2793">
        <v>4.59</v>
      </c>
      <c r="N2793">
        <v>4.59</v>
      </c>
      <c r="O2793" t="s">
        <v>101</v>
      </c>
      <c r="P2793" t="s">
        <v>1236</v>
      </c>
      <c r="Q2793" t="s">
        <v>2525</v>
      </c>
      <c r="R2793" t="s">
        <v>2436</v>
      </c>
    </row>
    <row r="2794" spans="1:18" x14ac:dyDescent="0.5">
      <c r="A2794" t="str">
        <f>"26884ABG7"</f>
        <v>26884ABG7</v>
      </c>
      <c r="B2794" t="s">
        <v>101</v>
      </c>
      <c r="C2794" t="s">
        <v>3524</v>
      </c>
      <c r="D2794" t="s">
        <v>2433</v>
      </c>
      <c r="E2794">
        <v>3.25</v>
      </c>
      <c r="F2794" s="2">
        <v>46600</v>
      </c>
      <c r="G2794" s="2">
        <v>46508</v>
      </c>
      <c r="H2794" t="s">
        <v>627</v>
      </c>
      <c r="I2794" t="s">
        <v>713</v>
      </c>
      <c r="J2794">
        <v>97.009</v>
      </c>
      <c r="K2794">
        <v>97.204999999999998</v>
      </c>
      <c r="L2794">
        <v>4.5860000000000003</v>
      </c>
      <c r="M2794">
        <v>4.4969999999999999</v>
      </c>
      <c r="N2794">
        <v>4.4969999999999999</v>
      </c>
      <c r="O2794" t="s">
        <v>101</v>
      </c>
      <c r="P2794" t="s">
        <v>3068</v>
      </c>
      <c r="Q2794" t="s">
        <v>3148</v>
      </c>
      <c r="R2794" t="s">
        <v>2436</v>
      </c>
    </row>
    <row r="2795" spans="1:18" x14ac:dyDescent="0.5">
      <c r="A2795" t="str">
        <f>"459200AR2"</f>
        <v>459200AR2</v>
      </c>
      <c r="B2795" t="s">
        <v>101</v>
      </c>
      <c r="C2795" t="s">
        <v>3525</v>
      </c>
      <c r="D2795" t="s">
        <v>2433</v>
      </c>
      <c r="E2795">
        <v>6.22</v>
      </c>
      <c r="F2795" s="2">
        <v>46600</v>
      </c>
      <c r="G2795" s="2" t="s">
        <v>101</v>
      </c>
      <c r="H2795" t="s">
        <v>627</v>
      </c>
      <c r="I2795" t="s">
        <v>713</v>
      </c>
      <c r="J2795">
        <v>103.642</v>
      </c>
      <c r="K2795">
        <v>103.92400000000001</v>
      </c>
      <c r="L2795">
        <v>4.5880000000000001</v>
      </c>
      <c r="M2795">
        <v>4.4649999999999999</v>
      </c>
      <c r="N2795">
        <v>4.4649999999999999</v>
      </c>
      <c r="O2795" t="s">
        <v>101</v>
      </c>
      <c r="P2795" t="s">
        <v>2438</v>
      </c>
      <c r="Q2795" t="s">
        <v>2527</v>
      </c>
      <c r="R2795" t="s">
        <v>2436</v>
      </c>
    </row>
    <row r="2796" spans="1:18" x14ac:dyDescent="0.5">
      <c r="A2796" t="str">
        <f>"78016FZS6"</f>
        <v>78016FZS6</v>
      </c>
      <c r="B2796" t="s">
        <v>101</v>
      </c>
      <c r="C2796" t="s">
        <v>3526</v>
      </c>
      <c r="D2796" t="s">
        <v>2433</v>
      </c>
      <c r="E2796">
        <v>4.24</v>
      </c>
      <c r="F2796" s="2">
        <v>46602</v>
      </c>
      <c r="G2796" s="2" t="s">
        <v>101</v>
      </c>
      <c r="H2796" t="s">
        <v>641</v>
      </c>
      <c r="I2796" t="s">
        <v>611</v>
      </c>
      <c r="J2796">
        <v>99.361000000000004</v>
      </c>
      <c r="K2796">
        <v>99.593999999999994</v>
      </c>
      <c r="L2796">
        <v>4.5229999999999997</v>
      </c>
      <c r="M2796">
        <v>4.4189999999999996</v>
      </c>
      <c r="N2796">
        <v>4.4189999999999996</v>
      </c>
      <c r="O2796" t="s">
        <v>101</v>
      </c>
      <c r="P2796" t="s">
        <v>1702</v>
      </c>
      <c r="Q2796" t="s">
        <v>2454</v>
      </c>
      <c r="R2796" t="s">
        <v>2436</v>
      </c>
    </row>
    <row r="2797" spans="1:18" x14ac:dyDescent="0.5">
      <c r="A2797" t="str">
        <f>"89788MAC6"</f>
        <v>89788MAC6</v>
      </c>
      <c r="B2797" t="s">
        <v>101</v>
      </c>
      <c r="C2797" t="s">
        <v>3527</v>
      </c>
      <c r="D2797" t="s">
        <v>2433</v>
      </c>
      <c r="E2797">
        <v>1.125</v>
      </c>
      <c r="F2797" s="2">
        <v>46602</v>
      </c>
      <c r="G2797" s="2">
        <v>46541</v>
      </c>
      <c r="H2797" t="s">
        <v>670</v>
      </c>
      <c r="I2797" t="s">
        <v>713</v>
      </c>
      <c r="J2797">
        <v>92.241</v>
      </c>
      <c r="K2797">
        <v>92.387</v>
      </c>
      <c r="L2797">
        <v>4.5869999999999997</v>
      </c>
      <c r="M2797">
        <v>4.5190000000000001</v>
      </c>
      <c r="N2797">
        <v>4.5190000000000001</v>
      </c>
      <c r="O2797" t="s">
        <v>101</v>
      </c>
      <c r="P2797" t="s">
        <v>3528</v>
      </c>
      <c r="Q2797" t="s">
        <v>2454</v>
      </c>
      <c r="R2797" t="s">
        <v>2436</v>
      </c>
    </row>
    <row r="2798" spans="1:18" x14ac:dyDescent="0.5">
      <c r="A2798" t="str">
        <f>"69371RT30"</f>
        <v>69371RT30</v>
      </c>
      <c r="B2798" t="s">
        <v>101</v>
      </c>
      <c r="C2798" t="s">
        <v>3529</v>
      </c>
      <c r="D2798" t="s">
        <v>2433</v>
      </c>
      <c r="E2798">
        <v>4.45</v>
      </c>
      <c r="F2798" s="2">
        <v>46605</v>
      </c>
      <c r="G2798" s="2" t="s">
        <v>105</v>
      </c>
      <c r="H2798" t="s">
        <v>641</v>
      </c>
      <c r="I2798" t="s">
        <v>658</v>
      </c>
      <c r="J2798">
        <v>100.297</v>
      </c>
      <c r="K2798">
        <v>100.509</v>
      </c>
      <c r="L2798">
        <v>4.3170000000000002</v>
      </c>
      <c r="M2798">
        <v>4.2229999999999999</v>
      </c>
      <c r="N2798">
        <v>4.2229999999999999</v>
      </c>
      <c r="O2798" t="s">
        <v>101</v>
      </c>
      <c r="P2798" t="s">
        <v>2527</v>
      </c>
      <c r="Q2798" t="s">
        <v>3276</v>
      </c>
      <c r="R2798" t="s">
        <v>2465</v>
      </c>
    </row>
    <row r="2799" spans="1:18" x14ac:dyDescent="0.5">
      <c r="A2799" t="str">
        <f>"742718EV7"</f>
        <v>742718EV7</v>
      </c>
      <c r="B2799" t="s">
        <v>101</v>
      </c>
      <c r="C2799" t="s">
        <v>3530</v>
      </c>
      <c r="D2799" t="s">
        <v>2433</v>
      </c>
      <c r="E2799">
        <v>2.85</v>
      </c>
      <c r="F2799" s="2">
        <v>46610</v>
      </c>
      <c r="G2799" s="2" t="s">
        <v>101</v>
      </c>
      <c r="H2799" t="s">
        <v>624</v>
      </c>
      <c r="I2799" t="s">
        <v>616</v>
      </c>
      <c r="J2799">
        <v>96.873999999999995</v>
      </c>
      <c r="K2799">
        <v>97.05</v>
      </c>
      <c r="L2799">
        <v>4.2249999999999996</v>
      </c>
      <c r="M2799">
        <v>4.1459999999999999</v>
      </c>
      <c r="N2799">
        <v>4.1459999999999999</v>
      </c>
      <c r="O2799" t="s">
        <v>101</v>
      </c>
      <c r="P2799" t="s">
        <v>2438</v>
      </c>
      <c r="Q2799" t="s">
        <v>2786</v>
      </c>
      <c r="R2799" t="s">
        <v>2436</v>
      </c>
    </row>
    <row r="2800" spans="1:18" x14ac:dyDescent="0.5">
      <c r="A2800" t="str">
        <f>"14913R3A3"</f>
        <v>14913R3A3</v>
      </c>
      <c r="B2800" t="s">
        <v>101</v>
      </c>
      <c r="C2800" t="s">
        <v>3531</v>
      </c>
      <c r="D2800" t="s">
        <v>2433</v>
      </c>
      <c r="E2800">
        <v>3.6</v>
      </c>
      <c r="F2800" s="2">
        <v>46611</v>
      </c>
      <c r="G2800" s="2" t="s">
        <v>101</v>
      </c>
      <c r="H2800" t="s">
        <v>610</v>
      </c>
      <c r="I2800" t="s">
        <v>611</v>
      </c>
      <c r="J2800">
        <v>98.218999999999994</v>
      </c>
      <c r="K2800">
        <v>98.372</v>
      </c>
      <c r="L2800">
        <v>4.3840000000000003</v>
      </c>
      <c r="M2800">
        <v>4.3150000000000004</v>
      </c>
      <c r="N2800">
        <v>4.3150000000000004</v>
      </c>
      <c r="O2800" t="s">
        <v>101</v>
      </c>
      <c r="P2800" t="s">
        <v>2507</v>
      </c>
      <c r="Q2800" t="s">
        <v>2506</v>
      </c>
      <c r="R2800" t="s">
        <v>2436</v>
      </c>
    </row>
    <row r="2801" spans="1:18" x14ac:dyDescent="0.5">
      <c r="A2801" t="str">
        <f>"166756AL0"</f>
        <v>166756AL0</v>
      </c>
      <c r="B2801" t="s">
        <v>101</v>
      </c>
      <c r="C2801" t="s">
        <v>3532</v>
      </c>
      <c r="D2801" t="s">
        <v>2433</v>
      </c>
      <c r="E2801">
        <v>1.018</v>
      </c>
      <c r="F2801" s="2">
        <v>46611</v>
      </c>
      <c r="G2801" s="2">
        <v>46550</v>
      </c>
      <c r="H2801" t="s">
        <v>613</v>
      </c>
      <c r="I2801" t="s">
        <v>616</v>
      </c>
      <c r="J2801">
        <v>92.54</v>
      </c>
      <c r="K2801">
        <v>92.650999999999996</v>
      </c>
      <c r="L2801">
        <v>4.3010000000000002</v>
      </c>
      <c r="M2801">
        <v>4.25</v>
      </c>
      <c r="N2801">
        <v>4.25</v>
      </c>
      <c r="O2801" t="s">
        <v>101</v>
      </c>
      <c r="P2801" t="s">
        <v>2472</v>
      </c>
      <c r="Q2801" t="s">
        <v>2454</v>
      </c>
      <c r="R2801" t="s">
        <v>2436</v>
      </c>
    </row>
    <row r="2802" spans="1:18" x14ac:dyDescent="0.5">
      <c r="A2802" t="str">
        <f>"904764BU0"</f>
        <v>904764BU0</v>
      </c>
      <c r="B2802" t="s">
        <v>101</v>
      </c>
      <c r="C2802" t="s">
        <v>3533</v>
      </c>
      <c r="D2802" t="s">
        <v>2433</v>
      </c>
      <c r="E2802">
        <v>4.25</v>
      </c>
      <c r="F2802" s="2">
        <v>46611</v>
      </c>
      <c r="G2802" s="2">
        <v>46580</v>
      </c>
      <c r="H2802" t="s">
        <v>641</v>
      </c>
      <c r="I2802" t="s">
        <v>658</v>
      </c>
      <c r="J2802">
        <v>99.814999999999998</v>
      </c>
      <c r="K2802">
        <v>99.983999999999995</v>
      </c>
      <c r="L2802">
        <v>4.33</v>
      </c>
      <c r="M2802">
        <v>4.2560000000000002</v>
      </c>
      <c r="N2802">
        <v>4.2560000000000002</v>
      </c>
      <c r="O2802" t="s">
        <v>101</v>
      </c>
      <c r="P2802" t="s">
        <v>2635</v>
      </c>
      <c r="Q2802" t="s">
        <v>2635</v>
      </c>
      <c r="R2802" t="s">
        <v>2436</v>
      </c>
    </row>
    <row r="2803" spans="1:18" x14ac:dyDescent="0.5">
      <c r="A2803" t="str">
        <f>"89236THG3"</f>
        <v>89236THG3</v>
      </c>
      <c r="B2803" t="s">
        <v>101</v>
      </c>
      <c r="C2803" t="s">
        <v>3534</v>
      </c>
      <c r="D2803" t="s">
        <v>2433</v>
      </c>
      <c r="E2803">
        <v>1.1499999999999999</v>
      </c>
      <c r="F2803" s="2">
        <v>46612</v>
      </c>
      <c r="G2803" s="2" t="s">
        <v>101</v>
      </c>
      <c r="H2803" t="s">
        <v>641</v>
      </c>
      <c r="I2803" t="s">
        <v>658</v>
      </c>
      <c r="J2803">
        <v>92.673000000000002</v>
      </c>
      <c r="K2803">
        <v>92.867000000000004</v>
      </c>
      <c r="L2803">
        <v>4.3739999999999997</v>
      </c>
      <c r="M2803">
        <v>4.2850000000000001</v>
      </c>
      <c r="N2803">
        <v>4.2850000000000001</v>
      </c>
      <c r="O2803" t="s">
        <v>101</v>
      </c>
      <c r="P2803" t="s">
        <v>2595</v>
      </c>
      <c r="Q2803" t="s">
        <v>2454</v>
      </c>
      <c r="R2803" t="s">
        <v>2436</v>
      </c>
    </row>
    <row r="2804" spans="1:18" x14ac:dyDescent="0.5">
      <c r="A2804" t="str">
        <f>"532457CP1"</f>
        <v>532457CP1</v>
      </c>
      <c r="B2804" t="s">
        <v>101</v>
      </c>
      <c r="C2804" t="s">
        <v>3535</v>
      </c>
      <c r="D2804" t="s">
        <v>2433</v>
      </c>
      <c r="E2804">
        <v>4.1500000000000004</v>
      </c>
      <c r="F2804" s="2">
        <v>46613</v>
      </c>
      <c r="G2804" s="2">
        <v>46582</v>
      </c>
      <c r="H2804" t="s">
        <v>624</v>
      </c>
      <c r="I2804" t="s">
        <v>658</v>
      </c>
      <c r="J2804">
        <v>99.852999999999994</v>
      </c>
      <c r="K2804">
        <v>100.05200000000001</v>
      </c>
      <c r="L2804">
        <v>4.2130000000000001</v>
      </c>
      <c r="M2804">
        <v>4.1260000000000003</v>
      </c>
      <c r="N2804">
        <v>4.1260000000000003</v>
      </c>
      <c r="O2804" t="s">
        <v>101</v>
      </c>
      <c r="P2804" t="s">
        <v>3536</v>
      </c>
      <c r="Q2804" t="s">
        <v>2441</v>
      </c>
      <c r="R2804" t="s">
        <v>2436</v>
      </c>
    </row>
    <row r="2805" spans="1:18" x14ac:dyDescent="0.5">
      <c r="A2805" t="str">
        <f>"02079KAJ6"</f>
        <v>02079KAJ6</v>
      </c>
      <c r="B2805" t="s">
        <v>101</v>
      </c>
      <c r="C2805" t="s">
        <v>3537</v>
      </c>
      <c r="D2805" t="s">
        <v>2433</v>
      </c>
      <c r="E2805">
        <v>0.8</v>
      </c>
      <c r="F2805" s="2">
        <v>46614</v>
      </c>
      <c r="G2805" s="2">
        <v>46553</v>
      </c>
      <c r="H2805" t="s">
        <v>613</v>
      </c>
      <c r="I2805" t="s">
        <v>509</v>
      </c>
      <c r="J2805">
        <v>92.21</v>
      </c>
      <c r="K2805">
        <v>92.388999999999996</v>
      </c>
      <c r="L2805">
        <v>4.2130000000000001</v>
      </c>
      <c r="M2805">
        <v>4.13</v>
      </c>
      <c r="N2805">
        <v>4.13</v>
      </c>
      <c r="O2805" t="s">
        <v>101</v>
      </c>
      <c r="P2805" t="s">
        <v>3241</v>
      </c>
      <c r="Q2805" t="s">
        <v>2454</v>
      </c>
      <c r="R2805" t="s">
        <v>2436</v>
      </c>
    </row>
    <row r="2806" spans="1:18" x14ac:dyDescent="0.5">
      <c r="A2806" t="str">
        <f>"126117AU4"</f>
        <v>126117AU4</v>
      </c>
      <c r="B2806" t="s">
        <v>101</v>
      </c>
      <c r="C2806" t="s">
        <v>3538</v>
      </c>
      <c r="D2806" t="s">
        <v>2433</v>
      </c>
      <c r="E2806">
        <v>3.45</v>
      </c>
      <c r="F2806" s="2">
        <v>46614</v>
      </c>
      <c r="G2806" s="2">
        <v>46522</v>
      </c>
      <c r="H2806" t="s">
        <v>677</v>
      </c>
      <c r="I2806" t="s">
        <v>713</v>
      </c>
      <c r="J2806">
        <v>97.328000000000003</v>
      </c>
      <c r="K2806">
        <v>97.483000000000004</v>
      </c>
      <c r="L2806">
        <v>4.6260000000000003</v>
      </c>
      <c r="M2806">
        <v>4.5570000000000004</v>
      </c>
      <c r="N2806">
        <v>4.5570000000000004</v>
      </c>
      <c r="O2806" t="s">
        <v>101</v>
      </c>
      <c r="P2806" t="s">
        <v>3241</v>
      </c>
      <c r="Q2806" t="s">
        <v>3010</v>
      </c>
      <c r="R2806" t="s">
        <v>2436</v>
      </c>
    </row>
    <row r="2807" spans="1:18" x14ac:dyDescent="0.5">
      <c r="A2807" t="str">
        <f>"194162AN3"</f>
        <v>194162AN3</v>
      </c>
      <c r="B2807" t="s">
        <v>101</v>
      </c>
      <c r="C2807" t="s">
        <v>3539</v>
      </c>
      <c r="D2807" t="s">
        <v>2433</v>
      </c>
      <c r="E2807">
        <v>3.1</v>
      </c>
      <c r="F2807" s="2">
        <v>46614</v>
      </c>
      <c r="G2807" s="2">
        <v>46583</v>
      </c>
      <c r="H2807" t="s">
        <v>624</v>
      </c>
      <c r="I2807" t="s">
        <v>658</v>
      </c>
      <c r="J2807">
        <v>97.463999999999999</v>
      </c>
      <c r="K2807">
        <v>97.701999999999998</v>
      </c>
      <c r="L2807">
        <v>4.21</v>
      </c>
      <c r="M2807">
        <v>4.1040000000000001</v>
      </c>
      <c r="N2807">
        <v>4.1040000000000001</v>
      </c>
      <c r="O2807" t="s">
        <v>101</v>
      </c>
      <c r="P2807" t="s">
        <v>2795</v>
      </c>
      <c r="Q2807" t="s">
        <v>2786</v>
      </c>
      <c r="R2807" t="s">
        <v>2436</v>
      </c>
    </row>
    <row r="2808" spans="1:18" x14ac:dyDescent="0.5">
      <c r="A2808" t="str">
        <f>"202795JK7"</f>
        <v>202795JK7</v>
      </c>
      <c r="B2808" t="s">
        <v>101</v>
      </c>
      <c r="C2808" t="s">
        <v>3540</v>
      </c>
      <c r="D2808" t="s">
        <v>2433</v>
      </c>
      <c r="E2808">
        <v>2.95</v>
      </c>
      <c r="F2808" s="2">
        <v>46614</v>
      </c>
      <c r="G2808" s="2">
        <v>46522</v>
      </c>
      <c r="H2808" t="s">
        <v>641</v>
      </c>
      <c r="I2808" t="s">
        <v>611</v>
      </c>
      <c r="J2808">
        <v>96.344999999999999</v>
      </c>
      <c r="K2808">
        <v>96.635000000000005</v>
      </c>
      <c r="L2808">
        <v>4.5579999999999998</v>
      </c>
      <c r="M2808">
        <v>4.4279999999999999</v>
      </c>
      <c r="N2808">
        <v>4.4279999999999999</v>
      </c>
      <c r="O2808" t="s">
        <v>101</v>
      </c>
      <c r="P2808" t="s">
        <v>3241</v>
      </c>
      <c r="Q2808" t="s">
        <v>3541</v>
      </c>
      <c r="R2808" t="s">
        <v>2436</v>
      </c>
    </row>
    <row r="2809" spans="1:18" x14ac:dyDescent="0.5">
      <c r="A2809" t="str">
        <f>"427866AL2"</f>
        <v>427866AL2</v>
      </c>
      <c r="B2809" t="s">
        <v>101</v>
      </c>
      <c r="C2809" t="s">
        <v>3542</v>
      </c>
      <c r="D2809" t="s">
        <v>2433</v>
      </c>
      <c r="E2809">
        <v>7.2</v>
      </c>
      <c r="F2809" s="2">
        <v>46614</v>
      </c>
      <c r="G2809" s="2" t="s">
        <v>105</v>
      </c>
      <c r="H2809" t="s">
        <v>641</v>
      </c>
      <c r="I2809" t="s">
        <v>611</v>
      </c>
      <c r="J2809">
        <v>106.23699999999999</v>
      </c>
      <c r="K2809">
        <v>106.857</v>
      </c>
      <c r="L2809">
        <v>4.4560000000000004</v>
      </c>
      <c r="M2809">
        <v>4.1950000000000003</v>
      </c>
      <c r="N2809">
        <v>4.1950000000000003</v>
      </c>
      <c r="O2809" t="s">
        <v>101</v>
      </c>
      <c r="P2809" t="s">
        <v>858</v>
      </c>
      <c r="Q2809" t="s">
        <v>2790</v>
      </c>
      <c r="R2809" t="s">
        <v>2465</v>
      </c>
    </row>
    <row r="2810" spans="1:18" x14ac:dyDescent="0.5">
      <c r="A2810" t="str">
        <f>"30303M8G0"</f>
        <v>30303M8G0</v>
      </c>
      <c r="B2810" t="s">
        <v>101</v>
      </c>
      <c r="C2810" t="s">
        <v>3543</v>
      </c>
      <c r="D2810" t="s">
        <v>2433</v>
      </c>
      <c r="E2810">
        <v>3.5</v>
      </c>
      <c r="F2810" s="2">
        <v>46614</v>
      </c>
      <c r="G2810" s="2">
        <v>46583</v>
      </c>
      <c r="H2810" t="s">
        <v>624</v>
      </c>
      <c r="I2810" t="s">
        <v>616</v>
      </c>
      <c r="J2810">
        <v>98.24</v>
      </c>
      <c r="K2810">
        <v>98.388000000000005</v>
      </c>
      <c r="L2810">
        <v>4.2709999999999999</v>
      </c>
      <c r="M2810">
        <v>4.2050000000000001</v>
      </c>
      <c r="N2810">
        <v>4.2050000000000001</v>
      </c>
      <c r="O2810" t="s">
        <v>101</v>
      </c>
      <c r="P2810" t="s">
        <v>2454</v>
      </c>
      <c r="Q2810" t="s">
        <v>2581</v>
      </c>
      <c r="R2810" t="s">
        <v>2436</v>
      </c>
    </row>
    <row r="2811" spans="1:18" x14ac:dyDescent="0.5">
      <c r="A2811" t="str">
        <f>"63743FA48"</f>
        <v>63743FA48</v>
      </c>
      <c r="B2811" t="s">
        <v>101</v>
      </c>
      <c r="C2811" t="s">
        <v>3544</v>
      </c>
      <c r="D2811" t="s">
        <v>2433</v>
      </c>
      <c r="E2811">
        <v>2.75</v>
      </c>
      <c r="F2811" s="2">
        <v>46614</v>
      </c>
      <c r="G2811" s="2" t="s">
        <v>105</v>
      </c>
      <c r="H2811" t="s">
        <v>610</v>
      </c>
      <c r="I2811" t="s">
        <v>713</v>
      </c>
      <c r="J2811">
        <v>94.835999999999999</v>
      </c>
      <c r="K2811">
        <v>96.302999999999997</v>
      </c>
      <c r="L2811">
        <v>5.016</v>
      </c>
      <c r="M2811">
        <v>4.359</v>
      </c>
      <c r="N2811">
        <v>4.359</v>
      </c>
      <c r="O2811" t="s">
        <v>101</v>
      </c>
      <c r="P2811" t="s">
        <v>1391</v>
      </c>
      <c r="Q2811" t="s">
        <v>485</v>
      </c>
      <c r="R2811" t="s">
        <v>2610</v>
      </c>
    </row>
    <row r="2812" spans="1:18" x14ac:dyDescent="0.5">
      <c r="A2812" t="str">
        <f>"63743FXD3"</f>
        <v>63743FXD3</v>
      </c>
      <c r="B2812" t="s">
        <v>101</v>
      </c>
      <c r="C2812" t="s">
        <v>3545</v>
      </c>
      <c r="D2812" t="s">
        <v>2433</v>
      </c>
      <c r="E2812">
        <v>3.5</v>
      </c>
      <c r="F2812" s="2">
        <v>46614</v>
      </c>
      <c r="G2812" s="2" t="s">
        <v>105</v>
      </c>
      <c r="H2812" t="s">
        <v>610</v>
      </c>
      <c r="I2812" t="s">
        <v>713</v>
      </c>
      <c r="J2812">
        <v>96.456000000000003</v>
      </c>
      <c r="K2812">
        <v>98.09</v>
      </c>
      <c r="L2812">
        <v>5.056</v>
      </c>
      <c r="M2812">
        <v>4.3310000000000004</v>
      </c>
      <c r="N2812">
        <v>4.3310000000000004</v>
      </c>
      <c r="O2812" t="s">
        <v>101</v>
      </c>
      <c r="P2812" t="s">
        <v>1236</v>
      </c>
      <c r="Q2812" t="s">
        <v>488</v>
      </c>
      <c r="R2812" t="s">
        <v>2610</v>
      </c>
    </row>
    <row r="2813" spans="1:18" x14ac:dyDescent="0.5">
      <c r="A2813" t="str">
        <f>"756109BG8"</f>
        <v>756109BG8</v>
      </c>
      <c r="B2813" t="s">
        <v>101</v>
      </c>
      <c r="C2813" t="s">
        <v>3546</v>
      </c>
      <c r="D2813" t="s">
        <v>2433</v>
      </c>
      <c r="E2813">
        <v>3.95</v>
      </c>
      <c r="F2813" s="2">
        <v>46614</v>
      </c>
      <c r="G2813" s="2">
        <v>46522</v>
      </c>
      <c r="H2813" t="s">
        <v>627</v>
      </c>
      <c r="I2813" t="s">
        <v>713</v>
      </c>
      <c r="J2813">
        <v>98.59</v>
      </c>
      <c r="K2813">
        <v>98.754000000000005</v>
      </c>
      <c r="L2813">
        <v>4.57</v>
      </c>
      <c r="M2813">
        <v>4.4969999999999999</v>
      </c>
      <c r="N2813">
        <v>4.4969999999999999</v>
      </c>
      <c r="O2813" t="s">
        <v>101</v>
      </c>
      <c r="P2813" t="s">
        <v>1702</v>
      </c>
      <c r="Q2813" t="s">
        <v>3547</v>
      </c>
      <c r="R2813" t="s">
        <v>2436</v>
      </c>
    </row>
    <row r="2814" spans="1:18" x14ac:dyDescent="0.5">
      <c r="A2814" t="str">
        <f>"902133AU1"</f>
        <v>902133AU1</v>
      </c>
      <c r="B2814" t="s">
        <v>101</v>
      </c>
      <c r="C2814" t="s">
        <v>3548</v>
      </c>
      <c r="D2814" t="s">
        <v>2433</v>
      </c>
      <c r="E2814">
        <v>3.125</v>
      </c>
      <c r="F2814" s="2">
        <v>46614</v>
      </c>
      <c r="G2814" s="2">
        <v>46522</v>
      </c>
      <c r="H2814" t="s">
        <v>627</v>
      </c>
      <c r="I2814" t="s">
        <v>713</v>
      </c>
      <c r="J2814">
        <v>96.682000000000002</v>
      </c>
      <c r="K2814">
        <v>96.924000000000007</v>
      </c>
      <c r="L2814">
        <v>4.585</v>
      </c>
      <c r="M2814">
        <v>4.4770000000000003</v>
      </c>
      <c r="N2814">
        <v>4.4770000000000003</v>
      </c>
      <c r="O2814" t="s">
        <v>101</v>
      </c>
      <c r="P2814" t="s">
        <v>2472</v>
      </c>
      <c r="Q2814" t="s">
        <v>2731</v>
      </c>
      <c r="R2814" t="s">
        <v>2436</v>
      </c>
    </row>
    <row r="2815" spans="1:18" x14ac:dyDescent="0.5">
      <c r="A2815" t="str">
        <f>"92826CAP7"</f>
        <v>92826CAP7</v>
      </c>
      <c r="B2815" t="s">
        <v>101</v>
      </c>
      <c r="C2815" t="s">
        <v>3549</v>
      </c>
      <c r="D2815" t="s">
        <v>2433</v>
      </c>
      <c r="E2815">
        <v>0.75</v>
      </c>
      <c r="F2815" s="2">
        <v>46614</v>
      </c>
      <c r="G2815" s="2">
        <v>46553</v>
      </c>
      <c r="H2815" t="s">
        <v>624</v>
      </c>
      <c r="I2815" t="s">
        <v>616</v>
      </c>
      <c r="J2815">
        <v>92.046999999999997</v>
      </c>
      <c r="K2815">
        <v>92.28</v>
      </c>
      <c r="L2815">
        <v>4.2350000000000003</v>
      </c>
      <c r="M2815">
        <v>4.1280000000000001</v>
      </c>
      <c r="N2815">
        <v>4.1280000000000001</v>
      </c>
      <c r="O2815" t="s">
        <v>101</v>
      </c>
      <c r="P2815" t="s">
        <v>1702</v>
      </c>
      <c r="Q2815" t="s">
        <v>2731</v>
      </c>
      <c r="R2815" t="s">
        <v>2436</v>
      </c>
    </row>
    <row r="2816" spans="1:18" x14ac:dyDescent="0.5">
      <c r="A2816" t="str">
        <f>"718172CB3"</f>
        <v>718172CB3</v>
      </c>
      <c r="B2816" t="s">
        <v>101</v>
      </c>
      <c r="C2816" t="s">
        <v>3550</v>
      </c>
      <c r="D2816" t="s">
        <v>2433</v>
      </c>
      <c r="E2816">
        <v>3.125</v>
      </c>
      <c r="F2816" s="2">
        <v>46616</v>
      </c>
      <c r="G2816" s="2">
        <v>46524</v>
      </c>
      <c r="H2816" t="s">
        <v>610</v>
      </c>
      <c r="I2816" t="s">
        <v>713</v>
      </c>
      <c r="J2816">
        <v>97.131</v>
      </c>
      <c r="K2816">
        <v>97.328000000000003</v>
      </c>
      <c r="L2816">
        <v>4.3810000000000002</v>
      </c>
      <c r="M2816">
        <v>4.2939999999999996</v>
      </c>
      <c r="N2816">
        <v>4.2939999999999996</v>
      </c>
      <c r="O2816" t="s">
        <v>101</v>
      </c>
      <c r="P2816" t="s">
        <v>3084</v>
      </c>
      <c r="Q2816" t="s">
        <v>3551</v>
      </c>
      <c r="R2816" t="s">
        <v>2436</v>
      </c>
    </row>
    <row r="2817" spans="1:18" x14ac:dyDescent="0.5">
      <c r="A2817" t="str">
        <f>"05964HAS4"</f>
        <v>05964HAS4</v>
      </c>
      <c r="B2817" t="s">
        <v>101</v>
      </c>
      <c r="C2817" t="s">
        <v>3552</v>
      </c>
      <c r="D2817" t="s">
        <v>2433</v>
      </c>
      <c r="E2817">
        <v>5.2939999999999996</v>
      </c>
      <c r="F2817" s="2">
        <v>46617</v>
      </c>
      <c r="G2817" s="2" t="s">
        <v>101</v>
      </c>
      <c r="H2817" t="s">
        <v>670</v>
      </c>
      <c r="I2817" t="s">
        <v>713</v>
      </c>
      <c r="J2817">
        <v>100.979</v>
      </c>
      <c r="K2817">
        <v>101.17700000000001</v>
      </c>
      <c r="L2817">
        <v>4.8609999999999998</v>
      </c>
      <c r="M2817">
        <v>4.774</v>
      </c>
      <c r="N2817">
        <v>4.774</v>
      </c>
      <c r="O2817" t="s">
        <v>101</v>
      </c>
      <c r="P2817" t="s">
        <v>3356</v>
      </c>
      <c r="Q2817" t="s">
        <v>542</v>
      </c>
      <c r="R2817" t="s">
        <v>2436</v>
      </c>
    </row>
    <row r="2818" spans="1:18" x14ac:dyDescent="0.5">
      <c r="A2818" t="str">
        <f>"023135BC9"</f>
        <v>023135BC9</v>
      </c>
      <c r="B2818" t="s">
        <v>101</v>
      </c>
      <c r="C2818" t="s">
        <v>3553</v>
      </c>
      <c r="D2818" t="s">
        <v>2433</v>
      </c>
      <c r="E2818">
        <v>3.15</v>
      </c>
      <c r="F2818" s="2">
        <v>46621</v>
      </c>
      <c r="G2818" s="2">
        <v>46529</v>
      </c>
      <c r="H2818" t="s">
        <v>641</v>
      </c>
      <c r="I2818" t="s">
        <v>628</v>
      </c>
      <c r="J2818">
        <v>97.331999999999994</v>
      </c>
      <c r="K2818">
        <v>97.582999999999998</v>
      </c>
      <c r="L2818">
        <v>4.3109999999999999</v>
      </c>
      <c r="M2818">
        <v>4.2</v>
      </c>
      <c r="N2818">
        <v>4.2</v>
      </c>
      <c r="O2818" t="s">
        <v>101</v>
      </c>
      <c r="P2818" t="s">
        <v>2472</v>
      </c>
      <c r="Q2818" t="s">
        <v>2786</v>
      </c>
      <c r="R2818" t="s">
        <v>2436</v>
      </c>
    </row>
    <row r="2819" spans="1:18" x14ac:dyDescent="0.5">
      <c r="A2819" t="str">
        <f>"961214FC2"</f>
        <v>961214FC2</v>
      </c>
      <c r="B2819" t="s">
        <v>101</v>
      </c>
      <c r="C2819" t="s">
        <v>3554</v>
      </c>
      <c r="D2819" t="s">
        <v>2433</v>
      </c>
      <c r="E2819">
        <v>4.0430000000000001</v>
      </c>
      <c r="F2819" s="2">
        <v>46625</v>
      </c>
      <c r="G2819" s="2" t="s">
        <v>101</v>
      </c>
      <c r="H2819" t="s">
        <v>613</v>
      </c>
      <c r="I2819" t="s">
        <v>616</v>
      </c>
      <c r="J2819">
        <v>99.47</v>
      </c>
      <c r="K2819">
        <v>99.697999999999993</v>
      </c>
      <c r="L2819">
        <v>4.2720000000000002</v>
      </c>
      <c r="M2819">
        <v>4.173</v>
      </c>
      <c r="N2819">
        <v>4.173</v>
      </c>
      <c r="O2819" t="s">
        <v>101</v>
      </c>
      <c r="P2819" t="s">
        <v>2746</v>
      </c>
      <c r="Q2819" t="s">
        <v>2454</v>
      </c>
      <c r="R2819" t="s">
        <v>2436</v>
      </c>
    </row>
    <row r="2820" spans="1:18" x14ac:dyDescent="0.5">
      <c r="A2820" t="str">
        <f>"48128GR85"</f>
        <v>48128GR85</v>
      </c>
      <c r="B2820" t="s">
        <v>101</v>
      </c>
      <c r="C2820" t="s">
        <v>3555</v>
      </c>
      <c r="D2820" t="s">
        <v>2433</v>
      </c>
      <c r="E2820">
        <v>2.25</v>
      </c>
      <c r="F2820" s="2">
        <v>46627</v>
      </c>
      <c r="G2820" s="2">
        <v>46081</v>
      </c>
      <c r="H2820" t="s">
        <v>641</v>
      </c>
      <c r="I2820" t="s">
        <v>611</v>
      </c>
      <c r="J2820">
        <v>94.272000000000006</v>
      </c>
      <c r="K2820">
        <v>94.933999999999997</v>
      </c>
      <c r="L2820">
        <v>4.7430000000000003</v>
      </c>
      <c r="M2820">
        <v>4.4450000000000003</v>
      </c>
      <c r="N2820">
        <v>4.4450000000000003</v>
      </c>
      <c r="O2820" t="s">
        <v>101</v>
      </c>
      <c r="P2820" t="s">
        <v>2595</v>
      </c>
      <c r="Q2820" t="s">
        <v>3556</v>
      </c>
      <c r="R2820" t="s">
        <v>2436</v>
      </c>
    </row>
    <row r="2821" spans="1:18" x14ac:dyDescent="0.5">
      <c r="A2821" t="str">
        <f>"17330RB61"</f>
        <v>17330RB61</v>
      </c>
      <c r="B2821" t="s">
        <v>101</v>
      </c>
      <c r="C2821" t="s">
        <v>3557</v>
      </c>
      <c r="D2821" t="s">
        <v>2433</v>
      </c>
      <c r="E2821">
        <v>4.5999999999999996</v>
      </c>
      <c r="F2821" s="2">
        <v>46629</v>
      </c>
      <c r="G2821" s="2">
        <v>45807</v>
      </c>
      <c r="H2821" t="s">
        <v>610</v>
      </c>
      <c r="I2821" t="s">
        <v>611</v>
      </c>
      <c r="J2821">
        <v>99.677999999999997</v>
      </c>
      <c r="K2821">
        <v>100.087</v>
      </c>
      <c r="L2821">
        <v>4.7380000000000004</v>
      </c>
      <c r="M2821">
        <v>4.1870000000000003</v>
      </c>
      <c r="N2821">
        <v>4.5620000000000003</v>
      </c>
      <c r="O2821" t="s">
        <v>101</v>
      </c>
      <c r="P2821" t="s">
        <v>2595</v>
      </c>
      <c r="Q2821" t="s">
        <v>488</v>
      </c>
      <c r="R2821" t="s">
        <v>2436</v>
      </c>
    </row>
    <row r="2822" spans="1:18" x14ac:dyDescent="0.5">
      <c r="A2822" t="str">
        <f>"89114XFU2"</f>
        <v>89114XFU2</v>
      </c>
      <c r="B2822" t="s">
        <v>101</v>
      </c>
      <c r="C2822" t="s">
        <v>3558</v>
      </c>
      <c r="D2822" t="s">
        <v>2433</v>
      </c>
      <c r="E2822">
        <v>4.5999999999999996</v>
      </c>
      <c r="F2822" s="2">
        <v>46629</v>
      </c>
      <c r="G2822" s="2">
        <v>45899</v>
      </c>
      <c r="H2822" t="s">
        <v>105</v>
      </c>
      <c r="I2822" t="s">
        <v>713</v>
      </c>
      <c r="J2822">
        <v>99.290999999999997</v>
      </c>
      <c r="K2822">
        <v>100.01</v>
      </c>
      <c r="L2822">
        <v>4.9050000000000002</v>
      </c>
      <c r="M2822">
        <v>4.5759999999999996</v>
      </c>
      <c r="N2822">
        <v>4.5949999999999998</v>
      </c>
      <c r="O2822" t="s">
        <v>101</v>
      </c>
      <c r="P2822" t="s">
        <v>1702</v>
      </c>
      <c r="Q2822" t="s">
        <v>3298</v>
      </c>
      <c r="R2822" t="s">
        <v>2436</v>
      </c>
    </row>
    <row r="2823" spans="1:18" x14ac:dyDescent="0.5">
      <c r="A2823" t="str">
        <f>"010392FY9"</f>
        <v>010392FY9</v>
      </c>
      <c r="B2823" t="s">
        <v>101</v>
      </c>
      <c r="C2823" t="s">
        <v>3559</v>
      </c>
      <c r="D2823" t="s">
        <v>2433</v>
      </c>
      <c r="E2823">
        <v>3.75</v>
      </c>
      <c r="F2823" s="2">
        <v>46631</v>
      </c>
      <c r="G2823" s="2">
        <v>46600</v>
      </c>
      <c r="H2823" t="s">
        <v>641</v>
      </c>
      <c r="I2823" t="s">
        <v>611</v>
      </c>
      <c r="J2823">
        <v>98.284000000000006</v>
      </c>
      <c r="K2823">
        <v>98.472999999999999</v>
      </c>
      <c r="L2823">
        <v>4.4909999999999997</v>
      </c>
      <c r="M2823">
        <v>4.4089999999999998</v>
      </c>
      <c r="N2823">
        <v>4.4089999999999998</v>
      </c>
      <c r="O2823" t="s">
        <v>101</v>
      </c>
      <c r="P2823" t="s">
        <v>2581</v>
      </c>
      <c r="Q2823" t="s">
        <v>3560</v>
      </c>
      <c r="R2823" t="s">
        <v>2436</v>
      </c>
    </row>
    <row r="2824" spans="1:18" x14ac:dyDescent="0.5">
      <c r="A2824" t="str">
        <f>"03040WAQ8"</f>
        <v>03040WAQ8</v>
      </c>
      <c r="B2824" t="s">
        <v>101</v>
      </c>
      <c r="C2824" t="s">
        <v>3561</v>
      </c>
      <c r="D2824" t="s">
        <v>2433</v>
      </c>
      <c r="E2824">
        <v>2.95</v>
      </c>
      <c r="F2824" s="2">
        <v>46631</v>
      </c>
      <c r="G2824" s="2">
        <v>46539</v>
      </c>
      <c r="H2824" t="s">
        <v>670</v>
      </c>
      <c r="I2824" t="s">
        <v>611</v>
      </c>
      <c r="J2824">
        <v>96.197000000000003</v>
      </c>
      <c r="K2824">
        <v>96.429000000000002</v>
      </c>
      <c r="L2824">
        <v>4.5960000000000001</v>
      </c>
      <c r="M2824">
        <v>4.4939999999999998</v>
      </c>
      <c r="N2824">
        <v>4.4939999999999998</v>
      </c>
      <c r="O2824" t="s">
        <v>101</v>
      </c>
      <c r="P2824" t="s">
        <v>2527</v>
      </c>
      <c r="Q2824" t="s">
        <v>2507</v>
      </c>
      <c r="R2824" t="s">
        <v>2436</v>
      </c>
    </row>
    <row r="2825" spans="1:18" x14ac:dyDescent="0.5">
      <c r="A2825" t="str">
        <f>"29364WAZ1"</f>
        <v>29364WAZ1</v>
      </c>
      <c r="B2825" t="s">
        <v>101</v>
      </c>
      <c r="C2825" t="s">
        <v>3562</v>
      </c>
      <c r="D2825" t="s">
        <v>2433</v>
      </c>
      <c r="E2825">
        <v>3.12</v>
      </c>
      <c r="F2825" s="2">
        <v>46631</v>
      </c>
      <c r="G2825" s="2">
        <v>46539</v>
      </c>
      <c r="H2825" t="s">
        <v>610</v>
      </c>
      <c r="I2825" t="s">
        <v>611</v>
      </c>
      <c r="J2825">
        <v>96.7</v>
      </c>
      <c r="K2825">
        <v>97.057000000000002</v>
      </c>
      <c r="L2825">
        <v>4.5469999999999997</v>
      </c>
      <c r="M2825">
        <v>4.3899999999999997</v>
      </c>
      <c r="N2825">
        <v>4.3899999999999997</v>
      </c>
      <c r="O2825" t="s">
        <v>101</v>
      </c>
      <c r="P2825" t="s">
        <v>3160</v>
      </c>
      <c r="Q2825" t="s">
        <v>2642</v>
      </c>
      <c r="R2825" t="s">
        <v>2436</v>
      </c>
    </row>
    <row r="2826" spans="1:18" x14ac:dyDescent="0.5">
      <c r="A2826" t="str">
        <f>"478160CP7"</f>
        <v>478160CP7</v>
      </c>
      <c r="B2826" t="s">
        <v>101</v>
      </c>
      <c r="C2826" t="s">
        <v>3563</v>
      </c>
      <c r="D2826" t="s">
        <v>2433</v>
      </c>
      <c r="E2826">
        <v>0.95</v>
      </c>
      <c r="F2826" s="2">
        <v>46631</v>
      </c>
      <c r="G2826" s="2">
        <v>46569</v>
      </c>
      <c r="H2826" t="s">
        <v>104</v>
      </c>
      <c r="I2826" t="s">
        <v>104</v>
      </c>
      <c r="J2826">
        <v>92.543999999999997</v>
      </c>
      <c r="K2826">
        <v>92.677000000000007</v>
      </c>
      <c r="L2826">
        <v>4.1580000000000004</v>
      </c>
      <c r="M2826">
        <v>4.0979999999999999</v>
      </c>
      <c r="N2826">
        <v>4.0979999999999999</v>
      </c>
      <c r="O2826" t="s">
        <v>101</v>
      </c>
      <c r="P2826" t="s">
        <v>2438</v>
      </c>
      <c r="Q2826" t="s">
        <v>2581</v>
      </c>
      <c r="R2826" t="s">
        <v>2436</v>
      </c>
    </row>
    <row r="2827" spans="1:18" x14ac:dyDescent="0.5">
      <c r="A2827" t="str">
        <f>"24422ETW9"</f>
        <v>24422ETW9</v>
      </c>
      <c r="B2827" t="s">
        <v>101</v>
      </c>
      <c r="C2827" t="s">
        <v>3564</v>
      </c>
      <c r="D2827" t="s">
        <v>2433</v>
      </c>
      <c r="E2827">
        <v>2.8</v>
      </c>
      <c r="F2827" s="2">
        <v>46638</v>
      </c>
      <c r="G2827" s="2" t="s">
        <v>105</v>
      </c>
      <c r="H2827" t="s">
        <v>641</v>
      </c>
      <c r="I2827" t="s">
        <v>611</v>
      </c>
      <c r="J2827">
        <v>96.378</v>
      </c>
      <c r="K2827">
        <v>96.683000000000007</v>
      </c>
      <c r="L2827">
        <v>4.351</v>
      </c>
      <c r="M2827">
        <v>4.218</v>
      </c>
      <c r="N2827">
        <v>4.218</v>
      </c>
      <c r="O2827" t="s">
        <v>101</v>
      </c>
      <c r="P2827" t="s">
        <v>2507</v>
      </c>
      <c r="Q2827" t="s">
        <v>3386</v>
      </c>
      <c r="R2827" t="s">
        <v>2465</v>
      </c>
    </row>
    <row r="2828" spans="1:18" x14ac:dyDescent="0.5">
      <c r="A2828" t="str">
        <f>"25160PAM9"</f>
        <v>25160PAM9</v>
      </c>
      <c r="B2828" t="s">
        <v>101</v>
      </c>
      <c r="C2828" t="s">
        <v>3565</v>
      </c>
      <c r="D2828" t="s">
        <v>2433</v>
      </c>
      <c r="E2828">
        <v>5.3710000000000004</v>
      </c>
      <c r="F2828" s="2">
        <v>46639</v>
      </c>
      <c r="G2828" s="2" t="s">
        <v>105</v>
      </c>
      <c r="H2828" t="s">
        <v>641</v>
      </c>
      <c r="I2828" t="s">
        <v>611</v>
      </c>
      <c r="J2828">
        <v>101.789</v>
      </c>
      <c r="K2828">
        <v>102.084</v>
      </c>
      <c r="L2828">
        <v>4.6029999999999998</v>
      </c>
      <c r="M2828">
        <v>4.4779999999999998</v>
      </c>
      <c r="N2828">
        <v>4.4779999999999998</v>
      </c>
      <c r="O2828" t="s">
        <v>101</v>
      </c>
      <c r="P2828" t="s">
        <v>3566</v>
      </c>
      <c r="Q2828" t="s">
        <v>3567</v>
      </c>
      <c r="R2828" t="s">
        <v>2465</v>
      </c>
    </row>
    <row r="2829" spans="1:18" x14ac:dyDescent="0.5">
      <c r="A2829" t="str">
        <f>"931142EX7"</f>
        <v>931142EX7</v>
      </c>
      <c r="B2829" t="s">
        <v>101</v>
      </c>
      <c r="C2829" t="s">
        <v>3568</v>
      </c>
      <c r="D2829" t="s">
        <v>2433</v>
      </c>
      <c r="E2829">
        <v>3.95</v>
      </c>
      <c r="F2829" s="2">
        <v>46639</v>
      </c>
      <c r="G2829" s="2">
        <v>46608</v>
      </c>
      <c r="H2829" t="s">
        <v>613</v>
      </c>
      <c r="I2829" t="s">
        <v>628</v>
      </c>
      <c r="J2829">
        <v>99.46</v>
      </c>
      <c r="K2829">
        <v>99.561000000000007</v>
      </c>
      <c r="L2829">
        <v>4.18</v>
      </c>
      <c r="M2829">
        <v>4.1369999999999996</v>
      </c>
      <c r="N2829">
        <v>4.1369999999999996</v>
      </c>
      <c r="O2829" t="s">
        <v>101</v>
      </c>
      <c r="P2829" t="s">
        <v>2786</v>
      </c>
      <c r="Q2829" t="s">
        <v>3569</v>
      </c>
      <c r="R2829" t="s">
        <v>2436</v>
      </c>
    </row>
    <row r="2830" spans="1:18" x14ac:dyDescent="0.5">
      <c r="A2830" t="str">
        <f>"60687YAM1"</f>
        <v>60687YAM1</v>
      </c>
      <c r="B2830" t="s">
        <v>101</v>
      </c>
      <c r="C2830" t="s">
        <v>3570</v>
      </c>
      <c r="D2830" t="s">
        <v>2433</v>
      </c>
      <c r="E2830">
        <v>3.17</v>
      </c>
      <c r="F2830" s="2">
        <v>46641</v>
      </c>
      <c r="G2830" s="2" t="s">
        <v>101</v>
      </c>
      <c r="H2830" t="s">
        <v>641</v>
      </c>
      <c r="I2830" t="s">
        <v>713</v>
      </c>
      <c r="J2830">
        <v>96.793999999999997</v>
      </c>
      <c r="K2830">
        <v>97.004999999999995</v>
      </c>
      <c r="L2830">
        <v>4.5419999999999998</v>
      </c>
      <c r="M2830">
        <v>4.45</v>
      </c>
      <c r="N2830">
        <v>4.45</v>
      </c>
      <c r="O2830" t="s">
        <v>101</v>
      </c>
      <c r="P2830" t="s">
        <v>228</v>
      </c>
      <c r="Q2830" t="s">
        <v>2687</v>
      </c>
      <c r="R2830" t="s">
        <v>2436</v>
      </c>
    </row>
    <row r="2831" spans="1:18" x14ac:dyDescent="0.5">
      <c r="A2831" t="str">
        <f>"037833DB3"</f>
        <v>037833DB3</v>
      </c>
      <c r="B2831" t="s">
        <v>101</v>
      </c>
      <c r="C2831" t="s">
        <v>3571</v>
      </c>
      <c r="D2831" t="s">
        <v>2433</v>
      </c>
      <c r="E2831">
        <v>2.9</v>
      </c>
      <c r="F2831" s="2">
        <v>46642</v>
      </c>
      <c r="G2831" s="2">
        <v>46550</v>
      </c>
      <c r="H2831" t="s">
        <v>104</v>
      </c>
      <c r="I2831" t="s">
        <v>509</v>
      </c>
      <c r="J2831">
        <v>96.927999999999997</v>
      </c>
      <c r="K2831">
        <v>96.972999999999999</v>
      </c>
      <c r="L2831">
        <v>4.2069999999999999</v>
      </c>
      <c r="M2831">
        <v>4.1879999999999997</v>
      </c>
      <c r="N2831">
        <v>4.1879999999999997</v>
      </c>
      <c r="O2831" t="s">
        <v>101</v>
      </c>
      <c r="P2831" t="s">
        <v>3459</v>
      </c>
      <c r="Q2831" t="s">
        <v>2454</v>
      </c>
      <c r="R2831" t="s">
        <v>2436</v>
      </c>
    </row>
    <row r="2832" spans="1:18" x14ac:dyDescent="0.5">
      <c r="A2832" t="str">
        <f>"06368LAQ9"</f>
        <v>06368LAQ9</v>
      </c>
      <c r="B2832" t="s">
        <v>101</v>
      </c>
      <c r="C2832" t="s">
        <v>3572</v>
      </c>
      <c r="D2832" t="s">
        <v>2433</v>
      </c>
      <c r="E2832">
        <v>4.7</v>
      </c>
      <c r="F2832" s="2">
        <v>46644</v>
      </c>
      <c r="G2832" s="2">
        <v>46613</v>
      </c>
      <c r="H2832" t="s">
        <v>610</v>
      </c>
      <c r="I2832" t="s">
        <v>713</v>
      </c>
      <c r="J2832">
        <v>100.307</v>
      </c>
      <c r="K2832">
        <v>100.509</v>
      </c>
      <c r="L2832">
        <v>4.5659999999999998</v>
      </c>
      <c r="M2832">
        <v>4.4770000000000003</v>
      </c>
      <c r="N2832">
        <v>4.4829999999999997</v>
      </c>
      <c r="O2832" t="s">
        <v>101</v>
      </c>
      <c r="P2832" t="s">
        <v>1702</v>
      </c>
      <c r="Q2832" t="s">
        <v>2454</v>
      </c>
      <c r="R2832" t="s">
        <v>2436</v>
      </c>
    </row>
    <row r="2833" spans="1:18" x14ac:dyDescent="0.5">
      <c r="A2833" t="str">
        <f>"14913R2G1"</f>
        <v>14913R2G1</v>
      </c>
      <c r="B2833" t="s">
        <v>101</v>
      </c>
      <c r="C2833" t="s">
        <v>3573</v>
      </c>
      <c r="D2833" t="s">
        <v>2433</v>
      </c>
      <c r="E2833">
        <v>1.1000000000000001</v>
      </c>
      <c r="F2833" s="2">
        <v>46644</v>
      </c>
      <c r="G2833" s="2" t="s">
        <v>101</v>
      </c>
      <c r="H2833" t="s">
        <v>610</v>
      </c>
      <c r="I2833" t="s">
        <v>611</v>
      </c>
      <c r="J2833">
        <v>92.51</v>
      </c>
      <c r="K2833">
        <v>92.665000000000006</v>
      </c>
      <c r="L2833">
        <v>4.2850000000000001</v>
      </c>
      <c r="M2833">
        <v>4.2160000000000002</v>
      </c>
      <c r="N2833">
        <v>4.2160000000000002</v>
      </c>
      <c r="O2833" t="s">
        <v>101</v>
      </c>
      <c r="P2833" t="s">
        <v>3075</v>
      </c>
      <c r="Q2833" t="s">
        <v>1064</v>
      </c>
      <c r="R2833" t="s">
        <v>2436</v>
      </c>
    </row>
    <row r="2834" spans="1:18" x14ac:dyDescent="0.5">
      <c r="A2834" t="str">
        <f>"437076BT8"</f>
        <v>437076BT8</v>
      </c>
      <c r="B2834" t="s">
        <v>101</v>
      </c>
      <c r="C2834" t="s">
        <v>3574</v>
      </c>
      <c r="D2834" t="s">
        <v>2433</v>
      </c>
      <c r="E2834">
        <v>2.8</v>
      </c>
      <c r="F2834" s="2">
        <v>46644</v>
      </c>
      <c r="G2834" s="2">
        <v>46552</v>
      </c>
      <c r="H2834" t="s">
        <v>610</v>
      </c>
      <c r="I2834" t="s">
        <v>611</v>
      </c>
      <c r="J2834">
        <v>96.378</v>
      </c>
      <c r="K2834">
        <v>96.507999999999996</v>
      </c>
      <c r="L2834">
        <v>4.3410000000000002</v>
      </c>
      <c r="M2834">
        <v>4.2850000000000001</v>
      </c>
      <c r="N2834">
        <v>4.2850000000000001</v>
      </c>
      <c r="O2834" t="s">
        <v>101</v>
      </c>
      <c r="P2834" t="s">
        <v>2447</v>
      </c>
      <c r="Q2834" t="s">
        <v>2454</v>
      </c>
      <c r="R2834" t="s">
        <v>2436</v>
      </c>
    </row>
    <row r="2835" spans="1:18" x14ac:dyDescent="0.5">
      <c r="A2835" t="str">
        <f>"06048WT75"</f>
        <v>06048WT75</v>
      </c>
      <c r="B2835" t="s">
        <v>101</v>
      </c>
      <c r="C2835" t="s">
        <v>3575</v>
      </c>
      <c r="D2835" t="s">
        <v>2433</v>
      </c>
      <c r="E2835">
        <v>2.75</v>
      </c>
      <c r="F2835" s="2">
        <v>46645</v>
      </c>
      <c r="G2835" s="2">
        <v>45731</v>
      </c>
      <c r="H2835" t="s">
        <v>641</v>
      </c>
      <c r="I2835" t="s">
        <v>713</v>
      </c>
      <c r="J2835">
        <v>95.447999999999993</v>
      </c>
      <c r="K2835">
        <v>96.242999999999995</v>
      </c>
      <c r="L2835">
        <v>4.6950000000000003</v>
      </c>
      <c r="M2835">
        <v>4.3470000000000004</v>
      </c>
      <c r="N2835">
        <v>4.3470000000000004</v>
      </c>
      <c r="O2835" t="s">
        <v>101</v>
      </c>
      <c r="P2835" t="s">
        <v>2595</v>
      </c>
      <c r="Q2835" t="s">
        <v>3296</v>
      </c>
      <c r="R2835" t="s">
        <v>2436</v>
      </c>
    </row>
    <row r="2836" spans="1:18" x14ac:dyDescent="0.5">
      <c r="A2836" t="str">
        <f>"278062AG9"</f>
        <v>278062AG9</v>
      </c>
      <c r="B2836" t="s">
        <v>101</v>
      </c>
      <c r="C2836" t="s">
        <v>3576</v>
      </c>
      <c r="D2836" t="s">
        <v>2433</v>
      </c>
      <c r="E2836">
        <v>3.1030000000000002</v>
      </c>
      <c r="F2836" s="2">
        <v>46645</v>
      </c>
      <c r="G2836" s="2">
        <v>46553</v>
      </c>
      <c r="H2836" t="s">
        <v>627</v>
      </c>
      <c r="I2836" t="s">
        <v>713</v>
      </c>
      <c r="J2836">
        <v>96.977000000000004</v>
      </c>
      <c r="K2836">
        <v>97.231999999999999</v>
      </c>
      <c r="L2836">
        <v>4.3890000000000002</v>
      </c>
      <c r="M2836">
        <v>4.2779999999999996</v>
      </c>
      <c r="N2836">
        <v>4.2779999999999996</v>
      </c>
      <c r="O2836" t="s">
        <v>101</v>
      </c>
      <c r="P2836" t="s">
        <v>858</v>
      </c>
      <c r="Q2836" t="s">
        <v>2454</v>
      </c>
      <c r="R2836" t="s">
        <v>2436</v>
      </c>
    </row>
    <row r="2837" spans="1:18" x14ac:dyDescent="0.5">
      <c r="A2837" t="str">
        <f>"302154DR7"</f>
        <v>302154DR7</v>
      </c>
      <c r="B2837" t="s">
        <v>101</v>
      </c>
      <c r="C2837" t="s">
        <v>3577</v>
      </c>
      <c r="D2837" t="s">
        <v>2433</v>
      </c>
      <c r="E2837">
        <v>4.25</v>
      </c>
      <c r="F2837" s="2">
        <v>46645</v>
      </c>
      <c r="G2837" s="2" t="s">
        <v>105</v>
      </c>
      <c r="H2837" t="s">
        <v>613</v>
      </c>
      <c r="I2837" t="s">
        <v>628</v>
      </c>
      <c r="J2837" t="s">
        <v>101</v>
      </c>
      <c r="K2837">
        <v>99.938999999999993</v>
      </c>
      <c r="L2837" t="s">
        <v>101</v>
      </c>
      <c r="M2837">
        <v>4.2759999999999998</v>
      </c>
      <c r="N2837">
        <v>4.2759999999999998</v>
      </c>
      <c r="O2837" t="s">
        <v>101</v>
      </c>
      <c r="P2837" t="s">
        <v>448</v>
      </c>
      <c r="Q2837" t="s">
        <v>542</v>
      </c>
      <c r="R2837" t="s">
        <v>2713</v>
      </c>
    </row>
    <row r="2838" spans="1:18" x14ac:dyDescent="0.5">
      <c r="A2838" t="str">
        <f>"45866FAF1"</f>
        <v>45866FAF1</v>
      </c>
      <c r="B2838" t="s">
        <v>101</v>
      </c>
      <c r="C2838" t="s">
        <v>3578</v>
      </c>
      <c r="D2838" t="s">
        <v>2433</v>
      </c>
      <c r="E2838">
        <v>3.1</v>
      </c>
      <c r="F2838" s="2">
        <v>46645</v>
      </c>
      <c r="G2838" s="2">
        <v>46553</v>
      </c>
      <c r="H2838" t="s">
        <v>627</v>
      </c>
      <c r="I2838" t="s">
        <v>713</v>
      </c>
      <c r="J2838">
        <v>96.703000000000003</v>
      </c>
      <c r="K2838">
        <v>96.927999999999997</v>
      </c>
      <c r="L2838">
        <v>4.5049999999999999</v>
      </c>
      <c r="M2838">
        <v>4.407</v>
      </c>
      <c r="N2838">
        <v>4.407</v>
      </c>
      <c r="O2838" t="s">
        <v>101</v>
      </c>
      <c r="P2838" t="s">
        <v>2581</v>
      </c>
      <c r="Q2838" t="s">
        <v>2454</v>
      </c>
      <c r="R2838" t="s">
        <v>2436</v>
      </c>
    </row>
    <row r="2839" spans="1:18" x14ac:dyDescent="0.5">
      <c r="A2839" t="str">
        <f>"45866FAU8"</f>
        <v>45866FAU8</v>
      </c>
      <c r="B2839" t="s">
        <v>101</v>
      </c>
      <c r="C2839" t="s">
        <v>3579</v>
      </c>
      <c r="D2839" t="s">
        <v>2433</v>
      </c>
      <c r="E2839">
        <v>4</v>
      </c>
      <c r="F2839" s="2">
        <v>46645</v>
      </c>
      <c r="G2839" s="2">
        <v>46614</v>
      </c>
      <c r="H2839" t="s">
        <v>627</v>
      </c>
      <c r="I2839" t="s">
        <v>713</v>
      </c>
      <c r="J2839">
        <v>98.775000000000006</v>
      </c>
      <c r="K2839">
        <v>98.988</v>
      </c>
      <c r="L2839">
        <v>4.5220000000000002</v>
      </c>
      <c r="M2839">
        <v>4.4269999999999996</v>
      </c>
      <c r="N2839">
        <v>4.431</v>
      </c>
      <c r="O2839" t="s">
        <v>101</v>
      </c>
      <c r="P2839" t="s">
        <v>2472</v>
      </c>
      <c r="Q2839" t="s">
        <v>2454</v>
      </c>
      <c r="R2839" t="s">
        <v>2436</v>
      </c>
    </row>
    <row r="2840" spans="1:18" x14ac:dyDescent="0.5">
      <c r="A2840" t="str">
        <f>"24422EWK1"</f>
        <v>24422EWK1</v>
      </c>
      <c r="B2840" t="s">
        <v>101</v>
      </c>
      <c r="C2840" t="s">
        <v>3580</v>
      </c>
      <c r="D2840" t="s">
        <v>2433</v>
      </c>
      <c r="E2840">
        <v>4.1500000000000004</v>
      </c>
      <c r="F2840" s="2">
        <v>46645</v>
      </c>
      <c r="G2840" s="2" t="s">
        <v>105</v>
      </c>
      <c r="H2840" t="s">
        <v>641</v>
      </c>
      <c r="I2840" t="s">
        <v>611</v>
      </c>
      <c r="J2840">
        <v>99.453000000000003</v>
      </c>
      <c r="K2840">
        <v>99.649000000000001</v>
      </c>
      <c r="L2840">
        <v>4.3819999999999997</v>
      </c>
      <c r="M2840">
        <v>4.2990000000000004</v>
      </c>
      <c r="N2840">
        <v>4.2990000000000004</v>
      </c>
      <c r="O2840" t="s">
        <v>101</v>
      </c>
      <c r="P2840" t="s">
        <v>2527</v>
      </c>
      <c r="Q2840" t="s">
        <v>2507</v>
      </c>
      <c r="R2840" t="s">
        <v>2465</v>
      </c>
    </row>
    <row r="2841" spans="1:18" x14ac:dyDescent="0.5">
      <c r="A2841" t="str">
        <f>"48133MCD0"</f>
        <v>48133MCD0</v>
      </c>
      <c r="B2841" t="s">
        <v>101</v>
      </c>
      <c r="C2841" t="s">
        <v>3581</v>
      </c>
      <c r="D2841" t="s">
        <v>2433</v>
      </c>
      <c r="E2841">
        <v>4.5999999999999996</v>
      </c>
      <c r="F2841" s="2">
        <v>46645</v>
      </c>
      <c r="G2841" s="2">
        <v>45731</v>
      </c>
      <c r="H2841" t="s">
        <v>641</v>
      </c>
      <c r="I2841" t="s">
        <v>611</v>
      </c>
      <c r="J2841">
        <v>99.665999999999997</v>
      </c>
      <c r="K2841">
        <v>100.1</v>
      </c>
      <c r="L2841">
        <v>4.7430000000000003</v>
      </c>
      <c r="M2841">
        <v>4.3979999999999997</v>
      </c>
      <c r="N2841">
        <v>4.5570000000000004</v>
      </c>
      <c r="O2841" t="s">
        <v>101</v>
      </c>
      <c r="P2841" t="s">
        <v>2595</v>
      </c>
      <c r="Q2841" t="s">
        <v>2791</v>
      </c>
      <c r="R2841" t="s">
        <v>2436</v>
      </c>
    </row>
    <row r="2842" spans="1:18" x14ac:dyDescent="0.5">
      <c r="A2842" t="str">
        <f>"494368CC5"</f>
        <v>494368CC5</v>
      </c>
      <c r="B2842" t="s">
        <v>101</v>
      </c>
      <c r="C2842" t="s">
        <v>3582</v>
      </c>
      <c r="D2842" t="s">
        <v>2433</v>
      </c>
      <c r="E2842">
        <v>1.05</v>
      </c>
      <c r="F2842" s="2">
        <v>46645</v>
      </c>
      <c r="G2842" s="2">
        <v>46583</v>
      </c>
      <c r="H2842" t="s">
        <v>610</v>
      </c>
      <c r="I2842" t="s">
        <v>611</v>
      </c>
      <c r="J2842">
        <v>92.287999999999997</v>
      </c>
      <c r="K2842">
        <v>92.325000000000003</v>
      </c>
      <c r="L2842">
        <v>4.3280000000000003</v>
      </c>
      <c r="M2842">
        <v>4.3109999999999999</v>
      </c>
      <c r="N2842">
        <v>4.3109999999999999</v>
      </c>
      <c r="O2842" t="s">
        <v>101</v>
      </c>
      <c r="P2842" t="s">
        <v>2454</v>
      </c>
      <c r="Q2842" t="s">
        <v>2454</v>
      </c>
      <c r="R2842" t="s">
        <v>2436</v>
      </c>
    </row>
    <row r="2843" spans="1:18" x14ac:dyDescent="0.5">
      <c r="A2843" t="str">
        <f>"74460DAC3"</f>
        <v>74460DAC3</v>
      </c>
      <c r="B2843" t="s">
        <v>101</v>
      </c>
      <c r="C2843" t="s">
        <v>3583</v>
      </c>
      <c r="D2843" t="s">
        <v>2433</v>
      </c>
      <c r="E2843">
        <v>3.0939999999999999</v>
      </c>
      <c r="F2843" s="2">
        <v>46645</v>
      </c>
      <c r="G2843" s="2">
        <v>46553</v>
      </c>
      <c r="H2843" t="s">
        <v>610</v>
      </c>
      <c r="I2843" t="s">
        <v>611</v>
      </c>
      <c r="J2843">
        <v>96.674000000000007</v>
      </c>
      <c r="K2843">
        <v>96.751999999999995</v>
      </c>
      <c r="L2843">
        <v>4.5110000000000001</v>
      </c>
      <c r="M2843">
        <v>4.4770000000000003</v>
      </c>
      <c r="N2843">
        <v>4.4770000000000003</v>
      </c>
      <c r="O2843" t="s">
        <v>101</v>
      </c>
      <c r="P2843" t="s">
        <v>2447</v>
      </c>
      <c r="Q2843" t="s">
        <v>1702</v>
      </c>
      <c r="R2843" t="s">
        <v>2436</v>
      </c>
    </row>
    <row r="2844" spans="1:18" x14ac:dyDescent="0.5">
      <c r="A2844" t="str">
        <f>"89115A2H4"</f>
        <v>89115A2H4</v>
      </c>
      <c r="B2844" t="s">
        <v>101</v>
      </c>
      <c r="C2844" t="s">
        <v>3584</v>
      </c>
      <c r="D2844" t="s">
        <v>2433</v>
      </c>
      <c r="E2844">
        <v>4.6929999999999996</v>
      </c>
      <c r="F2844" s="2">
        <v>46645</v>
      </c>
      <c r="G2844" s="2" t="s">
        <v>101</v>
      </c>
      <c r="H2844" t="s">
        <v>610</v>
      </c>
      <c r="I2844" t="s">
        <v>713</v>
      </c>
      <c r="J2844">
        <v>100.377</v>
      </c>
      <c r="K2844">
        <v>100.57899999999999</v>
      </c>
      <c r="L2844">
        <v>4.532</v>
      </c>
      <c r="M2844">
        <v>4.4459999999999997</v>
      </c>
      <c r="N2844">
        <v>4.4459999999999997</v>
      </c>
      <c r="O2844" t="s">
        <v>101</v>
      </c>
      <c r="P2844" t="s">
        <v>2454</v>
      </c>
      <c r="Q2844" t="s">
        <v>2454</v>
      </c>
      <c r="R2844" t="s">
        <v>2436</v>
      </c>
    </row>
    <row r="2845" spans="1:18" x14ac:dyDescent="0.5">
      <c r="A2845" t="str">
        <f>"92826CAH5"</f>
        <v>92826CAH5</v>
      </c>
      <c r="B2845" t="s">
        <v>101</v>
      </c>
      <c r="C2845" t="s">
        <v>3585</v>
      </c>
      <c r="D2845" t="s">
        <v>2433</v>
      </c>
      <c r="E2845">
        <v>2.75</v>
      </c>
      <c r="F2845" s="2">
        <v>46645</v>
      </c>
      <c r="G2845" s="2">
        <v>46553</v>
      </c>
      <c r="H2845" t="s">
        <v>624</v>
      </c>
      <c r="I2845" t="s">
        <v>616</v>
      </c>
      <c r="J2845">
        <v>96.347999999999999</v>
      </c>
      <c r="K2845">
        <v>96.528999999999996</v>
      </c>
      <c r="L2845">
        <v>4.2969999999999997</v>
      </c>
      <c r="M2845">
        <v>4.2229999999999999</v>
      </c>
      <c r="N2845">
        <v>4.2229999999999999</v>
      </c>
      <c r="O2845" t="s">
        <v>101</v>
      </c>
      <c r="P2845" t="s">
        <v>2786</v>
      </c>
      <c r="Q2845" t="s">
        <v>3103</v>
      </c>
      <c r="R2845" t="s">
        <v>2436</v>
      </c>
    </row>
    <row r="2846" spans="1:18" x14ac:dyDescent="0.5">
      <c r="A2846" t="str">
        <f>"63743HFT4"</f>
        <v>63743HFT4</v>
      </c>
      <c r="B2846" t="s">
        <v>101</v>
      </c>
      <c r="C2846" t="s">
        <v>3586</v>
      </c>
      <c r="D2846" t="s">
        <v>2433</v>
      </c>
      <c r="E2846">
        <v>4.12</v>
      </c>
      <c r="F2846" s="2">
        <v>46646</v>
      </c>
      <c r="G2846" s="2">
        <v>46615</v>
      </c>
      <c r="H2846" t="s">
        <v>610</v>
      </c>
      <c r="I2846" t="s">
        <v>713</v>
      </c>
      <c r="J2846">
        <v>98.944000000000003</v>
      </c>
      <c r="K2846">
        <v>99.28</v>
      </c>
      <c r="L2846">
        <v>4.57</v>
      </c>
      <c r="M2846">
        <v>4.4260000000000002</v>
      </c>
      <c r="N2846">
        <v>4.4260000000000002</v>
      </c>
      <c r="O2846" t="s">
        <v>101</v>
      </c>
      <c r="P2846" t="s">
        <v>2472</v>
      </c>
      <c r="Q2846" t="s">
        <v>2472</v>
      </c>
      <c r="R2846" t="s">
        <v>2726</v>
      </c>
    </row>
    <row r="2847" spans="1:18" x14ac:dyDescent="0.5">
      <c r="A2847" t="str">
        <f>"05565QDN5"</f>
        <v>05565QDN5</v>
      </c>
      <c r="B2847" t="s">
        <v>101</v>
      </c>
      <c r="C2847" t="s">
        <v>3587</v>
      </c>
      <c r="D2847" t="s">
        <v>2433</v>
      </c>
      <c r="E2847">
        <v>3.2789999999999999</v>
      </c>
      <c r="F2847" s="2">
        <v>46649</v>
      </c>
      <c r="G2847" s="2">
        <v>46557</v>
      </c>
      <c r="H2847" t="s">
        <v>641</v>
      </c>
      <c r="I2847" t="s">
        <v>713</v>
      </c>
      <c r="J2847">
        <v>97.096000000000004</v>
      </c>
      <c r="K2847">
        <v>97.233999999999995</v>
      </c>
      <c r="L2847">
        <v>4.5110000000000001</v>
      </c>
      <c r="M2847">
        <v>4.4509999999999996</v>
      </c>
      <c r="N2847">
        <v>4.4509999999999996</v>
      </c>
      <c r="O2847" t="s">
        <v>101</v>
      </c>
      <c r="P2847" t="s">
        <v>2527</v>
      </c>
      <c r="Q2847" t="s">
        <v>2460</v>
      </c>
      <c r="R2847" t="s">
        <v>2436</v>
      </c>
    </row>
    <row r="2848" spans="1:18" x14ac:dyDescent="0.5">
      <c r="A2848" t="str">
        <f>"89236TKJ3"</f>
        <v>89236TKJ3</v>
      </c>
      <c r="B2848" t="s">
        <v>101</v>
      </c>
      <c r="C2848" t="s">
        <v>3588</v>
      </c>
      <c r="D2848" t="s">
        <v>2433</v>
      </c>
      <c r="E2848">
        <v>4.55</v>
      </c>
      <c r="F2848" s="2">
        <v>46650</v>
      </c>
      <c r="G2848" s="2" t="s">
        <v>101</v>
      </c>
      <c r="H2848" t="s">
        <v>641</v>
      </c>
      <c r="I2848" t="s">
        <v>658</v>
      </c>
      <c r="J2848">
        <v>100.39400000000001</v>
      </c>
      <c r="K2848">
        <v>100.59699999999999</v>
      </c>
      <c r="L2848">
        <v>4.383</v>
      </c>
      <c r="M2848">
        <v>4.2969999999999997</v>
      </c>
      <c r="N2848">
        <v>4.2969999999999997</v>
      </c>
      <c r="O2848" t="s">
        <v>101</v>
      </c>
      <c r="P2848" t="s">
        <v>2581</v>
      </c>
      <c r="Q2848" t="s">
        <v>2454</v>
      </c>
      <c r="R2848" t="s">
        <v>2436</v>
      </c>
    </row>
    <row r="2849" spans="1:18" x14ac:dyDescent="0.5">
      <c r="A2849" t="str">
        <f>"656531AM2"</f>
        <v>656531AM2</v>
      </c>
      <c r="B2849" t="s">
        <v>101</v>
      </c>
      <c r="C2849" t="s">
        <v>3589</v>
      </c>
      <c r="D2849" t="s">
        <v>2433</v>
      </c>
      <c r="E2849">
        <v>7.25</v>
      </c>
      <c r="F2849" s="2">
        <v>46653</v>
      </c>
      <c r="G2849" s="2" t="s">
        <v>101</v>
      </c>
      <c r="H2849" t="s">
        <v>613</v>
      </c>
      <c r="I2849" t="s">
        <v>616</v>
      </c>
      <c r="J2849">
        <v>107.065</v>
      </c>
      <c r="K2849">
        <v>107.30500000000001</v>
      </c>
      <c r="L2849">
        <v>4.274</v>
      </c>
      <c r="M2849">
        <v>4.1769999999999996</v>
      </c>
      <c r="N2849">
        <v>4.1769999999999996</v>
      </c>
      <c r="O2849" t="s">
        <v>101</v>
      </c>
      <c r="P2849" t="s">
        <v>2595</v>
      </c>
      <c r="Q2849" t="s">
        <v>3590</v>
      </c>
      <c r="R2849" t="s">
        <v>2436</v>
      </c>
    </row>
    <row r="2850" spans="1:18" x14ac:dyDescent="0.5">
      <c r="A2850" t="str">
        <f>"48128G3C2"</f>
        <v>48128G3C2</v>
      </c>
      <c r="B2850" t="s">
        <v>101</v>
      </c>
      <c r="C2850" t="s">
        <v>3591</v>
      </c>
      <c r="D2850" t="s">
        <v>2433</v>
      </c>
      <c r="E2850">
        <v>1.5</v>
      </c>
      <c r="F2850" s="2">
        <v>46654</v>
      </c>
      <c r="G2850" s="2">
        <v>45740</v>
      </c>
      <c r="H2850" t="s">
        <v>641</v>
      </c>
      <c r="I2850" t="s">
        <v>611</v>
      </c>
      <c r="J2850">
        <v>92.316999999999993</v>
      </c>
      <c r="K2850">
        <v>92.783000000000001</v>
      </c>
      <c r="L2850">
        <v>4.7549999999999999</v>
      </c>
      <c r="M2850">
        <v>4.548</v>
      </c>
      <c r="N2850">
        <v>4.548</v>
      </c>
      <c r="O2850" t="s">
        <v>101</v>
      </c>
      <c r="P2850" t="s">
        <v>3116</v>
      </c>
      <c r="Q2850" t="s">
        <v>3592</v>
      </c>
      <c r="R2850" t="s">
        <v>2436</v>
      </c>
    </row>
    <row r="2851" spans="1:18" x14ac:dyDescent="0.5">
      <c r="A2851" t="str">
        <f>"17291LZX6"</f>
        <v>17291LZX6</v>
      </c>
      <c r="B2851" t="s">
        <v>101</v>
      </c>
      <c r="C2851" t="s">
        <v>3593</v>
      </c>
      <c r="D2851" t="s">
        <v>2433</v>
      </c>
      <c r="E2851">
        <v>3.75</v>
      </c>
      <c r="F2851" s="2">
        <v>46660</v>
      </c>
      <c r="G2851" s="2">
        <v>46295</v>
      </c>
      <c r="H2851" t="s">
        <v>182</v>
      </c>
      <c r="I2851" t="s">
        <v>611</v>
      </c>
      <c r="J2851">
        <v>96.456000000000003</v>
      </c>
      <c r="K2851">
        <v>97.5</v>
      </c>
      <c r="L2851">
        <v>5.2519999999999998</v>
      </c>
      <c r="M2851">
        <v>4.8029999999999999</v>
      </c>
      <c r="N2851">
        <v>4.8029999999999999</v>
      </c>
      <c r="O2851" t="s">
        <v>101</v>
      </c>
      <c r="P2851" t="s">
        <v>2438</v>
      </c>
      <c r="Q2851" t="s">
        <v>3594</v>
      </c>
      <c r="R2851" t="s">
        <v>3443</v>
      </c>
    </row>
    <row r="2852" spans="1:18" x14ac:dyDescent="0.5">
      <c r="A2852" t="str">
        <f>"20605PAH4"</f>
        <v>20605PAH4</v>
      </c>
      <c r="B2852" t="s">
        <v>101</v>
      </c>
      <c r="C2852" t="s">
        <v>3595</v>
      </c>
      <c r="D2852" t="s">
        <v>2433</v>
      </c>
      <c r="E2852">
        <v>3.75</v>
      </c>
      <c r="F2852" s="2">
        <v>46661</v>
      </c>
      <c r="G2852" s="2">
        <v>46569</v>
      </c>
      <c r="H2852" t="s">
        <v>2760</v>
      </c>
      <c r="I2852" t="s">
        <v>713</v>
      </c>
      <c r="J2852">
        <v>95.492999999999995</v>
      </c>
      <c r="K2852">
        <v>98.861000000000004</v>
      </c>
      <c r="L2852">
        <v>5.67</v>
      </c>
      <c r="M2852">
        <v>4.2249999999999996</v>
      </c>
      <c r="N2852">
        <v>4.2249999999999996</v>
      </c>
      <c r="O2852" t="s">
        <v>101</v>
      </c>
      <c r="P2852" t="s">
        <v>858</v>
      </c>
      <c r="Q2852" t="s">
        <v>457</v>
      </c>
      <c r="R2852" t="s">
        <v>2436</v>
      </c>
    </row>
    <row r="2853" spans="1:18" x14ac:dyDescent="0.5">
      <c r="A2853" t="str">
        <f>"20825CAW4"</f>
        <v>20825CAW4</v>
      </c>
      <c r="B2853" t="s">
        <v>101</v>
      </c>
      <c r="C2853" t="s">
        <v>3595</v>
      </c>
      <c r="D2853" t="s">
        <v>2433</v>
      </c>
      <c r="E2853">
        <v>3.75</v>
      </c>
      <c r="F2853" s="2">
        <v>46661</v>
      </c>
      <c r="G2853" s="2">
        <v>46569</v>
      </c>
      <c r="H2853" t="s">
        <v>610</v>
      </c>
      <c r="I2853" t="s">
        <v>713</v>
      </c>
      <c r="J2853">
        <v>98.007999999999996</v>
      </c>
      <c r="K2853">
        <v>98.763000000000005</v>
      </c>
      <c r="L2853">
        <v>4.585</v>
      </c>
      <c r="M2853">
        <v>4.266</v>
      </c>
      <c r="N2853">
        <v>4.266</v>
      </c>
      <c r="O2853" t="s">
        <v>101</v>
      </c>
      <c r="P2853" t="s">
        <v>554</v>
      </c>
      <c r="Q2853" t="s">
        <v>3596</v>
      </c>
      <c r="R2853" t="s">
        <v>2436</v>
      </c>
    </row>
    <row r="2854" spans="1:18" x14ac:dyDescent="0.5">
      <c r="A2854" t="str">
        <f>"46625HNJ5"</f>
        <v>46625HNJ5</v>
      </c>
      <c r="B2854" t="s">
        <v>101</v>
      </c>
      <c r="C2854" t="s">
        <v>3597</v>
      </c>
      <c r="D2854" t="s">
        <v>2433</v>
      </c>
      <c r="E2854">
        <v>4.25</v>
      </c>
      <c r="F2854" s="2">
        <v>46661</v>
      </c>
      <c r="G2854" s="2" t="s">
        <v>105</v>
      </c>
      <c r="H2854" t="s">
        <v>627</v>
      </c>
      <c r="I2854" t="s">
        <v>713</v>
      </c>
      <c r="J2854">
        <v>99.599000000000004</v>
      </c>
      <c r="K2854">
        <v>99.709000000000003</v>
      </c>
      <c r="L2854">
        <v>4.4169999999999998</v>
      </c>
      <c r="M2854">
        <v>4.3710000000000004</v>
      </c>
      <c r="N2854">
        <v>4.3710000000000004</v>
      </c>
      <c r="O2854" t="s">
        <v>101</v>
      </c>
      <c r="P2854" t="s">
        <v>3598</v>
      </c>
      <c r="Q2854" t="s">
        <v>3599</v>
      </c>
      <c r="R2854" t="s">
        <v>2465</v>
      </c>
    </row>
    <row r="2855" spans="1:18" x14ac:dyDescent="0.5">
      <c r="A2855" t="str">
        <f>"00440KAA1"</f>
        <v>00440KAA1</v>
      </c>
      <c r="B2855" t="s">
        <v>101</v>
      </c>
      <c r="C2855" t="s">
        <v>3600</v>
      </c>
      <c r="D2855" t="s">
        <v>2433</v>
      </c>
      <c r="E2855">
        <v>3.9</v>
      </c>
      <c r="F2855" s="2">
        <v>46664</v>
      </c>
      <c r="G2855" s="2">
        <v>46634</v>
      </c>
      <c r="H2855" t="s">
        <v>624</v>
      </c>
      <c r="I2855" t="s">
        <v>616</v>
      </c>
      <c r="J2855">
        <v>99.004000000000005</v>
      </c>
      <c r="K2855">
        <v>99.153999999999996</v>
      </c>
      <c r="L2855">
        <v>4.3140000000000001</v>
      </c>
      <c r="M2855">
        <v>4.2510000000000003</v>
      </c>
      <c r="N2855">
        <v>4.2510000000000003</v>
      </c>
      <c r="O2855" t="s">
        <v>101</v>
      </c>
      <c r="P2855" t="s">
        <v>2581</v>
      </c>
      <c r="Q2855" t="s">
        <v>2454</v>
      </c>
      <c r="R2855" t="s">
        <v>2726</v>
      </c>
    </row>
    <row r="2856" spans="1:18" x14ac:dyDescent="0.5">
      <c r="A2856" t="str">
        <f>"89236TMS1"</f>
        <v>89236TMS1</v>
      </c>
      <c r="B2856" t="s">
        <v>101</v>
      </c>
      <c r="C2856" t="s">
        <v>3601</v>
      </c>
      <c r="D2856" t="s">
        <v>2433</v>
      </c>
      <c r="E2856">
        <v>4.3499999999999996</v>
      </c>
      <c r="F2856" s="2">
        <v>46668</v>
      </c>
      <c r="G2856" s="2" t="s">
        <v>105</v>
      </c>
      <c r="H2856" t="s">
        <v>641</v>
      </c>
      <c r="I2856" t="s">
        <v>658</v>
      </c>
      <c r="J2856">
        <v>99.799000000000007</v>
      </c>
      <c r="K2856">
        <v>100.018</v>
      </c>
      <c r="L2856">
        <v>4.4320000000000004</v>
      </c>
      <c r="M2856">
        <v>4.3410000000000002</v>
      </c>
      <c r="N2856">
        <v>4.3410000000000002</v>
      </c>
      <c r="O2856" t="s">
        <v>101</v>
      </c>
      <c r="P2856" t="s">
        <v>2438</v>
      </c>
      <c r="Q2856" t="s">
        <v>3602</v>
      </c>
      <c r="R2856" t="s">
        <v>2713</v>
      </c>
    </row>
    <row r="2857" spans="1:18" x14ac:dyDescent="0.5">
      <c r="A2857" t="str">
        <f>"14913UAR1"</f>
        <v>14913UAR1</v>
      </c>
      <c r="B2857" t="s">
        <v>101</v>
      </c>
      <c r="C2857" t="s">
        <v>3603</v>
      </c>
      <c r="D2857" t="s">
        <v>2433</v>
      </c>
      <c r="E2857">
        <v>4.4000000000000004</v>
      </c>
      <c r="F2857" s="2">
        <v>46675</v>
      </c>
      <c r="G2857" s="2" t="s">
        <v>101</v>
      </c>
      <c r="H2857" t="s">
        <v>610</v>
      </c>
      <c r="I2857" t="s">
        <v>611</v>
      </c>
      <c r="J2857">
        <v>99.956000000000003</v>
      </c>
      <c r="K2857">
        <v>100.099</v>
      </c>
      <c r="L2857">
        <v>4.4169999999999998</v>
      </c>
      <c r="M2857">
        <v>4.3579999999999997</v>
      </c>
      <c r="N2857">
        <v>4.3579999999999997</v>
      </c>
      <c r="O2857" t="s">
        <v>101</v>
      </c>
      <c r="P2857" t="s">
        <v>1391</v>
      </c>
      <c r="Q2857" t="s">
        <v>3604</v>
      </c>
      <c r="R2857" t="s">
        <v>2436</v>
      </c>
    </row>
    <row r="2858" spans="1:18" x14ac:dyDescent="0.5">
      <c r="A2858" t="str">
        <f>"125509BV0"</f>
        <v>125509BV0</v>
      </c>
      <c r="B2858" t="s">
        <v>101</v>
      </c>
      <c r="C2858" t="s">
        <v>3605</v>
      </c>
      <c r="D2858" t="s">
        <v>2433</v>
      </c>
      <c r="E2858">
        <v>3.05</v>
      </c>
      <c r="F2858" s="2">
        <v>46675</v>
      </c>
      <c r="G2858" s="2">
        <v>46583</v>
      </c>
      <c r="H2858" t="s">
        <v>670</v>
      </c>
      <c r="I2858" t="s">
        <v>713</v>
      </c>
      <c r="J2858">
        <v>96.093999999999994</v>
      </c>
      <c r="K2858">
        <v>96.679000000000002</v>
      </c>
      <c r="L2858">
        <v>4.6669999999999998</v>
      </c>
      <c r="M2858">
        <v>4.4189999999999996</v>
      </c>
      <c r="N2858">
        <v>4.4189999999999996</v>
      </c>
      <c r="O2858" t="s">
        <v>101</v>
      </c>
      <c r="P2858" t="s">
        <v>2747</v>
      </c>
      <c r="Q2858" t="s">
        <v>3606</v>
      </c>
      <c r="R2858" t="s">
        <v>2436</v>
      </c>
    </row>
    <row r="2859" spans="1:18" x14ac:dyDescent="0.5">
      <c r="A2859" t="str">
        <f>"291011BL7"</f>
        <v>291011BL7</v>
      </c>
      <c r="B2859" t="s">
        <v>101</v>
      </c>
      <c r="C2859" t="s">
        <v>3607</v>
      </c>
      <c r="D2859" t="s">
        <v>2433</v>
      </c>
      <c r="E2859">
        <v>1.8</v>
      </c>
      <c r="F2859" s="2">
        <v>46675</v>
      </c>
      <c r="G2859" s="2">
        <v>46614</v>
      </c>
      <c r="H2859" t="s">
        <v>610</v>
      </c>
      <c r="I2859" t="s">
        <v>611</v>
      </c>
      <c r="J2859">
        <v>93.546999999999997</v>
      </c>
      <c r="K2859">
        <v>93.887</v>
      </c>
      <c r="L2859">
        <v>4.4640000000000004</v>
      </c>
      <c r="M2859">
        <v>4.3179999999999996</v>
      </c>
      <c r="N2859">
        <v>4.3179999999999996</v>
      </c>
      <c r="O2859" t="s">
        <v>101</v>
      </c>
      <c r="P2859" t="s">
        <v>2952</v>
      </c>
      <c r="Q2859" t="s">
        <v>2796</v>
      </c>
      <c r="R2859" t="s">
        <v>2436</v>
      </c>
    </row>
    <row r="2860" spans="1:18" x14ac:dyDescent="0.5">
      <c r="A2860" t="str">
        <f>"63743FXT8"</f>
        <v>63743FXT8</v>
      </c>
      <c r="B2860" t="s">
        <v>101</v>
      </c>
      <c r="C2860" t="s">
        <v>3608</v>
      </c>
      <c r="D2860" t="s">
        <v>2433</v>
      </c>
      <c r="E2860">
        <v>3.5</v>
      </c>
      <c r="F2860" s="2">
        <v>46675</v>
      </c>
      <c r="G2860" s="2" t="s">
        <v>105</v>
      </c>
      <c r="H2860" t="s">
        <v>610</v>
      </c>
      <c r="I2860" t="s">
        <v>713</v>
      </c>
      <c r="J2860">
        <v>96.186999999999998</v>
      </c>
      <c r="K2860">
        <v>98.063000000000002</v>
      </c>
      <c r="L2860">
        <v>5.0730000000000004</v>
      </c>
      <c r="M2860">
        <v>4.2910000000000004</v>
      </c>
      <c r="N2860">
        <v>4.2910000000000004</v>
      </c>
      <c r="O2860" t="s">
        <v>101</v>
      </c>
      <c r="P2860" t="s">
        <v>1236</v>
      </c>
      <c r="Q2860" t="s">
        <v>488</v>
      </c>
      <c r="R2860" t="s">
        <v>2610</v>
      </c>
    </row>
    <row r="2861" spans="1:18" x14ac:dyDescent="0.5">
      <c r="A2861" t="str">
        <f>"63743FZG4"</f>
        <v>63743FZG4</v>
      </c>
      <c r="B2861" t="s">
        <v>101</v>
      </c>
      <c r="C2861" t="s">
        <v>3609</v>
      </c>
      <c r="D2861" t="s">
        <v>2433</v>
      </c>
      <c r="E2861">
        <v>3</v>
      </c>
      <c r="F2861" s="2">
        <v>46675</v>
      </c>
      <c r="G2861" s="2" t="s">
        <v>105</v>
      </c>
      <c r="H2861" t="s">
        <v>610</v>
      </c>
      <c r="I2861" t="s">
        <v>713</v>
      </c>
      <c r="J2861">
        <v>94.983000000000004</v>
      </c>
      <c r="K2861">
        <v>96.712999999999994</v>
      </c>
      <c r="L2861">
        <v>5.07</v>
      </c>
      <c r="M2861">
        <v>4.343</v>
      </c>
      <c r="N2861">
        <v>4.343</v>
      </c>
      <c r="O2861" t="s">
        <v>101</v>
      </c>
      <c r="P2861" t="s">
        <v>858</v>
      </c>
      <c r="Q2861" t="s">
        <v>3141</v>
      </c>
      <c r="R2861" t="s">
        <v>2610</v>
      </c>
    </row>
    <row r="2862" spans="1:18" x14ac:dyDescent="0.5">
      <c r="A2862" t="str">
        <f>"713448DY1"</f>
        <v>713448DY1</v>
      </c>
      <c r="B2862" t="s">
        <v>101</v>
      </c>
      <c r="C2862" t="s">
        <v>3610</v>
      </c>
      <c r="D2862" t="s">
        <v>2433</v>
      </c>
      <c r="E2862">
        <v>3</v>
      </c>
      <c r="F2862" s="2">
        <v>46675</v>
      </c>
      <c r="G2862" s="2">
        <v>46583</v>
      </c>
      <c r="H2862" t="s">
        <v>641</v>
      </c>
      <c r="I2862" t="s">
        <v>658</v>
      </c>
      <c r="J2862">
        <v>96.968000000000004</v>
      </c>
      <c r="K2862">
        <v>97.052000000000007</v>
      </c>
      <c r="L2862">
        <v>4.2469999999999999</v>
      </c>
      <c r="M2862">
        <v>4.2119999999999997</v>
      </c>
      <c r="N2862">
        <v>4.2119999999999997</v>
      </c>
      <c r="O2862" t="s">
        <v>101</v>
      </c>
      <c r="P2862" t="s">
        <v>3084</v>
      </c>
      <c r="Q2862" t="s">
        <v>2581</v>
      </c>
      <c r="R2862" t="s">
        <v>2436</v>
      </c>
    </row>
    <row r="2863" spans="1:18" x14ac:dyDescent="0.5">
      <c r="A2863" t="str">
        <f>"125523AZ3"</f>
        <v>125523AZ3</v>
      </c>
      <c r="B2863" t="s">
        <v>101</v>
      </c>
      <c r="C2863" t="s">
        <v>3611</v>
      </c>
      <c r="D2863" t="s">
        <v>2433</v>
      </c>
      <c r="E2863">
        <v>3.05</v>
      </c>
      <c r="F2863" s="2">
        <v>46675</v>
      </c>
      <c r="G2863" s="2">
        <v>46583</v>
      </c>
      <c r="H2863" t="s">
        <v>670</v>
      </c>
      <c r="I2863" t="s">
        <v>713</v>
      </c>
      <c r="J2863">
        <v>96.597999999999999</v>
      </c>
      <c r="K2863">
        <v>96.718999999999994</v>
      </c>
      <c r="L2863">
        <v>4.4530000000000003</v>
      </c>
      <c r="M2863">
        <v>4.4020000000000001</v>
      </c>
      <c r="N2863">
        <v>4.4020000000000001</v>
      </c>
      <c r="O2863" t="s">
        <v>101</v>
      </c>
      <c r="P2863" t="s">
        <v>1702</v>
      </c>
      <c r="Q2863" t="s">
        <v>2581</v>
      </c>
      <c r="R2863" t="s">
        <v>2436</v>
      </c>
    </row>
    <row r="2864" spans="1:18" x14ac:dyDescent="0.5">
      <c r="A2864" t="str">
        <f>"91324PDE9"</f>
        <v>91324PDE9</v>
      </c>
      <c r="B2864" t="s">
        <v>101</v>
      </c>
      <c r="C2864" t="s">
        <v>3612</v>
      </c>
      <c r="D2864" t="s">
        <v>2433</v>
      </c>
      <c r="E2864">
        <v>2.95</v>
      </c>
      <c r="F2864" s="2">
        <v>46675</v>
      </c>
      <c r="G2864" s="2" t="s">
        <v>101</v>
      </c>
      <c r="H2864" t="s">
        <v>610</v>
      </c>
      <c r="I2864" t="s">
        <v>658</v>
      </c>
      <c r="J2864">
        <v>96.263000000000005</v>
      </c>
      <c r="K2864">
        <v>96.421000000000006</v>
      </c>
      <c r="L2864">
        <v>4.4930000000000003</v>
      </c>
      <c r="M2864">
        <v>4.4260000000000002</v>
      </c>
      <c r="N2864">
        <v>4.4260000000000002</v>
      </c>
      <c r="O2864" t="s">
        <v>101</v>
      </c>
      <c r="P2864" t="s">
        <v>2438</v>
      </c>
      <c r="Q2864" t="s">
        <v>2454</v>
      </c>
      <c r="R2864" t="s">
        <v>2436</v>
      </c>
    </row>
    <row r="2865" spans="1:18" x14ac:dyDescent="0.5">
      <c r="A2865" t="str">
        <f>"976826BL0"</f>
        <v>976826BL0</v>
      </c>
      <c r="B2865" t="s">
        <v>101</v>
      </c>
      <c r="C2865" t="s">
        <v>3613</v>
      </c>
      <c r="D2865" t="s">
        <v>2433</v>
      </c>
      <c r="E2865">
        <v>3.05</v>
      </c>
      <c r="F2865" s="2">
        <v>46675</v>
      </c>
      <c r="G2865" s="2">
        <v>46583</v>
      </c>
      <c r="H2865" t="s">
        <v>670</v>
      </c>
      <c r="I2865" t="s">
        <v>713</v>
      </c>
      <c r="J2865">
        <v>96.418000000000006</v>
      </c>
      <c r="K2865">
        <v>96.701999999999998</v>
      </c>
      <c r="L2865">
        <v>4.5289999999999999</v>
      </c>
      <c r="M2865">
        <v>4.41</v>
      </c>
      <c r="N2865">
        <v>4.41</v>
      </c>
      <c r="O2865" t="s">
        <v>101</v>
      </c>
      <c r="P2865" t="s">
        <v>858</v>
      </c>
      <c r="Q2865" t="s">
        <v>858</v>
      </c>
      <c r="R2865" t="s">
        <v>2436</v>
      </c>
    </row>
    <row r="2866" spans="1:18" x14ac:dyDescent="0.5">
      <c r="A2866" t="str">
        <f>"86562MAV2"</f>
        <v>86562MAV2</v>
      </c>
      <c r="B2866" t="s">
        <v>101</v>
      </c>
      <c r="C2866" t="s">
        <v>3614</v>
      </c>
      <c r="D2866" t="s">
        <v>2433</v>
      </c>
      <c r="E2866">
        <v>3.3519999999999999</v>
      </c>
      <c r="F2866" s="2">
        <v>46678</v>
      </c>
      <c r="G2866" s="2" t="s">
        <v>101</v>
      </c>
      <c r="H2866" t="s">
        <v>641</v>
      </c>
      <c r="I2866" t="s">
        <v>713</v>
      </c>
      <c r="J2866">
        <v>96.994</v>
      </c>
      <c r="K2866">
        <v>97.27</v>
      </c>
      <c r="L2866">
        <v>4.59</v>
      </c>
      <c r="M2866">
        <v>4.4749999999999996</v>
      </c>
      <c r="N2866">
        <v>4.4749999999999996</v>
      </c>
      <c r="O2866" t="s">
        <v>101</v>
      </c>
      <c r="P2866" t="s">
        <v>2472</v>
      </c>
      <c r="Q2866" t="s">
        <v>2454</v>
      </c>
      <c r="R2866" t="s">
        <v>2436</v>
      </c>
    </row>
    <row r="2867" spans="1:18" x14ac:dyDescent="0.5">
      <c r="A2867" t="str">
        <f>"06051GGA1"</f>
        <v>06051GGA1</v>
      </c>
      <c r="B2867" t="s">
        <v>101</v>
      </c>
      <c r="C2867" t="s">
        <v>3615</v>
      </c>
      <c r="D2867" t="s">
        <v>2433</v>
      </c>
      <c r="E2867">
        <v>3.2480000000000002</v>
      </c>
      <c r="F2867" s="2">
        <v>46681</v>
      </c>
      <c r="G2867" s="2">
        <v>46316</v>
      </c>
      <c r="H2867" t="s">
        <v>641</v>
      </c>
      <c r="I2867" t="s">
        <v>713</v>
      </c>
      <c r="J2867">
        <v>96.873999999999995</v>
      </c>
      <c r="K2867">
        <v>96.983000000000004</v>
      </c>
      <c r="L2867">
        <v>4.5309999999999997</v>
      </c>
      <c r="M2867">
        <v>4.4850000000000003</v>
      </c>
      <c r="N2867">
        <v>4.4850000000000003</v>
      </c>
      <c r="O2867" t="s">
        <v>101</v>
      </c>
      <c r="P2867" t="s">
        <v>1702</v>
      </c>
      <c r="Q2867" t="s">
        <v>457</v>
      </c>
      <c r="R2867" t="s">
        <v>2436</v>
      </c>
    </row>
    <row r="2868" spans="1:18" x14ac:dyDescent="0.5">
      <c r="A2868" t="str">
        <f>"02665WFT3"</f>
        <v>02665WFT3</v>
      </c>
      <c r="B2868" t="s">
        <v>101</v>
      </c>
      <c r="C2868" t="s">
        <v>3616</v>
      </c>
      <c r="D2868" t="s">
        <v>2433</v>
      </c>
      <c r="E2868">
        <v>4.45</v>
      </c>
      <c r="F2868" s="2">
        <v>46682</v>
      </c>
      <c r="G2868" s="2" t="s">
        <v>101</v>
      </c>
      <c r="H2868" t="s">
        <v>627</v>
      </c>
      <c r="I2868" t="s">
        <v>713</v>
      </c>
      <c r="J2868">
        <v>99.742000000000004</v>
      </c>
      <c r="K2868">
        <v>99.837999999999994</v>
      </c>
      <c r="L2868">
        <v>4.5540000000000003</v>
      </c>
      <c r="M2868">
        <v>4.5149999999999997</v>
      </c>
      <c r="N2868">
        <v>4.5149999999999997</v>
      </c>
      <c r="O2868" t="s">
        <v>101</v>
      </c>
      <c r="P2868" t="s">
        <v>3617</v>
      </c>
      <c r="Q2868" t="s">
        <v>2581</v>
      </c>
      <c r="R2868" t="s">
        <v>2726</v>
      </c>
    </row>
    <row r="2869" spans="1:18" x14ac:dyDescent="0.5">
      <c r="A2869" t="str">
        <f>"857477CP6"</f>
        <v>857477CP6</v>
      </c>
      <c r="B2869" t="s">
        <v>101</v>
      </c>
      <c r="C2869" t="s">
        <v>3618</v>
      </c>
      <c r="D2869" t="s">
        <v>2433</v>
      </c>
      <c r="E2869">
        <v>4.33</v>
      </c>
      <c r="F2869" s="2">
        <v>46682</v>
      </c>
      <c r="G2869" s="2">
        <v>46652</v>
      </c>
      <c r="H2869" t="s">
        <v>624</v>
      </c>
      <c r="I2869" t="s">
        <v>611</v>
      </c>
      <c r="J2869">
        <v>99.947999999999993</v>
      </c>
      <c r="K2869">
        <v>99.991</v>
      </c>
      <c r="L2869">
        <v>4.3499999999999996</v>
      </c>
      <c r="M2869">
        <v>4.3319999999999999</v>
      </c>
      <c r="N2869">
        <v>4.3319999999999999</v>
      </c>
      <c r="O2869" t="s">
        <v>101</v>
      </c>
      <c r="P2869" t="s">
        <v>3619</v>
      </c>
      <c r="Q2869" t="s">
        <v>2581</v>
      </c>
      <c r="R2869" t="s">
        <v>2436</v>
      </c>
    </row>
    <row r="2870" spans="1:18" x14ac:dyDescent="0.5">
      <c r="A2870" t="str">
        <f>"25243YBG3"</f>
        <v>25243YBG3</v>
      </c>
      <c r="B2870" t="s">
        <v>101</v>
      </c>
      <c r="C2870" t="s">
        <v>3620</v>
      </c>
      <c r="D2870" t="s">
        <v>2433</v>
      </c>
      <c r="E2870">
        <v>5.3</v>
      </c>
      <c r="F2870" s="2">
        <v>46684</v>
      </c>
      <c r="G2870" s="2">
        <v>46654</v>
      </c>
      <c r="H2870" t="s">
        <v>627</v>
      </c>
      <c r="I2870" t="s">
        <v>713</v>
      </c>
      <c r="J2870">
        <v>101.872</v>
      </c>
      <c r="K2870">
        <v>102.07299999999999</v>
      </c>
      <c r="L2870">
        <v>4.5090000000000003</v>
      </c>
      <c r="M2870">
        <v>4.4249999999999998</v>
      </c>
      <c r="N2870">
        <v>4.45</v>
      </c>
      <c r="O2870" t="s">
        <v>101</v>
      </c>
      <c r="P2870" t="s">
        <v>2687</v>
      </c>
      <c r="Q2870" t="s">
        <v>542</v>
      </c>
      <c r="R2870" t="s">
        <v>2436</v>
      </c>
    </row>
    <row r="2871" spans="1:18" x14ac:dyDescent="0.5">
      <c r="A2871" t="str">
        <f>"69353RFG8"</f>
        <v>69353RFG8</v>
      </c>
      <c r="B2871" t="s">
        <v>101</v>
      </c>
      <c r="C2871" t="s">
        <v>3621</v>
      </c>
      <c r="D2871" t="s">
        <v>2433</v>
      </c>
      <c r="E2871">
        <v>3.1</v>
      </c>
      <c r="F2871" s="2">
        <v>46685</v>
      </c>
      <c r="G2871" s="2">
        <v>46655</v>
      </c>
      <c r="H2871" t="s">
        <v>610</v>
      </c>
      <c r="I2871" t="s">
        <v>611</v>
      </c>
      <c r="J2871">
        <v>96.522000000000006</v>
      </c>
      <c r="K2871">
        <v>96.736999999999995</v>
      </c>
      <c r="L2871">
        <v>4.5220000000000002</v>
      </c>
      <c r="M2871">
        <v>4.4320000000000004</v>
      </c>
      <c r="N2871">
        <v>4.4320000000000004</v>
      </c>
      <c r="O2871" t="s">
        <v>101</v>
      </c>
      <c r="P2871" t="s">
        <v>2566</v>
      </c>
      <c r="Q2871" t="s">
        <v>3622</v>
      </c>
      <c r="R2871" t="s">
        <v>2436</v>
      </c>
    </row>
    <row r="2872" spans="1:18" x14ac:dyDescent="0.5">
      <c r="A2872" t="str">
        <f>"89236TMV4"</f>
        <v>89236TMV4</v>
      </c>
      <c r="B2872" t="s">
        <v>101</v>
      </c>
      <c r="C2872" t="s">
        <v>3623</v>
      </c>
      <c r="D2872" t="s">
        <v>2433</v>
      </c>
      <c r="E2872">
        <v>4.55</v>
      </c>
      <c r="F2872" s="2">
        <v>46689</v>
      </c>
      <c r="G2872" s="2">
        <v>45959</v>
      </c>
      <c r="H2872" t="s">
        <v>641</v>
      </c>
      <c r="I2872" t="s">
        <v>658</v>
      </c>
      <c r="J2872">
        <v>99.338999999999999</v>
      </c>
      <c r="K2872">
        <v>100.1</v>
      </c>
      <c r="L2872">
        <v>4.8179999999999996</v>
      </c>
      <c r="M2872">
        <v>4.38</v>
      </c>
      <c r="N2872">
        <v>4.5069999999999997</v>
      </c>
      <c r="O2872" t="s">
        <v>101</v>
      </c>
      <c r="P2872" t="s">
        <v>2289</v>
      </c>
      <c r="Q2872" t="s">
        <v>3624</v>
      </c>
      <c r="R2872" t="s">
        <v>2436</v>
      </c>
    </row>
    <row r="2873" spans="1:18" x14ac:dyDescent="0.5">
      <c r="A2873" t="str">
        <f>"718172DM8"</f>
        <v>718172DM8</v>
      </c>
      <c r="B2873" t="s">
        <v>101</v>
      </c>
      <c r="C2873" t="s">
        <v>3625</v>
      </c>
      <c r="D2873" t="s">
        <v>2433</v>
      </c>
      <c r="E2873">
        <v>4.375</v>
      </c>
      <c r="F2873" s="2">
        <v>46692</v>
      </c>
      <c r="G2873" s="2" t="s">
        <v>101</v>
      </c>
      <c r="H2873" t="s">
        <v>610</v>
      </c>
      <c r="I2873" t="s">
        <v>713</v>
      </c>
      <c r="J2873">
        <v>99.6</v>
      </c>
      <c r="K2873">
        <v>99.757000000000005</v>
      </c>
      <c r="L2873">
        <v>4.5359999999999996</v>
      </c>
      <c r="M2873">
        <v>4.4720000000000004</v>
      </c>
      <c r="N2873">
        <v>4.4720000000000004</v>
      </c>
      <c r="O2873" t="s">
        <v>101</v>
      </c>
      <c r="P2873" t="s">
        <v>1702</v>
      </c>
      <c r="Q2873" t="s">
        <v>2940</v>
      </c>
      <c r="R2873" t="s">
        <v>2436</v>
      </c>
    </row>
    <row r="2874" spans="1:18" x14ac:dyDescent="0.5">
      <c r="A2874" t="str">
        <f>"78016FZU1"</f>
        <v>78016FZU1</v>
      </c>
      <c r="B2874" t="s">
        <v>101</v>
      </c>
      <c r="C2874" t="s">
        <v>3626</v>
      </c>
      <c r="D2874" t="s">
        <v>2433</v>
      </c>
      <c r="E2874">
        <v>6</v>
      </c>
      <c r="F2874" s="2">
        <v>46692</v>
      </c>
      <c r="G2874" s="2" t="s">
        <v>101</v>
      </c>
      <c r="H2874" t="s">
        <v>641</v>
      </c>
      <c r="I2874" t="s">
        <v>611</v>
      </c>
      <c r="J2874">
        <v>103.54300000000001</v>
      </c>
      <c r="K2874">
        <v>103.69799999999999</v>
      </c>
      <c r="L2874">
        <v>4.556</v>
      </c>
      <c r="M2874">
        <v>4.4939999999999998</v>
      </c>
      <c r="N2874">
        <v>4.4939999999999998</v>
      </c>
      <c r="O2874" t="s">
        <v>101</v>
      </c>
      <c r="P2874" t="s">
        <v>1702</v>
      </c>
      <c r="Q2874" t="s">
        <v>2581</v>
      </c>
      <c r="R2874" t="s">
        <v>2436</v>
      </c>
    </row>
    <row r="2875" spans="1:18" x14ac:dyDescent="0.5">
      <c r="A2875" t="str">
        <f>"842400HS5"</f>
        <v>842400HS5</v>
      </c>
      <c r="B2875" t="s">
        <v>101</v>
      </c>
      <c r="C2875" t="s">
        <v>3627</v>
      </c>
      <c r="D2875" t="s">
        <v>2433</v>
      </c>
      <c r="E2875">
        <v>5.85</v>
      </c>
      <c r="F2875" s="2">
        <v>46692</v>
      </c>
      <c r="G2875" s="2">
        <v>46661</v>
      </c>
      <c r="H2875" t="s">
        <v>610</v>
      </c>
      <c r="I2875" t="s">
        <v>713</v>
      </c>
      <c r="J2875">
        <v>102.032</v>
      </c>
      <c r="K2875">
        <v>102.279</v>
      </c>
      <c r="L2875">
        <v>4.9909999999999997</v>
      </c>
      <c r="M2875">
        <v>4.8879999999999999</v>
      </c>
      <c r="N2875">
        <v>4.915</v>
      </c>
      <c r="O2875" t="s">
        <v>101</v>
      </c>
      <c r="P2875" t="s">
        <v>3206</v>
      </c>
      <c r="Q2875" t="s">
        <v>2506</v>
      </c>
      <c r="R2875" t="s">
        <v>2436</v>
      </c>
    </row>
    <row r="2876" spans="1:18" x14ac:dyDescent="0.5">
      <c r="A2876" t="str">
        <f>"882508BC7"</f>
        <v>882508BC7</v>
      </c>
      <c r="B2876" t="s">
        <v>101</v>
      </c>
      <c r="C2876" t="s">
        <v>3628</v>
      </c>
      <c r="D2876" t="s">
        <v>2433</v>
      </c>
      <c r="E2876">
        <v>2.9</v>
      </c>
      <c r="F2876" s="2">
        <v>46694</v>
      </c>
      <c r="G2876" s="2">
        <v>46602</v>
      </c>
      <c r="H2876" t="s">
        <v>624</v>
      </c>
      <c r="I2876" t="s">
        <v>658</v>
      </c>
      <c r="J2876">
        <v>96.415000000000006</v>
      </c>
      <c r="K2876">
        <v>96.578999999999994</v>
      </c>
      <c r="L2876">
        <v>4.3499999999999996</v>
      </c>
      <c r="M2876">
        <v>4.282</v>
      </c>
      <c r="N2876">
        <v>4.282</v>
      </c>
      <c r="O2876" t="s">
        <v>101</v>
      </c>
      <c r="P2876" t="s">
        <v>2581</v>
      </c>
      <c r="Q2876" t="s">
        <v>2438</v>
      </c>
      <c r="R2876" t="s">
        <v>2436</v>
      </c>
    </row>
    <row r="2877" spans="1:18" x14ac:dyDescent="0.5">
      <c r="A2877" t="str">
        <f>"025816DB2"</f>
        <v>025816DB2</v>
      </c>
      <c r="B2877" t="s">
        <v>101</v>
      </c>
      <c r="C2877" t="s">
        <v>3629</v>
      </c>
      <c r="D2877" t="s">
        <v>2433</v>
      </c>
      <c r="E2877">
        <v>5.85</v>
      </c>
      <c r="F2877" s="2">
        <v>46696</v>
      </c>
      <c r="G2877" s="2">
        <v>46665</v>
      </c>
      <c r="H2877" t="s">
        <v>610</v>
      </c>
      <c r="I2877" t="s">
        <v>713</v>
      </c>
      <c r="J2877">
        <v>103.258</v>
      </c>
      <c r="K2877">
        <v>103.367</v>
      </c>
      <c r="L2877">
        <v>4.4889999999999999</v>
      </c>
      <c r="M2877">
        <v>4.4450000000000003</v>
      </c>
      <c r="N2877">
        <v>4.484</v>
      </c>
      <c r="O2877" t="s">
        <v>101</v>
      </c>
      <c r="P2877" t="s">
        <v>3411</v>
      </c>
      <c r="Q2877" t="s">
        <v>3630</v>
      </c>
      <c r="R2877" t="s">
        <v>2436</v>
      </c>
    </row>
    <row r="2878" spans="1:18" x14ac:dyDescent="0.5">
      <c r="A2878" t="str">
        <f>"571748BY7"</f>
        <v>571748BY7</v>
      </c>
      <c r="B2878" t="s">
        <v>101</v>
      </c>
      <c r="C2878" t="s">
        <v>3631</v>
      </c>
      <c r="D2878" t="s">
        <v>2433</v>
      </c>
      <c r="E2878">
        <v>4.55</v>
      </c>
      <c r="F2878" s="2">
        <v>46699</v>
      </c>
      <c r="G2878" s="2">
        <v>46668</v>
      </c>
      <c r="H2878" t="s">
        <v>627</v>
      </c>
      <c r="I2878" t="s">
        <v>713</v>
      </c>
      <c r="J2878">
        <v>100.242</v>
      </c>
      <c r="K2878">
        <v>100.339</v>
      </c>
      <c r="L2878">
        <v>4.4480000000000004</v>
      </c>
      <c r="M2878">
        <v>4.4080000000000004</v>
      </c>
      <c r="N2878">
        <v>4.4109999999999996</v>
      </c>
      <c r="O2878" t="s">
        <v>101</v>
      </c>
      <c r="P2878" t="s">
        <v>1702</v>
      </c>
      <c r="Q2878" t="s">
        <v>2454</v>
      </c>
      <c r="R2878" t="s">
        <v>2436</v>
      </c>
    </row>
    <row r="2879" spans="1:18" x14ac:dyDescent="0.5">
      <c r="A2879" t="str">
        <f>"89236TKL8"</f>
        <v>89236TKL8</v>
      </c>
      <c r="B2879" t="s">
        <v>101</v>
      </c>
      <c r="C2879" t="s">
        <v>3632</v>
      </c>
      <c r="D2879" t="s">
        <v>2433</v>
      </c>
      <c r="E2879">
        <v>5.45</v>
      </c>
      <c r="F2879" s="2">
        <v>46701</v>
      </c>
      <c r="G2879" s="2" t="s">
        <v>101</v>
      </c>
      <c r="H2879" t="s">
        <v>641</v>
      </c>
      <c r="I2879" t="s">
        <v>658</v>
      </c>
      <c r="J2879">
        <v>102.503</v>
      </c>
      <c r="K2879">
        <v>102.755</v>
      </c>
      <c r="L2879">
        <v>4.4400000000000004</v>
      </c>
      <c r="M2879">
        <v>4.34</v>
      </c>
      <c r="N2879">
        <v>4.34</v>
      </c>
      <c r="O2879" t="s">
        <v>101</v>
      </c>
      <c r="P2879" t="s">
        <v>2595</v>
      </c>
      <c r="Q2879" t="s">
        <v>2786</v>
      </c>
      <c r="R2879" t="s">
        <v>2436</v>
      </c>
    </row>
    <row r="2880" spans="1:18" x14ac:dyDescent="0.5">
      <c r="A2880" t="str">
        <f>"037833DK3"</f>
        <v>037833DK3</v>
      </c>
      <c r="B2880" t="s">
        <v>101</v>
      </c>
      <c r="C2880" t="s">
        <v>3633</v>
      </c>
      <c r="D2880" t="s">
        <v>2433</v>
      </c>
      <c r="E2880">
        <v>3</v>
      </c>
      <c r="F2880" s="2">
        <v>46704</v>
      </c>
      <c r="G2880" s="2">
        <v>46612</v>
      </c>
      <c r="H2880" t="s">
        <v>104</v>
      </c>
      <c r="I2880" t="s">
        <v>509</v>
      </c>
      <c r="J2880">
        <v>97.108999999999995</v>
      </c>
      <c r="K2880">
        <v>97.25</v>
      </c>
      <c r="L2880">
        <v>4.1539999999999999</v>
      </c>
      <c r="M2880">
        <v>4.0970000000000004</v>
      </c>
      <c r="N2880">
        <v>4.0970000000000004</v>
      </c>
      <c r="O2880" t="s">
        <v>101</v>
      </c>
      <c r="P2880" t="s">
        <v>1236</v>
      </c>
      <c r="Q2880" t="s">
        <v>2454</v>
      </c>
      <c r="R2880" t="s">
        <v>2436</v>
      </c>
    </row>
    <row r="2881" spans="1:18" x14ac:dyDescent="0.5">
      <c r="A2881" t="str">
        <f>"110122DP0"</f>
        <v>110122DP0</v>
      </c>
      <c r="B2881" t="s">
        <v>101</v>
      </c>
      <c r="C2881" t="s">
        <v>3634</v>
      </c>
      <c r="D2881" t="s">
        <v>2433</v>
      </c>
      <c r="E2881">
        <v>1.125</v>
      </c>
      <c r="F2881" s="2">
        <v>46704</v>
      </c>
      <c r="G2881" s="2">
        <v>46643</v>
      </c>
      <c r="H2881" t="s">
        <v>610</v>
      </c>
      <c r="I2881" t="s">
        <v>611</v>
      </c>
      <c r="J2881">
        <v>92.182000000000002</v>
      </c>
      <c r="K2881">
        <v>92.385999999999996</v>
      </c>
      <c r="L2881">
        <v>4.2539999999999996</v>
      </c>
      <c r="M2881">
        <v>4.1680000000000001</v>
      </c>
      <c r="N2881">
        <v>4.1680000000000001</v>
      </c>
      <c r="O2881" t="s">
        <v>101</v>
      </c>
      <c r="P2881" t="s">
        <v>2581</v>
      </c>
      <c r="Q2881" t="s">
        <v>2628</v>
      </c>
      <c r="R2881" t="s">
        <v>2436</v>
      </c>
    </row>
    <row r="2882" spans="1:18" x14ac:dyDescent="0.5">
      <c r="A2882" t="str">
        <f>"110122DD7"</f>
        <v>110122DD7</v>
      </c>
      <c r="B2882" t="s">
        <v>101</v>
      </c>
      <c r="C2882" t="s">
        <v>3635</v>
      </c>
      <c r="D2882" t="s">
        <v>2433</v>
      </c>
      <c r="E2882">
        <v>3.45</v>
      </c>
      <c r="F2882" s="2">
        <v>46706</v>
      </c>
      <c r="G2882" s="2">
        <v>46614</v>
      </c>
      <c r="H2882" t="s">
        <v>610</v>
      </c>
      <c r="I2882" t="s">
        <v>611</v>
      </c>
      <c r="J2882">
        <v>97.92</v>
      </c>
      <c r="K2882">
        <v>97.947000000000003</v>
      </c>
      <c r="L2882">
        <v>4.28</v>
      </c>
      <c r="M2882">
        <v>4.2690000000000001</v>
      </c>
      <c r="N2882">
        <v>4.2690000000000001</v>
      </c>
      <c r="O2882" t="s">
        <v>101</v>
      </c>
      <c r="P2882" t="s">
        <v>2751</v>
      </c>
      <c r="Q2882" t="s">
        <v>3636</v>
      </c>
      <c r="R2882" t="s">
        <v>2436</v>
      </c>
    </row>
    <row r="2883" spans="1:18" x14ac:dyDescent="0.5">
      <c r="A2883" t="str">
        <f>"14913UAS9"</f>
        <v>14913UAS9</v>
      </c>
      <c r="B2883" t="s">
        <v>101</v>
      </c>
      <c r="C2883" t="s">
        <v>3637</v>
      </c>
      <c r="D2883" t="s">
        <v>2433</v>
      </c>
      <c r="E2883">
        <v>4.5999999999999996</v>
      </c>
      <c r="F2883" s="2">
        <v>46706</v>
      </c>
      <c r="G2883" s="2" t="s">
        <v>101</v>
      </c>
      <c r="H2883" t="s">
        <v>610</v>
      </c>
      <c r="I2883" t="s">
        <v>611</v>
      </c>
      <c r="J2883">
        <v>100.5</v>
      </c>
      <c r="K2883">
        <v>100.64700000000001</v>
      </c>
      <c r="L2883">
        <v>4.3979999999999997</v>
      </c>
      <c r="M2883">
        <v>4.3390000000000004</v>
      </c>
      <c r="N2883">
        <v>4.3390000000000004</v>
      </c>
      <c r="O2883" t="s">
        <v>101</v>
      </c>
      <c r="P2883" t="s">
        <v>3075</v>
      </c>
      <c r="Q2883" t="s">
        <v>2507</v>
      </c>
      <c r="R2883" t="s">
        <v>2436</v>
      </c>
    </row>
    <row r="2884" spans="1:18" x14ac:dyDescent="0.5">
      <c r="A2884" t="str">
        <f>"20030NEA5"</f>
        <v>20030NEA5</v>
      </c>
      <c r="B2884" t="s">
        <v>101</v>
      </c>
      <c r="C2884" t="s">
        <v>3638</v>
      </c>
      <c r="D2884" t="s">
        <v>2433</v>
      </c>
      <c r="E2884">
        <v>5.35</v>
      </c>
      <c r="F2884" s="2">
        <v>46706</v>
      </c>
      <c r="G2884" s="2">
        <v>46675</v>
      </c>
      <c r="H2884" t="s">
        <v>627</v>
      </c>
      <c r="I2884" t="s">
        <v>713</v>
      </c>
      <c r="J2884">
        <v>102.25</v>
      </c>
      <c r="K2884">
        <v>102.35899999999999</v>
      </c>
      <c r="L2884">
        <v>4.42</v>
      </c>
      <c r="M2884">
        <v>4.3760000000000003</v>
      </c>
      <c r="N2884">
        <v>4.4029999999999996</v>
      </c>
      <c r="O2884" t="s">
        <v>101</v>
      </c>
      <c r="P2884" t="s">
        <v>1702</v>
      </c>
      <c r="Q2884" t="s">
        <v>2454</v>
      </c>
      <c r="R2884" t="s">
        <v>2436</v>
      </c>
    </row>
    <row r="2885" spans="1:18" x14ac:dyDescent="0.5">
      <c r="A2885" t="str">
        <f>"209111FM0"</f>
        <v>209111FM0</v>
      </c>
      <c r="B2885" t="s">
        <v>101</v>
      </c>
      <c r="C2885" t="s">
        <v>3639</v>
      </c>
      <c r="D2885" t="s">
        <v>2433</v>
      </c>
      <c r="E2885">
        <v>3.125</v>
      </c>
      <c r="F2885" s="2">
        <v>46706</v>
      </c>
      <c r="G2885" s="2">
        <v>46614</v>
      </c>
      <c r="H2885" t="s">
        <v>627</v>
      </c>
      <c r="I2885" t="s">
        <v>713</v>
      </c>
      <c r="J2885">
        <v>96.519000000000005</v>
      </c>
      <c r="K2885">
        <v>96.864999999999995</v>
      </c>
      <c r="L2885">
        <v>4.5199999999999996</v>
      </c>
      <c r="M2885">
        <v>4.3780000000000001</v>
      </c>
      <c r="N2885">
        <v>4.3780000000000001</v>
      </c>
      <c r="O2885" t="s">
        <v>101</v>
      </c>
      <c r="P2885" t="s">
        <v>3241</v>
      </c>
      <c r="Q2885" t="s">
        <v>2454</v>
      </c>
      <c r="R2885" t="s">
        <v>2436</v>
      </c>
    </row>
    <row r="2886" spans="1:18" x14ac:dyDescent="0.5">
      <c r="A2886" t="str">
        <f>"369550AZ1"</f>
        <v>369550AZ1</v>
      </c>
      <c r="B2886" t="s">
        <v>101</v>
      </c>
      <c r="C2886" t="s">
        <v>3640</v>
      </c>
      <c r="D2886" t="s">
        <v>2433</v>
      </c>
      <c r="E2886">
        <v>2.625</v>
      </c>
      <c r="F2886" s="2">
        <v>46706</v>
      </c>
      <c r="G2886" s="2">
        <v>46614</v>
      </c>
      <c r="H2886" t="s">
        <v>610</v>
      </c>
      <c r="I2886" t="s">
        <v>611</v>
      </c>
      <c r="J2886">
        <v>95.61</v>
      </c>
      <c r="K2886">
        <v>95.840999999999994</v>
      </c>
      <c r="L2886">
        <v>4.3810000000000002</v>
      </c>
      <c r="M2886">
        <v>4.2859999999999996</v>
      </c>
      <c r="N2886">
        <v>4.2859999999999996</v>
      </c>
      <c r="O2886" t="s">
        <v>101</v>
      </c>
      <c r="P2886" t="s">
        <v>2289</v>
      </c>
      <c r="Q2886" t="s">
        <v>2454</v>
      </c>
      <c r="R2886" t="s">
        <v>2436</v>
      </c>
    </row>
    <row r="2887" spans="1:18" x14ac:dyDescent="0.5">
      <c r="A2887" t="str">
        <f>"41013MCP3"</f>
        <v>41013MCP3</v>
      </c>
      <c r="B2887" t="s">
        <v>101</v>
      </c>
      <c r="C2887" t="s">
        <v>3641</v>
      </c>
      <c r="D2887" t="s">
        <v>2433</v>
      </c>
      <c r="E2887">
        <v>6</v>
      </c>
      <c r="F2887" s="2">
        <v>46706</v>
      </c>
      <c r="G2887" s="2" t="s">
        <v>101</v>
      </c>
      <c r="H2887" t="s">
        <v>610</v>
      </c>
      <c r="I2887" t="s">
        <v>616</v>
      </c>
      <c r="J2887">
        <v>102.642</v>
      </c>
      <c r="K2887">
        <v>104.985</v>
      </c>
      <c r="L2887">
        <v>4.944</v>
      </c>
      <c r="M2887">
        <v>4.0309999999999997</v>
      </c>
      <c r="N2887">
        <v>4.0309999999999997</v>
      </c>
      <c r="O2887" t="s">
        <v>101</v>
      </c>
      <c r="P2887" t="s">
        <v>858</v>
      </c>
      <c r="Q2887" t="s">
        <v>3642</v>
      </c>
      <c r="R2887" t="s">
        <v>3643</v>
      </c>
    </row>
    <row r="2888" spans="1:18" x14ac:dyDescent="0.5">
      <c r="A2888" t="str">
        <f>"487836BU1"</f>
        <v>487836BU1</v>
      </c>
      <c r="B2888" t="s">
        <v>101</v>
      </c>
      <c r="C2888" t="s">
        <v>3644</v>
      </c>
      <c r="D2888" t="s">
        <v>2433</v>
      </c>
      <c r="E2888">
        <v>3.4</v>
      </c>
      <c r="F2888" s="2">
        <v>46706</v>
      </c>
      <c r="G2888" s="2">
        <v>46614</v>
      </c>
      <c r="H2888" t="s">
        <v>677</v>
      </c>
      <c r="I2888" t="s">
        <v>611</v>
      </c>
      <c r="J2888">
        <v>97.18</v>
      </c>
      <c r="K2888">
        <v>97.391999999999996</v>
      </c>
      <c r="L2888">
        <v>4.53</v>
      </c>
      <c r="M2888">
        <v>4.4429999999999996</v>
      </c>
      <c r="N2888">
        <v>4.4429999999999996</v>
      </c>
      <c r="O2888" t="s">
        <v>101</v>
      </c>
      <c r="P2888" t="s">
        <v>3241</v>
      </c>
      <c r="Q2888" t="s">
        <v>2454</v>
      </c>
      <c r="R2888" t="s">
        <v>2436</v>
      </c>
    </row>
    <row r="2889" spans="1:18" x14ac:dyDescent="0.5">
      <c r="A2889" t="str">
        <f>"539830BV0"</f>
        <v>539830BV0</v>
      </c>
      <c r="B2889" t="s">
        <v>101</v>
      </c>
      <c r="C2889" t="s">
        <v>3645</v>
      </c>
      <c r="D2889" t="s">
        <v>2433</v>
      </c>
      <c r="E2889">
        <v>5.0999999999999996</v>
      </c>
      <c r="F2889" s="2">
        <v>46706</v>
      </c>
      <c r="G2889" s="2">
        <v>46675</v>
      </c>
      <c r="H2889" t="s">
        <v>610</v>
      </c>
      <c r="I2889" t="s">
        <v>713</v>
      </c>
      <c r="J2889">
        <v>101.788</v>
      </c>
      <c r="K2889">
        <v>101.979</v>
      </c>
      <c r="L2889">
        <v>4.3620000000000001</v>
      </c>
      <c r="M2889">
        <v>4.2839999999999998</v>
      </c>
      <c r="N2889">
        <v>4.306</v>
      </c>
      <c r="O2889" t="s">
        <v>101</v>
      </c>
      <c r="P2889" t="s">
        <v>2454</v>
      </c>
      <c r="Q2889" t="s">
        <v>2454</v>
      </c>
      <c r="R2889" t="s">
        <v>2436</v>
      </c>
    </row>
    <row r="2890" spans="1:18" x14ac:dyDescent="0.5">
      <c r="A2890" t="str">
        <f>"63743FXZ4"</f>
        <v>63743FXZ4</v>
      </c>
      <c r="B2890" t="s">
        <v>101</v>
      </c>
      <c r="C2890" t="s">
        <v>3646</v>
      </c>
      <c r="D2890" t="s">
        <v>2433</v>
      </c>
      <c r="E2890">
        <v>3.5</v>
      </c>
      <c r="F2890" s="2">
        <v>46706</v>
      </c>
      <c r="G2890" s="2" t="s">
        <v>105</v>
      </c>
      <c r="H2890" t="s">
        <v>610</v>
      </c>
      <c r="I2890" t="s">
        <v>713</v>
      </c>
      <c r="J2890">
        <v>96.352999999999994</v>
      </c>
      <c r="K2890">
        <v>97.926000000000002</v>
      </c>
      <c r="L2890">
        <v>4.9589999999999996</v>
      </c>
      <c r="M2890">
        <v>4.3220000000000001</v>
      </c>
      <c r="N2890">
        <v>4.3220000000000001</v>
      </c>
      <c r="O2890" t="s">
        <v>101</v>
      </c>
      <c r="P2890" t="s">
        <v>1236</v>
      </c>
      <c r="Q2890" t="s">
        <v>3270</v>
      </c>
      <c r="R2890" t="s">
        <v>2610</v>
      </c>
    </row>
    <row r="2891" spans="1:18" x14ac:dyDescent="0.5">
      <c r="A2891" t="str">
        <f>"63743FZM1"</f>
        <v>63743FZM1</v>
      </c>
      <c r="B2891" t="s">
        <v>101</v>
      </c>
      <c r="C2891" t="s">
        <v>3647</v>
      </c>
      <c r="D2891" t="s">
        <v>2433</v>
      </c>
      <c r="E2891">
        <v>3</v>
      </c>
      <c r="F2891" s="2">
        <v>46706</v>
      </c>
      <c r="G2891" s="2" t="s">
        <v>105</v>
      </c>
      <c r="H2891" t="s">
        <v>610</v>
      </c>
      <c r="I2891" t="s">
        <v>713</v>
      </c>
      <c r="J2891">
        <v>95.048000000000002</v>
      </c>
      <c r="K2891">
        <v>96.673000000000002</v>
      </c>
      <c r="L2891">
        <v>4.9809999999999999</v>
      </c>
      <c r="M2891">
        <v>4.319</v>
      </c>
      <c r="N2891">
        <v>4.319</v>
      </c>
      <c r="O2891" t="s">
        <v>101</v>
      </c>
      <c r="P2891" t="s">
        <v>858</v>
      </c>
      <c r="Q2891" t="s">
        <v>722</v>
      </c>
      <c r="R2891" t="s">
        <v>2610</v>
      </c>
    </row>
    <row r="2892" spans="1:18" x14ac:dyDescent="0.5">
      <c r="A2892" t="str">
        <f>"911312BM7"</f>
        <v>911312BM7</v>
      </c>
      <c r="B2892" t="s">
        <v>101</v>
      </c>
      <c r="C2892" t="s">
        <v>3648</v>
      </c>
      <c r="D2892" t="s">
        <v>2433</v>
      </c>
      <c r="E2892">
        <v>3.05</v>
      </c>
      <c r="F2892" s="2">
        <v>46706</v>
      </c>
      <c r="G2892" s="2">
        <v>46614</v>
      </c>
      <c r="H2892" t="s">
        <v>610</v>
      </c>
      <c r="I2892" t="s">
        <v>611</v>
      </c>
      <c r="J2892">
        <v>96.635999999999996</v>
      </c>
      <c r="K2892">
        <v>96.781999999999996</v>
      </c>
      <c r="L2892">
        <v>4.3949999999999996</v>
      </c>
      <c r="M2892">
        <v>4.3360000000000003</v>
      </c>
      <c r="N2892">
        <v>4.3360000000000003</v>
      </c>
      <c r="O2892" t="s">
        <v>101</v>
      </c>
      <c r="P2892" t="s">
        <v>1236</v>
      </c>
      <c r="Q2892" t="s">
        <v>2454</v>
      </c>
      <c r="R2892" t="s">
        <v>2436</v>
      </c>
    </row>
    <row r="2893" spans="1:18" x14ac:dyDescent="0.5">
      <c r="A2893" t="str">
        <f>"94106LBE8"</f>
        <v>94106LBE8</v>
      </c>
      <c r="B2893" t="s">
        <v>101</v>
      </c>
      <c r="C2893" t="s">
        <v>3649</v>
      </c>
      <c r="D2893" t="s">
        <v>2433</v>
      </c>
      <c r="E2893">
        <v>3.15</v>
      </c>
      <c r="F2893" s="2">
        <v>46706</v>
      </c>
      <c r="G2893" s="2">
        <v>46614</v>
      </c>
      <c r="H2893" t="s">
        <v>627</v>
      </c>
      <c r="I2893" t="s">
        <v>713</v>
      </c>
      <c r="J2893">
        <v>96.765000000000001</v>
      </c>
      <c r="K2893">
        <v>96.965999999999994</v>
      </c>
      <c r="L2893">
        <v>4.444</v>
      </c>
      <c r="M2893">
        <v>4.3620000000000001</v>
      </c>
      <c r="N2893">
        <v>4.3620000000000001</v>
      </c>
      <c r="O2893" t="s">
        <v>101</v>
      </c>
      <c r="P2893" t="s">
        <v>1236</v>
      </c>
      <c r="Q2893" t="s">
        <v>2454</v>
      </c>
      <c r="R2893" t="s">
        <v>2436</v>
      </c>
    </row>
    <row r="2894" spans="1:18" x14ac:dyDescent="0.5">
      <c r="A2894" t="str">
        <f>"857524AD4"</f>
        <v>857524AD4</v>
      </c>
      <c r="B2894" t="s">
        <v>101</v>
      </c>
      <c r="C2894" t="s">
        <v>3650</v>
      </c>
      <c r="D2894" t="s">
        <v>2433</v>
      </c>
      <c r="E2894">
        <v>5.5</v>
      </c>
      <c r="F2894" s="2">
        <v>46707</v>
      </c>
      <c r="G2894" s="2">
        <v>46615</v>
      </c>
      <c r="H2894" t="s">
        <v>610</v>
      </c>
      <c r="I2894" t="s">
        <v>713</v>
      </c>
      <c r="J2894">
        <v>102.374</v>
      </c>
      <c r="K2894">
        <v>102.67400000000001</v>
      </c>
      <c r="L2894">
        <v>4.4569999999999999</v>
      </c>
      <c r="M2894">
        <v>4.3280000000000003</v>
      </c>
      <c r="N2894">
        <v>4.4269999999999996</v>
      </c>
      <c r="O2894" t="s">
        <v>101</v>
      </c>
      <c r="P2894" t="s">
        <v>2994</v>
      </c>
      <c r="Q2894" t="s">
        <v>3075</v>
      </c>
      <c r="R2894" t="s">
        <v>2436</v>
      </c>
    </row>
    <row r="2895" spans="1:18" x14ac:dyDescent="0.5">
      <c r="A2895" t="str">
        <f>"10373QBY5"</f>
        <v>10373QBY5</v>
      </c>
      <c r="B2895" t="s">
        <v>101</v>
      </c>
      <c r="C2895" t="s">
        <v>3651</v>
      </c>
      <c r="D2895" t="s">
        <v>2433</v>
      </c>
      <c r="E2895">
        <v>5.0170000000000003</v>
      </c>
      <c r="F2895" s="2">
        <v>46708</v>
      </c>
      <c r="G2895" s="2">
        <v>46677</v>
      </c>
      <c r="H2895" t="s">
        <v>641</v>
      </c>
      <c r="I2895" t="s">
        <v>713</v>
      </c>
      <c r="J2895">
        <v>101.40900000000001</v>
      </c>
      <c r="K2895">
        <v>101.52200000000001</v>
      </c>
      <c r="L2895">
        <v>4.4349999999999996</v>
      </c>
      <c r="M2895">
        <v>4.3890000000000002</v>
      </c>
      <c r="N2895">
        <v>4.4059999999999997</v>
      </c>
      <c r="O2895" t="s">
        <v>101</v>
      </c>
      <c r="P2895" t="s">
        <v>3075</v>
      </c>
      <c r="Q2895" t="s">
        <v>2527</v>
      </c>
      <c r="R2895" t="s">
        <v>2436</v>
      </c>
    </row>
    <row r="2896" spans="1:18" x14ac:dyDescent="0.5">
      <c r="A2896" t="str">
        <f>"718172CV9"</f>
        <v>718172CV9</v>
      </c>
      <c r="B2896" t="s">
        <v>101</v>
      </c>
      <c r="C2896" t="s">
        <v>3652</v>
      </c>
      <c r="D2896" t="s">
        <v>2433</v>
      </c>
      <c r="E2896">
        <v>5.125</v>
      </c>
      <c r="F2896" s="2">
        <v>46708</v>
      </c>
      <c r="G2896" s="2">
        <v>46677</v>
      </c>
      <c r="H2896" t="s">
        <v>610</v>
      </c>
      <c r="I2896" t="s">
        <v>713</v>
      </c>
      <c r="J2896">
        <v>101.44499999999999</v>
      </c>
      <c r="K2896">
        <v>101.55</v>
      </c>
      <c r="L2896">
        <v>4.5279999999999996</v>
      </c>
      <c r="M2896">
        <v>4.4850000000000003</v>
      </c>
      <c r="N2896">
        <v>4.5019999999999998</v>
      </c>
      <c r="O2896" t="s">
        <v>101</v>
      </c>
      <c r="P2896" t="s">
        <v>2581</v>
      </c>
      <c r="Q2896" t="s">
        <v>2454</v>
      </c>
      <c r="R2896" t="s">
        <v>2436</v>
      </c>
    </row>
    <row r="2897" spans="1:18" x14ac:dyDescent="0.5">
      <c r="A2897" t="str">
        <f>"961214FK4"</f>
        <v>961214FK4</v>
      </c>
      <c r="B2897" t="s">
        <v>101</v>
      </c>
      <c r="C2897" t="s">
        <v>3653</v>
      </c>
      <c r="D2897" t="s">
        <v>2433</v>
      </c>
      <c r="E2897">
        <v>5.4569999999999999</v>
      </c>
      <c r="F2897" s="2">
        <v>46709</v>
      </c>
      <c r="G2897" s="2" t="s">
        <v>101</v>
      </c>
      <c r="H2897" t="s">
        <v>613</v>
      </c>
      <c r="I2897" t="s">
        <v>616</v>
      </c>
      <c r="J2897">
        <v>102.745</v>
      </c>
      <c r="K2897">
        <v>102.925</v>
      </c>
      <c r="L2897">
        <v>4.359</v>
      </c>
      <c r="M2897">
        <v>4.2889999999999997</v>
      </c>
      <c r="N2897">
        <v>4.2889999999999997</v>
      </c>
      <c r="O2897" t="s">
        <v>101</v>
      </c>
      <c r="P2897" t="s">
        <v>1702</v>
      </c>
      <c r="Q2897" t="s">
        <v>2454</v>
      </c>
      <c r="R2897" t="s">
        <v>2436</v>
      </c>
    </row>
    <row r="2898" spans="1:18" x14ac:dyDescent="0.5">
      <c r="A2898" t="str">
        <f>"883556CT7"</f>
        <v>883556CT7</v>
      </c>
      <c r="B2898" t="s">
        <v>101</v>
      </c>
      <c r="C2898" t="s">
        <v>3654</v>
      </c>
      <c r="D2898" t="s">
        <v>2433</v>
      </c>
      <c r="E2898">
        <v>4.8</v>
      </c>
      <c r="F2898" s="2">
        <v>46712</v>
      </c>
      <c r="G2898" s="2">
        <v>46681</v>
      </c>
      <c r="H2898" t="s">
        <v>627</v>
      </c>
      <c r="I2898" t="s">
        <v>713</v>
      </c>
      <c r="J2898">
        <v>100.95</v>
      </c>
      <c r="K2898">
        <v>101.131</v>
      </c>
      <c r="L2898">
        <v>4.4089999999999998</v>
      </c>
      <c r="M2898">
        <v>4.3360000000000003</v>
      </c>
      <c r="N2898">
        <v>4.3479999999999999</v>
      </c>
      <c r="O2898" t="s">
        <v>101</v>
      </c>
      <c r="P2898" t="s">
        <v>2472</v>
      </c>
      <c r="Q2898" t="s">
        <v>2454</v>
      </c>
      <c r="R2898" t="s">
        <v>2436</v>
      </c>
    </row>
    <row r="2899" spans="1:18" x14ac:dyDescent="0.5">
      <c r="A2899" t="str">
        <f>"06748WRH8"</f>
        <v>06748WRH8</v>
      </c>
      <c r="B2899" t="s">
        <v>101</v>
      </c>
      <c r="C2899" t="s">
        <v>3655</v>
      </c>
      <c r="D2899" t="s">
        <v>2433</v>
      </c>
      <c r="E2899">
        <v>1.75</v>
      </c>
      <c r="F2899" s="2">
        <v>46714</v>
      </c>
      <c r="G2899" s="2">
        <v>45800</v>
      </c>
      <c r="H2899" t="s">
        <v>641</v>
      </c>
      <c r="I2899" t="s">
        <v>658</v>
      </c>
      <c r="J2899">
        <v>91.677999999999997</v>
      </c>
      <c r="K2899">
        <v>93.212999999999994</v>
      </c>
      <c r="L2899">
        <v>5.09</v>
      </c>
      <c r="M2899">
        <v>4.4470000000000001</v>
      </c>
      <c r="N2899">
        <v>4.4470000000000001</v>
      </c>
      <c r="O2899" t="s">
        <v>101</v>
      </c>
      <c r="P2899" t="s">
        <v>1236</v>
      </c>
      <c r="Q2899" t="s">
        <v>488</v>
      </c>
      <c r="R2899" t="s">
        <v>2436</v>
      </c>
    </row>
    <row r="2900" spans="1:18" x14ac:dyDescent="0.5">
      <c r="A2900" t="str">
        <f>"023135CP9"</f>
        <v>023135CP9</v>
      </c>
      <c r="B2900" t="s">
        <v>101</v>
      </c>
      <c r="C2900" t="s">
        <v>3656</v>
      </c>
      <c r="D2900" t="s">
        <v>2433</v>
      </c>
      <c r="E2900">
        <v>4.55</v>
      </c>
      <c r="F2900" s="2">
        <v>46722</v>
      </c>
      <c r="G2900" s="2">
        <v>46692</v>
      </c>
      <c r="H2900" t="s">
        <v>641</v>
      </c>
      <c r="I2900" t="s">
        <v>628</v>
      </c>
      <c r="J2900">
        <v>100.73399999999999</v>
      </c>
      <c r="K2900">
        <v>100.89400000000001</v>
      </c>
      <c r="L2900">
        <v>4.2519999999999998</v>
      </c>
      <c r="M2900">
        <v>4.1870000000000003</v>
      </c>
      <c r="N2900">
        <v>4.1959999999999997</v>
      </c>
      <c r="O2900" t="s">
        <v>101</v>
      </c>
      <c r="P2900" t="s">
        <v>2786</v>
      </c>
      <c r="Q2900" t="s">
        <v>2438</v>
      </c>
      <c r="R2900" t="s">
        <v>2436</v>
      </c>
    </row>
    <row r="2901" spans="1:18" x14ac:dyDescent="0.5">
      <c r="A2901" t="str">
        <f>"12189TAG9"</f>
        <v>12189TAG9</v>
      </c>
      <c r="B2901" t="s">
        <v>101</v>
      </c>
      <c r="C2901" t="s">
        <v>3657</v>
      </c>
      <c r="D2901" t="s">
        <v>2433</v>
      </c>
      <c r="E2901">
        <v>6.875</v>
      </c>
      <c r="F2901" s="2">
        <v>46722</v>
      </c>
      <c r="G2901" s="2" t="s">
        <v>101</v>
      </c>
      <c r="H2901" t="s">
        <v>610</v>
      </c>
      <c r="I2901" t="s">
        <v>616</v>
      </c>
      <c r="J2901">
        <v>105.667</v>
      </c>
      <c r="K2901">
        <v>106.535</v>
      </c>
      <c r="L2901">
        <v>4.6289999999999996</v>
      </c>
      <c r="M2901">
        <v>4.2990000000000004</v>
      </c>
      <c r="N2901">
        <v>4.2990000000000004</v>
      </c>
      <c r="O2901" t="s">
        <v>101</v>
      </c>
      <c r="P2901" t="s">
        <v>1236</v>
      </c>
      <c r="Q2901" t="s">
        <v>3658</v>
      </c>
      <c r="R2901" t="s">
        <v>2436</v>
      </c>
    </row>
    <row r="2902" spans="1:18" x14ac:dyDescent="0.5">
      <c r="A2902" t="str">
        <f>"278865BD1"</f>
        <v>278865BD1</v>
      </c>
      <c r="B2902" t="s">
        <v>101</v>
      </c>
      <c r="C2902" t="s">
        <v>3659</v>
      </c>
      <c r="D2902" t="s">
        <v>2433</v>
      </c>
      <c r="E2902">
        <v>3.25</v>
      </c>
      <c r="F2902" s="2">
        <v>46722</v>
      </c>
      <c r="G2902" s="2">
        <v>46631</v>
      </c>
      <c r="H2902" t="s">
        <v>627</v>
      </c>
      <c r="I2902" t="s">
        <v>713</v>
      </c>
      <c r="J2902">
        <v>97.201999999999998</v>
      </c>
      <c r="K2902">
        <v>97.414000000000001</v>
      </c>
      <c r="L2902">
        <v>4.3499999999999996</v>
      </c>
      <c r="M2902">
        <v>4.266</v>
      </c>
      <c r="N2902">
        <v>4.266</v>
      </c>
      <c r="O2902" t="s">
        <v>101</v>
      </c>
      <c r="P2902" t="s">
        <v>858</v>
      </c>
      <c r="Q2902" t="s">
        <v>858</v>
      </c>
      <c r="R2902" t="s">
        <v>2436</v>
      </c>
    </row>
    <row r="2903" spans="1:18" x14ac:dyDescent="0.5">
      <c r="A2903" t="str">
        <f>"036752AB9"</f>
        <v>036752AB9</v>
      </c>
      <c r="B2903" t="s">
        <v>101</v>
      </c>
      <c r="C2903" t="s">
        <v>3660</v>
      </c>
      <c r="D2903" t="s">
        <v>2433</v>
      </c>
      <c r="E2903">
        <v>3.65</v>
      </c>
      <c r="F2903" s="2">
        <v>46722</v>
      </c>
      <c r="G2903" s="2">
        <v>46631</v>
      </c>
      <c r="H2903" t="s">
        <v>677</v>
      </c>
      <c r="I2903" t="s">
        <v>611</v>
      </c>
      <c r="J2903">
        <v>97.745999999999995</v>
      </c>
      <c r="K2903">
        <v>97.843000000000004</v>
      </c>
      <c r="L2903">
        <v>4.5380000000000003</v>
      </c>
      <c r="M2903">
        <v>4.5</v>
      </c>
      <c r="N2903">
        <v>4.5</v>
      </c>
      <c r="O2903" t="s">
        <v>101</v>
      </c>
      <c r="P2903" t="s">
        <v>3126</v>
      </c>
      <c r="Q2903" t="s">
        <v>2507</v>
      </c>
      <c r="R2903" t="s">
        <v>2436</v>
      </c>
    </row>
    <row r="2904" spans="1:18" x14ac:dyDescent="0.5">
      <c r="A2904" t="str">
        <f>"29364NAU2"</f>
        <v>29364NAU2</v>
      </c>
      <c r="B2904" t="s">
        <v>101</v>
      </c>
      <c r="C2904" t="s">
        <v>3661</v>
      </c>
      <c r="D2904" t="s">
        <v>2433</v>
      </c>
      <c r="E2904">
        <v>3.25</v>
      </c>
      <c r="F2904" s="2">
        <v>46722</v>
      </c>
      <c r="G2904" s="2">
        <v>46631</v>
      </c>
      <c r="H2904" t="s">
        <v>610</v>
      </c>
      <c r="I2904" t="s">
        <v>611</v>
      </c>
      <c r="J2904">
        <v>96.37</v>
      </c>
      <c r="K2904">
        <v>96.936000000000007</v>
      </c>
      <c r="L2904">
        <v>4.6849999999999996</v>
      </c>
      <c r="M2904">
        <v>4.4569999999999999</v>
      </c>
      <c r="N2904">
        <v>4.4569999999999999</v>
      </c>
      <c r="O2904" t="s">
        <v>101</v>
      </c>
      <c r="P2904" t="s">
        <v>1391</v>
      </c>
      <c r="Q2904" t="s">
        <v>2511</v>
      </c>
      <c r="R2904" t="s">
        <v>2436</v>
      </c>
    </row>
    <row r="2905" spans="1:18" x14ac:dyDescent="0.5">
      <c r="A2905" t="str">
        <f>"46625HRX0"</f>
        <v>46625HRX0</v>
      </c>
      <c r="B2905" t="s">
        <v>101</v>
      </c>
      <c r="C2905" t="s">
        <v>3662</v>
      </c>
      <c r="D2905" t="s">
        <v>2433</v>
      </c>
      <c r="E2905">
        <v>3.625</v>
      </c>
      <c r="F2905" s="2">
        <v>46722</v>
      </c>
      <c r="G2905" s="2">
        <v>46357</v>
      </c>
      <c r="H2905" t="s">
        <v>627</v>
      </c>
      <c r="I2905" t="s">
        <v>713</v>
      </c>
      <c r="J2905">
        <v>97.599000000000004</v>
      </c>
      <c r="K2905">
        <v>97.795000000000002</v>
      </c>
      <c r="L2905">
        <v>4.5720000000000001</v>
      </c>
      <c r="M2905">
        <v>4.4930000000000003</v>
      </c>
      <c r="N2905">
        <v>4.4930000000000003</v>
      </c>
      <c r="O2905" t="s">
        <v>101</v>
      </c>
      <c r="P2905" t="s">
        <v>1702</v>
      </c>
      <c r="Q2905" t="s">
        <v>2555</v>
      </c>
      <c r="R2905" t="s">
        <v>2436</v>
      </c>
    </row>
    <row r="2906" spans="1:18" x14ac:dyDescent="0.5">
      <c r="A2906" t="str">
        <f>"828807DE4"</f>
        <v>828807DE4</v>
      </c>
      <c r="B2906" t="s">
        <v>101</v>
      </c>
      <c r="C2906" t="s">
        <v>3663</v>
      </c>
      <c r="D2906" t="s">
        <v>2433</v>
      </c>
      <c r="E2906">
        <v>3.375</v>
      </c>
      <c r="F2906" s="2">
        <v>46722</v>
      </c>
      <c r="G2906" s="2">
        <v>46631</v>
      </c>
      <c r="H2906" t="s">
        <v>627</v>
      </c>
      <c r="I2906" t="s">
        <v>713</v>
      </c>
      <c r="J2906">
        <v>97.245000000000005</v>
      </c>
      <c r="K2906">
        <v>97.364999999999995</v>
      </c>
      <c r="L2906">
        <v>4.46</v>
      </c>
      <c r="M2906">
        <v>4.4119999999999999</v>
      </c>
      <c r="N2906">
        <v>4.4119999999999999</v>
      </c>
      <c r="O2906" t="s">
        <v>101</v>
      </c>
      <c r="P2906" t="s">
        <v>1702</v>
      </c>
      <c r="Q2906" t="s">
        <v>2454</v>
      </c>
      <c r="R2906" t="s">
        <v>2436</v>
      </c>
    </row>
    <row r="2907" spans="1:18" x14ac:dyDescent="0.5">
      <c r="A2907" t="str">
        <f>"01609WAT9"</f>
        <v>01609WAT9</v>
      </c>
      <c r="B2907" t="s">
        <v>101</v>
      </c>
      <c r="C2907" t="s">
        <v>3664</v>
      </c>
      <c r="D2907" t="s">
        <v>2433</v>
      </c>
      <c r="E2907">
        <v>3.4</v>
      </c>
      <c r="F2907" s="2">
        <v>46727</v>
      </c>
      <c r="G2907" s="2">
        <v>46636</v>
      </c>
      <c r="H2907" t="s">
        <v>641</v>
      </c>
      <c r="I2907" t="s">
        <v>658</v>
      </c>
      <c r="J2907">
        <v>97.272000000000006</v>
      </c>
      <c r="K2907">
        <v>97.453000000000003</v>
      </c>
      <c r="L2907">
        <v>4.47</v>
      </c>
      <c r="M2907">
        <v>4.3970000000000002</v>
      </c>
      <c r="N2907">
        <v>4.3970000000000002</v>
      </c>
      <c r="O2907" t="s">
        <v>101</v>
      </c>
      <c r="P2907" t="s">
        <v>2687</v>
      </c>
      <c r="Q2907" t="s">
        <v>542</v>
      </c>
      <c r="R2907" t="s">
        <v>2436</v>
      </c>
    </row>
    <row r="2908" spans="1:18" x14ac:dyDescent="0.5">
      <c r="A2908" t="str">
        <f>"05464HAC4"</f>
        <v>05464HAC4</v>
      </c>
      <c r="B2908" t="s">
        <v>101</v>
      </c>
      <c r="C2908" t="s">
        <v>3665</v>
      </c>
      <c r="D2908" t="s">
        <v>2433</v>
      </c>
      <c r="E2908">
        <v>4</v>
      </c>
      <c r="F2908" s="2">
        <v>46727</v>
      </c>
      <c r="G2908" s="2">
        <v>46636</v>
      </c>
      <c r="H2908" t="s">
        <v>670</v>
      </c>
      <c r="I2908" t="s">
        <v>713</v>
      </c>
      <c r="J2908">
        <v>98.221000000000004</v>
      </c>
      <c r="K2908">
        <v>98.498999999999995</v>
      </c>
      <c r="L2908">
        <v>4.6989999999999998</v>
      </c>
      <c r="M2908">
        <v>4.5880000000000001</v>
      </c>
      <c r="N2908">
        <v>4.5880000000000001</v>
      </c>
      <c r="O2908" t="s">
        <v>101</v>
      </c>
      <c r="P2908" t="s">
        <v>1702</v>
      </c>
      <c r="Q2908" t="s">
        <v>2472</v>
      </c>
      <c r="R2908" t="s">
        <v>2436</v>
      </c>
    </row>
    <row r="2909" spans="1:18" x14ac:dyDescent="0.5">
      <c r="A2909" t="str">
        <f>"48128GT75"</f>
        <v>48128GT75</v>
      </c>
      <c r="B2909" t="s">
        <v>101</v>
      </c>
      <c r="C2909" t="s">
        <v>3666</v>
      </c>
      <c r="D2909" t="s">
        <v>2433</v>
      </c>
      <c r="E2909">
        <v>2</v>
      </c>
      <c r="F2909" s="2">
        <v>46730</v>
      </c>
      <c r="G2909" s="2">
        <v>45817</v>
      </c>
      <c r="H2909" t="s">
        <v>641</v>
      </c>
      <c r="I2909" t="s">
        <v>611</v>
      </c>
      <c r="J2909">
        <v>92.715999999999994</v>
      </c>
      <c r="K2909">
        <v>93.406000000000006</v>
      </c>
      <c r="L2909">
        <v>4.8689999999999998</v>
      </c>
      <c r="M2909">
        <v>4.5860000000000003</v>
      </c>
      <c r="N2909">
        <v>4.5860000000000003</v>
      </c>
      <c r="O2909" t="s">
        <v>101</v>
      </c>
      <c r="P2909" t="s">
        <v>2595</v>
      </c>
      <c r="Q2909" t="s">
        <v>488</v>
      </c>
      <c r="R2909" t="s">
        <v>2436</v>
      </c>
    </row>
    <row r="2910" spans="1:18" x14ac:dyDescent="0.5">
      <c r="A2910" t="str">
        <f>"035229BP7"</f>
        <v>035229BP7</v>
      </c>
      <c r="B2910" t="s">
        <v>101</v>
      </c>
      <c r="C2910" t="s">
        <v>3667</v>
      </c>
      <c r="D2910" t="s">
        <v>2433</v>
      </c>
      <c r="E2910">
        <v>6.75</v>
      </c>
      <c r="F2910" s="2">
        <v>46736</v>
      </c>
      <c r="G2910" s="2" t="s">
        <v>101</v>
      </c>
      <c r="H2910" t="s">
        <v>627</v>
      </c>
      <c r="I2910" t="s">
        <v>713</v>
      </c>
      <c r="J2910">
        <v>105.706</v>
      </c>
      <c r="K2910">
        <v>106.321</v>
      </c>
      <c r="L2910">
        <v>4.5229999999999997</v>
      </c>
      <c r="M2910">
        <v>4.2919999999999998</v>
      </c>
      <c r="N2910">
        <v>4.2919999999999998</v>
      </c>
      <c r="O2910" t="s">
        <v>101</v>
      </c>
      <c r="P2910" t="s">
        <v>3668</v>
      </c>
      <c r="Q2910" t="s">
        <v>2522</v>
      </c>
      <c r="R2910" t="s">
        <v>2436</v>
      </c>
    </row>
    <row r="2911" spans="1:18" x14ac:dyDescent="0.5">
      <c r="A2911" t="str">
        <f>"039483AN2"</f>
        <v>039483AN2</v>
      </c>
      <c r="B2911" t="s">
        <v>101</v>
      </c>
      <c r="C2911" t="s">
        <v>3669</v>
      </c>
      <c r="D2911" t="s">
        <v>2433</v>
      </c>
      <c r="E2911">
        <v>6.75</v>
      </c>
      <c r="F2911" s="2">
        <v>46736</v>
      </c>
      <c r="G2911" s="2" t="s">
        <v>101</v>
      </c>
      <c r="H2911" t="s">
        <v>610</v>
      </c>
      <c r="I2911" t="s">
        <v>611</v>
      </c>
      <c r="J2911">
        <v>105.435</v>
      </c>
      <c r="K2911">
        <v>106.77200000000001</v>
      </c>
      <c r="L2911">
        <v>4.625</v>
      </c>
      <c r="M2911">
        <v>4.1239999999999997</v>
      </c>
      <c r="N2911">
        <v>4.1239999999999997</v>
      </c>
      <c r="O2911" t="s">
        <v>101</v>
      </c>
      <c r="P2911" t="s">
        <v>3386</v>
      </c>
      <c r="Q2911" t="s">
        <v>3670</v>
      </c>
      <c r="R2911" t="s">
        <v>2436</v>
      </c>
    </row>
    <row r="2912" spans="1:18" x14ac:dyDescent="0.5">
      <c r="A2912" t="str">
        <f>"05723KAE0"</f>
        <v>05723KAE0</v>
      </c>
      <c r="B2912" t="s">
        <v>101</v>
      </c>
      <c r="C2912" t="s">
        <v>3671</v>
      </c>
      <c r="D2912" t="s">
        <v>2433</v>
      </c>
      <c r="E2912">
        <v>3.3370000000000002</v>
      </c>
      <c r="F2912" s="2">
        <v>46736</v>
      </c>
      <c r="G2912" s="2">
        <v>46645</v>
      </c>
      <c r="H2912" t="s">
        <v>627</v>
      </c>
      <c r="I2912" t="s">
        <v>713</v>
      </c>
      <c r="J2912">
        <v>97.308000000000007</v>
      </c>
      <c r="K2912">
        <v>97.364999999999995</v>
      </c>
      <c r="L2912">
        <v>4.38</v>
      </c>
      <c r="M2912">
        <v>4.359</v>
      </c>
      <c r="N2912">
        <v>4.359</v>
      </c>
      <c r="O2912" t="s">
        <v>101</v>
      </c>
      <c r="P2912" t="s">
        <v>3672</v>
      </c>
      <c r="Q2912" t="s">
        <v>2491</v>
      </c>
      <c r="R2912" t="s">
        <v>2436</v>
      </c>
    </row>
    <row r="2913" spans="1:18" x14ac:dyDescent="0.5">
      <c r="A2913" t="str">
        <f>"63743FZS8"</f>
        <v>63743FZS8</v>
      </c>
      <c r="B2913" t="s">
        <v>101</v>
      </c>
      <c r="C2913" t="s">
        <v>3673</v>
      </c>
      <c r="D2913" t="s">
        <v>2433</v>
      </c>
      <c r="E2913">
        <v>3</v>
      </c>
      <c r="F2913" s="2">
        <v>46736</v>
      </c>
      <c r="G2913" s="2" t="s">
        <v>105</v>
      </c>
      <c r="H2913" t="s">
        <v>610</v>
      </c>
      <c r="I2913" t="s">
        <v>713</v>
      </c>
      <c r="J2913">
        <v>95.686999999999998</v>
      </c>
      <c r="K2913">
        <v>96.525999999999996</v>
      </c>
      <c r="L2913">
        <v>4.67</v>
      </c>
      <c r="M2913">
        <v>4.3390000000000004</v>
      </c>
      <c r="N2913">
        <v>4.3390000000000004</v>
      </c>
      <c r="O2913" t="s">
        <v>101</v>
      </c>
      <c r="P2913" t="s">
        <v>1236</v>
      </c>
      <c r="Q2913" t="s">
        <v>488</v>
      </c>
      <c r="R2913" t="s">
        <v>2610</v>
      </c>
    </row>
    <row r="2914" spans="1:18" x14ac:dyDescent="0.5">
      <c r="A2914" t="str">
        <f>"71713UAT9"</f>
        <v>71713UAT9</v>
      </c>
      <c r="B2914" t="s">
        <v>101</v>
      </c>
      <c r="C2914" t="s">
        <v>3674</v>
      </c>
      <c r="D2914" t="s">
        <v>2433</v>
      </c>
      <c r="E2914">
        <v>6.75</v>
      </c>
      <c r="F2914" s="2">
        <v>46736</v>
      </c>
      <c r="G2914" s="2" t="s">
        <v>105</v>
      </c>
      <c r="H2914" t="s">
        <v>610</v>
      </c>
      <c r="I2914" t="s">
        <v>611</v>
      </c>
      <c r="J2914">
        <v>106.077</v>
      </c>
      <c r="K2914">
        <v>106.914</v>
      </c>
      <c r="L2914">
        <v>4.383</v>
      </c>
      <c r="M2914">
        <v>4.0709999999999997</v>
      </c>
      <c r="N2914">
        <v>4.0709999999999997</v>
      </c>
      <c r="O2914" t="s">
        <v>101</v>
      </c>
      <c r="P2914" t="s">
        <v>858</v>
      </c>
      <c r="Q2914" t="s">
        <v>3038</v>
      </c>
      <c r="R2914" t="s">
        <v>2465</v>
      </c>
    </row>
    <row r="2915" spans="1:18" x14ac:dyDescent="0.5">
      <c r="A2915" t="str">
        <f>"74340XBV2"</f>
        <v>74340XBV2</v>
      </c>
      <c r="B2915" t="s">
        <v>101</v>
      </c>
      <c r="C2915" t="s">
        <v>3675</v>
      </c>
      <c r="D2915" t="s">
        <v>2433</v>
      </c>
      <c r="E2915">
        <v>3.375</v>
      </c>
      <c r="F2915" s="2">
        <v>46736</v>
      </c>
      <c r="G2915" s="2">
        <v>46645</v>
      </c>
      <c r="H2915" t="s">
        <v>610</v>
      </c>
      <c r="I2915" t="s">
        <v>611</v>
      </c>
      <c r="J2915">
        <v>97.221000000000004</v>
      </c>
      <c r="K2915">
        <v>97.337000000000003</v>
      </c>
      <c r="L2915">
        <v>4.4550000000000001</v>
      </c>
      <c r="M2915">
        <v>4.4089999999999998</v>
      </c>
      <c r="N2915">
        <v>4.4089999999999998</v>
      </c>
      <c r="O2915" t="s">
        <v>101</v>
      </c>
      <c r="P2915" t="s">
        <v>1702</v>
      </c>
      <c r="Q2915" t="s">
        <v>2506</v>
      </c>
      <c r="R2915" t="s">
        <v>2436</v>
      </c>
    </row>
    <row r="2916" spans="1:18" x14ac:dyDescent="0.5">
      <c r="A2916" t="str">
        <f>"035229BQ5"</f>
        <v>035229BQ5</v>
      </c>
      <c r="B2916" t="s">
        <v>101</v>
      </c>
      <c r="C2916" t="s">
        <v>3676</v>
      </c>
      <c r="D2916" t="s">
        <v>2433</v>
      </c>
      <c r="E2916">
        <v>6.5</v>
      </c>
      <c r="F2916" s="2">
        <v>46753</v>
      </c>
      <c r="G2916" s="2" t="s">
        <v>101</v>
      </c>
      <c r="H2916" t="s">
        <v>627</v>
      </c>
      <c r="I2916" t="s">
        <v>713</v>
      </c>
      <c r="J2916">
        <v>105.20399999999999</v>
      </c>
      <c r="K2916">
        <v>105.43</v>
      </c>
      <c r="L2916">
        <v>4.5</v>
      </c>
      <c r="M2916">
        <v>4.4160000000000004</v>
      </c>
      <c r="N2916">
        <v>4.4160000000000004</v>
      </c>
      <c r="O2916" t="s">
        <v>101</v>
      </c>
      <c r="P2916" t="s">
        <v>3677</v>
      </c>
      <c r="Q2916" t="s">
        <v>3481</v>
      </c>
      <c r="R2916" t="s">
        <v>2436</v>
      </c>
    </row>
    <row r="2917" spans="1:18" x14ac:dyDescent="0.5">
      <c r="A2917" t="str">
        <f>"494368AS2"</f>
        <v>494368AS2</v>
      </c>
      <c r="B2917" t="s">
        <v>101</v>
      </c>
      <c r="C2917" t="s">
        <v>3678</v>
      </c>
      <c r="D2917" t="s">
        <v>2433</v>
      </c>
      <c r="E2917">
        <v>6.375</v>
      </c>
      <c r="F2917" s="2">
        <v>46753</v>
      </c>
      <c r="G2917" s="2" t="s">
        <v>101</v>
      </c>
      <c r="H2917" t="s">
        <v>610</v>
      </c>
      <c r="I2917" t="s">
        <v>611</v>
      </c>
      <c r="J2917">
        <v>104.684</v>
      </c>
      <c r="K2917">
        <v>105.43899999999999</v>
      </c>
      <c r="L2917">
        <v>4.5720000000000001</v>
      </c>
      <c r="M2917">
        <v>4.2919999999999998</v>
      </c>
      <c r="N2917">
        <v>4.2919999999999998</v>
      </c>
      <c r="O2917" t="s">
        <v>101</v>
      </c>
      <c r="P2917" t="s">
        <v>3679</v>
      </c>
      <c r="Q2917" t="s">
        <v>479</v>
      </c>
      <c r="R2917" t="s">
        <v>2436</v>
      </c>
    </row>
    <row r="2918" spans="1:18" x14ac:dyDescent="0.5">
      <c r="A2918" t="str">
        <f>"89114XD67"</f>
        <v>89114XD67</v>
      </c>
      <c r="B2918" t="s">
        <v>101</v>
      </c>
      <c r="C2918" t="s">
        <v>3680</v>
      </c>
      <c r="D2918" t="s">
        <v>2433</v>
      </c>
      <c r="E2918">
        <v>5.3</v>
      </c>
      <c r="F2918" s="2">
        <v>46755</v>
      </c>
      <c r="G2918" s="2">
        <v>45750</v>
      </c>
      <c r="H2918" t="s">
        <v>610</v>
      </c>
      <c r="I2918" t="s">
        <v>713</v>
      </c>
      <c r="J2918">
        <v>99.05</v>
      </c>
      <c r="K2918">
        <v>99.936999999999998</v>
      </c>
      <c r="L2918">
        <v>5.6680000000000001</v>
      </c>
      <c r="M2918">
        <v>5.3239999999999998</v>
      </c>
      <c r="N2918">
        <v>5.3239999999999998</v>
      </c>
      <c r="O2918" t="s">
        <v>101</v>
      </c>
      <c r="P2918" t="s">
        <v>3681</v>
      </c>
      <c r="Q2918" t="s">
        <v>3682</v>
      </c>
      <c r="R2918" t="s">
        <v>2436</v>
      </c>
    </row>
    <row r="2919" spans="1:18" x14ac:dyDescent="0.5">
      <c r="A2919" t="str">
        <f>"24422EUB3"</f>
        <v>24422EUB3</v>
      </c>
      <c r="B2919" t="s">
        <v>101</v>
      </c>
      <c r="C2919" t="s">
        <v>3683</v>
      </c>
      <c r="D2919" t="s">
        <v>2433</v>
      </c>
      <c r="E2919">
        <v>3.05</v>
      </c>
      <c r="F2919" s="2">
        <v>46758</v>
      </c>
      <c r="G2919" s="2" t="s">
        <v>105</v>
      </c>
      <c r="H2919" t="s">
        <v>641</v>
      </c>
      <c r="I2919" t="s">
        <v>611</v>
      </c>
      <c r="J2919">
        <v>96.798000000000002</v>
      </c>
      <c r="K2919">
        <v>97.046999999999997</v>
      </c>
      <c r="L2919">
        <v>4.2670000000000003</v>
      </c>
      <c r="M2919">
        <v>4.1710000000000003</v>
      </c>
      <c r="N2919">
        <v>4.1710000000000003</v>
      </c>
      <c r="O2919" t="s">
        <v>101</v>
      </c>
      <c r="P2919" t="s">
        <v>3160</v>
      </c>
      <c r="Q2919" t="s">
        <v>858</v>
      </c>
      <c r="R2919" t="s">
        <v>2465</v>
      </c>
    </row>
    <row r="2920" spans="1:18" x14ac:dyDescent="0.5">
      <c r="A2920" t="str">
        <f>"24422EXZ7"</f>
        <v>24422EXZ7</v>
      </c>
      <c r="B2920" t="s">
        <v>101</v>
      </c>
      <c r="C2920" t="s">
        <v>3684</v>
      </c>
      <c r="D2920" t="s">
        <v>2433</v>
      </c>
      <c r="E2920">
        <v>4.6500000000000004</v>
      </c>
      <c r="F2920" s="2">
        <v>46759</v>
      </c>
      <c r="G2920" s="2" t="s">
        <v>105</v>
      </c>
      <c r="H2920" t="s">
        <v>641</v>
      </c>
      <c r="I2920" t="s">
        <v>611</v>
      </c>
      <c r="J2920">
        <v>100.92400000000001</v>
      </c>
      <c r="K2920">
        <v>101.081</v>
      </c>
      <c r="L2920">
        <v>4.2960000000000003</v>
      </c>
      <c r="M2920">
        <v>4.2370000000000001</v>
      </c>
      <c r="N2920">
        <v>4.2370000000000001</v>
      </c>
      <c r="O2920" t="s">
        <v>101</v>
      </c>
      <c r="P2920" t="s">
        <v>2940</v>
      </c>
      <c r="Q2920" t="s">
        <v>3075</v>
      </c>
      <c r="R2920" t="s">
        <v>2465</v>
      </c>
    </row>
    <row r="2921" spans="1:18" x14ac:dyDescent="0.5">
      <c r="A2921" t="str">
        <f>"69371RS31"</f>
        <v>69371RS31</v>
      </c>
      <c r="B2921" t="s">
        <v>101</v>
      </c>
      <c r="C2921" t="s">
        <v>3685</v>
      </c>
      <c r="D2921" t="s">
        <v>2433</v>
      </c>
      <c r="E2921">
        <v>4.5999999999999996</v>
      </c>
      <c r="F2921" s="2">
        <v>46762</v>
      </c>
      <c r="G2921" s="2" t="s">
        <v>105</v>
      </c>
      <c r="H2921" t="s">
        <v>641</v>
      </c>
      <c r="I2921" t="s">
        <v>658</v>
      </c>
      <c r="J2921">
        <v>100.636</v>
      </c>
      <c r="K2921">
        <v>100.947</v>
      </c>
      <c r="L2921">
        <v>4.3559999999999999</v>
      </c>
      <c r="M2921">
        <v>4.2389999999999999</v>
      </c>
      <c r="N2921">
        <v>4.2389999999999999</v>
      </c>
      <c r="O2921" t="s">
        <v>101</v>
      </c>
      <c r="P2921" t="s">
        <v>1236</v>
      </c>
      <c r="Q2921" t="s">
        <v>1236</v>
      </c>
      <c r="R2921" t="s">
        <v>2465</v>
      </c>
    </row>
    <row r="2922" spans="1:18" x14ac:dyDescent="0.5">
      <c r="A2922" t="str">
        <f>"89115A2M3"</f>
        <v>89115A2M3</v>
      </c>
      <c r="B2922" t="s">
        <v>101</v>
      </c>
      <c r="C2922" t="s">
        <v>3686</v>
      </c>
      <c r="D2922" t="s">
        <v>2433</v>
      </c>
      <c r="E2922">
        <v>5.1559999999999997</v>
      </c>
      <c r="F2922" s="2">
        <v>46762</v>
      </c>
      <c r="G2922" s="2" t="s">
        <v>101</v>
      </c>
      <c r="H2922" t="s">
        <v>610</v>
      </c>
      <c r="I2922" t="s">
        <v>713</v>
      </c>
      <c r="J2922">
        <v>101.26</v>
      </c>
      <c r="K2922">
        <v>101.449</v>
      </c>
      <c r="L2922">
        <v>4.673</v>
      </c>
      <c r="M2922">
        <v>4.601</v>
      </c>
      <c r="N2922">
        <v>4.601</v>
      </c>
      <c r="O2922" t="s">
        <v>101</v>
      </c>
      <c r="P2922" t="s">
        <v>1702</v>
      </c>
      <c r="Q2922" t="s">
        <v>2454</v>
      </c>
      <c r="R2922" t="s">
        <v>2436</v>
      </c>
    </row>
    <row r="2923" spans="1:18" x14ac:dyDescent="0.5">
      <c r="A2923" t="str">
        <f>"302154DV8"</f>
        <v>302154DV8</v>
      </c>
      <c r="B2923" t="s">
        <v>101</v>
      </c>
      <c r="C2923" t="s">
        <v>3687</v>
      </c>
      <c r="D2923" t="s">
        <v>2433</v>
      </c>
      <c r="E2923">
        <v>5</v>
      </c>
      <c r="F2923" s="2">
        <v>46763</v>
      </c>
      <c r="G2923" s="2" t="s">
        <v>105</v>
      </c>
      <c r="H2923" t="s">
        <v>613</v>
      </c>
      <c r="I2923" t="s">
        <v>628</v>
      </c>
      <c r="J2923" t="s">
        <v>101</v>
      </c>
      <c r="K2923">
        <v>101.848</v>
      </c>
      <c r="L2923" t="s">
        <v>101</v>
      </c>
      <c r="M2923">
        <v>4.2969999999999997</v>
      </c>
      <c r="N2923">
        <v>4.2969999999999997</v>
      </c>
      <c r="O2923" t="s">
        <v>101</v>
      </c>
      <c r="P2923" t="s">
        <v>448</v>
      </c>
      <c r="Q2923" t="s">
        <v>542</v>
      </c>
      <c r="R2923" t="s">
        <v>2885</v>
      </c>
    </row>
    <row r="2924" spans="1:18" x14ac:dyDescent="0.5">
      <c r="A2924" t="str">
        <f>"89236TEM3"</f>
        <v>89236TEM3</v>
      </c>
      <c r="B2924" t="s">
        <v>101</v>
      </c>
      <c r="C2924" t="s">
        <v>3688</v>
      </c>
      <c r="D2924" t="s">
        <v>2433</v>
      </c>
      <c r="E2924">
        <v>3.05</v>
      </c>
      <c r="F2924" s="2">
        <v>46763</v>
      </c>
      <c r="G2924" s="2" t="s">
        <v>101</v>
      </c>
      <c r="H2924" t="s">
        <v>641</v>
      </c>
      <c r="I2924" t="s">
        <v>658</v>
      </c>
      <c r="J2924">
        <v>96.233000000000004</v>
      </c>
      <c r="K2924">
        <v>96.635000000000005</v>
      </c>
      <c r="L2924">
        <v>4.4800000000000004</v>
      </c>
      <c r="M2924">
        <v>4.3239999999999998</v>
      </c>
      <c r="N2924">
        <v>4.3239999999999998</v>
      </c>
      <c r="O2924" t="s">
        <v>101</v>
      </c>
      <c r="P2924" t="s">
        <v>2786</v>
      </c>
      <c r="Q2924" t="s">
        <v>2441</v>
      </c>
      <c r="R2924" t="s">
        <v>2436</v>
      </c>
    </row>
    <row r="2925" spans="1:18" x14ac:dyDescent="0.5">
      <c r="A2925" t="str">
        <f>"02665WED9"</f>
        <v>02665WED9</v>
      </c>
      <c r="B2925" t="s">
        <v>101</v>
      </c>
      <c r="C2925" t="s">
        <v>3689</v>
      </c>
      <c r="D2925" t="s">
        <v>2433</v>
      </c>
      <c r="E2925">
        <v>4.7</v>
      </c>
      <c r="F2925" s="2">
        <v>46764</v>
      </c>
      <c r="G2925" s="2" t="s">
        <v>101</v>
      </c>
      <c r="H2925" t="s">
        <v>627</v>
      </c>
      <c r="I2925" t="s">
        <v>713</v>
      </c>
      <c r="J2925">
        <v>100.27800000000001</v>
      </c>
      <c r="K2925">
        <v>100.76300000000001</v>
      </c>
      <c r="L2925">
        <v>4.5919999999999996</v>
      </c>
      <c r="M2925">
        <v>4.4080000000000004</v>
      </c>
      <c r="N2925">
        <v>4.4080000000000004</v>
      </c>
      <c r="O2925" t="s">
        <v>101</v>
      </c>
      <c r="P2925" t="s">
        <v>3411</v>
      </c>
      <c r="Q2925" t="s">
        <v>858</v>
      </c>
      <c r="R2925" t="s">
        <v>2436</v>
      </c>
    </row>
    <row r="2926" spans="1:18" x14ac:dyDescent="0.5">
      <c r="A2926" t="str">
        <f>"04686JAA9"</f>
        <v>04686JAA9</v>
      </c>
      <c r="B2926" t="s">
        <v>101</v>
      </c>
      <c r="C2926" t="s">
        <v>3690</v>
      </c>
      <c r="D2926" t="s">
        <v>2433</v>
      </c>
      <c r="E2926">
        <v>4.125</v>
      </c>
      <c r="F2926" s="2">
        <v>46764</v>
      </c>
      <c r="G2926" s="2">
        <v>46672</v>
      </c>
      <c r="H2926" t="s">
        <v>670</v>
      </c>
      <c r="I2926" t="s">
        <v>713</v>
      </c>
      <c r="J2926">
        <v>98.346000000000004</v>
      </c>
      <c r="K2926">
        <v>98.46</v>
      </c>
      <c r="L2926">
        <v>4.7539999999999996</v>
      </c>
      <c r="M2926">
        <v>4.71</v>
      </c>
      <c r="N2926">
        <v>4.71</v>
      </c>
      <c r="O2926" t="s">
        <v>101</v>
      </c>
      <c r="P2926" t="s">
        <v>2750</v>
      </c>
      <c r="Q2926" t="s">
        <v>1702</v>
      </c>
      <c r="R2926" t="s">
        <v>2436</v>
      </c>
    </row>
    <row r="2927" spans="1:18" x14ac:dyDescent="0.5">
      <c r="A2927" t="str">
        <f>"78016FZW7"</f>
        <v>78016FZW7</v>
      </c>
      <c r="B2927" t="s">
        <v>101</v>
      </c>
      <c r="C2927" t="s">
        <v>3691</v>
      </c>
      <c r="D2927" t="s">
        <v>2433</v>
      </c>
      <c r="E2927">
        <v>4.9000000000000004</v>
      </c>
      <c r="F2927" s="2">
        <v>46764</v>
      </c>
      <c r="G2927" s="2" t="s">
        <v>101</v>
      </c>
      <c r="H2927" t="s">
        <v>641</v>
      </c>
      <c r="I2927" t="s">
        <v>611</v>
      </c>
      <c r="J2927">
        <v>100.895</v>
      </c>
      <c r="K2927">
        <v>101.08199999999999</v>
      </c>
      <c r="L2927">
        <v>4.5570000000000004</v>
      </c>
      <c r="M2927">
        <v>4.4870000000000001</v>
      </c>
      <c r="N2927">
        <v>4.4870000000000001</v>
      </c>
      <c r="O2927" t="s">
        <v>101</v>
      </c>
      <c r="P2927" t="s">
        <v>1702</v>
      </c>
      <c r="Q2927" t="s">
        <v>2454</v>
      </c>
      <c r="R2927" t="s">
        <v>2436</v>
      </c>
    </row>
    <row r="2928" spans="1:18" x14ac:dyDescent="0.5">
      <c r="A2928" t="str">
        <f>"89236TKQ7"</f>
        <v>89236TKQ7</v>
      </c>
      <c r="B2928" t="s">
        <v>101</v>
      </c>
      <c r="C2928" t="s">
        <v>3692</v>
      </c>
      <c r="D2928" t="s">
        <v>2433</v>
      </c>
      <c r="E2928">
        <v>4.625</v>
      </c>
      <c r="F2928" s="2">
        <v>46764</v>
      </c>
      <c r="G2928" s="2" t="s">
        <v>101</v>
      </c>
      <c r="H2928" t="s">
        <v>641</v>
      </c>
      <c r="I2928" t="s">
        <v>658</v>
      </c>
      <c r="J2928">
        <v>100.279</v>
      </c>
      <c r="K2928">
        <v>100.593</v>
      </c>
      <c r="L2928">
        <v>4.5170000000000003</v>
      </c>
      <c r="M2928">
        <v>4.3979999999999997</v>
      </c>
      <c r="N2928">
        <v>4.3979999999999997</v>
      </c>
      <c r="O2928" t="s">
        <v>101</v>
      </c>
      <c r="P2928" t="s">
        <v>2595</v>
      </c>
      <c r="Q2928" t="s">
        <v>3386</v>
      </c>
      <c r="R2928" t="s">
        <v>2436</v>
      </c>
    </row>
    <row r="2929" spans="1:18" x14ac:dyDescent="0.5">
      <c r="A2929" t="str">
        <f>"254687FW1"</f>
        <v>254687FW1</v>
      </c>
      <c r="B2929" t="s">
        <v>101</v>
      </c>
      <c r="C2929" t="s">
        <v>3693</v>
      </c>
      <c r="D2929" t="s">
        <v>2433</v>
      </c>
      <c r="E2929">
        <v>2.2000000000000002</v>
      </c>
      <c r="F2929" s="2">
        <v>46765</v>
      </c>
      <c r="G2929" s="2" t="s">
        <v>101</v>
      </c>
      <c r="H2929" t="s">
        <v>610</v>
      </c>
      <c r="I2929" t="s">
        <v>611</v>
      </c>
      <c r="J2929">
        <v>94.411000000000001</v>
      </c>
      <c r="K2929">
        <v>94.475999999999999</v>
      </c>
      <c r="L2929">
        <v>4.3140000000000001</v>
      </c>
      <c r="M2929">
        <v>4.2880000000000003</v>
      </c>
      <c r="N2929">
        <v>4.2880000000000003</v>
      </c>
      <c r="O2929" t="s">
        <v>101</v>
      </c>
      <c r="P2929" t="s">
        <v>2447</v>
      </c>
      <c r="Q2929" t="s">
        <v>2774</v>
      </c>
      <c r="R2929" t="s">
        <v>2436</v>
      </c>
    </row>
    <row r="2930" spans="1:18" x14ac:dyDescent="0.5">
      <c r="A2930" t="str">
        <f>"86562MCR9"</f>
        <v>86562MCR9</v>
      </c>
      <c r="B2930" t="s">
        <v>101</v>
      </c>
      <c r="C2930" t="s">
        <v>3694</v>
      </c>
      <c r="D2930" t="s">
        <v>2433</v>
      </c>
      <c r="E2930">
        <v>5.52</v>
      </c>
      <c r="F2930" s="2">
        <v>46765</v>
      </c>
      <c r="G2930" s="2" t="s">
        <v>101</v>
      </c>
      <c r="H2930" t="s">
        <v>641</v>
      </c>
      <c r="I2930" t="s">
        <v>713</v>
      </c>
      <c r="J2930">
        <v>102.39400000000001</v>
      </c>
      <c r="K2930">
        <v>102.518</v>
      </c>
      <c r="L2930">
        <v>4.6070000000000002</v>
      </c>
      <c r="M2930">
        <v>4.5609999999999999</v>
      </c>
      <c r="N2930">
        <v>4.5609999999999999</v>
      </c>
      <c r="O2930" t="s">
        <v>101</v>
      </c>
      <c r="P2930" t="s">
        <v>542</v>
      </c>
      <c r="Q2930" t="s">
        <v>2687</v>
      </c>
      <c r="R2930" t="s">
        <v>2436</v>
      </c>
    </row>
    <row r="2931" spans="1:18" x14ac:dyDescent="0.5">
      <c r="A2931" t="str">
        <f>"05348EBC2"</f>
        <v>05348EBC2</v>
      </c>
      <c r="B2931" t="s">
        <v>101</v>
      </c>
      <c r="C2931" t="s">
        <v>3695</v>
      </c>
      <c r="D2931" t="s">
        <v>2433</v>
      </c>
      <c r="E2931">
        <v>3.2</v>
      </c>
      <c r="F2931" s="2">
        <v>46767</v>
      </c>
      <c r="G2931" s="2">
        <v>46675</v>
      </c>
      <c r="H2931" t="s">
        <v>627</v>
      </c>
      <c r="I2931" t="s">
        <v>713</v>
      </c>
      <c r="J2931">
        <v>96.649000000000001</v>
      </c>
      <c r="K2931">
        <v>96.86</v>
      </c>
      <c r="L2931">
        <v>4.4669999999999996</v>
      </c>
      <c r="M2931">
        <v>4.3860000000000001</v>
      </c>
      <c r="N2931">
        <v>4.3860000000000001</v>
      </c>
      <c r="O2931" t="s">
        <v>101</v>
      </c>
      <c r="P2931" t="s">
        <v>1702</v>
      </c>
      <c r="Q2931" t="s">
        <v>2507</v>
      </c>
      <c r="R2931" t="s">
        <v>2436</v>
      </c>
    </row>
    <row r="2932" spans="1:18" x14ac:dyDescent="0.5">
      <c r="A2932" t="str">
        <f>"166756AR7"</f>
        <v>166756AR7</v>
      </c>
      <c r="B2932" t="s">
        <v>101</v>
      </c>
      <c r="C2932" t="s">
        <v>3696</v>
      </c>
      <c r="D2932" t="s">
        <v>2433</v>
      </c>
      <c r="E2932">
        <v>3.85</v>
      </c>
      <c r="F2932" s="2">
        <v>46767</v>
      </c>
      <c r="G2932" s="2">
        <v>46675</v>
      </c>
      <c r="H2932" t="s">
        <v>613</v>
      </c>
      <c r="I2932" t="s">
        <v>616</v>
      </c>
      <c r="J2932">
        <v>99.052999999999997</v>
      </c>
      <c r="K2932">
        <v>99.236000000000004</v>
      </c>
      <c r="L2932">
        <v>4.2050000000000001</v>
      </c>
      <c r="M2932">
        <v>4.1360000000000001</v>
      </c>
      <c r="N2932">
        <v>4.1360000000000001</v>
      </c>
      <c r="O2932" t="s">
        <v>101</v>
      </c>
      <c r="P2932" t="s">
        <v>1236</v>
      </c>
      <c r="Q2932" t="s">
        <v>2454</v>
      </c>
      <c r="R2932" t="s">
        <v>2436</v>
      </c>
    </row>
    <row r="2933" spans="1:18" x14ac:dyDescent="0.5">
      <c r="A2933" t="str">
        <f>"278865BP4"</f>
        <v>278865BP4</v>
      </c>
      <c r="B2933" t="s">
        <v>101</v>
      </c>
      <c r="C2933" t="s">
        <v>3697</v>
      </c>
      <c r="D2933" t="s">
        <v>2433</v>
      </c>
      <c r="E2933">
        <v>5.25</v>
      </c>
      <c r="F2933" s="2">
        <v>46767</v>
      </c>
      <c r="G2933" s="2">
        <v>46736</v>
      </c>
      <c r="H2933" t="s">
        <v>627</v>
      </c>
      <c r="I2933" t="s">
        <v>713</v>
      </c>
      <c r="J2933">
        <v>102.566</v>
      </c>
      <c r="K2933">
        <v>102.735</v>
      </c>
      <c r="L2933">
        <v>4.2530000000000001</v>
      </c>
      <c r="M2933">
        <v>4.1890000000000001</v>
      </c>
      <c r="N2933">
        <v>4.2160000000000002</v>
      </c>
      <c r="O2933" t="s">
        <v>101</v>
      </c>
      <c r="P2933" t="s">
        <v>858</v>
      </c>
      <c r="Q2933" t="s">
        <v>2454</v>
      </c>
      <c r="R2933" t="s">
        <v>2436</v>
      </c>
    </row>
    <row r="2934" spans="1:18" x14ac:dyDescent="0.5">
      <c r="A2934" t="str">
        <f>"459200AS0"</f>
        <v>459200AS0</v>
      </c>
      <c r="B2934" t="s">
        <v>101</v>
      </c>
      <c r="C2934" t="s">
        <v>3698</v>
      </c>
      <c r="D2934" t="s">
        <v>2433</v>
      </c>
      <c r="E2934">
        <v>6.5</v>
      </c>
      <c r="F2934" s="2">
        <v>46767</v>
      </c>
      <c r="G2934" s="2" t="s">
        <v>101</v>
      </c>
      <c r="H2934" t="s">
        <v>627</v>
      </c>
      <c r="I2934" t="s">
        <v>713</v>
      </c>
      <c r="J2934">
        <v>105.27</v>
      </c>
      <c r="K2934">
        <v>105.562</v>
      </c>
      <c r="L2934">
        <v>4.5010000000000003</v>
      </c>
      <c r="M2934">
        <v>4.3940000000000001</v>
      </c>
      <c r="N2934">
        <v>4.3940000000000001</v>
      </c>
      <c r="O2934" t="s">
        <v>101</v>
      </c>
      <c r="P2934" t="s">
        <v>1702</v>
      </c>
      <c r="Q2934" t="s">
        <v>3440</v>
      </c>
      <c r="R2934" t="s">
        <v>2436</v>
      </c>
    </row>
    <row r="2935" spans="1:18" x14ac:dyDescent="0.5">
      <c r="A2935" t="str">
        <f>"478160CK8"</f>
        <v>478160CK8</v>
      </c>
      <c r="B2935" t="s">
        <v>101</v>
      </c>
      <c r="C2935" t="s">
        <v>3699</v>
      </c>
      <c r="D2935" t="s">
        <v>2433</v>
      </c>
      <c r="E2935">
        <v>2.9</v>
      </c>
      <c r="F2935" s="2">
        <v>46767</v>
      </c>
      <c r="G2935" s="2">
        <v>46675</v>
      </c>
      <c r="H2935" t="s">
        <v>104</v>
      </c>
      <c r="I2935" t="s">
        <v>104</v>
      </c>
      <c r="J2935">
        <v>96.63</v>
      </c>
      <c r="K2935">
        <v>96.763999999999996</v>
      </c>
      <c r="L2935">
        <v>4.1689999999999996</v>
      </c>
      <c r="M2935">
        <v>4.117</v>
      </c>
      <c r="N2935">
        <v>4.117</v>
      </c>
      <c r="O2935" t="s">
        <v>101</v>
      </c>
      <c r="P2935" t="s">
        <v>2438</v>
      </c>
      <c r="Q2935" t="s">
        <v>2454</v>
      </c>
      <c r="R2935" t="s">
        <v>2436</v>
      </c>
    </row>
    <row r="2936" spans="1:18" x14ac:dyDescent="0.5">
      <c r="A2936" t="str">
        <f>"57636QBA1"</f>
        <v>57636QBA1</v>
      </c>
      <c r="B2936" t="s">
        <v>101</v>
      </c>
      <c r="C2936" t="s">
        <v>3700</v>
      </c>
      <c r="D2936" t="s">
        <v>2433</v>
      </c>
      <c r="E2936">
        <v>4.0999999999999996</v>
      </c>
      <c r="F2936" s="2">
        <v>46767</v>
      </c>
      <c r="G2936" s="2">
        <v>46736</v>
      </c>
      <c r="H2936" t="s">
        <v>624</v>
      </c>
      <c r="I2936" t="s">
        <v>658</v>
      </c>
      <c r="J2936">
        <v>99.397000000000006</v>
      </c>
      <c r="K2936">
        <v>99.546999999999997</v>
      </c>
      <c r="L2936">
        <v>4.3259999999999996</v>
      </c>
      <c r="M2936">
        <v>4.2619999999999996</v>
      </c>
      <c r="N2936">
        <v>4.2690000000000001</v>
      </c>
      <c r="O2936" t="s">
        <v>101</v>
      </c>
      <c r="P2936" t="s">
        <v>1702</v>
      </c>
      <c r="Q2936" t="s">
        <v>2454</v>
      </c>
      <c r="R2936" t="s">
        <v>2726</v>
      </c>
    </row>
    <row r="2937" spans="1:18" x14ac:dyDescent="0.5">
      <c r="A2937" t="str">
        <f>"63743FYQ3"</f>
        <v>63743FYQ3</v>
      </c>
      <c r="B2937" t="s">
        <v>101</v>
      </c>
      <c r="C2937" t="s">
        <v>3701</v>
      </c>
      <c r="D2937" t="s">
        <v>2433</v>
      </c>
      <c r="E2937">
        <v>3.5</v>
      </c>
      <c r="F2937" s="2">
        <v>46767</v>
      </c>
      <c r="G2937" s="2" t="s">
        <v>105</v>
      </c>
      <c r="H2937" t="s">
        <v>610</v>
      </c>
      <c r="I2937" t="s">
        <v>713</v>
      </c>
      <c r="J2937">
        <v>96.534999999999997</v>
      </c>
      <c r="K2937">
        <v>97.554000000000002</v>
      </c>
      <c r="L2937">
        <v>4.8070000000000004</v>
      </c>
      <c r="M2937">
        <v>4.4169999999999998</v>
      </c>
      <c r="N2937">
        <v>4.4169999999999998</v>
      </c>
      <c r="O2937" t="s">
        <v>101</v>
      </c>
      <c r="P2937" t="s">
        <v>1236</v>
      </c>
      <c r="Q2937" t="s">
        <v>3702</v>
      </c>
      <c r="R2937" t="s">
        <v>2610</v>
      </c>
    </row>
    <row r="2938" spans="1:18" x14ac:dyDescent="0.5">
      <c r="A2938" t="str">
        <f>"723787AB3"</f>
        <v>723787AB3</v>
      </c>
      <c r="B2938" t="s">
        <v>101</v>
      </c>
      <c r="C2938" t="s">
        <v>3703</v>
      </c>
      <c r="D2938" t="s">
        <v>2433</v>
      </c>
      <c r="E2938">
        <v>7.2</v>
      </c>
      <c r="F2938" s="2">
        <v>46767</v>
      </c>
      <c r="G2938" s="2" t="s">
        <v>101</v>
      </c>
      <c r="H2938" t="s">
        <v>2760</v>
      </c>
      <c r="I2938" t="s">
        <v>616</v>
      </c>
      <c r="J2938">
        <v>106.79300000000001</v>
      </c>
      <c r="K2938">
        <v>107.655</v>
      </c>
      <c r="L2938">
        <v>4.6180000000000003</v>
      </c>
      <c r="M2938">
        <v>4.306</v>
      </c>
      <c r="N2938">
        <v>4.306</v>
      </c>
      <c r="O2938" t="s">
        <v>101</v>
      </c>
      <c r="P2938" t="s">
        <v>2595</v>
      </c>
      <c r="Q2938" t="s">
        <v>2595</v>
      </c>
      <c r="R2938" t="s">
        <v>2436</v>
      </c>
    </row>
    <row r="2939" spans="1:18" x14ac:dyDescent="0.5">
      <c r="A2939" t="str">
        <f>"756109AU8"</f>
        <v>756109AU8</v>
      </c>
      <c r="B2939" t="s">
        <v>101</v>
      </c>
      <c r="C2939" t="s">
        <v>3704</v>
      </c>
      <c r="D2939" t="s">
        <v>2433</v>
      </c>
      <c r="E2939">
        <v>3.65</v>
      </c>
      <c r="F2939" s="2">
        <v>46767</v>
      </c>
      <c r="G2939" s="2">
        <v>46675</v>
      </c>
      <c r="H2939" t="s">
        <v>627</v>
      </c>
      <c r="I2939" t="s">
        <v>713</v>
      </c>
      <c r="J2939">
        <v>97.611000000000004</v>
      </c>
      <c r="K2939">
        <v>97.706000000000003</v>
      </c>
      <c r="L2939">
        <v>4.5540000000000003</v>
      </c>
      <c r="M2939">
        <v>4.5179999999999998</v>
      </c>
      <c r="N2939">
        <v>4.5179999999999998</v>
      </c>
      <c r="O2939" t="s">
        <v>101</v>
      </c>
      <c r="P2939" t="s">
        <v>2447</v>
      </c>
      <c r="Q2939" t="s">
        <v>2581</v>
      </c>
      <c r="R2939" t="s">
        <v>2436</v>
      </c>
    </row>
    <row r="2940" spans="1:18" x14ac:dyDescent="0.5">
      <c r="A2940" t="str">
        <f>"756109BH6"</f>
        <v>756109BH6</v>
      </c>
      <c r="B2940" t="s">
        <v>101</v>
      </c>
      <c r="C2940" t="s">
        <v>3705</v>
      </c>
      <c r="D2940" t="s">
        <v>2433</v>
      </c>
      <c r="E2940">
        <v>3.4</v>
      </c>
      <c r="F2940" s="2">
        <v>46767</v>
      </c>
      <c r="G2940" s="2">
        <v>46706</v>
      </c>
      <c r="H2940" t="s">
        <v>627</v>
      </c>
      <c r="I2940" t="s">
        <v>713</v>
      </c>
      <c r="J2940">
        <v>96.867000000000004</v>
      </c>
      <c r="K2940">
        <v>97.043000000000006</v>
      </c>
      <c r="L2940">
        <v>4.5869999999999997</v>
      </c>
      <c r="M2940">
        <v>4.5190000000000001</v>
      </c>
      <c r="N2940">
        <v>4.5190000000000001</v>
      </c>
      <c r="O2940" t="s">
        <v>101</v>
      </c>
      <c r="P2940" t="s">
        <v>1702</v>
      </c>
      <c r="Q2940" t="s">
        <v>1702</v>
      </c>
      <c r="R2940" t="s">
        <v>2436</v>
      </c>
    </row>
    <row r="2941" spans="1:18" x14ac:dyDescent="0.5">
      <c r="A2941" t="str">
        <f>"773903AB5"</f>
        <v>773903AB5</v>
      </c>
      <c r="B2941" t="s">
        <v>101</v>
      </c>
      <c r="C2941" t="s">
        <v>3706</v>
      </c>
      <c r="D2941" t="s">
        <v>2433</v>
      </c>
      <c r="E2941">
        <v>6.7</v>
      </c>
      <c r="F2941" s="2">
        <v>46767</v>
      </c>
      <c r="G2941" s="2" t="s">
        <v>101</v>
      </c>
      <c r="H2941" t="s">
        <v>627</v>
      </c>
      <c r="I2941" t="s">
        <v>713</v>
      </c>
      <c r="J2941">
        <v>105.96</v>
      </c>
      <c r="K2941">
        <v>106.173</v>
      </c>
      <c r="L2941">
        <v>4.4409999999999998</v>
      </c>
      <c r="M2941">
        <v>4.3639999999999999</v>
      </c>
      <c r="N2941">
        <v>4.3639999999999999</v>
      </c>
      <c r="O2941" t="s">
        <v>101</v>
      </c>
      <c r="P2941" t="s">
        <v>1391</v>
      </c>
      <c r="Q2941" t="s">
        <v>2747</v>
      </c>
      <c r="R2941" t="s">
        <v>2436</v>
      </c>
    </row>
    <row r="2942" spans="1:18" x14ac:dyDescent="0.5">
      <c r="A2942" t="str">
        <f>"00724PAH2"</f>
        <v>00724PAH2</v>
      </c>
      <c r="B2942" t="s">
        <v>101</v>
      </c>
      <c r="C2942" t="s">
        <v>3707</v>
      </c>
      <c r="D2942" t="s">
        <v>2433</v>
      </c>
      <c r="E2942">
        <v>4.75</v>
      </c>
      <c r="F2942" s="2">
        <v>46769</v>
      </c>
      <c r="G2942" s="2">
        <v>46738</v>
      </c>
      <c r="H2942" t="s">
        <v>641</v>
      </c>
      <c r="I2942" t="s">
        <v>658</v>
      </c>
      <c r="J2942">
        <v>101.024</v>
      </c>
      <c r="K2942">
        <v>101.297</v>
      </c>
      <c r="L2942">
        <v>4.3520000000000003</v>
      </c>
      <c r="M2942">
        <v>4.2469999999999999</v>
      </c>
      <c r="N2942">
        <v>4.2590000000000003</v>
      </c>
      <c r="O2942" t="s">
        <v>101</v>
      </c>
      <c r="P2942" t="s">
        <v>2746</v>
      </c>
      <c r="Q2942" t="s">
        <v>2454</v>
      </c>
      <c r="R2942" t="s">
        <v>2436</v>
      </c>
    </row>
    <row r="2943" spans="1:18" x14ac:dyDescent="0.5">
      <c r="A2943" t="str">
        <f>"46513YJH2"</f>
        <v>46513YJH2</v>
      </c>
      <c r="B2943" t="s">
        <v>101</v>
      </c>
      <c r="C2943" t="s">
        <v>3708</v>
      </c>
      <c r="D2943" t="s">
        <v>2433</v>
      </c>
      <c r="E2943">
        <v>3.25</v>
      </c>
      <c r="F2943" s="2">
        <v>46769</v>
      </c>
      <c r="G2943" s="2" t="s">
        <v>105</v>
      </c>
      <c r="H2943" t="s">
        <v>670</v>
      </c>
      <c r="I2943" t="s">
        <v>611</v>
      </c>
      <c r="J2943" t="s">
        <v>101</v>
      </c>
      <c r="K2943">
        <v>95.855000000000004</v>
      </c>
      <c r="L2943" t="s">
        <v>101</v>
      </c>
      <c r="M2943">
        <v>4.8239999999999998</v>
      </c>
      <c r="N2943">
        <v>4.8239999999999998</v>
      </c>
      <c r="O2943" t="s">
        <v>101</v>
      </c>
      <c r="P2943" t="s">
        <v>448</v>
      </c>
      <c r="Q2943" t="s">
        <v>542</v>
      </c>
      <c r="R2943" t="s">
        <v>2465</v>
      </c>
    </row>
    <row r="2944" spans="1:18" x14ac:dyDescent="0.5">
      <c r="A2944" t="str">
        <f>"61760LBZ7"</f>
        <v>61760LBZ7</v>
      </c>
      <c r="B2944" t="s">
        <v>101</v>
      </c>
      <c r="C2944" t="s">
        <v>3709</v>
      </c>
      <c r="D2944" t="s">
        <v>2433</v>
      </c>
      <c r="E2944">
        <v>4</v>
      </c>
      <c r="F2944" s="2">
        <v>46769</v>
      </c>
      <c r="G2944" s="2" t="s">
        <v>105</v>
      </c>
      <c r="H2944" t="s">
        <v>641</v>
      </c>
      <c r="I2944" t="s">
        <v>713</v>
      </c>
      <c r="J2944">
        <v>98.055000000000007</v>
      </c>
      <c r="K2944">
        <v>98.578000000000003</v>
      </c>
      <c r="L2944">
        <v>4.7359999999999998</v>
      </c>
      <c r="M2944">
        <v>4.5359999999999996</v>
      </c>
      <c r="N2944">
        <v>4.5359999999999996</v>
      </c>
      <c r="O2944" t="s">
        <v>101</v>
      </c>
      <c r="P2944" t="s">
        <v>2595</v>
      </c>
      <c r="Q2944" t="s">
        <v>2739</v>
      </c>
      <c r="R2944" t="s">
        <v>2465</v>
      </c>
    </row>
    <row r="2945" spans="1:18" x14ac:dyDescent="0.5">
      <c r="A2945" t="str">
        <f>"86562MAY6"</f>
        <v>86562MAY6</v>
      </c>
      <c r="B2945" t="s">
        <v>101</v>
      </c>
      <c r="C2945" t="s">
        <v>3710</v>
      </c>
      <c r="D2945" t="s">
        <v>2433</v>
      </c>
      <c r="E2945">
        <v>3.544</v>
      </c>
      <c r="F2945" s="2">
        <v>46769</v>
      </c>
      <c r="G2945" s="2" t="s">
        <v>101</v>
      </c>
      <c r="H2945" t="s">
        <v>641</v>
      </c>
      <c r="I2945" t="s">
        <v>713</v>
      </c>
      <c r="J2945">
        <v>97.305999999999997</v>
      </c>
      <c r="K2945">
        <v>97.524000000000001</v>
      </c>
      <c r="L2945">
        <v>4.5620000000000003</v>
      </c>
      <c r="M2945">
        <v>4.4779999999999998</v>
      </c>
      <c r="N2945">
        <v>4.4779999999999998</v>
      </c>
      <c r="O2945" t="s">
        <v>101</v>
      </c>
      <c r="P2945" t="s">
        <v>2795</v>
      </c>
      <c r="Q2945" t="s">
        <v>2454</v>
      </c>
      <c r="R2945" t="s">
        <v>2436</v>
      </c>
    </row>
    <row r="2946" spans="1:18" x14ac:dyDescent="0.5">
      <c r="A2946" t="str">
        <f>"24422EWR6"</f>
        <v>24422EWR6</v>
      </c>
      <c r="B2946" t="s">
        <v>101</v>
      </c>
      <c r="C2946" t="s">
        <v>3711</v>
      </c>
      <c r="D2946" t="s">
        <v>2433</v>
      </c>
      <c r="E2946">
        <v>4.75</v>
      </c>
      <c r="F2946" s="2">
        <v>46772</v>
      </c>
      <c r="G2946" s="2" t="s">
        <v>105</v>
      </c>
      <c r="H2946" t="s">
        <v>641</v>
      </c>
      <c r="I2946" t="s">
        <v>611</v>
      </c>
      <c r="J2946">
        <v>101.11499999999999</v>
      </c>
      <c r="K2946">
        <v>101.286</v>
      </c>
      <c r="L2946">
        <v>4.3289999999999997</v>
      </c>
      <c r="M2946">
        <v>4.2649999999999997</v>
      </c>
      <c r="N2946">
        <v>4.2649999999999997</v>
      </c>
      <c r="O2946" t="s">
        <v>101</v>
      </c>
      <c r="P2946" t="s">
        <v>3712</v>
      </c>
      <c r="Q2946" t="s">
        <v>2507</v>
      </c>
      <c r="R2946" t="s">
        <v>2465</v>
      </c>
    </row>
    <row r="2947" spans="1:18" x14ac:dyDescent="0.5">
      <c r="A2947" t="str">
        <f>"11271LAC6"</f>
        <v>11271LAC6</v>
      </c>
      <c r="B2947" t="s">
        <v>101</v>
      </c>
      <c r="C2947" t="s">
        <v>3713</v>
      </c>
      <c r="D2947" t="s">
        <v>2433</v>
      </c>
      <c r="E2947">
        <v>3.9</v>
      </c>
      <c r="F2947" s="2">
        <v>46777</v>
      </c>
      <c r="G2947" s="2">
        <v>46685</v>
      </c>
      <c r="H2947" t="s">
        <v>627</v>
      </c>
      <c r="I2947" t="s">
        <v>713</v>
      </c>
      <c r="J2947">
        <v>97.918999999999997</v>
      </c>
      <c r="K2947">
        <v>98.061999999999998</v>
      </c>
      <c r="L2947">
        <v>4.6820000000000004</v>
      </c>
      <c r="M2947">
        <v>4.6269999999999998</v>
      </c>
      <c r="N2947">
        <v>4.6269999999999998</v>
      </c>
      <c r="O2947" t="s">
        <v>101</v>
      </c>
      <c r="P2947" t="s">
        <v>2581</v>
      </c>
      <c r="Q2947" t="s">
        <v>3714</v>
      </c>
      <c r="R2947" t="s">
        <v>2436</v>
      </c>
    </row>
    <row r="2948" spans="1:18" x14ac:dyDescent="0.5">
      <c r="A2948" t="str">
        <f>"808513AU9"</f>
        <v>808513AU9</v>
      </c>
      <c r="B2948" t="s">
        <v>101</v>
      </c>
      <c r="C2948" t="s">
        <v>3715</v>
      </c>
      <c r="D2948" t="s">
        <v>2433</v>
      </c>
      <c r="E2948">
        <v>3.2</v>
      </c>
      <c r="F2948" s="2">
        <v>46777</v>
      </c>
      <c r="G2948" s="2">
        <v>46685</v>
      </c>
      <c r="H2948" t="s">
        <v>610</v>
      </c>
      <c r="I2948" t="s">
        <v>713</v>
      </c>
      <c r="J2948">
        <v>96.403999999999996</v>
      </c>
      <c r="K2948">
        <v>96.664000000000001</v>
      </c>
      <c r="L2948">
        <v>4.55</v>
      </c>
      <c r="M2948">
        <v>4.45</v>
      </c>
      <c r="N2948">
        <v>4.45</v>
      </c>
      <c r="O2948" t="s">
        <v>101</v>
      </c>
      <c r="P2948" t="s">
        <v>3178</v>
      </c>
      <c r="Q2948" t="s">
        <v>2454</v>
      </c>
      <c r="R2948" t="s">
        <v>2436</v>
      </c>
    </row>
    <row r="2949" spans="1:18" x14ac:dyDescent="0.5">
      <c r="A2949" t="str">
        <f>"961214DW0"</f>
        <v>961214DW0</v>
      </c>
      <c r="B2949" t="s">
        <v>101</v>
      </c>
      <c r="C2949" t="s">
        <v>3716</v>
      </c>
      <c r="D2949" t="s">
        <v>2433</v>
      </c>
      <c r="E2949">
        <v>3.4</v>
      </c>
      <c r="F2949" s="2">
        <v>46777</v>
      </c>
      <c r="G2949" s="2" t="s">
        <v>101</v>
      </c>
      <c r="H2949" t="s">
        <v>613</v>
      </c>
      <c r="I2949" t="s">
        <v>616</v>
      </c>
      <c r="J2949">
        <v>97.400999999999996</v>
      </c>
      <c r="K2949">
        <v>97.509</v>
      </c>
      <c r="L2949">
        <v>4.3719999999999999</v>
      </c>
      <c r="M2949">
        <v>4.3310000000000004</v>
      </c>
      <c r="N2949">
        <v>4.3310000000000004</v>
      </c>
      <c r="O2949" t="s">
        <v>101</v>
      </c>
      <c r="P2949" t="s">
        <v>1702</v>
      </c>
      <c r="Q2949" t="s">
        <v>2454</v>
      </c>
      <c r="R2949" t="s">
        <v>2436</v>
      </c>
    </row>
    <row r="2950" spans="1:18" x14ac:dyDescent="0.5">
      <c r="A2950" t="str">
        <f>"742718FZ7"</f>
        <v>742718FZ7</v>
      </c>
      <c r="B2950" t="s">
        <v>101</v>
      </c>
      <c r="C2950" t="s">
        <v>3717</v>
      </c>
      <c r="D2950" t="s">
        <v>2433</v>
      </c>
      <c r="E2950">
        <v>3.95</v>
      </c>
      <c r="F2950" s="2">
        <v>46778</v>
      </c>
      <c r="G2950" s="2" t="s">
        <v>101</v>
      </c>
      <c r="H2950" t="s">
        <v>624</v>
      </c>
      <c r="I2950" t="s">
        <v>616</v>
      </c>
      <c r="J2950">
        <v>99.343999999999994</v>
      </c>
      <c r="K2950">
        <v>99.561999999999998</v>
      </c>
      <c r="L2950">
        <v>4.1929999999999996</v>
      </c>
      <c r="M2950">
        <v>4.1120000000000001</v>
      </c>
      <c r="N2950">
        <v>4.1120000000000001</v>
      </c>
      <c r="O2950" t="s">
        <v>101</v>
      </c>
      <c r="P2950" t="s">
        <v>2746</v>
      </c>
      <c r="Q2950" t="s">
        <v>2454</v>
      </c>
      <c r="R2950" t="s">
        <v>2436</v>
      </c>
    </row>
    <row r="2951" spans="1:18" x14ac:dyDescent="0.5">
      <c r="A2951" t="str">
        <f>"55279HAW0"</f>
        <v>55279HAW0</v>
      </c>
      <c r="B2951" t="s">
        <v>101</v>
      </c>
      <c r="C2951" t="s">
        <v>3718</v>
      </c>
      <c r="D2951" t="s">
        <v>2433</v>
      </c>
      <c r="E2951">
        <v>4.7</v>
      </c>
      <c r="F2951" s="2">
        <v>46779</v>
      </c>
      <c r="G2951" s="2">
        <v>46749</v>
      </c>
      <c r="H2951" t="s">
        <v>627</v>
      </c>
      <c r="I2951" t="s">
        <v>713</v>
      </c>
      <c r="J2951">
        <v>99.87</v>
      </c>
      <c r="K2951">
        <v>99.921999999999997</v>
      </c>
      <c r="L2951">
        <v>4.7469999999999999</v>
      </c>
      <c r="M2951">
        <v>4.7270000000000003</v>
      </c>
      <c r="N2951">
        <v>4.7270000000000003</v>
      </c>
      <c r="O2951" t="s">
        <v>101</v>
      </c>
      <c r="P2951" t="s">
        <v>2566</v>
      </c>
      <c r="Q2951" t="s">
        <v>2434</v>
      </c>
      <c r="R2951" t="s">
        <v>2436</v>
      </c>
    </row>
    <row r="2952" spans="1:18" x14ac:dyDescent="0.5">
      <c r="A2952" t="str">
        <f>"06406RAF4"</f>
        <v>06406RAF4</v>
      </c>
      <c r="B2952" t="s">
        <v>101</v>
      </c>
      <c r="C2952" t="s">
        <v>3719</v>
      </c>
      <c r="D2952" t="s">
        <v>2433</v>
      </c>
      <c r="E2952">
        <v>3.4</v>
      </c>
      <c r="F2952" s="2">
        <v>46781</v>
      </c>
      <c r="G2952" s="2">
        <v>46689</v>
      </c>
      <c r="H2952" t="s">
        <v>624</v>
      </c>
      <c r="I2952" t="s">
        <v>611</v>
      </c>
      <c r="J2952">
        <v>97.221000000000004</v>
      </c>
      <c r="K2952">
        <v>97.370999999999995</v>
      </c>
      <c r="L2952">
        <v>4.4370000000000003</v>
      </c>
      <c r="M2952">
        <v>4.38</v>
      </c>
      <c r="N2952">
        <v>4.38</v>
      </c>
      <c r="O2952" t="s">
        <v>101</v>
      </c>
      <c r="P2952" t="s">
        <v>3075</v>
      </c>
      <c r="Q2952" t="s">
        <v>2507</v>
      </c>
      <c r="R2952" t="s">
        <v>2436</v>
      </c>
    </row>
    <row r="2953" spans="1:18" x14ac:dyDescent="0.5">
      <c r="A2953" t="str">
        <f>"002824BP4"</f>
        <v>002824BP4</v>
      </c>
      <c r="B2953" t="s">
        <v>101</v>
      </c>
      <c r="C2953" t="s">
        <v>3720</v>
      </c>
      <c r="D2953" t="s">
        <v>2433</v>
      </c>
      <c r="E2953">
        <v>1.1499999999999999</v>
      </c>
      <c r="F2953" s="2">
        <v>46782</v>
      </c>
      <c r="G2953" s="2">
        <v>46721</v>
      </c>
      <c r="H2953" t="s">
        <v>624</v>
      </c>
      <c r="I2953" t="s">
        <v>616</v>
      </c>
      <c r="J2953">
        <v>91.888999999999996</v>
      </c>
      <c r="K2953">
        <v>92.048000000000002</v>
      </c>
      <c r="L2953">
        <v>4.1639999999999997</v>
      </c>
      <c r="M2953">
        <v>4.1020000000000003</v>
      </c>
      <c r="N2953">
        <v>4.1020000000000003</v>
      </c>
      <c r="O2953" t="s">
        <v>101</v>
      </c>
      <c r="P2953" t="s">
        <v>2438</v>
      </c>
      <c r="Q2953" t="s">
        <v>2454</v>
      </c>
      <c r="R2953" t="s">
        <v>2436</v>
      </c>
    </row>
    <row r="2954" spans="1:18" x14ac:dyDescent="0.5">
      <c r="A2954" t="str">
        <f>"89115A3E0"</f>
        <v>89115A3E0</v>
      </c>
      <c r="B2954" t="s">
        <v>101</v>
      </c>
      <c r="C2954" t="s">
        <v>3721</v>
      </c>
      <c r="D2954" t="s">
        <v>2433</v>
      </c>
      <c r="E2954">
        <v>4.8609999999999998</v>
      </c>
      <c r="F2954" s="2">
        <v>46783</v>
      </c>
      <c r="G2954" s="2" t="s">
        <v>101</v>
      </c>
      <c r="H2954" t="s">
        <v>610</v>
      </c>
      <c r="I2954" t="s">
        <v>713</v>
      </c>
      <c r="J2954">
        <v>100.56699999999999</v>
      </c>
      <c r="K2954">
        <v>100.741</v>
      </c>
      <c r="L2954">
        <v>4.6420000000000003</v>
      </c>
      <c r="M2954">
        <v>4.5819999999999999</v>
      </c>
      <c r="N2954">
        <v>4.5819999999999999</v>
      </c>
      <c r="O2954" t="s">
        <v>101</v>
      </c>
      <c r="P2954" t="s">
        <v>2795</v>
      </c>
      <c r="Q2954" t="s">
        <v>2454</v>
      </c>
      <c r="R2954" t="s">
        <v>2436</v>
      </c>
    </row>
    <row r="2955" spans="1:18" x14ac:dyDescent="0.5">
      <c r="A2955" t="str">
        <f>"06368LGV2"</f>
        <v>06368LGV2</v>
      </c>
      <c r="B2955" t="s">
        <v>101</v>
      </c>
      <c r="C2955" t="s">
        <v>3722</v>
      </c>
      <c r="D2955" t="s">
        <v>2433</v>
      </c>
      <c r="E2955">
        <v>5.2030000000000003</v>
      </c>
      <c r="F2955" s="2">
        <v>46784</v>
      </c>
      <c r="G2955" s="2">
        <v>46753</v>
      </c>
      <c r="H2955" t="s">
        <v>610</v>
      </c>
      <c r="I2955" t="s">
        <v>713</v>
      </c>
      <c r="J2955">
        <v>101.346</v>
      </c>
      <c r="K2955">
        <v>101.515</v>
      </c>
      <c r="L2955">
        <v>4.6840000000000002</v>
      </c>
      <c r="M2955">
        <v>4.62</v>
      </c>
      <c r="N2955">
        <v>4.6340000000000003</v>
      </c>
      <c r="O2955" t="s">
        <v>101</v>
      </c>
      <c r="P2955" t="s">
        <v>2454</v>
      </c>
      <c r="Q2955" t="s">
        <v>2581</v>
      </c>
      <c r="R2955" t="s">
        <v>2436</v>
      </c>
    </row>
    <row r="2956" spans="1:18" x14ac:dyDescent="0.5">
      <c r="A2956" t="str">
        <f>"828807DL8"</f>
        <v>828807DL8</v>
      </c>
      <c r="B2956" t="s">
        <v>101</v>
      </c>
      <c r="C2956" t="s">
        <v>3723</v>
      </c>
      <c r="D2956" t="s">
        <v>2433</v>
      </c>
      <c r="E2956">
        <v>1.75</v>
      </c>
      <c r="F2956" s="2">
        <v>46784</v>
      </c>
      <c r="G2956" s="2">
        <v>46692</v>
      </c>
      <c r="H2956" t="s">
        <v>627</v>
      </c>
      <c r="I2956" t="s">
        <v>713</v>
      </c>
      <c r="J2956">
        <v>92.628</v>
      </c>
      <c r="K2956">
        <v>92.781000000000006</v>
      </c>
      <c r="L2956">
        <v>4.5019999999999998</v>
      </c>
      <c r="M2956">
        <v>4.4420000000000002</v>
      </c>
      <c r="N2956">
        <v>4.4420000000000002</v>
      </c>
      <c r="O2956" t="s">
        <v>101</v>
      </c>
      <c r="P2956" t="s">
        <v>2786</v>
      </c>
      <c r="Q2956" t="s">
        <v>2786</v>
      </c>
      <c r="R2956" t="s">
        <v>2436</v>
      </c>
    </row>
    <row r="2957" spans="1:18" x14ac:dyDescent="0.5">
      <c r="A2957" t="str">
        <f>"500630EG9"</f>
        <v>500630EG9</v>
      </c>
      <c r="B2957" t="s">
        <v>101</v>
      </c>
      <c r="C2957" t="s">
        <v>3724</v>
      </c>
      <c r="D2957" t="s">
        <v>2433</v>
      </c>
      <c r="E2957">
        <v>4.625</v>
      </c>
      <c r="F2957" s="2">
        <v>46786</v>
      </c>
      <c r="G2957" s="2" t="s">
        <v>105</v>
      </c>
      <c r="H2957" t="s">
        <v>613</v>
      </c>
      <c r="I2957" t="s">
        <v>628</v>
      </c>
      <c r="J2957" t="s">
        <v>101</v>
      </c>
      <c r="K2957">
        <v>100.898</v>
      </c>
      <c r="L2957" t="s">
        <v>101</v>
      </c>
      <c r="M2957">
        <v>4.29</v>
      </c>
      <c r="N2957">
        <v>4.29</v>
      </c>
      <c r="O2957" t="s">
        <v>101</v>
      </c>
      <c r="P2957" t="s">
        <v>448</v>
      </c>
      <c r="Q2957" t="s">
        <v>542</v>
      </c>
      <c r="R2957" t="s">
        <v>2713</v>
      </c>
    </row>
    <row r="2958" spans="1:18" x14ac:dyDescent="0.5">
      <c r="A2958" t="str">
        <f>"168863CF3"</f>
        <v>168863CF3</v>
      </c>
      <c r="B2958" t="s">
        <v>101</v>
      </c>
      <c r="C2958" t="s">
        <v>3725</v>
      </c>
      <c r="D2958" t="s">
        <v>2433</v>
      </c>
      <c r="E2958">
        <v>3.24</v>
      </c>
      <c r="F2958" s="2">
        <v>46789</v>
      </c>
      <c r="G2958" s="2">
        <v>46697</v>
      </c>
      <c r="H2958" t="s">
        <v>610</v>
      </c>
      <c r="I2958" t="s">
        <v>611</v>
      </c>
      <c r="J2958">
        <v>95.775999999999996</v>
      </c>
      <c r="K2958">
        <v>96.248000000000005</v>
      </c>
      <c r="L2958">
        <v>4.8170000000000002</v>
      </c>
      <c r="M2958">
        <v>4.6369999999999996</v>
      </c>
      <c r="N2958">
        <v>4.6369999999999996</v>
      </c>
      <c r="O2958" t="s">
        <v>101</v>
      </c>
      <c r="P2958" t="s">
        <v>2625</v>
      </c>
      <c r="Q2958" t="s">
        <v>2688</v>
      </c>
      <c r="R2958" t="s">
        <v>2439</v>
      </c>
    </row>
    <row r="2959" spans="1:18" x14ac:dyDescent="0.5">
      <c r="A2959" t="str">
        <f>"459200KX8"</f>
        <v>459200KX8</v>
      </c>
      <c r="B2959" t="s">
        <v>101</v>
      </c>
      <c r="C2959" t="s">
        <v>3726</v>
      </c>
      <c r="D2959" t="s">
        <v>2433</v>
      </c>
      <c r="E2959">
        <v>4.5</v>
      </c>
      <c r="F2959" s="2">
        <v>46789</v>
      </c>
      <c r="G2959" s="2">
        <v>46758</v>
      </c>
      <c r="H2959" t="s">
        <v>627</v>
      </c>
      <c r="I2959" t="s">
        <v>713</v>
      </c>
      <c r="J2959">
        <v>100.126</v>
      </c>
      <c r="K2959">
        <v>100.369</v>
      </c>
      <c r="L2959">
        <v>4.452</v>
      </c>
      <c r="M2959">
        <v>4.359</v>
      </c>
      <c r="N2959">
        <v>4.3620000000000001</v>
      </c>
      <c r="O2959" t="s">
        <v>101</v>
      </c>
      <c r="P2959" t="s">
        <v>2988</v>
      </c>
      <c r="Q2959" t="s">
        <v>3727</v>
      </c>
      <c r="R2959" t="s">
        <v>2436</v>
      </c>
    </row>
    <row r="2960" spans="1:18" x14ac:dyDescent="0.5">
      <c r="A2960" t="str">
        <f>"637432NP6"</f>
        <v>637432NP6</v>
      </c>
      <c r="B2960" t="s">
        <v>101</v>
      </c>
      <c r="C2960" t="s">
        <v>3728</v>
      </c>
      <c r="D2960" t="s">
        <v>2433</v>
      </c>
      <c r="E2960">
        <v>3.4</v>
      </c>
      <c r="F2960" s="2">
        <v>46790</v>
      </c>
      <c r="G2960" s="2">
        <v>46698</v>
      </c>
      <c r="H2960" t="s">
        <v>641</v>
      </c>
      <c r="I2960" t="s">
        <v>713</v>
      </c>
      <c r="J2960">
        <v>96.742999999999995</v>
      </c>
      <c r="K2960">
        <v>97.11</v>
      </c>
      <c r="L2960">
        <v>4.6109999999999998</v>
      </c>
      <c r="M2960">
        <v>4.4720000000000004</v>
      </c>
      <c r="N2960">
        <v>4.4720000000000004</v>
      </c>
      <c r="O2960" t="s">
        <v>101</v>
      </c>
      <c r="P2960" t="s">
        <v>2472</v>
      </c>
      <c r="Q2960" t="s">
        <v>2454</v>
      </c>
      <c r="R2960" t="s">
        <v>2436</v>
      </c>
    </row>
    <row r="2961" spans="1:18" x14ac:dyDescent="0.5">
      <c r="A2961" t="str">
        <f>"713448GA0"</f>
        <v>713448GA0</v>
      </c>
      <c r="B2961" t="s">
        <v>101</v>
      </c>
      <c r="C2961" t="s">
        <v>3729</v>
      </c>
      <c r="D2961" t="s">
        <v>2433</v>
      </c>
      <c r="E2961">
        <v>4.45</v>
      </c>
      <c r="F2961" s="2">
        <v>46790</v>
      </c>
      <c r="G2961" s="2">
        <v>46759</v>
      </c>
      <c r="H2961" t="s">
        <v>641</v>
      </c>
      <c r="I2961" t="s">
        <v>658</v>
      </c>
      <c r="J2961">
        <v>100.254</v>
      </c>
      <c r="K2961">
        <v>100.369</v>
      </c>
      <c r="L2961">
        <v>4.3529999999999998</v>
      </c>
      <c r="M2961">
        <v>4.3090000000000002</v>
      </c>
      <c r="N2961">
        <v>4.3120000000000003</v>
      </c>
      <c r="O2961" t="s">
        <v>101</v>
      </c>
      <c r="P2961" t="s">
        <v>2454</v>
      </c>
      <c r="Q2961" t="s">
        <v>2454</v>
      </c>
      <c r="R2961" t="s">
        <v>2436</v>
      </c>
    </row>
    <row r="2962" spans="1:18" x14ac:dyDescent="0.5">
      <c r="A2962" t="str">
        <f>"037833EC0"</f>
        <v>037833EC0</v>
      </c>
      <c r="B2962" t="s">
        <v>101</v>
      </c>
      <c r="C2962" t="s">
        <v>3730</v>
      </c>
      <c r="D2962" t="s">
        <v>2433</v>
      </c>
      <c r="E2962">
        <v>1.2</v>
      </c>
      <c r="F2962" s="2">
        <v>46791</v>
      </c>
      <c r="G2962" s="2">
        <v>46729</v>
      </c>
      <c r="H2962" t="s">
        <v>104</v>
      </c>
      <c r="I2962" t="s">
        <v>509</v>
      </c>
      <c r="J2962">
        <v>91.805999999999997</v>
      </c>
      <c r="K2962">
        <v>91.915000000000006</v>
      </c>
      <c r="L2962">
        <v>4.226</v>
      </c>
      <c r="M2962">
        <v>4.1840000000000002</v>
      </c>
      <c r="N2962">
        <v>4.1840000000000002</v>
      </c>
      <c r="O2962" t="s">
        <v>101</v>
      </c>
      <c r="P2962" t="s">
        <v>858</v>
      </c>
      <c r="Q2962" t="s">
        <v>2454</v>
      </c>
      <c r="R2962" t="s">
        <v>2436</v>
      </c>
    </row>
    <row r="2963" spans="1:18" x14ac:dyDescent="0.5">
      <c r="A2963" t="str">
        <f>"064159Q82"</f>
        <v>064159Q82</v>
      </c>
      <c r="B2963" t="s">
        <v>101</v>
      </c>
      <c r="C2963" t="s">
        <v>3731</v>
      </c>
      <c r="D2963" t="s">
        <v>2433</v>
      </c>
      <c r="E2963">
        <v>1.125</v>
      </c>
      <c r="F2963" s="2">
        <v>46793</v>
      </c>
      <c r="G2963" s="2">
        <v>45879</v>
      </c>
      <c r="H2963" t="s">
        <v>610</v>
      </c>
      <c r="I2963" t="s">
        <v>713</v>
      </c>
      <c r="J2963">
        <v>89.221000000000004</v>
      </c>
      <c r="K2963">
        <v>90.125</v>
      </c>
      <c r="L2963">
        <v>5.16</v>
      </c>
      <c r="M2963">
        <v>4.8</v>
      </c>
      <c r="N2963">
        <v>4.8</v>
      </c>
      <c r="O2963" t="s">
        <v>101</v>
      </c>
      <c r="P2963" t="s">
        <v>1702</v>
      </c>
      <c r="Q2963" t="s">
        <v>3732</v>
      </c>
      <c r="R2963" t="s">
        <v>2726</v>
      </c>
    </row>
    <row r="2964" spans="1:18" x14ac:dyDescent="0.5">
      <c r="A2964" t="str">
        <f>"459200LF6"</f>
        <v>459200LF6</v>
      </c>
      <c r="B2964" t="s">
        <v>101</v>
      </c>
      <c r="C2964" t="s">
        <v>3733</v>
      </c>
      <c r="D2964" t="s">
        <v>2433</v>
      </c>
      <c r="E2964">
        <v>4.6500000000000004</v>
      </c>
      <c r="F2964" s="2">
        <v>46793</v>
      </c>
      <c r="G2964" s="2">
        <v>46762</v>
      </c>
      <c r="H2964" t="s">
        <v>627</v>
      </c>
      <c r="I2964" t="s">
        <v>713</v>
      </c>
      <c r="J2964">
        <v>100.021</v>
      </c>
      <c r="K2964">
        <v>100.259</v>
      </c>
      <c r="L2964">
        <v>4.6390000000000002</v>
      </c>
      <c r="M2964">
        <v>4.5510000000000002</v>
      </c>
      <c r="N2964">
        <v>4.5529999999999999</v>
      </c>
      <c r="O2964" t="s">
        <v>101</v>
      </c>
      <c r="P2964" t="s">
        <v>2635</v>
      </c>
      <c r="Q2964" t="s">
        <v>3727</v>
      </c>
      <c r="R2964" t="s">
        <v>2436</v>
      </c>
    </row>
    <row r="2965" spans="1:18" x14ac:dyDescent="0.5">
      <c r="A2965" t="str">
        <f>"532457CU0"</f>
        <v>532457CU0</v>
      </c>
      <c r="B2965" t="s">
        <v>101</v>
      </c>
      <c r="C2965" t="s">
        <v>3734</v>
      </c>
      <c r="D2965" t="s">
        <v>2433</v>
      </c>
      <c r="E2965">
        <v>4.55</v>
      </c>
      <c r="F2965" s="2">
        <v>46795</v>
      </c>
      <c r="G2965" s="2">
        <v>46764</v>
      </c>
      <c r="H2965" t="s">
        <v>624</v>
      </c>
      <c r="I2965" t="s">
        <v>658</v>
      </c>
      <c r="J2965">
        <v>100.556</v>
      </c>
      <c r="K2965">
        <v>100.67100000000001</v>
      </c>
      <c r="L2965">
        <v>4.3390000000000004</v>
      </c>
      <c r="M2965">
        <v>4.2960000000000003</v>
      </c>
      <c r="N2965">
        <v>4.3019999999999996</v>
      </c>
      <c r="O2965" t="s">
        <v>101</v>
      </c>
      <c r="P2965" t="s">
        <v>1702</v>
      </c>
      <c r="Q2965" t="s">
        <v>2454</v>
      </c>
      <c r="R2965" t="s">
        <v>2436</v>
      </c>
    </row>
    <row r="2966" spans="1:18" x14ac:dyDescent="0.5">
      <c r="A2966" t="str">
        <f>"02665WCE9"</f>
        <v>02665WCE9</v>
      </c>
      <c r="B2966" t="s">
        <v>101</v>
      </c>
      <c r="C2966" t="s">
        <v>3735</v>
      </c>
      <c r="D2966" t="s">
        <v>2433</v>
      </c>
      <c r="E2966">
        <v>3.5</v>
      </c>
      <c r="F2966" s="2">
        <v>46798</v>
      </c>
      <c r="G2966" s="2" t="s">
        <v>101</v>
      </c>
      <c r="H2966" t="s">
        <v>627</v>
      </c>
      <c r="I2966" t="s">
        <v>713</v>
      </c>
      <c r="J2966">
        <v>96.817999999999998</v>
      </c>
      <c r="K2966">
        <v>97.075999999999993</v>
      </c>
      <c r="L2966">
        <v>4.6760000000000002</v>
      </c>
      <c r="M2966">
        <v>4.5789999999999997</v>
      </c>
      <c r="N2966">
        <v>4.5789999999999997</v>
      </c>
      <c r="O2966" t="s">
        <v>101</v>
      </c>
      <c r="P2966" t="s">
        <v>858</v>
      </c>
      <c r="Q2966" t="s">
        <v>858</v>
      </c>
      <c r="R2966" t="s">
        <v>2436</v>
      </c>
    </row>
    <row r="2967" spans="1:18" x14ac:dyDescent="0.5">
      <c r="A2967" t="str">
        <f>"20030NCA7"</f>
        <v>20030NCA7</v>
      </c>
      <c r="B2967" t="s">
        <v>101</v>
      </c>
      <c r="C2967" t="s">
        <v>3736</v>
      </c>
      <c r="D2967" t="s">
        <v>2433</v>
      </c>
      <c r="E2967">
        <v>3.15</v>
      </c>
      <c r="F2967" s="2">
        <v>46798</v>
      </c>
      <c r="G2967" s="2">
        <v>46706</v>
      </c>
      <c r="H2967" t="s">
        <v>627</v>
      </c>
      <c r="I2967" t="s">
        <v>713</v>
      </c>
      <c r="J2967">
        <v>96.203999999999994</v>
      </c>
      <c r="K2967">
        <v>96.305999999999997</v>
      </c>
      <c r="L2967">
        <v>4.55</v>
      </c>
      <c r="M2967">
        <v>4.5110000000000001</v>
      </c>
      <c r="N2967">
        <v>4.5110000000000001</v>
      </c>
      <c r="O2967" t="s">
        <v>101</v>
      </c>
      <c r="P2967" t="s">
        <v>1702</v>
      </c>
      <c r="Q2967" t="s">
        <v>2454</v>
      </c>
      <c r="R2967" t="s">
        <v>2436</v>
      </c>
    </row>
    <row r="2968" spans="1:18" x14ac:dyDescent="0.5">
      <c r="A2968" t="str">
        <f>"438516CJ3"</f>
        <v>438516CJ3</v>
      </c>
      <c r="B2968" t="s">
        <v>101</v>
      </c>
      <c r="C2968" t="s">
        <v>3737</v>
      </c>
      <c r="D2968" t="s">
        <v>2433</v>
      </c>
      <c r="E2968">
        <v>4.95</v>
      </c>
      <c r="F2968" s="2">
        <v>46798</v>
      </c>
      <c r="G2968" s="2">
        <v>46767</v>
      </c>
      <c r="H2968" t="s">
        <v>610</v>
      </c>
      <c r="I2968" t="s">
        <v>611</v>
      </c>
      <c r="J2968">
        <v>101.517</v>
      </c>
      <c r="K2968">
        <v>101.736</v>
      </c>
      <c r="L2968">
        <v>4.3760000000000003</v>
      </c>
      <c r="M2968">
        <v>4.2939999999999996</v>
      </c>
      <c r="N2968">
        <v>4.3109999999999999</v>
      </c>
      <c r="O2968" t="s">
        <v>101</v>
      </c>
      <c r="P2968" t="s">
        <v>1702</v>
      </c>
      <c r="Q2968" t="s">
        <v>2454</v>
      </c>
      <c r="R2968" t="s">
        <v>2436</v>
      </c>
    </row>
    <row r="2969" spans="1:18" x14ac:dyDescent="0.5">
      <c r="A2969" t="str">
        <f>"500630DW5"</f>
        <v>500630DW5</v>
      </c>
      <c r="B2969" t="s">
        <v>101</v>
      </c>
      <c r="C2969" t="s">
        <v>3738</v>
      </c>
      <c r="D2969" t="s">
        <v>2433</v>
      </c>
      <c r="E2969">
        <v>4.375</v>
      </c>
      <c r="F2969" s="2">
        <v>46798</v>
      </c>
      <c r="G2969" s="2" t="s">
        <v>105</v>
      </c>
      <c r="H2969" t="s">
        <v>613</v>
      </c>
      <c r="I2969" t="s">
        <v>628</v>
      </c>
      <c r="J2969" t="s">
        <v>101</v>
      </c>
      <c r="K2969">
        <v>100.17100000000001</v>
      </c>
      <c r="L2969" t="s">
        <v>101</v>
      </c>
      <c r="M2969">
        <v>4.3109999999999999</v>
      </c>
      <c r="N2969">
        <v>4.3109999999999999</v>
      </c>
      <c r="O2969" t="s">
        <v>101</v>
      </c>
      <c r="P2969" t="s">
        <v>448</v>
      </c>
      <c r="Q2969" t="s">
        <v>2688</v>
      </c>
      <c r="R2969" t="s">
        <v>2713</v>
      </c>
    </row>
    <row r="2970" spans="1:18" x14ac:dyDescent="0.5">
      <c r="A2970" t="str">
        <f>"665228BQ4"</f>
        <v>665228BQ4</v>
      </c>
      <c r="B2970" t="s">
        <v>101</v>
      </c>
      <c r="C2970" t="s">
        <v>3739</v>
      </c>
      <c r="D2970" t="s">
        <v>2433</v>
      </c>
      <c r="E2970">
        <v>6.58</v>
      </c>
      <c r="F2970" s="2">
        <v>46798</v>
      </c>
      <c r="G2970" s="2" t="s">
        <v>105</v>
      </c>
      <c r="H2970" t="s">
        <v>624</v>
      </c>
      <c r="I2970" t="s">
        <v>611</v>
      </c>
      <c r="J2970">
        <v>104.956</v>
      </c>
      <c r="K2970">
        <v>105.70099999999999</v>
      </c>
      <c r="L2970">
        <v>4.7439999999999998</v>
      </c>
      <c r="M2970">
        <v>4.4770000000000003</v>
      </c>
      <c r="N2970">
        <v>4.4770000000000003</v>
      </c>
      <c r="O2970" t="s">
        <v>101</v>
      </c>
      <c r="P2970" t="s">
        <v>2747</v>
      </c>
      <c r="Q2970" t="s">
        <v>2739</v>
      </c>
      <c r="R2970" t="s">
        <v>2465</v>
      </c>
    </row>
    <row r="2971" spans="1:18" x14ac:dyDescent="0.5">
      <c r="A2971" t="str">
        <f>"718172CZ0"</f>
        <v>718172CZ0</v>
      </c>
      <c r="B2971" t="s">
        <v>101</v>
      </c>
      <c r="C2971" t="s">
        <v>3740</v>
      </c>
      <c r="D2971" t="s">
        <v>2433</v>
      </c>
      <c r="E2971">
        <v>4.875</v>
      </c>
      <c r="F2971" s="2">
        <v>46798</v>
      </c>
      <c r="G2971" s="2">
        <v>46767</v>
      </c>
      <c r="H2971" t="s">
        <v>610</v>
      </c>
      <c r="I2971" t="s">
        <v>713</v>
      </c>
      <c r="J2971">
        <v>100.949</v>
      </c>
      <c r="K2971">
        <v>101.04900000000001</v>
      </c>
      <c r="L2971">
        <v>4.5149999999999997</v>
      </c>
      <c r="M2971">
        <v>4.4779999999999998</v>
      </c>
      <c r="N2971">
        <v>4.4870000000000001</v>
      </c>
      <c r="O2971" t="s">
        <v>101</v>
      </c>
      <c r="P2971" t="s">
        <v>1702</v>
      </c>
      <c r="Q2971" t="s">
        <v>2441</v>
      </c>
      <c r="R2971" t="s">
        <v>2436</v>
      </c>
    </row>
    <row r="2972" spans="1:18" x14ac:dyDescent="0.5">
      <c r="A2972" t="str">
        <f>"872287AL1"</f>
        <v>872287AL1</v>
      </c>
      <c r="B2972" t="s">
        <v>101</v>
      </c>
      <c r="C2972" t="s">
        <v>3741</v>
      </c>
      <c r="D2972" t="s">
        <v>2433</v>
      </c>
      <c r="E2972">
        <v>7.125</v>
      </c>
      <c r="F2972" s="2">
        <v>46798</v>
      </c>
      <c r="G2972" s="2" t="s">
        <v>105</v>
      </c>
      <c r="H2972" t="s">
        <v>627</v>
      </c>
      <c r="I2972" t="s">
        <v>713</v>
      </c>
      <c r="J2972">
        <v>106.84</v>
      </c>
      <c r="K2972">
        <v>107.185</v>
      </c>
      <c r="L2972">
        <v>4.5970000000000004</v>
      </c>
      <c r="M2972">
        <v>4.4749999999999996</v>
      </c>
      <c r="N2972">
        <v>4.4749999999999996</v>
      </c>
      <c r="O2972" t="s">
        <v>101</v>
      </c>
      <c r="P2972" t="s">
        <v>2507</v>
      </c>
      <c r="Q2972" t="s">
        <v>2642</v>
      </c>
      <c r="R2972" t="s">
        <v>2465</v>
      </c>
    </row>
    <row r="2973" spans="1:18" x14ac:dyDescent="0.5">
      <c r="A2973" t="str">
        <f>"882508BV5"</f>
        <v>882508BV5</v>
      </c>
      <c r="B2973" t="s">
        <v>101</v>
      </c>
      <c r="C2973" t="s">
        <v>3742</v>
      </c>
      <c r="D2973" t="s">
        <v>2433</v>
      </c>
      <c r="E2973">
        <v>4.5999999999999996</v>
      </c>
      <c r="F2973" s="2">
        <v>46798</v>
      </c>
      <c r="G2973" s="2">
        <v>46767</v>
      </c>
      <c r="H2973" t="s">
        <v>624</v>
      </c>
      <c r="I2973" t="s">
        <v>658</v>
      </c>
      <c r="J2973">
        <v>100.71299999999999</v>
      </c>
      <c r="K2973">
        <v>100.883</v>
      </c>
      <c r="L2973">
        <v>4.3310000000000004</v>
      </c>
      <c r="M2973">
        <v>4.2670000000000003</v>
      </c>
      <c r="N2973">
        <v>4.2750000000000004</v>
      </c>
      <c r="O2973" t="s">
        <v>101</v>
      </c>
      <c r="P2973" t="s">
        <v>2438</v>
      </c>
      <c r="Q2973" t="s">
        <v>2438</v>
      </c>
      <c r="R2973" t="s">
        <v>2436</v>
      </c>
    </row>
    <row r="2974" spans="1:18" x14ac:dyDescent="0.5">
      <c r="A2974" t="str">
        <f>"22550L2M2"</f>
        <v>22550L2M2</v>
      </c>
      <c r="B2974" t="s">
        <v>101</v>
      </c>
      <c r="C2974" t="s">
        <v>3743</v>
      </c>
      <c r="D2974" t="s">
        <v>2433</v>
      </c>
      <c r="E2974">
        <v>7.5</v>
      </c>
      <c r="F2974" s="2">
        <v>46798</v>
      </c>
      <c r="G2974" s="2" t="s">
        <v>101</v>
      </c>
      <c r="H2974" t="s">
        <v>613</v>
      </c>
      <c r="I2974" t="s">
        <v>658</v>
      </c>
      <c r="J2974">
        <v>107.637</v>
      </c>
      <c r="K2974">
        <v>107.839</v>
      </c>
      <c r="L2974">
        <v>4.6740000000000004</v>
      </c>
      <c r="M2974">
        <v>4.6029999999999998</v>
      </c>
      <c r="N2974">
        <v>4.6029999999999998</v>
      </c>
      <c r="O2974" t="s">
        <v>101</v>
      </c>
      <c r="P2974" t="s">
        <v>2434</v>
      </c>
      <c r="Q2974" t="s">
        <v>2564</v>
      </c>
      <c r="R2974" t="s">
        <v>2436</v>
      </c>
    </row>
    <row r="2975" spans="1:18" x14ac:dyDescent="0.5">
      <c r="A2975" t="str">
        <f>"91324PEP3"</f>
        <v>91324PEP3</v>
      </c>
      <c r="B2975" t="s">
        <v>101</v>
      </c>
      <c r="C2975" t="s">
        <v>3744</v>
      </c>
      <c r="D2975" t="s">
        <v>2433</v>
      </c>
      <c r="E2975">
        <v>5.25</v>
      </c>
      <c r="F2975" s="2">
        <v>46798</v>
      </c>
      <c r="G2975" s="2">
        <v>46767</v>
      </c>
      <c r="H2975" t="s">
        <v>610</v>
      </c>
      <c r="I2975" t="s">
        <v>658</v>
      </c>
      <c r="J2975">
        <v>102.095</v>
      </c>
      <c r="K2975">
        <v>102.294</v>
      </c>
      <c r="L2975">
        <v>4.4569999999999999</v>
      </c>
      <c r="M2975">
        <v>4.383</v>
      </c>
      <c r="N2975">
        <v>4.4039999999999999</v>
      </c>
      <c r="O2975" t="s">
        <v>101</v>
      </c>
      <c r="P2975" t="s">
        <v>1702</v>
      </c>
      <c r="Q2975" t="s">
        <v>2454</v>
      </c>
      <c r="R2975" t="s">
        <v>2436</v>
      </c>
    </row>
    <row r="2976" spans="1:18" x14ac:dyDescent="0.5">
      <c r="A2976" t="str">
        <f>"713448FL7"</f>
        <v>713448FL7</v>
      </c>
      <c r="B2976" t="s">
        <v>101</v>
      </c>
      <c r="C2976" t="s">
        <v>3745</v>
      </c>
      <c r="D2976" t="s">
        <v>2433</v>
      </c>
      <c r="E2976">
        <v>3.6</v>
      </c>
      <c r="F2976" s="2">
        <v>46801</v>
      </c>
      <c r="G2976" s="2">
        <v>46770</v>
      </c>
      <c r="H2976" t="s">
        <v>641</v>
      </c>
      <c r="I2976" t="s">
        <v>658</v>
      </c>
      <c r="J2976">
        <v>98.1</v>
      </c>
      <c r="K2976">
        <v>98.245999999999995</v>
      </c>
      <c r="L2976">
        <v>4.2960000000000003</v>
      </c>
      <c r="M2976">
        <v>4.2409999999999997</v>
      </c>
      <c r="N2976">
        <v>4.2409999999999997</v>
      </c>
      <c r="O2976" t="s">
        <v>101</v>
      </c>
      <c r="P2976" t="s">
        <v>2472</v>
      </c>
      <c r="Q2976" t="s">
        <v>2454</v>
      </c>
      <c r="R2976" t="s">
        <v>2436</v>
      </c>
    </row>
    <row r="2977" spans="1:18" x14ac:dyDescent="0.5">
      <c r="A2977" t="str">
        <f>"110122DE5"</f>
        <v>110122DE5</v>
      </c>
      <c r="B2977" t="s">
        <v>101</v>
      </c>
      <c r="C2977" t="s">
        <v>3746</v>
      </c>
      <c r="D2977" t="s">
        <v>2433</v>
      </c>
      <c r="E2977">
        <v>3.9</v>
      </c>
      <c r="F2977" s="2">
        <v>46803</v>
      </c>
      <c r="G2977" s="2">
        <v>46711</v>
      </c>
      <c r="H2977" t="s">
        <v>610</v>
      </c>
      <c r="I2977" t="s">
        <v>611</v>
      </c>
      <c r="J2977">
        <v>98.817999999999998</v>
      </c>
      <c r="K2977">
        <v>98.94</v>
      </c>
      <c r="L2977">
        <v>4.3319999999999999</v>
      </c>
      <c r="M2977">
        <v>4.2869999999999999</v>
      </c>
      <c r="N2977">
        <v>4.2869999999999999</v>
      </c>
      <c r="O2977" t="s">
        <v>101</v>
      </c>
      <c r="P2977" t="s">
        <v>2581</v>
      </c>
      <c r="Q2977" t="s">
        <v>2628</v>
      </c>
      <c r="R2977" t="s">
        <v>2436</v>
      </c>
    </row>
    <row r="2978" spans="1:18" x14ac:dyDescent="0.5">
      <c r="A2978" t="str">
        <f>"05964HAF2"</f>
        <v>05964HAF2</v>
      </c>
      <c r="B2978" t="s">
        <v>101</v>
      </c>
      <c r="C2978" t="s">
        <v>3747</v>
      </c>
      <c r="D2978" t="s">
        <v>2433</v>
      </c>
      <c r="E2978">
        <v>3.8</v>
      </c>
      <c r="F2978" s="2">
        <v>46806</v>
      </c>
      <c r="G2978" s="2" t="s">
        <v>105</v>
      </c>
      <c r="H2978" t="s">
        <v>670</v>
      </c>
      <c r="I2978" t="s">
        <v>713</v>
      </c>
      <c r="J2978">
        <v>97.32</v>
      </c>
      <c r="K2978">
        <v>97.456999999999994</v>
      </c>
      <c r="L2978">
        <v>4.7850000000000001</v>
      </c>
      <c r="M2978">
        <v>4.734</v>
      </c>
      <c r="N2978">
        <v>4.734</v>
      </c>
      <c r="O2978" t="s">
        <v>101</v>
      </c>
      <c r="P2978" t="s">
        <v>2687</v>
      </c>
      <c r="Q2978" t="s">
        <v>542</v>
      </c>
      <c r="R2978" t="s">
        <v>2465</v>
      </c>
    </row>
    <row r="2979" spans="1:18" x14ac:dyDescent="0.5">
      <c r="A2979" t="str">
        <f>"17275RBW1"</f>
        <v>17275RBW1</v>
      </c>
      <c r="B2979" t="s">
        <v>101</v>
      </c>
      <c r="C2979" t="s">
        <v>3748</v>
      </c>
      <c r="D2979" t="s">
        <v>2433</v>
      </c>
      <c r="E2979">
        <v>4.55</v>
      </c>
      <c r="F2979" s="2">
        <v>46807</v>
      </c>
      <c r="G2979" s="2">
        <v>46776</v>
      </c>
      <c r="H2979" t="s">
        <v>641</v>
      </c>
      <c r="I2979" t="s">
        <v>616</v>
      </c>
      <c r="J2979">
        <v>100.399</v>
      </c>
      <c r="K2979">
        <v>100.486</v>
      </c>
      <c r="L2979">
        <v>4.4009999999999998</v>
      </c>
      <c r="M2979">
        <v>4.3680000000000003</v>
      </c>
      <c r="N2979">
        <v>4.3719999999999999</v>
      </c>
      <c r="O2979" t="s">
        <v>101</v>
      </c>
      <c r="P2979" t="s">
        <v>2786</v>
      </c>
      <c r="Q2979" t="s">
        <v>2454</v>
      </c>
      <c r="R2979" t="s">
        <v>2436</v>
      </c>
    </row>
    <row r="2980" spans="1:18" x14ac:dyDescent="0.5">
      <c r="A2980" t="str">
        <f>"427866BK3"</f>
        <v>427866BK3</v>
      </c>
      <c r="B2980" t="s">
        <v>101</v>
      </c>
      <c r="C2980" t="s">
        <v>3749</v>
      </c>
      <c r="D2980" t="s">
        <v>2433</v>
      </c>
      <c r="E2980">
        <v>4.55</v>
      </c>
      <c r="F2980" s="2">
        <v>46807</v>
      </c>
      <c r="G2980" s="2">
        <v>46776</v>
      </c>
      <c r="H2980" t="s">
        <v>641</v>
      </c>
      <c r="I2980" t="s">
        <v>611</v>
      </c>
      <c r="J2980">
        <v>100.30500000000001</v>
      </c>
      <c r="K2980">
        <v>100.532</v>
      </c>
      <c r="L2980">
        <v>4.4359999999999999</v>
      </c>
      <c r="M2980">
        <v>4.351</v>
      </c>
      <c r="N2980">
        <v>4.3550000000000004</v>
      </c>
      <c r="O2980" t="s">
        <v>101</v>
      </c>
      <c r="P2980" t="s">
        <v>2472</v>
      </c>
      <c r="Q2980" t="s">
        <v>2454</v>
      </c>
      <c r="R2980" t="s">
        <v>2436</v>
      </c>
    </row>
    <row r="2981" spans="1:18" x14ac:dyDescent="0.5">
      <c r="A2981" t="str">
        <f>"166756BB1"</f>
        <v>166756BB1</v>
      </c>
      <c r="B2981" t="s">
        <v>101</v>
      </c>
      <c r="C2981" t="s">
        <v>3750</v>
      </c>
      <c r="D2981" t="s">
        <v>2433</v>
      </c>
      <c r="E2981">
        <v>4.4749999999999996</v>
      </c>
      <c r="F2981" s="2">
        <v>46809</v>
      </c>
      <c r="G2981" s="2">
        <v>46778</v>
      </c>
      <c r="H2981" t="s">
        <v>613</v>
      </c>
      <c r="I2981" t="s">
        <v>616</v>
      </c>
      <c r="J2981">
        <v>100.306</v>
      </c>
      <c r="K2981">
        <v>100.401</v>
      </c>
      <c r="L2981">
        <v>4.3609999999999998</v>
      </c>
      <c r="M2981">
        <v>4.3250000000000002</v>
      </c>
      <c r="N2981">
        <v>4.3280000000000003</v>
      </c>
      <c r="O2981" t="s">
        <v>101</v>
      </c>
      <c r="P2981" t="s">
        <v>2289</v>
      </c>
      <c r="Q2981" t="s">
        <v>2454</v>
      </c>
      <c r="R2981" t="s">
        <v>2726</v>
      </c>
    </row>
    <row r="2982" spans="1:18" x14ac:dyDescent="0.5">
      <c r="A2982" t="str">
        <f>"57636QAJ3"</f>
        <v>57636QAJ3</v>
      </c>
      <c r="B2982" t="s">
        <v>101</v>
      </c>
      <c r="C2982" t="s">
        <v>3751</v>
      </c>
      <c r="D2982" t="s">
        <v>2433</v>
      </c>
      <c r="E2982">
        <v>3.5</v>
      </c>
      <c r="F2982" s="2">
        <v>46809</v>
      </c>
      <c r="G2982" s="2">
        <v>46717</v>
      </c>
      <c r="H2982" t="s">
        <v>624</v>
      </c>
      <c r="I2982" t="s">
        <v>658</v>
      </c>
      <c r="J2982">
        <v>97.831999999999994</v>
      </c>
      <c r="K2982">
        <v>98.087000000000003</v>
      </c>
      <c r="L2982">
        <v>4.2880000000000003</v>
      </c>
      <c r="M2982">
        <v>4.194</v>
      </c>
      <c r="N2982">
        <v>4.194</v>
      </c>
      <c r="O2982" t="s">
        <v>101</v>
      </c>
      <c r="P2982" t="s">
        <v>1702</v>
      </c>
      <c r="Q2982" t="s">
        <v>2731</v>
      </c>
      <c r="R2982" t="s">
        <v>2436</v>
      </c>
    </row>
    <row r="2983" spans="1:18" x14ac:dyDescent="0.5">
      <c r="A2983" t="str">
        <f>"89114XHB2"</f>
        <v>89114XHB2</v>
      </c>
      <c r="B2983" t="s">
        <v>101</v>
      </c>
      <c r="C2983" t="s">
        <v>3752</v>
      </c>
      <c r="D2983" t="s">
        <v>2433</v>
      </c>
      <c r="E2983">
        <v>5</v>
      </c>
      <c r="F2983" s="2">
        <v>46810</v>
      </c>
      <c r="G2983" s="2">
        <v>45896</v>
      </c>
      <c r="H2983" t="s">
        <v>610</v>
      </c>
      <c r="I2983" t="s">
        <v>713</v>
      </c>
      <c r="J2983">
        <v>97</v>
      </c>
      <c r="K2983">
        <v>100.175</v>
      </c>
      <c r="L2983">
        <v>6.1230000000000002</v>
      </c>
      <c r="M2983">
        <v>4.601</v>
      </c>
      <c r="N2983">
        <v>4.9349999999999996</v>
      </c>
      <c r="O2983" t="s">
        <v>101</v>
      </c>
      <c r="P2983" t="s">
        <v>2438</v>
      </c>
      <c r="Q2983" t="s">
        <v>3753</v>
      </c>
      <c r="R2983" t="s">
        <v>2726</v>
      </c>
    </row>
    <row r="2984" spans="1:18" x14ac:dyDescent="0.5">
      <c r="A2984" t="str">
        <f>"055451AZ1"</f>
        <v>055451AZ1</v>
      </c>
      <c r="B2984" t="s">
        <v>101</v>
      </c>
      <c r="C2984" t="s">
        <v>3754</v>
      </c>
      <c r="D2984" t="s">
        <v>2433</v>
      </c>
      <c r="E2984">
        <v>4.75</v>
      </c>
      <c r="F2984" s="2">
        <v>46811</v>
      </c>
      <c r="G2984" s="2">
        <v>46780</v>
      </c>
      <c r="H2984" t="s">
        <v>641</v>
      </c>
      <c r="I2984" t="s">
        <v>713</v>
      </c>
      <c r="J2984">
        <v>100.66</v>
      </c>
      <c r="K2984">
        <v>100.726</v>
      </c>
      <c r="L2984">
        <v>4.5030000000000001</v>
      </c>
      <c r="M2984">
        <v>4.4790000000000001</v>
      </c>
      <c r="N2984">
        <v>4.4850000000000003</v>
      </c>
      <c r="O2984" t="s">
        <v>101</v>
      </c>
      <c r="P2984" t="s">
        <v>554</v>
      </c>
      <c r="Q2984" t="s">
        <v>2444</v>
      </c>
      <c r="R2984" t="s">
        <v>2436</v>
      </c>
    </row>
    <row r="2985" spans="1:18" x14ac:dyDescent="0.5">
      <c r="A2985" t="str">
        <f>"857477CU5"</f>
        <v>857477CU5</v>
      </c>
      <c r="B2985" t="s">
        <v>101</v>
      </c>
      <c r="C2985" t="s">
        <v>3755</v>
      </c>
      <c r="D2985" t="s">
        <v>2433</v>
      </c>
      <c r="E2985">
        <v>4.5359999999999996</v>
      </c>
      <c r="F2985" s="2">
        <v>46811</v>
      </c>
      <c r="G2985" s="2">
        <v>46780</v>
      </c>
      <c r="H2985" t="s">
        <v>624</v>
      </c>
      <c r="I2985" t="s">
        <v>611</v>
      </c>
      <c r="J2985">
        <v>100.154</v>
      </c>
      <c r="K2985">
        <v>100.25</v>
      </c>
      <c r="L2985">
        <v>4.4790000000000001</v>
      </c>
      <c r="M2985">
        <v>4.4429999999999996</v>
      </c>
      <c r="N2985">
        <v>4.444</v>
      </c>
      <c r="O2985" t="s">
        <v>101</v>
      </c>
      <c r="P2985" t="s">
        <v>2758</v>
      </c>
      <c r="Q2985" t="s">
        <v>3352</v>
      </c>
      <c r="R2985" t="s">
        <v>2436</v>
      </c>
    </row>
    <row r="2986" spans="1:18" x14ac:dyDescent="0.5">
      <c r="A2986" t="str">
        <f>"101137AS6"</f>
        <v>101137AS6</v>
      </c>
      <c r="B2986" t="s">
        <v>101</v>
      </c>
      <c r="C2986" t="s">
        <v>3756</v>
      </c>
      <c r="D2986" t="s">
        <v>2433</v>
      </c>
      <c r="E2986">
        <v>4</v>
      </c>
      <c r="F2986" s="2">
        <v>46813</v>
      </c>
      <c r="G2986" s="2">
        <v>46722</v>
      </c>
      <c r="H2986" t="s">
        <v>670</v>
      </c>
      <c r="I2986" t="s">
        <v>713</v>
      </c>
      <c r="J2986">
        <v>98.533000000000001</v>
      </c>
      <c r="K2986">
        <v>98.858999999999995</v>
      </c>
      <c r="L2986">
        <v>4.5330000000000004</v>
      </c>
      <c r="M2986">
        <v>4.4139999999999997</v>
      </c>
      <c r="N2986">
        <v>4.4139999999999997</v>
      </c>
      <c r="O2986" t="s">
        <v>101</v>
      </c>
      <c r="P2986" t="s">
        <v>3178</v>
      </c>
      <c r="Q2986" t="s">
        <v>2628</v>
      </c>
      <c r="R2986" t="s">
        <v>2436</v>
      </c>
    </row>
    <row r="2987" spans="1:18" x14ac:dyDescent="0.5">
      <c r="A2987" t="str">
        <f>"194162AR4"</f>
        <v>194162AR4</v>
      </c>
      <c r="B2987" t="s">
        <v>101</v>
      </c>
      <c r="C2987" t="s">
        <v>3757</v>
      </c>
      <c r="D2987" t="s">
        <v>2433</v>
      </c>
      <c r="E2987">
        <v>4.5999999999999996</v>
      </c>
      <c r="F2987" s="2">
        <v>46813</v>
      </c>
      <c r="G2987" s="2">
        <v>46784</v>
      </c>
      <c r="H2987" t="s">
        <v>624</v>
      </c>
      <c r="I2987" t="s">
        <v>658</v>
      </c>
      <c r="J2987">
        <v>101.346</v>
      </c>
      <c r="K2987">
        <v>101.602</v>
      </c>
      <c r="L2987">
        <v>4.101</v>
      </c>
      <c r="M2987">
        <v>4.0069999999999997</v>
      </c>
      <c r="N2987">
        <v>4.0220000000000002</v>
      </c>
      <c r="O2987" t="s">
        <v>101</v>
      </c>
      <c r="P2987" t="s">
        <v>2438</v>
      </c>
      <c r="Q2987" t="s">
        <v>2614</v>
      </c>
      <c r="R2987" t="s">
        <v>2436</v>
      </c>
    </row>
    <row r="2988" spans="1:18" x14ac:dyDescent="0.5">
      <c r="A2988" t="str">
        <f>"210518DS2"</f>
        <v>210518DS2</v>
      </c>
      <c r="B2988" t="s">
        <v>101</v>
      </c>
      <c r="C2988" t="s">
        <v>3758</v>
      </c>
      <c r="D2988" t="s">
        <v>2433</v>
      </c>
      <c r="E2988">
        <v>4.6500000000000004</v>
      </c>
      <c r="F2988" s="2">
        <v>46813</v>
      </c>
      <c r="G2988" s="2">
        <v>46753</v>
      </c>
      <c r="H2988" t="s">
        <v>641</v>
      </c>
      <c r="I2988" t="s">
        <v>611</v>
      </c>
      <c r="J2988">
        <v>100.498</v>
      </c>
      <c r="K2988">
        <v>100.747</v>
      </c>
      <c r="L2988">
        <v>4.46</v>
      </c>
      <c r="M2988">
        <v>4.3650000000000002</v>
      </c>
      <c r="N2988">
        <v>4.3780000000000001</v>
      </c>
      <c r="O2988" t="s">
        <v>101</v>
      </c>
      <c r="P2988" t="s">
        <v>3411</v>
      </c>
      <c r="Q2988" t="s">
        <v>2454</v>
      </c>
      <c r="R2988" t="s">
        <v>2436</v>
      </c>
    </row>
    <row r="2989" spans="1:18" x14ac:dyDescent="0.5">
      <c r="A2989" t="str">
        <f>"231021AJ5"</f>
        <v>231021AJ5</v>
      </c>
      <c r="B2989" t="s">
        <v>101</v>
      </c>
      <c r="C2989" t="s">
        <v>3759</v>
      </c>
      <c r="D2989" t="s">
        <v>2433</v>
      </c>
      <c r="E2989">
        <v>7.125</v>
      </c>
      <c r="F2989" s="2">
        <v>46813</v>
      </c>
      <c r="G2989" s="2" t="s">
        <v>101</v>
      </c>
      <c r="H2989" t="s">
        <v>610</v>
      </c>
      <c r="I2989" t="s">
        <v>611</v>
      </c>
      <c r="J2989">
        <v>107.307</v>
      </c>
      <c r="K2989">
        <v>107.494</v>
      </c>
      <c r="L2989">
        <v>4.4690000000000003</v>
      </c>
      <c r="M2989">
        <v>4.4039999999999999</v>
      </c>
      <c r="N2989">
        <v>4.4039999999999999</v>
      </c>
      <c r="O2989" t="s">
        <v>101</v>
      </c>
      <c r="P2989" t="s">
        <v>2289</v>
      </c>
      <c r="Q2989" t="s">
        <v>3760</v>
      </c>
      <c r="R2989" t="s">
        <v>2436</v>
      </c>
    </row>
    <row r="2990" spans="1:18" x14ac:dyDescent="0.5">
      <c r="A2990" t="str">
        <f>"036752AG8"</f>
        <v>036752AG8</v>
      </c>
      <c r="B2990" t="s">
        <v>101</v>
      </c>
      <c r="C2990" t="s">
        <v>3761</v>
      </c>
      <c r="D2990" t="s">
        <v>2433</v>
      </c>
      <c r="E2990">
        <v>4.101</v>
      </c>
      <c r="F2990" s="2">
        <v>46813</v>
      </c>
      <c r="G2990" s="2">
        <v>46722</v>
      </c>
      <c r="H2990" t="s">
        <v>677</v>
      </c>
      <c r="I2990" t="s">
        <v>611</v>
      </c>
      <c r="J2990">
        <v>98.567999999999998</v>
      </c>
      <c r="K2990">
        <v>98.701999999999998</v>
      </c>
      <c r="L2990">
        <v>4.6219999999999999</v>
      </c>
      <c r="M2990">
        <v>4.5730000000000004</v>
      </c>
      <c r="N2990">
        <v>4.5730000000000004</v>
      </c>
      <c r="O2990" t="s">
        <v>101</v>
      </c>
      <c r="P2990" t="s">
        <v>2438</v>
      </c>
      <c r="Q2990" t="s">
        <v>2507</v>
      </c>
      <c r="R2990" t="s">
        <v>2436</v>
      </c>
    </row>
    <row r="2991" spans="1:18" x14ac:dyDescent="0.5">
      <c r="A2991" t="str">
        <f>"26884ABJ1"</f>
        <v>26884ABJ1</v>
      </c>
      <c r="B2991" t="s">
        <v>101</v>
      </c>
      <c r="C2991" t="s">
        <v>3762</v>
      </c>
      <c r="D2991" t="s">
        <v>2433</v>
      </c>
      <c r="E2991">
        <v>3.5</v>
      </c>
      <c r="F2991" s="2">
        <v>46813</v>
      </c>
      <c r="G2991" s="2">
        <v>46722</v>
      </c>
      <c r="H2991" t="s">
        <v>627</v>
      </c>
      <c r="I2991" t="s">
        <v>713</v>
      </c>
      <c r="J2991">
        <v>97.150999999999996</v>
      </c>
      <c r="K2991">
        <v>97.238</v>
      </c>
      <c r="L2991">
        <v>4.5359999999999996</v>
      </c>
      <c r="M2991">
        <v>4.5039999999999996</v>
      </c>
      <c r="N2991">
        <v>4.5039999999999996</v>
      </c>
      <c r="O2991" t="s">
        <v>101</v>
      </c>
      <c r="P2991" t="s">
        <v>1236</v>
      </c>
      <c r="Q2991" t="s">
        <v>3075</v>
      </c>
      <c r="R2991" t="s">
        <v>2436</v>
      </c>
    </row>
    <row r="2992" spans="1:18" x14ac:dyDescent="0.5">
      <c r="A2992" t="str">
        <f>"478160DH4"</f>
        <v>478160DH4</v>
      </c>
      <c r="B2992" t="s">
        <v>101</v>
      </c>
      <c r="C2992" t="s">
        <v>3763</v>
      </c>
      <c r="D2992" t="s">
        <v>2433</v>
      </c>
      <c r="E2992">
        <v>4.55</v>
      </c>
      <c r="F2992" s="2">
        <v>46813</v>
      </c>
      <c r="G2992" s="2">
        <v>46784</v>
      </c>
      <c r="H2992" t="s">
        <v>104</v>
      </c>
      <c r="I2992" t="s">
        <v>104</v>
      </c>
      <c r="J2992">
        <v>100.834</v>
      </c>
      <c r="K2992">
        <v>100.904</v>
      </c>
      <c r="L2992">
        <v>4.24</v>
      </c>
      <c r="M2992">
        <v>4.2140000000000004</v>
      </c>
      <c r="N2992">
        <v>4.2210000000000001</v>
      </c>
      <c r="O2992" t="s">
        <v>101</v>
      </c>
      <c r="P2992" t="s">
        <v>1391</v>
      </c>
      <c r="Q2992" t="s">
        <v>2454</v>
      </c>
      <c r="R2992" t="s">
        <v>2436</v>
      </c>
    </row>
    <row r="2993" spans="1:18" x14ac:dyDescent="0.5">
      <c r="A2993" t="str">
        <f>"589331AD9"</f>
        <v>589331AD9</v>
      </c>
      <c r="B2993" t="s">
        <v>101</v>
      </c>
      <c r="C2993" t="s">
        <v>3764</v>
      </c>
      <c r="D2993" t="s">
        <v>2433</v>
      </c>
      <c r="E2993">
        <v>6.4</v>
      </c>
      <c r="F2993" s="2">
        <v>46813</v>
      </c>
      <c r="G2993" s="2" t="s">
        <v>101</v>
      </c>
      <c r="H2993" t="s">
        <v>641</v>
      </c>
      <c r="I2993" t="s">
        <v>658</v>
      </c>
      <c r="J2993">
        <v>105.556</v>
      </c>
      <c r="K2993">
        <v>105.905</v>
      </c>
      <c r="L2993">
        <v>4.383</v>
      </c>
      <c r="M2993">
        <v>4.2610000000000001</v>
      </c>
      <c r="N2993">
        <v>4.2610000000000001</v>
      </c>
      <c r="O2993" t="s">
        <v>101</v>
      </c>
      <c r="P2993" t="s">
        <v>2948</v>
      </c>
      <c r="Q2993" t="s">
        <v>3765</v>
      </c>
      <c r="R2993" t="s">
        <v>2436</v>
      </c>
    </row>
    <row r="2994" spans="1:18" x14ac:dyDescent="0.5">
      <c r="A2994" t="str">
        <f>"842400GJ6"</f>
        <v>842400GJ6</v>
      </c>
      <c r="B2994" t="s">
        <v>101</v>
      </c>
      <c r="C2994" t="s">
        <v>3766</v>
      </c>
      <c r="D2994" t="s">
        <v>2433</v>
      </c>
      <c r="E2994">
        <v>3.65</v>
      </c>
      <c r="F2994" s="2">
        <v>46813</v>
      </c>
      <c r="G2994" s="2">
        <v>46722</v>
      </c>
      <c r="H2994" t="s">
        <v>610</v>
      </c>
      <c r="I2994" t="s">
        <v>713</v>
      </c>
      <c r="J2994">
        <v>95.962999999999994</v>
      </c>
      <c r="K2994">
        <v>96.263999999999996</v>
      </c>
      <c r="L2994">
        <v>5.133</v>
      </c>
      <c r="M2994">
        <v>5.0190000000000001</v>
      </c>
      <c r="N2994">
        <v>5.0190000000000001</v>
      </c>
      <c r="O2994" t="s">
        <v>101</v>
      </c>
      <c r="P2994" t="s">
        <v>3160</v>
      </c>
      <c r="Q2994" t="s">
        <v>2507</v>
      </c>
      <c r="R2994" t="s">
        <v>2436</v>
      </c>
    </row>
    <row r="2995" spans="1:18" x14ac:dyDescent="0.5">
      <c r="A2995" t="str">
        <f>"842400HU0"</f>
        <v>842400HU0</v>
      </c>
      <c r="B2995" t="s">
        <v>101</v>
      </c>
      <c r="C2995" t="s">
        <v>3767</v>
      </c>
      <c r="D2995" t="s">
        <v>2433</v>
      </c>
      <c r="E2995">
        <v>5.3</v>
      </c>
      <c r="F2995" s="2">
        <v>46813</v>
      </c>
      <c r="G2995" s="2">
        <v>46784</v>
      </c>
      <c r="H2995" t="s">
        <v>610</v>
      </c>
      <c r="I2995" t="s">
        <v>713</v>
      </c>
      <c r="J2995">
        <v>100.499</v>
      </c>
      <c r="K2995">
        <v>100.77800000000001</v>
      </c>
      <c r="L2995">
        <v>5.1130000000000004</v>
      </c>
      <c r="M2995">
        <v>5.008</v>
      </c>
      <c r="N2995">
        <v>5.0140000000000002</v>
      </c>
      <c r="O2995" t="s">
        <v>101</v>
      </c>
      <c r="P2995" t="s">
        <v>1702</v>
      </c>
      <c r="Q2995" t="s">
        <v>2507</v>
      </c>
      <c r="R2995" t="s">
        <v>2436</v>
      </c>
    </row>
    <row r="2996" spans="1:18" x14ac:dyDescent="0.5">
      <c r="A2996" t="str">
        <f>"606822AV6"</f>
        <v>606822AV6</v>
      </c>
      <c r="B2996" t="s">
        <v>101</v>
      </c>
      <c r="C2996" t="s">
        <v>3768</v>
      </c>
      <c r="D2996" t="s">
        <v>2433</v>
      </c>
      <c r="E2996">
        <v>3.9609999999999999</v>
      </c>
      <c r="F2996" s="2">
        <v>46814</v>
      </c>
      <c r="G2996" s="2" t="s">
        <v>101</v>
      </c>
      <c r="H2996" t="s">
        <v>641</v>
      </c>
      <c r="I2996" t="s">
        <v>713</v>
      </c>
      <c r="J2996">
        <v>98.382000000000005</v>
      </c>
      <c r="K2996">
        <v>98.572999999999993</v>
      </c>
      <c r="L2996">
        <v>4.5490000000000004</v>
      </c>
      <c r="M2996">
        <v>4.4790000000000001</v>
      </c>
      <c r="N2996">
        <v>4.4790000000000001</v>
      </c>
      <c r="O2996" t="s">
        <v>101</v>
      </c>
      <c r="P2996" t="s">
        <v>2438</v>
      </c>
      <c r="Q2996" t="s">
        <v>2472</v>
      </c>
      <c r="R2996" t="s">
        <v>2436</v>
      </c>
    </row>
    <row r="2997" spans="1:18" x14ac:dyDescent="0.5">
      <c r="A2997" t="str">
        <f>"718172CE7"</f>
        <v>718172CE7</v>
      </c>
      <c r="B2997" t="s">
        <v>101</v>
      </c>
      <c r="C2997" t="s">
        <v>3769</v>
      </c>
      <c r="D2997" t="s">
        <v>2433</v>
      </c>
      <c r="E2997">
        <v>3.125</v>
      </c>
      <c r="F2997" s="2">
        <v>46814</v>
      </c>
      <c r="G2997" s="2">
        <v>46723</v>
      </c>
      <c r="H2997" t="s">
        <v>610</v>
      </c>
      <c r="I2997" t="s">
        <v>713</v>
      </c>
      <c r="J2997">
        <v>96.012</v>
      </c>
      <c r="K2997">
        <v>96.204999999999998</v>
      </c>
      <c r="L2997">
        <v>4.5750000000000002</v>
      </c>
      <c r="M2997">
        <v>4.5030000000000001</v>
      </c>
      <c r="N2997">
        <v>4.5030000000000001</v>
      </c>
      <c r="O2997" t="s">
        <v>101</v>
      </c>
      <c r="P2997" t="s">
        <v>1702</v>
      </c>
      <c r="Q2997" t="s">
        <v>2454</v>
      </c>
      <c r="R2997" t="s">
        <v>2436</v>
      </c>
    </row>
    <row r="2998" spans="1:18" x14ac:dyDescent="0.5">
      <c r="A2998" t="str">
        <f>"02665WFX4"</f>
        <v>02665WFX4</v>
      </c>
      <c r="B2998" t="s">
        <v>101</v>
      </c>
      <c r="C2998" t="s">
        <v>3770</v>
      </c>
      <c r="D2998" t="s">
        <v>2433</v>
      </c>
      <c r="E2998">
        <v>4.55</v>
      </c>
      <c r="F2998" s="2">
        <v>46815</v>
      </c>
      <c r="G2998" s="2" t="s">
        <v>101</v>
      </c>
      <c r="H2998" t="s">
        <v>627</v>
      </c>
      <c r="I2998" t="s">
        <v>713</v>
      </c>
      <c r="J2998">
        <v>99.655000000000001</v>
      </c>
      <c r="K2998">
        <v>99.915999999999997</v>
      </c>
      <c r="L2998">
        <v>4.6749999999999998</v>
      </c>
      <c r="M2998">
        <v>4.58</v>
      </c>
      <c r="N2998">
        <v>4.58</v>
      </c>
      <c r="O2998" t="s">
        <v>101</v>
      </c>
      <c r="P2998" t="s">
        <v>2776</v>
      </c>
      <c r="Q2998" t="s">
        <v>2454</v>
      </c>
      <c r="R2998" t="s">
        <v>2726</v>
      </c>
    </row>
    <row r="2999" spans="1:18" x14ac:dyDescent="0.5">
      <c r="A2999" t="str">
        <f>"04636NAF0"</f>
        <v>04636NAF0</v>
      </c>
      <c r="B2999" t="s">
        <v>101</v>
      </c>
      <c r="C2999" t="s">
        <v>3771</v>
      </c>
      <c r="D2999" t="s">
        <v>2433</v>
      </c>
      <c r="E2999">
        <v>4.875</v>
      </c>
      <c r="F2999" s="2">
        <v>46815</v>
      </c>
      <c r="G2999" s="2">
        <v>46786</v>
      </c>
      <c r="H2999" t="s">
        <v>641</v>
      </c>
      <c r="I2999" t="s">
        <v>658</v>
      </c>
      <c r="J2999">
        <v>101.31100000000001</v>
      </c>
      <c r="K2999">
        <v>101.47</v>
      </c>
      <c r="L2999">
        <v>4.3879999999999999</v>
      </c>
      <c r="M2999">
        <v>4.3289999999999997</v>
      </c>
      <c r="N2999">
        <v>4.3419999999999996</v>
      </c>
      <c r="O2999" t="s">
        <v>101</v>
      </c>
      <c r="P2999" t="s">
        <v>1999</v>
      </c>
      <c r="Q2999" t="s">
        <v>1999</v>
      </c>
      <c r="R2999" t="s">
        <v>2436</v>
      </c>
    </row>
    <row r="3000" spans="1:18" x14ac:dyDescent="0.5">
      <c r="A3000" t="str">
        <f>"24422EWV7"</f>
        <v>24422EWV7</v>
      </c>
      <c r="B3000" t="s">
        <v>101</v>
      </c>
      <c r="C3000" t="s">
        <v>3772</v>
      </c>
      <c r="D3000" t="s">
        <v>2433</v>
      </c>
      <c r="E3000">
        <v>4.9000000000000004</v>
      </c>
      <c r="F3000" s="2">
        <v>46815</v>
      </c>
      <c r="G3000" s="2" t="s">
        <v>105</v>
      </c>
      <c r="H3000" t="s">
        <v>641</v>
      </c>
      <c r="I3000" t="s">
        <v>611</v>
      </c>
      <c r="J3000">
        <v>101.56699999999999</v>
      </c>
      <c r="K3000">
        <v>101.676</v>
      </c>
      <c r="L3000">
        <v>4.3319999999999999</v>
      </c>
      <c r="M3000">
        <v>4.2930000000000001</v>
      </c>
      <c r="N3000">
        <v>4.2930000000000001</v>
      </c>
      <c r="O3000" t="s">
        <v>101</v>
      </c>
      <c r="P3000" t="s">
        <v>858</v>
      </c>
      <c r="Q3000" t="s">
        <v>3075</v>
      </c>
      <c r="R3000" t="s">
        <v>2465</v>
      </c>
    </row>
    <row r="3001" spans="1:18" x14ac:dyDescent="0.5">
      <c r="A3001" t="str">
        <f>"69371RT63"</f>
        <v>69371RT63</v>
      </c>
      <c r="B3001" t="s">
        <v>101</v>
      </c>
      <c r="C3001" t="s">
        <v>3773</v>
      </c>
      <c r="D3001" t="s">
        <v>2433</v>
      </c>
      <c r="E3001">
        <v>4.55</v>
      </c>
      <c r="F3001" s="2">
        <v>46815</v>
      </c>
      <c r="G3001" s="2" t="s">
        <v>105</v>
      </c>
      <c r="H3001" t="s">
        <v>641</v>
      </c>
      <c r="I3001" t="s">
        <v>658</v>
      </c>
      <c r="J3001">
        <v>100.33799999999999</v>
      </c>
      <c r="K3001">
        <v>100.577</v>
      </c>
      <c r="L3001">
        <v>4.4269999999999996</v>
      </c>
      <c r="M3001">
        <v>4.3410000000000002</v>
      </c>
      <c r="N3001">
        <v>4.3410000000000002</v>
      </c>
      <c r="O3001" t="s">
        <v>101</v>
      </c>
      <c r="P3001" t="s">
        <v>2774</v>
      </c>
      <c r="Q3001" t="s">
        <v>3075</v>
      </c>
      <c r="R3001" t="s">
        <v>2465</v>
      </c>
    </row>
    <row r="3002" spans="1:18" x14ac:dyDescent="0.5">
      <c r="A3002" t="str">
        <f>"191216DJ6"</f>
        <v>191216DJ6</v>
      </c>
      <c r="B3002" t="s">
        <v>101</v>
      </c>
      <c r="C3002" t="s">
        <v>3774</v>
      </c>
      <c r="D3002" t="s">
        <v>2433</v>
      </c>
      <c r="E3002">
        <v>1.5</v>
      </c>
      <c r="F3002" s="2">
        <v>46817</v>
      </c>
      <c r="G3002" s="2" t="s">
        <v>101</v>
      </c>
      <c r="H3002" t="s">
        <v>641</v>
      </c>
      <c r="I3002" t="s">
        <v>658</v>
      </c>
      <c r="J3002">
        <v>92.263000000000005</v>
      </c>
      <c r="K3002">
        <v>92.501000000000005</v>
      </c>
      <c r="L3002">
        <v>4.2930000000000001</v>
      </c>
      <c r="M3002">
        <v>4.2030000000000003</v>
      </c>
      <c r="N3002">
        <v>4.2030000000000003</v>
      </c>
      <c r="O3002" t="s">
        <v>101</v>
      </c>
      <c r="P3002" t="s">
        <v>2774</v>
      </c>
      <c r="Q3002" t="s">
        <v>2581</v>
      </c>
      <c r="R3002" t="s">
        <v>2436</v>
      </c>
    </row>
    <row r="3003" spans="1:18" x14ac:dyDescent="0.5">
      <c r="A3003" t="str">
        <f>"60687YAR0"</f>
        <v>60687YAR0</v>
      </c>
      <c r="B3003" t="s">
        <v>101</v>
      </c>
      <c r="C3003" t="s">
        <v>3775</v>
      </c>
      <c r="D3003" t="s">
        <v>2433</v>
      </c>
      <c r="E3003">
        <v>4.0179999999999998</v>
      </c>
      <c r="F3003" s="2">
        <v>46817</v>
      </c>
      <c r="G3003" s="2" t="s">
        <v>101</v>
      </c>
      <c r="H3003" t="s">
        <v>641</v>
      </c>
      <c r="I3003" t="s">
        <v>713</v>
      </c>
      <c r="J3003">
        <v>98.426000000000002</v>
      </c>
      <c r="K3003">
        <v>98.617000000000004</v>
      </c>
      <c r="L3003">
        <v>4.5890000000000004</v>
      </c>
      <c r="M3003">
        <v>4.5190000000000001</v>
      </c>
      <c r="N3003">
        <v>4.5190000000000001</v>
      </c>
      <c r="O3003" t="s">
        <v>101</v>
      </c>
      <c r="P3003" t="s">
        <v>542</v>
      </c>
      <c r="Q3003" t="s">
        <v>2687</v>
      </c>
      <c r="R3003" t="s">
        <v>2436</v>
      </c>
    </row>
    <row r="3004" spans="1:18" x14ac:dyDescent="0.5">
      <c r="A3004" t="str">
        <f>"24422EVP1"</f>
        <v>24422EVP1</v>
      </c>
      <c r="B3004" t="s">
        <v>101</v>
      </c>
      <c r="C3004" t="s">
        <v>3776</v>
      </c>
      <c r="D3004" t="s">
        <v>2433</v>
      </c>
      <c r="E3004">
        <v>1.5</v>
      </c>
      <c r="F3004" s="2">
        <v>46818</v>
      </c>
      <c r="G3004" s="2" t="s">
        <v>105</v>
      </c>
      <c r="H3004" t="s">
        <v>641</v>
      </c>
      <c r="I3004" t="s">
        <v>611</v>
      </c>
      <c r="J3004">
        <v>92.09</v>
      </c>
      <c r="K3004">
        <v>92.283000000000001</v>
      </c>
      <c r="L3004">
        <v>4.3559999999999999</v>
      </c>
      <c r="M3004">
        <v>4.2830000000000004</v>
      </c>
      <c r="N3004">
        <v>4.2830000000000004</v>
      </c>
      <c r="O3004" t="s">
        <v>101</v>
      </c>
      <c r="P3004" t="s">
        <v>858</v>
      </c>
      <c r="Q3004" t="s">
        <v>3777</v>
      </c>
      <c r="R3004" t="s">
        <v>2465</v>
      </c>
    </row>
    <row r="3005" spans="1:18" x14ac:dyDescent="0.5">
      <c r="A3005" t="str">
        <f>"70450YAS2"</f>
        <v>70450YAS2</v>
      </c>
      <c r="B3005" t="s">
        <v>101</v>
      </c>
      <c r="C3005" t="s">
        <v>3778</v>
      </c>
      <c r="D3005" t="s">
        <v>2433</v>
      </c>
      <c r="E3005">
        <v>4.45</v>
      </c>
      <c r="F3005" s="2">
        <v>46818</v>
      </c>
      <c r="G3005" s="2">
        <v>46789</v>
      </c>
      <c r="H3005" t="s">
        <v>627</v>
      </c>
      <c r="I3005" t="s">
        <v>713</v>
      </c>
      <c r="J3005">
        <v>100.027</v>
      </c>
      <c r="K3005">
        <v>100.111</v>
      </c>
      <c r="L3005">
        <v>4.4400000000000004</v>
      </c>
      <c r="M3005">
        <v>4.41</v>
      </c>
      <c r="N3005">
        <v>4.41</v>
      </c>
      <c r="O3005" t="s">
        <v>101</v>
      </c>
      <c r="P3005" t="s">
        <v>3779</v>
      </c>
      <c r="Q3005" t="s">
        <v>2454</v>
      </c>
      <c r="R3005" t="s">
        <v>2726</v>
      </c>
    </row>
    <row r="3006" spans="1:18" x14ac:dyDescent="0.5">
      <c r="A3006" t="str">
        <f>"854502AT8"</f>
        <v>854502AT8</v>
      </c>
      <c r="B3006" t="s">
        <v>101</v>
      </c>
      <c r="C3006" t="s">
        <v>3780</v>
      </c>
      <c r="D3006" t="s">
        <v>2433</v>
      </c>
      <c r="E3006">
        <v>6</v>
      </c>
      <c r="F3006" s="2">
        <v>46818</v>
      </c>
      <c r="G3006" s="2">
        <v>46789</v>
      </c>
      <c r="H3006" t="s">
        <v>685</v>
      </c>
      <c r="I3006" t="s">
        <v>713</v>
      </c>
      <c r="J3006">
        <v>103.851</v>
      </c>
      <c r="K3006">
        <v>104.16500000000001</v>
      </c>
      <c r="L3006">
        <v>4.5679999999999996</v>
      </c>
      <c r="M3006">
        <v>4.4539999999999997</v>
      </c>
      <c r="N3006">
        <v>4.492</v>
      </c>
      <c r="O3006" t="s">
        <v>101</v>
      </c>
      <c r="P3006" t="s">
        <v>3241</v>
      </c>
      <c r="Q3006" t="s">
        <v>2454</v>
      </c>
      <c r="R3006" t="s">
        <v>2436</v>
      </c>
    </row>
    <row r="3007" spans="1:18" x14ac:dyDescent="0.5">
      <c r="A3007" t="str">
        <f>"57636QAW4"</f>
        <v>57636QAW4</v>
      </c>
      <c r="B3007" t="s">
        <v>101</v>
      </c>
      <c r="C3007" t="s">
        <v>3781</v>
      </c>
      <c r="D3007" t="s">
        <v>2433</v>
      </c>
      <c r="E3007">
        <v>4.875</v>
      </c>
      <c r="F3007" s="2">
        <v>46821</v>
      </c>
      <c r="G3007" s="2">
        <v>46792</v>
      </c>
      <c r="H3007" t="s">
        <v>624</v>
      </c>
      <c r="I3007" t="s">
        <v>658</v>
      </c>
      <c r="J3007">
        <v>101.5</v>
      </c>
      <c r="K3007">
        <v>101.614</v>
      </c>
      <c r="L3007">
        <v>4.3220000000000001</v>
      </c>
      <c r="M3007">
        <v>4.28</v>
      </c>
      <c r="N3007">
        <v>4.2939999999999996</v>
      </c>
      <c r="O3007" t="s">
        <v>101</v>
      </c>
      <c r="P3007" t="s">
        <v>2489</v>
      </c>
      <c r="Q3007" t="s">
        <v>2581</v>
      </c>
      <c r="R3007" t="s">
        <v>2436</v>
      </c>
    </row>
    <row r="3008" spans="1:18" x14ac:dyDescent="0.5">
      <c r="A3008" t="str">
        <f>"00287YDY2"</f>
        <v>00287YDY2</v>
      </c>
      <c r="B3008" t="s">
        <v>101</v>
      </c>
      <c r="C3008" t="s">
        <v>3782</v>
      </c>
      <c r="D3008" t="s">
        <v>2433</v>
      </c>
      <c r="E3008">
        <v>4.6500000000000004</v>
      </c>
      <c r="F3008" s="2">
        <v>46827</v>
      </c>
      <c r="G3008" s="2">
        <v>46798</v>
      </c>
      <c r="H3008" t="s">
        <v>627</v>
      </c>
      <c r="I3008" t="s">
        <v>713</v>
      </c>
      <c r="J3008">
        <v>100.349</v>
      </c>
      <c r="K3008">
        <v>100.51</v>
      </c>
      <c r="L3008">
        <v>4.5190000000000001</v>
      </c>
      <c r="M3008">
        <v>4.4610000000000003</v>
      </c>
      <c r="N3008">
        <v>4.4649999999999999</v>
      </c>
      <c r="O3008" t="s">
        <v>101</v>
      </c>
      <c r="P3008" t="s">
        <v>2454</v>
      </c>
      <c r="Q3008" t="s">
        <v>2454</v>
      </c>
      <c r="R3008" t="s">
        <v>2726</v>
      </c>
    </row>
    <row r="3009" spans="1:18" x14ac:dyDescent="0.5">
      <c r="A3009" t="str">
        <f>"741503BC9"</f>
        <v>741503BC9</v>
      </c>
      <c r="B3009" t="s">
        <v>101</v>
      </c>
      <c r="C3009" t="s">
        <v>3783</v>
      </c>
      <c r="D3009" t="s">
        <v>2433</v>
      </c>
      <c r="E3009">
        <v>3.55</v>
      </c>
      <c r="F3009" s="2">
        <v>46827</v>
      </c>
      <c r="G3009" s="2">
        <v>46736</v>
      </c>
      <c r="H3009" t="s">
        <v>627</v>
      </c>
      <c r="I3009" t="s">
        <v>713</v>
      </c>
      <c r="J3009">
        <v>97.471000000000004</v>
      </c>
      <c r="K3009">
        <v>97.667000000000002</v>
      </c>
      <c r="L3009">
        <v>4.4569999999999999</v>
      </c>
      <c r="M3009">
        <v>4.3860000000000001</v>
      </c>
      <c r="N3009">
        <v>4.3860000000000001</v>
      </c>
      <c r="O3009" t="s">
        <v>101</v>
      </c>
      <c r="P3009" t="s">
        <v>1702</v>
      </c>
      <c r="Q3009" t="s">
        <v>2581</v>
      </c>
      <c r="R3009" t="s">
        <v>2436</v>
      </c>
    </row>
    <row r="3010" spans="1:18" x14ac:dyDescent="0.5">
      <c r="A3010" t="str">
        <f>"191216DD9"</f>
        <v>191216DD9</v>
      </c>
      <c r="B3010" t="s">
        <v>101</v>
      </c>
      <c r="C3010" t="s">
        <v>3784</v>
      </c>
      <c r="D3010" t="s">
        <v>2433</v>
      </c>
      <c r="E3010">
        <v>1</v>
      </c>
      <c r="F3010" s="2">
        <v>46827</v>
      </c>
      <c r="G3010" s="2" t="s">
        <v>101</v>
      </c>
      <c r="H3010" t="s">
        <v>641</v>
      </c>
      <c r="I3010" t="s">
        <v>658</v>
      </c>
      <c r="J3010">
        <v>90.88</v>
      </c>
      <c r="K3010">
        <v>91.040999999999997</v>
      </c>
      <c r="L3010">
        <v>4.2619999999999996</v>
      </c>
      <c r="M3010">
        <v>4.2009999999999996</v>
      </c>
      <c r="N3010">
        <v>4.2009999999999996</v>
      </c>
      <c r="O3010" t="s">
        <v>101</v>
      </c>
      <c r="P3010" t="s">
        <v>2774</v>
      </c>
      <c r="Q3010" t="s">
        <v>2454</v>
      </c>
      <c r="R3010" t="s">
        <v>2436</v>
      </c>
    </row>
    <row r="3011" spans="1:18" x14ac:dyDescent="0.5">
      <c r="A3011" t="str">
        <f>"437076CE0"</f>
        <v>437076CE0</v>
      </c>
      <c r="B3011" t="s">
        <v>101</v>
      </c>
      <c r="C3011" t="s">
        <v>3785</v>
      </c>
      <c r="D3011" t="s">
        <v>2433</v>
      </c>
      <c r="E3011">
        <v>0.9</v>
      </c>
      <c r="F3011" s="2">
        <v>46827</v>
      </c>
      <c r="G3011" s="2">
        <v>46767</v>
      </c>
      <c r="H3011" t="s">
        <v>610</v>
      </c>
      <c r="I3011" t="s">
        <v>611</v>
      </c>
      <c r="J3011">
        <v>90.438000000000002</v>
      </c>
      <c r="K3011">
        <v>90.626000000000005</v>
      </c>
      <c r="L3011">
        <v>4.3239999999999998</v>
      </c>
      <c r="M3011">
        <v>4.2530000000000001</v>
      </c>
      <c r="N3011">
        <v>4.2530000000000001</v>
      </c>
      <c r="O3011" t="s">
        <v>101</v>
      </c>
      <c r="P3011" t="s">
        <v>2447</v>
      </c>
      <c r="Q3011" t="s">
        <v>2447</v>
      </c>
      <c r="R3011" t="s">
        <v>2436</v>
      </c>
    </row>
    <row r="3012" spans="1:18" x14ac:dyDescent="0.5">
      <c r="A3012" t="str">
        <f>"57636QBF0"</f>
        <v>57636QBF0</v>
      </c>
      <c r="B3012" t="s">
        <v>101</v>
      </c>
      <c r="C3012" t="s">
        <v>3786</v>
      </c>
      <c r="D3012" t="s">
        <v>2433</v>
      </c>
      <c r="E3012">
        <v>4.55</v>
      </c>
      <c r="F3012" s="2">
        <v>46827</v>
      </c>
      <c r="G3012" s="2">
        <v>46798</v>
      </c>
      <c r="H3012" t="s">
        <v>624</v>
      </c>
      <c r="I3012" t="s">
        <v>105</v>
      </c>
      <c r="J3012">
        <v>100.414</v>
      </c>
      <c r="K3012">
        <v>100.63200000000001</v>
      </c>
      <c r="L3012">
        <v>4.3970000000000002</v>
      </c>
      <c r="M3012">
        <v>4.3170000000000002</v>
      </c>
      <c r="N3012">
        <v>4.3220000000000001</v>
      </c>
      <c r="O3012" t="s">
        <v>101</v>
      </c>
      <c r="P3012" t="s">
        <v>2472</v>
      </c>
      <c r="Q3012" t="s">
        <v>2454</v>
      </c>
      <c r="R3012" t="s">
        <v>2726</v>
      </c>
    </row>
    <row r="3013" spans="1:18" x14ac:dyDescent="0.5">
      <c r="A3013" t="str">
        <f>"63743FVV5"</f>
        <v>63743FVV5</v>
      </c>
      <c r="B3013" t="s">
        <v>101</v>
      </c>
      <c r="C3013" t="s">
        <v>3787</v>
      </c>
      <c r="D3013" t="s">
        <v>2433</v>
      </c>
      <c r="E3013">
        <v>3.5</v>
      </c>
      <c r="F3013" s="2">
        <v>46827</v>
      </c>
      <c r="G3013" s="2" t="s">
        <v>105</v>
      </c>
      <c r="H3013" t="s">
        <v>610</v>
      </c>
      <c r="I3013" t="s">
        <v>713</v>
      </c>
      <c r="J3013">
        <v>96.399000000000001</v>
      </c>
      <c r="K3013">
        <v>97.417000000000002</v>
      </c>
      <c r="L3013">
        <v>4.7880000000000003</v>
      </c>
      <c r="M3013">
        <v>4.4189999999999996</v>
      </c>
      <c r="N3013">
        <v>4.4189999999999996</v>
      </c>
      <c r="O3013" t="s">
        <v>101</v>
      </c>
      <c r="P3013" t="s">
        <v>2790</v>
      </c>
      <c r="Q3013" t="s">
        <v>457</v>
      </c>
      <c r="R3013" t="s">
        <v>2610</v>
      </c>
    </row>
    <row r="3014" spans="1:18" x14ac:dyDescent="0.5">
      <c r="A3014" t="str">
        <f>"63743F2G0"</f>
        <v>63743F2G0</v>
      </c>
      <c r="B3014" t="s">
        <v>101</v>
      </c>
      <c r="C3014" t="s">
        <v>3788</v>
      </c>
      <c r="D3014" t="s">
        <v>2433</v>
      </c>
      <c r="E3014">
        <v>4.45</v>
      </c>
      <c r="F3014" s="2">
        <v>46827</v>
      </c>
      <c r="G3014" s="2">
        <v>46096</v>
      </c>
      <c r="H3014" t="s">
        <v>610</v>
      </c>
      <c r="I3014" t="s">
        <v>713</v>
      </c>
      <c r="J3014">
        <v>98.265000000000001</v>
      </c>
      <c r="K3014">
        <v>100.155</v>
      </c>
      <c r="L3014">
        <v>5.0730000000000004</v>
      </c>
      <c r="M3014">
        <v>4.2930000000000001</v>
      </c>
      <c r="N3014">
        <v>4.3949999999999996</v>
      </c>
      <c r="O3014" t="s">
        <v>101</v>
      </c>
      <c r="P3014" t="s">
        <v>1391</v>
      </c>
      <c r="Q3014" t="s">
        <v>485</v>
      </c>
      <c r="R3014" t="s">
        <v>3643</v>
      </c>
    </row>
    <row r="3015" spans="1:18" x14ac:dyDescent="0.5">
      <c r="A3015" t="str">
        <f>"63743HFG2"</f>
        <v>63743HFG2</v>
      </c>
      <c r="B3015" t="s">
        <v>101</v>
      </c>
      <c r="C3015" t="s">
        <v>3789</v>
      </c>
      <c r="D3015" t="s">
        <v>2433</v>
      </c>
      <c r="E3015">
        <v>4.8</v>
      </c>
      <c r="F3015" s="2">
        <v>46827</v>
      </c>
      <c r="G3015" s="2">
        <v>46798</v>
      </c>
      <c r="H3015" t="s">
        <v>610</v>
      </c>
      <c r="I3015" t="s">
        <v>713</v>
      </c>
      <c r="J3015">
        <v>100.51900000000001</v>
      </c>
      <c r="K3015">
        <v>100.88</v>
      </c>
      <c r="L3015">
        <v>4.609</v>
      </c>
      <c r="M3015">
        <v>4.4770000000000003</v>
      </c>
      <c r="N3015">
        <v>4.484</v>
      </c>
      <c r="O3015" t="s">
        <v>101</v>
      </c>
      <c r="P3015" t="s">
        <v>2472</v>
      </c>
      <c r="Q3015" t="s">
        <v>2454</v>
      </c>
      <c r="R3015" t="s">
        <v>2436</v>
      </c>
    </row>
    <row r="3016" spans="1:18" x14ac:dyDescent="0.5">
      <c r="A3016" t="str">
        <f>"756109CA0"</f>
        <v>756109CA0</v>
      </c>
      <c r="B3016" t="s">
        <v>101</v>
      </c>
      <c r="C3016" t="s">
        <v>3790</v>
      </c>
      <c r="D3016" t="s">
        <v>2433</v>
      </c>
      <c r="E3016">
        <v>2.1</v>
      </c>
      <c r="F3016" s="2">
        <v>46827</v>
      </c>
      <c r="G3016" s="2">
        <v>46767</v>
      </c>
      <c r="H3016" t="s">
        <v>627</v>
      </c>
      <c r="I3016" t="s">
        <v>713</v>
      </c>
      <c r="J3016">
        <v>92.942999999999998</v>
      </c>
      <c r="K3016">
        <v>93.161000000000001</v>
      </c>
      <c r="L3016">
        <v>4.6399999999999997</v>
      </c>
      <c r="M3016">
        <v>4.5579999999999998</v>
      </c>
      <c r="N3016">
        <v>4.5579999999999998</v>
      </c>
      <c r="O3016" t="s">
        <v>101</v>
      </c>
      <c r="P3016" t="s">
        <v>1702</v>
      </c>
      <c r="Q3016" t="s">
        <v>2454</v>
      </c>
      <c r="R3016" t="s">
        <v>2436</v>
      </c>
    </row>
    <row r="3017" spans="1:18" x14ac:dyDescent="0.5">
      <c r="A3017" t="str">
        <f>"75884RAX1"</f>
        <v>75884RAX1</v>
      </c>
      <c r="B3017" t="s">
        <v>101</v>
      </c>
      <c r="C3017" t="s">
        <v>3791</v>
      </c>
      <c r="D3017" t="s">
        <v>2433</v>
      </c>
      <c r="E3017">
        <v>4.125</v>
      </c>
      <c r="F3017" s="2">
        <v>46827</v>
      </c>
      <c r="G3017" s="2">
        <v>46736</v>
      </c>
      <c r="H3017" t="s">
        <v>627</v>
      </c>
      <c r="I3017" t="s">
        <v>713</v>
      </c>
      <c r="J3017">
        <v>98.411000000000001</v>
      </c>
      <c r="K3017">
        <v>98.757999999999996</v>
      </c>
      <c r="L3017">
        <v>4.6970000000000001</v>
      </c>
      <c r="M3017">
        <v>4.5709999999999997</v>
      </c>
      <c r="N3017">
        <v>4.5709999999999997</v>
      </c>
      <c r="O3017" t="s">
        <v>101</v>
      </c>
      <c r="P3017" t="s">
        <v>3792</v>
      </c>
      <c r="Q3017" t="s">
        <v>2683</v>
      </c>
      <c r="R3017" t="s">
        <v>2436</v>
      </c>
    </row>
    <row r="3018" spans="1:18" x14ac:dyDescent="0.5">
      <c r="A3018" t="str">
        <f>"94106LBN8"</f>
        <v>94106LBN8</v>
      </c>
      <c r="B3018" t="s">
        <v>101</v>
      </c>
      <c r="C3018" t="s">
        <v>3793</v>
      </c>
      <c r="D3018" t="s">
        <v>2433</v>
      </c>
      <c r="E3018">
        <v>1.1499999999999999</v>
      </c>
      <c r="F3018" s="2">
        <v>46827</v>
      </c>
      <c r="G3018" s="2">
        <v>46767</v>
      </c>
      <c r="H3018" t="s">
        <v>627</v>
      </c>
      <c r="I3018" t="s">
        <v>713</v>
      </c>
      <c r="J3018">
        <v>90.757999999999996</v>
      </c>
      <c r="K3018">
        <v>90.950999999999993</v>
      </c>
      <c r="L3018">
        <v>4.4669999999999996</v>
      </c>
      <c r="M3018">
        <v>4.3940000000000001</v>
      </c>
      <c r="N3018">
        <v>4.3940000000000001</v>
      </c>
      <c r="O3018" t="s">
        <v>101</v>
      </c>
      <c r="P3018" t="s">
        <v>1236</v>
      </c>
      <c r="Q3018" t="s">
        <v>2581</v>
      </c>
      <c r="R3018" t="s">
        <v>2436</v>
      </c>
    </row>
    <row r="3019" spans="1:18" x14ac:dyDescent="0.5">
      <c r="A3019" t="str">
        <f>"94106LCB3"</f>
        <v>94106LCB3</v>
      </c>
      <c r="B3019" t="s">
        <v>101</v>
      </c>
      <c r="C3019" t="s">
        <v>3794</v>
      </c>
      <c r="D3019" t="s">
        <v>2433</v>
      </c>
      <c r="E3019">
        <v>4.5</v>
      </c>
      <c r="F3019" s="2">
        <v>46827</v>
      </c>
      <c r="G3019" s="2">
        <v>46798</v>
      </c>
      <c r="H3019" t="s">
        <v>627</v>
      </c>
      <c r="I3019" t="s">
        <v>713</v>
      </c>
      <c r="J3019">
        <v>99.981999999999999</v>
      </c>
      <c r="K3019">
        <v>100.19799999999999</v>
      </c>
      <c r="L3019">
        <v>4.5060000000000002</v>
      </c>
      <c r="M3019">
        <v>4.4279999999999999</v>
      </c>
      <c r="N3019">
        <v>4.4290000000000003</v>
      </c>
      <c r="O3019" t="s">
        <v>101</v>
      </c>
      <c r="P3019" t="s">
        <v>2289</v>
      </c>
      <c r="Q3019" t="s">
        <v>2289</v>
      </c>
      <c r="R3019" t="s">
        <v>2436</v>
      </c>
    </row>
    <row r="3020" spans="1:18" x14ac:dyDescent="0.5">
      <c r="A3020" t="str">
        <f>"808513BP9"</f>
        <v>808513BP9</v>
      </c>
      <c r="B3020" t="s">
        <v>101</v>
      </c>
      <c r="C3020" t="s">
        <v>3795</v>
      </c>
      <c r="D3020" t="s">
        <v>2433</v>
      </c>
      <c r="E3020">
        <v>2</v>
      </c>
      <c r="F3020" s="2">
        <v>46832</v>
      </c>
      <c r="G3020" s="2">
        <v>46772</v>
      </c>
      <c r="H3020" t="s">
        <v>610</v>
      </c>
      <c r="I3020" t="s">
        <v>713</v>
      </c>
      <c r="J3020">
        <v>92.852999999999994</v>
      </c>
      <c r="K3020">
        <v>93</v>
      </c>
      <c r="L3020">
        <v>4.5579999999999998</v>
      </c>
      <c r="M3020">
        <v>4.5030000000000001</v>
      </c>
      <c r="N3020">
        <v>4.5030000000000001</v>
      </c>
      <c r="O3020" t="s">
        <v>101</v>
      </c>
      <c r="P3020" t="s">
        <v>3796</v>
      </c>
      <c r="Q3020" t="s">
        <v>2454</v>
      </c>
      <c r="R3020" t="s">
        <v>2436</v>
      </c>
    </row>
    <row r="3021" spans="1:18" x14ac:dyDescent="0.5">
      <c r="A3021" t="str">
        <f>"49177JAF9"</f>
        <v>49177JAF9</v>
      </c>
      <c r="B3021" t="s">
        <v>101</v>
      </c>
      <c r="C3021" t="s">
        <v>3797</v>
      </c>
      <c r="D3021" t="s">
        <v>2433</v>
      </c>
      <c r="E3021">
        <v>5.05</v>
      </c>
      <c r="F3021" s="2">
        <v>46834</v>
      </c>
      <c r="G3021" s="2">
        <v>46805</v>
      </c>
      <c r="H3021" t="s">
        <v>641</v>
      </c>
      <c r="I3021" t="s">
        <v>611</v>
      </c>
      <c r="J3021">
        <v>101.684</v>
      </c>
      <c r="K3021">
        <v>101.806</v>
      </c>
      <c r="L3021">
        <v>4.4340000000000002</v>
      </c>
      <c r="M3021">
        <v>4.3899999999999997</v>
      </c>
      <c r="N3021">
        <v>4.4059999999999997</v>
      </c>
      <c r="O3021" t="s">
        <v>101</v>
      </c>
      <c r="P3021" t="s">
        <v>2581</v>
      </c>
      <c r="Q3021" t="s">
        <v>2454</v>
      </c>
      <c r="R3021" t="s">
        <v>2436</v>
      </c>
    </row>
    <row r="3022" spans="1:18" x14ac:dyDescent="0.5">
      <c r="A3022" t="str">
        <f>"904764BC0"</f>
        <v>904764BC0</v>
      </c>
      <c r="B3022" t="s">
        <v>101</v>
      </c>
      <c r="C3022" t="s">
        <v>3798</v>
      </c>
      <c r="D3022" t="s">
        <v>2433</v>
      </c>
      <c r="E3022">
        <v>3.5</v>
      </c>
      <c r="F3022" s="2">
        <v>46834</v>
      </c>
      <c r="G3022" s="2">
        <v>46743</v>
      </c>
      <c r="H3022" t="s">
        <v>641</v>
      </c>
      <c r="I3022" t="s">
        <v>658</v>
      </c>
      <c r="J3022">
        <v>97.555999999999997</v>
      </c>
      <c r="K3022">
        <v>97.757999999999996</v>
      </c>
      <c r="L3022">
        <v>4.37</v>
      </c>
      <c r="M3022">
        <v>4.2969999999999997</v>
      </c>
      <c r="N3022">
        <v>4.2969999999999997</v>
      </c>
      <c r="O3022" t="s">
        <v>101</v>
      </c>
      <c r="P3022" t="s">
        <v>3469</v>
      </c>
      <c r="Q3022" t="s">
        <v>2635</v>
      </c>
      <c r="R3022" t="s">
        <v>2436</v>
      </c>
    </row>
    <row r="3023" spans="1:18" x14ac:dyDescent="0.5">
      <c r="A3023" t="str">
        <f>"02665WDW8"</f>
        <v>02665WDW8</v>
      </c>
      <c r="B3023" t="s">
        <v>101</v>
      </c>
      <c r="C3023" t="s">
        <v>3799</v>
      </c>
      <c r="D3023" t="s">
        <v>2433</v>
      </c>
      <c r="E3023">
        <v>2</v>
      </c>
      <c r="F3023" s="2">
        <v>46836</v>
      </c>
      <c r="G3023" s="2" t="s">
        <v>101</v>
      </c>
      <c r="H3023" t="s">
        <v>627</v>
      </c>
      <c r="I3023" t="s">
        <v>713</v>
      </c>
      <c r="J3023">
        <v>92.510999999999996</v>
      </c>
      <c r="K3023">
        <v>92.897000000000006</v>
      </c>
      <c r="L3023">
        <v>4.6769999999999996</v>
      </c>
      <c r="M3023">
        <v>4.532</v>
      </c>
      <c r="N3023">
        <v>4.532</v>
      </c>
      <c r="O3023" t="s">
        <v>101</v>
      </c>
      <c r="P3023" t="s">
        <v>858</v>
      </c>
      <c r="Q3023" t="s">
        <v>858</v>
      </c>
      <c r="R3023" t="s">
        <v>2436</v>
      </c>
    </row>
    <row r="3024" spans="1:18" x14ac:dyDescent="0.5">
      <c r="A3024" t="str">
        <f>"58507LBB4"</f>
        <v>58507LBB4</v>
      </c>
      <c r="B3024" t="s">
        <v>101</v>
      </c>
      <c r="C3024" t="s">
        <v>3800</v>
      </c>
      <c r="D3024" t="s">
        <v>2433</v>
      </c>
      <c r="E3024">
        <v>4.25</v>
      </c>
      <c r="F3024" s="2">
        <v>46842</v>
      </c>
      <c r="G3024" s="2">
        <v>46812</v>
      </c>
      <c r="H3024" t="s">
        <v>627</v>
      </c>
      <c r="I3024" t="s">
        <v>611</v>
      </c>
      <c r="J3024">
        <v>99.447999999999993</v>
      </c>
      <c r="K3024">
        <v>99.63</v>
      </c>
      <c r="L3024">
        <v>4.4400000000000004</v>
      </c>
      <c r="M3024">
        <v>4.38</v>
      </c>
      <c r="N3024">
        <v>4.38</v>
      </c>
      <c r="O3024" t="s">
        <v>101</v>
      </c>
      <c r="P3024" t="s">
        <v>3411</v>
      </c>
      <c r="Q3024" t="s">
        <v>2454</v>
      </c>
      <c r="R3024" t="s">
        <v>2436</v>
      </c>
    </row>
    <row r="3025" spans="1:18" x14ac:dyDescent="0.5">
      <c r="A3025" t="str">
        <f>"605417CB8"</f>
        <v>605417CB8</v>
      </c>
      <c r="B3025" t="s">
        <v>101</v>
      </c>
      <c r="C3025" t="s">
        <v>3801</v>
      </c>
      <c r="D3025" t="s">
        <v>2433</v>
      </c>
      <c r="E3025">
        <v>3.95</v>
      </c>
      <c r="F3025" s="2">
        <v>46842</v>
      </c>
      <c r="G3025" s="2">
        <v>46751</v>
      </c>
      <c r="H3025" t="s">
        <v>627</v>
      </c>
      <c r="I3025" t="s">
        <v>713</v>
      </c>
      <c r="J3025">
        <v>98.203999999999994</v>
      </c>
      <c r="K3025">
        <v>98.56</v>
      </c>
      <c r="L3025">
        <v>4.5819999999999999</v>
      </c>
      <c r="M3025">
        <v>4.4550000000000001</v>
      </c>
      <c r="N3025">
        <v>4.46</v>
      </c>
      <c r="O3025" t="s">
        <v>101</v>
      </c>
      <c r="P3025" t="s">
        <v>2746</v>
      </c>
      <c r="Q3025" t="s">
        <v>2555</v>
      </c>
      <c r="R3025" t="s">
        <v>2436</v>
      </c>
    </row>
    <row r="3026" spans="1:18" x14ac:dyDescent="0.5">
      <c r="A3026" t="str">
        <f>"29444GAJ6"</f>
        <v>29444GAJ6</v>
      </c>
      <c r="B3026" t="s">
        <v>101</v>
      </c>
      <c r="C3026" t="s">
        <v>3802</v>
      </c>
      <c r="D3026" t="s">
        <v>2433</v>
      </c>
      <c r="E3026">
        <v>7</v>
      </c>
      <c r="F3026" s="2">
        <v>46844</v>
      </c>
      <c r="G3026" s="2" t="s">
        <v>101</v>
      </c>
      <c r="H3026" t="s">
        <v>670</v>
      </c>
      <c r="I3026" t="s">
        <v>713</v>
      </c>
      <c r="J3026">
        <v>106.629</v>
      </c>
      <c r="K3026">
        <v>107.154</v>
      </c>
      <c r="L3026">
        <v>4.6449999999999996</v>
      </c>
      <c r="M3026">
        <v>4.4660000000000002</v>
      </c>
      <c r="N3026">
        <v>4.4660000000000002</v>
      </c>
      <c r="O3026" t="s">
        <v>101</v>
      </c>
      <c r="P3026" t="s">
        <v>2948</v>
      </c>
      <c r="Q3026" t="s">
        <v>3803</v>
      </c>
      <c r="R3026" t="s">
        <v>2436</v>
      </c>
    </row>
    <row r="3027" spans="1:18" x14ac:dyDescent="0.5">
      <c r="A3027" t="str">
        <f>"23338VAN6"</f>
        <v>23338VAN6</v>
      </c>
      <c r="B3027" t="s">
        <v>101</v>
      </c>
      <c r="C3027" t="s">
        <v>3804</v>
      </c>
      <c r="D3027" t="s">
        <v>2433</v>
      </c>
      <c r="E3027">
        <v>1.9</v>
      </c>
      <c r="F3027" s="2">
        <v>46844</v>
      </c>
      <c r="G3027" s="2">
        <v>46784</v>
      </c>
      <c r="H3027" t="s">
        <v>624</v>
      </c>
      <c r="I3027" t="s">
        <v>611</v>
      </c>
      <c r="J3027">
        <v>92.653999999999996</v>
      </c>
      <c r="K3027">
        <v>92.873000000000005</v>
      </c>
      <c r="L3027">
        <v>4.5019999999999998</v>
      </c>
      <c r="M3027">
        <v>4.4210000000000003</v>
      </c>
      <c r="N3027">
        <v>4.4210000000000003</v>
      </c>
      <c r="O3027" t="s">
        <v>101</v>
      </c>
      <c r="P3027" t="s">
        <v>2581</v>
      </c>
      <c r="Q3027" t="s">
        <v>2454</v>
      </c>
      <c r="R3027" t="s">
        <v>2436</v>
      </c>
    </row>
    <row r="3028" spans="1:18" x14ac:dyDescent="0.5">
      <c r="A3028" t="str">
        <f>"29364WAW8"</f>
        <v>29364WAW8</v>
      </c>
      <c r="B3028" t="s">
        <v>101</v>
      </c>
      <c r="C3028" t="s">
        <v>3805</v>
      </c>
      <c r="D3028" t="s">
        <v>2433</v>
      </c>
      <c r="E3028">
        <v>3.25</v>
      </c>
      <c r="F3028" s="2">
        <v>46844</v>
      </c>
      <c r="G3028" s="2">
        <v>46753</v>
      </c>
      <c r="H3028" t="s">
        <v>610</v>
      </c>
      <c r="I3028" t="s">
        <v>611</v>
      </c>
      <c r="J3028">
        <v>95.968999999999994</v>
      </c>
      <c r="K3028">
        <v>96.293000000000006</v>
      </c>
      <c r="L3028">
        <v>4.6820000000000004</v>
      </c>
      <c r="M3028">
        <v>4.5640000000000001</v>
      </c>
      <c r="N3028">
        <v>4.5640000000000001</v>
      </c>
      <c r="O3028" t="s">
        <v>101</v>
      </c>
      <c r="P3028" t="s">
        <v>3806</v>
      </c>
      <c r="Q3028" t="s">
        <v>3191</v>
      </c>
      <c r="R3028" t="s">
        <v>2436</v>
      </c>
    </row>
    <row r="3029" spans="1:18" x14ac:dyDescent="0.5">
      <c r="A3029" t="str">
        <f>"341081GK7"</f>
        <v>341081GK7</v>
      </c>
      <c r="B3029" t="s">
        <v>101</v>
      </c>
      <c r="C3029" t="s">
        <v>3807</v>
      </c>
      <c r="D3029" t="s">
        <v>2433</v>
      </c>
      <c r="E3029">
        <v>5.05</v>
      </c>
      <c r="F3029" s="2">
        <v>46844</v>
      </c>
      <c r="G3029" s="2">
        <v>46813</v>
      </c>
      <c r="H3029" t="s">
        <v>613</v>
      </c>
      <c r="I3029" t="s">
        <v>658</v>
      </c>
      <c r="J3029">
        <v>101.678</v>
      </c>
      <c r="K3029">
        <v>101.735</v>
      </c>
      <c r="L3029">
        <v>4.4409999999999998</v>
      </c>
      <c r="M3029">
        <v>4.42</v>
      </c>
      <c r="N3029">
        <v>4.4349999999999996</v>
      </c>
      <c r="O3029" t="s">
        <v>101</v>
      </c>
      <c r="P3029" t="s">
        <v>2454</v>
      </c>
      <c r="Q3029" t="s">
        <v>2454</v>
      </c>
      <c r="R3029" t="s">
        <v>2436</v>
      </c>
    </row>
    <row r="3030" spans="1:18" x14ac:dyDescent="0.5">
      <c r="A3030" t="str">
        <f>"89236TJF3"</f>
        <v>89236TJF3</v>
      </c>
      <c r="B3030" t="s">
        <v>101</v>
      </c>
      <c r="C3030" t="s">
        <v>3808</v>
      </c>
      <c r="D3030" t="s">
        <v>2433</v>
      </c>
      <c r="E3030">
        <v>1.9</v>
      </c>
      <c r="F3030" s="2">
        <v>46849</v>
      </c>
      <c r="G3030" s="2" t="s">
        <v>101</v>
      </c>
      <c r="H3030" t="s">
        <v>641</v>
      </c>
      <c r="I3030" t="s">
        <v>658</v>
      </c>
      <c r="J3030">
        <v>92.878</v>
      </c>
      <c r="K3030">
        <v>92.894999999999996</v>
      </c>
      <c r="L3030">
        <v>4.4080000000000004</v>
      </c>
      <c r="M3030">
        <v>4.4020000000000001</v>
      </c>
      <c r="N3030">
        <v>4.4020000000000001</v>
      </c>
      <c r="O3030" t="s">
        <v>101</v>
      </c>
      <c r="P3030" t="s">
        <v>2595</v>
      </c>
      <c r="Q3030" t="s">
        <v>2581</v>
      </c>
      <c r="R3030" t="s">
        <v>2436</v>
      </c>
    </row>
    <row r="3031" spans="1:18" x14ac:dyDescent="0.5">
      <c r="A3031" t="str">
        <f>"254687DM5"</f>
        <v>254687DM5</v>
      </c>
      <c r="B3031" t="s">
        <v>101</v>
      </c>
      <c r="C3031" t="s">
        <v>3809</v>
      </c>
      <c r="D3031" t="s">
        <v>2433</v>
      </c>
      <c r="E3031">
        <v>7.125</v>
      </c>
      <c r="F3031" s="2">
        <v>46851</v>
      </c>
      <c r="G3031" s="2" t="s">
        <v>105</v>
      </c>
      <c r="H3031" t="s">
        <v>610</v>
      </c>
      <c r="I3031" t="s">
        <v>611</v>
      </c>
      <c r="J3031">
        <v>107.367</v>
      </c>
      <c r="K3031">
        <v>108.143</v>
      </c>
      <c r="L3031">
        <v>4.5279999999999996</v>
      </c>
      <c r="M3031">
        <v>4.2670000000000003</v>
      </c>
      <c r="N3031">
        <v>4.2670000000000003</v>
      </c>
      <c r="O3031" t="s">
        <v>101</v>
      </c>
      <c r="P3031" t="s">
        <v>1702</v>
      </c>
      <c r="Q3031" t="s">
        <v>2489</v>
      </c>
      <c r="R3031" t="s">
        <v>2465</v>
      </c>
    </row>
    <row r="3032" spans="1:18" x14ac:dyDescent="0.5">
      <c r="A3032" t="str">
        <f>"79466LAF1"</f>
        <v>79466LAF1</v>
      </c>
      <c r="B3032" t="s">
        <v>101</v>
      </c>
      <c r="C3032" t="s">
        <v>3810</v>
      </c>
      <c r="D3032" t="s">
        <v>2433</v>
      </c>
      <c r="E3032">
        <v>3.7</v>
      </c>
      <c r="F3032" s="2">
        <v>46854</v>
      </c>
      <c r="G3032" s="2">
        <v>46763</v>
      </c>
      <c r="H3032" t="s">
        <v>641</v>
      </c>
      <c r="I3032" t="s">
        <v>658</v>
      </c>
      <c r="J3032">
        <v>98.1</v>
      </c>
      <c r="K3032">
        <v>98.244</v>
      </c>
      <c r="L3032">
        <v>4.3650000000000002</v>
      </c>
      <c r="M3032">
        <v>4.3140000000000001</v>
      </c>
      <c r="N3032">
        <v>4.3140000000000001</v>
      </c>
      <c r="O3032" t="s">
        <v>101</v>
      </c>
      <c r="P3032" t="s">
        <v>2438</v>
      </c>
      <c r="Q3032" t="s">
        <v>2454</v>
      </c>
      <c r="R3032" t="s">
        <v>2436</v>
      </c>
    </row>
    <row r="3033" spans="1:18" x14ac:dyDescent="0.5">
      <c r="A3033" t="str">
        <f>"05964HAJ4"</f>
        <v>05964HAJ4</v>
      </c>
      <c r="B3033" t="s">
        <v>101</v>
      </c>
      <c r="C3033" t="s">
        <v>3811</v>
      </c>
      <c r="D3033" t="s">
        <v>2433</v>
      </c>
      <c r="E3033">
        <v>4.3789999999999996</v>
      </c>
      <c r="F3033" s="2">
        <v>46855</v>
      </c>
      <c r="G3033" s="2" t="s">
        <v>101</v>
      </c>
      <c r="H3033" t="s">
        <v>670</v>
      </c>
      <c r="I3033" t="s">
        <v>713</v>
      </c>
      <c r="J3033">
        <v>98.567999999999998</v>
      </c>
      <c r="K3033">
        <v>98.789000000000001</v>
      </c>
      <c r="L3033">
        <v>4.8840000000000003</v>
      </c>
      <c r="M3033">
        <v>4.8049999999999997</v>
      </c>
      <c r="N3033">
        <v>4.8049999999999997</v>
      </c>
      <c r="O3033" t="s">
        <v>101</v>
      </c>
      <c r="P3033" t="s">
        <v>542</v>
      </c>
      <c r="Q3033" t="s">
        <v>542</v>
      </c>
      <c r="R3033" t="s">
        <v>2436</v>
      </c>
    </row>
    <row r="3034" spans="1:18" x14ac:dyDescent="0.5">
      <c r="A3034" t="str">
        <f>"035240AL4"</f>
        <v>035240AL4</v>
      </c>
      <c r="B3034" t="s">
        <v>101</v>
      </c>
      <c r="C3034" t="s">
        <v>3812</v>
      </c>
      <c r="D3034" t="s">
        <v>2433</v>
      </c>
      <c r="E3034">
        <v>4</v>
      </c>
      <c r="F3034" s="2">
        <v>46856</v>
      </c>
      <c r="G3034" s="2">
        <v>46765</v>
      </c>
      <c r="H3034" t="s">
        <v>627</v>
      </c>
      <c r="I3034" t="s">
        <v>713</v>
      </c>
      <c r="J3034">
        <v>98.912000000000006</v>
      </c>
      <c r="K3034">
        <v>99.078000000000003</v>
      </c>
      <c r="L3034">
        <v>4.38</v>
      </c>
      <c r="M3034">
        <v>4.3209999999999997</v>
      </c>
      <c r="N3034">
        <v>4.3209999999999997</v>
      </c>
      <c r="O3034" t="s">
        <v>101</v>
      </c>
      <c r="P3034" t="s">
        <v>3206</v>
      </c>
      <c r="Q3034" t="s">
        <v>2507</v>
      </c>
      <c r="R3034" t="s">
        <v>2436</v>
      </c>
    </row>
    <row r="3035" spans="1:18" x14ac:dyDescent="0.5">
      <c r="A3035" t="str">
        <f>"084659AM3"</f>
        <v>084659AM3</v>
      </c>
      <c r="B3035" t="s">
        <v>101</v>
      </c>
      <c r="C3035" t="s">
        <v>3813</v>
      </c>
      <c r="D3035" t="s">
        <v>2433</v>
      </c>
      <c r="E3035">
        <v>3.25</v>
      </c>
      <c r="F3035" s="2">
        <v>46858</v>
      </c>
      <c r="G3035" s="2">
        <v>46767</v>
      </c>
      <c r="H3035" t="s">
        <v>627</v>
      </c>
      <c r="I3035" t="s">
        <v>713</v>
      </c>
      <c r="J3035">
        <v>96.197000000000003</v>
      </c>
      <c r="K3035">
        <v>96.459000000000003</v>
      </c>
      <c r="L3035">
        <v>4.5819999999999999</v>
      </c>
      <c r="M3035">
        <v>4.4880000000000004</v>
      </c>
      <c r="N3035">
        <v>4.4880000000000004</v>
      </c>
      <c r="O3035" t="s">
        <v>101</v>
      </c>
      <c r="P3035" t="s">
        <v>2940</v>
      </c>
      <c r="Q3035" t="s">
        <v>2774</v>
      </c>
      <c r="R3035" t="s">
        <v>2436</v>
      </c>
    </row>
    <row r="3036" spans="1:18" x14ac:dyDescent="0.5">
      <c r="A3036" t="str">
        <f>"63743FUW4"</f>
        <v>63743FUW4</v>
      </c>
      <c r="B3036" t="s">
        <v>101</v>
      </c>
      <c r="C3036" t="s">
        <v>3814</v>
      </c>
      <c r="D3036" t="s">
        <v>2433</v>
      </c>
      <c r="E3036">
        <v>3.5</v>
      </c>
      <c r="F3036" s="2">
        <v>46858</v>
      </c>
      <c r="G3036" s="2" t="s">
        <v>105</v>
      </c>
      <c r="H3036" t="s">
        <v>610</v>
      </c>
      <c r="I3036" t="s">
        <v>713</v>
      </c>
      <c r="J3036">
        <v>95.912000000000006</v>
      </c>
      <c r="K3036">
        <v>97.638999999999996</v>
      </c>
      <c r="L3036">
        <v>4.9279999999999999</v>
      </c>
      <c r="M3036">
        <v>4.3170000000000002</v>
      </c>
      <c r="N3036">
        <v>4.3170000000000002</v>
      </c>
      <c r="O3036" t="s">
        <v>101</v>
      </c>
      <c r="P3036" t="s">
        <v>858</v>
      </c>
      <c r="Q3036" t="s">
        <v>3392</v>
      </c>
      <c r="R3036" t="s">
        <v>2610</v>
      </c>
    </row>
    <row r="3037" spans="1:18" x14ac:dyDescent="0.5">
      <c r="A3037" t="str">
        <f>"63743FZH2"</f>
        <v>63743FZH2</v>
      </c>
      <c r="B3037" t="s">
        <v>101</v>
      </c>
      <c r="C3037" t="s">
        <v>3815</v>
      </c>
      <c r="D3037" t="s">
        <v>2433</v>
      </c>
      <c r="E3037">
        <v>3</v>
      </c>
      <c r="F3037" s="2">
        <v>46858</v>
      </c>
      <c r="G3037" s="2" t="s">
        <v>105</v>
      </c>
      <c r="H3037" t="s">
        <v>610</v>
      </c>
      <c r="I3037" t="s">
        <v>713</v>
      </c>
      <c r="J3037">
        <v>94.432000000000002</v>
      </c>
      <c r="K3037">
        <v>95.9</v>
      </c>
      <c r="L3037">
        <v>4.9459999999999997</v>
      </c>
      <c r="M3037">
        <v>4.4210000000000003</v>
      </c>
      <c r="N3037">
        <v>4.4210000000000003</v>
      </c>
      <c r="O3037" t="s">
        <v>101</v>
      </c>
      <c r="P3037" t="s">
        <v>1236</v>
      </c>
      <c r="Q3037" t="s">
        <v>457</v>
      </c>
      <c r="R3037" t="s">
        <v>2610</v>
      </c>
    </row>
    <row r="3038" spans="1:18" x14ac:dyDescent="0.5">
      <c r="A3038" t="str">
        <f>"63743F2J4"</f>
        <v>63743F2J4</v>
      </c>
      <c r="B3038" t="s">
        <v>101</v>
      </c>
      <c r="C3038" t="s">
        <v>3816</v>
      </c>
      <c r="D3038" t="s">
        <v>2433</v>
      </c>
      <c r="E3038">
        <v>4.55</v>
      </c>
      <c r="F3038" s="2">
        <v>46858</v>
      </c>
      <c r="G3038" s="2">
        <v>46127</v>
      </c>
      <c r="H3038" t="s">
        <v>610</v>
      </c>
      <c r="I3038" t="s">
        <v>713</v>
      </c>
      <c r="J3038">
        <v>98.608000000000004</v>
      </c>
      <c r="K3038">
        <v>100.215</v>
      </c>
      <c r="L3038">
        <v>5.0369999999999999</v>
      </c>
      <c r="M3038">
        <v>4.3479999999999999</v>
      </c>
      <c r="N3038">
        <v>4.4749999999999996</v>
      </c>
      <c r="O3038" t="s">
        <v>101</v>
      </c>
      <c r="P3038" t="s">
        <v>2790</v>
      </c>
      <c r="Q3038" t="s">
        <v>2549</v>
      </c>
      <c r="R3038" t="s">
        <v>3643</v>
      </c>
    </row>
    <row r="3039" spans="1:18" x14ac:dyDescent="0.5">
      <c r="A3039" t="str">
        <f>"64110LAS5"</f>
        <v>64110LAS5</v>
      </c>
      <c r="B3039" t="s">
        <v>101</v>
      </c>
      <c r="C3039" t="s">
        <v>3817</v>
      </c>
      <c r="D3039" t="s">
        <v>2433</v>
      </c>
      <c r="E3039">
        <v>4.875</v>
      </c>
      <c r="F3039" s="2">
        <v>46858</v>
      </c>
      <c r="G3039" s="2" t="s">
        <v>101</v>
      </c>
      <c r="H3039" t="s">
        <v>670</v>
      </c>
      <c r="I3039" t="s">
        <v>611</v>
      </c>
      <c r="J3039">
        <v>100.98</v>
      </c>
      <c r="K3039">
        <v>101.136</v>
      </c>
      <c r="L3039">
        <v>4.53</v>
      </c>
      <c r="M3039">
        <v>4.476</v>
      </c>
      <c r="N3039">
        <v>4.476</v>
      </c>
      <c r="O3039" t="s">
        <v>101</v>
      </c>
      <c r="P3039" t="s">
        <v>2786</v>
      </c>
      <c r="Q3039" t="s">
        <v>2438</v>
      </c>
      <c r="R3039" t="s">
        <v>2436</v>
      </c>
    </row>
    <row r="3040" spans="1:18" x14ac:dyDescent="0.5">
      <c r="A3040" t="str">
        <f>"678858BC4"</f>
        <v>678858BC4</v>
      </c>
      <c r="B3040" t="s">
        <v>101</v>
      </c>
      <c r="C3040" t="s">
        <v>3818</v>
      </c>
      <c r="D3040" t="s">
        <v>2433</v>
      </c>
      <c r="E3040">
        <v>6.5</v>
      </c>
      <c r="F3040" s="2">
        <v>46858</v>
      </c>
      <c r="G3040" s="2" t="s">
        <v>101</v>
      </c>
      <c r="H3040" t="s">
        <v>627</v>
      </c>
      <c r="I3040" t="s">
        <v>713</v>
      </c>
      <c r="J3040">
        <v>105.223</v>
      </c>
      <c r="K3040">
        <v>105.30200000000001</v>
      </c>
      <c r="L3040">
        <v>4.6639999999999997</v>
      </c>
      <c r="M3040">
        <v>4.6369999999999996</v>
      </c>
      <c r="N3040">
        <v>4.6369999999999996</v>
      </c>
      <c r="O3040" t="s">
        <v>101</v>
      </c>
      <c r="P3040" t="s">
        <v>858</v>
      </c>
      <c r="Q3040" t="s">
        <v>2511</v>
      </c>
      <c r="R3040" t="s">
        <v>2436</v>
      </c>
    </row>
    <row r="3041" spans="1:18" x14ac:dyDescent="0.5">
      <c r="A3041" t="str">
        <f>"931142FB4"</f>
        <v>931142FB4</v>
      </c>
      <c r="B3041" t="s">
        <v>101</v>
      </c>
      <c r="C3041" t="s">
        <v>3819</v>
      </c>
      <c r="D3041" t="s">
        <v>2433</v>
      </c>
      <c r="E3041">
        <v>3.9</v>
      </c>
      <c r="F3041" s="2">
        <v>46858</v>
      </c>
      <c r="G3041" s="2">
        <v>46827</v>
      </c>
      <c r="H3041" t="s">
        <v>613</v>
      </c>
      <c r="I3041" t="s">
        <v>628</v>
      </c>
      <c r="J3041">
        <v>99.16</v>
      </c>
      <c r="K3041">
        <v>99.275000000000006</v>
      </c>
      <c r="L3041">
        <v>4.1909999999999998</v>
      </c>
      <c r="M3041">
        <v>4.1509999999999998</v>
      </c>
      <c r="N3041">
        <v>4.1509999999999998</v>
      </c>
      <c r="O3041" t="s">
        <v>101</v>
      </c>
      <c r="P3041" t="s">
        <v>3820</v>
      </c>
      <c r="Q3041" t="s">
        <v>1391</v>
      </c>
      <c r="R3041" t="s">
        <v>2436</v>
      </c>
    </row>
    <row r="3042" spans="1:18" x14ac:dyDescent="0.5">
      <c r="A3042" t="str">
        <f>"054561AJ4"</f>
        <v>054561AJ4</v>
      </c>
      <c r="B3042" t="s">
        <v>101</v>
      </c>
      <c r="C3042" t="s">
        <v>3821</v>
      </c>
      <c r="D3042" t="s">
        <v>2433</v>
      </c>
      <c r="E3042">
        <v>4.3499999999999996</v>
      </c>
      <c r="F3042" s="2">
        <v>46863</v>
      </c>
      <c r="G3042" s="2">
        <v>46772</v>
      </c>
      <c r="H3042" t="s">
        <v>670</v>
      </c>
      <c r="I3042" t="s">
        <v>713</v>
      </c>
      <c r="J3042">
        <v>98.66</v>
      </c>
      <c r="K3042">
        <v>98.774000000000001</v>
      </c>
      <c r="L3042">
        <v>4.8179999999999996</v>
      </c>
      <c r="M3042">
        <v>4.7779999999999996</v>
      </c>
      <c r="N3042">
        <v>4.7779999999999996</v>
      </c>
      <c r="O3042" t="s">
        <v>101</v>
      </c>
      <c r="P3042" t="s">
        <v>1702</v>
      </c>
      <c r="Q3042" t="s">
        <v>2581</v>
      </c>
      <c r="R3042" t="s">
        <v>2436</v>
      </c>
    </row>
    <row r="3043" spans="1:18" x14ac:dyDescent="0.5">
      <c r="A3043" t="str">
        <f>"91159HHS2"</f>
        <v>91159HHS2</v>
      </c>
      <c r="B3043" t="s">
        <v>101</v>
      </c>
      <c r="C3043" t="s">
        <v>3822</v>
      </c>
      <c r="D3043" t="s">
        <v>2433</v>
      </c>
      <c r="E3043">
        <v>3.9</v>
      </c>
      <c r="F3043" s="2">
        <v>46869</v>
      </c>
      <c r="G3043" s="2">
        <v>46836</v>
      </c>
      <c r="H3043" t="s">
        <v>627</v>
      </c>
      <c r="I3043" t="s">
        <v>611</v>
      </c>
      <c r="J3043">
        <v>98.001000000000005</v>
      </c>
      <c r="K3043">
        <v>98.183000000000007</v>
      </c>
      <c r="L3043">
        <v>4.593</v>
      </c>
      <c r="M3043">
        <v>4.5289999999999999</v>
      </c>
      <c r="N3043">
        <v>4.5289999999999999</v>
      </c>
      <c r="O3043" t="s">
        <v>101</v>
      </c>
      <c r="P3043" t="s">
        <v>3107</v>
      </c>
      <c r="Q3043" t="s">
        <v>2507</v>
      </c>
      <c r="R3043" t="s">
        <v>2436</v>
      </c>
    </row>
    <row r="3044" spans="1:18" x14ac:dyDescent="0.5">
      <c r="A3044" t="str">
        <f>"06406RAH0"</f>
        <v>06406RAH0</v>
      </c>
      <c r="B3044" t="s">
        <v>101</v>
      </c>
      <c r="C3044" t="s">
        <v>3823</v>
      </c>
      <c r="D3044" t="s">
        <v>2433</v>
      </c>
      <c r="E3044">
        <v>3.85</v>
      </c>
      <c r="F3044" s="2">
        <v>46871</v>
      </c>
      <c r="G3044" s="2" t="s">
        <v>105</v>
      </c>
      <c r="H3044" t="s">
        <v>624</v>
      </c>
      <c r="I3044" t="s">
        <v>611</v>
      </c>
      <c r="J3044">
        <v>98.462999999999994</v>
      </c>
      <c r="K3044">
        <v>98.652000000000001</v>
      </c>
      <c r="L3044">
        <v>4.38</v>
      </c>
      <c r="M3044">
        <v>4.3140000000000001</v>
      </c>
      <c r="N3044">
        <v>4.3140000000000001</v>
      </c>
      <c r="O3044" t="s">
        <v>101</v>
      </c>
      <c r="P3044" t="s">
        <v>2758</v>
      </c>
      <c r="Q3044" t="s">
        <v>2758</v>
      </c>
      <c r="R3044" t="s">
        <v>2465</v>
      </c>
    </row>
    <row r="3045" spans="1:18" x14ac:dyDescent="0.5">
      <c r="A3045" t="str">
        <f>"13607LNG4"</f>
        <v>13607LNG4</v>
      </c>
      <c r="B3045" t="s">
        <v>101</v>
      </c>
      <c r="C3045" t="s">
        <v>3824</v>
      </c>
      <c r="D3045" t="s">
        <v>2433</v>
      </c>
      <c r="E3045">
        <v>5.0010000000000003</v>
      </c>
      <c r="F3045" s="2">
        <v>46871</v>
      </c>
      <c r="G3045" s="2">
        <v>46840</v>
      </c>
      <c r="H3045" t="s">
        <v>610</v>
      </c>
      <c r="I3045" t="s">
        <v>713</v>
      </c>
      <c r="J3045">
        <v>100.901</v>
      </c>
      <c r="K3045">
        <v>101.13</v>
      </c>
      <c r="L3045">
        <v>4.6790000000000003</v>
      </c>
      <c r="M3045">
        <v>4.5979999999999999</v>
      </c>
      <c r="N3045">
        <v>4.6070000000000002</v>
      </c>
      <c r="O3045" t="s">
        <v>101</v>
      </c>
      <c r="P3045" t="s">
        <v>2454</v>
      </c>
      <c r="Q3045" t="s">
        <v>2454</v>
      </c>
      <c r="R3045" t="s">
        <v>2436</v>
      </c>
    </row>
    <row r="3046" spans="1:18" x14ac:dyDescent="0.5">
      <c r="A3046" t="str">
        <f>"254687DP8"</f>
        <v>254687DP8</v>
      </c>
      <c r="B3046" t="s">
        <v>101</v>
      </c>
      <c r="C3046" t="s">
        <v>3825</v>
      </c>
      <c r="D3046" t="s">
        <v>2433</v>
      </c>
      <c r="E3046">
        <v>7.3</v>
      </c>
      <c r="F3046" s="2">
        <v>46873</v>
      </c>
      <c r="G3046" s="2" t="s">
        <v>105</v>
      </c>
      <c r="H3046" t="s">
        <v>610</v>
      </c>
      <c r="I3046" t="s">
        <v>611</v>
      </c>
      <c r="J3046">
        <v>108.426</v>
      </c>
      <c r="K3046">
        <v>108.741</v>
      </c>
      <c r="L3046">
        <v>4.3899999999999997</v>
      </c>
      <c r="M3046">
        <v>4.2859999999999996</v>
      </c>
      <c r="N3046">
        <v>4.2859999999999996</v>
      </c>
      <c r="O3046" t="s">
        <v>101</v>
      </c>
      <c r="P3046" t="s">
        <v>858</v>
      </c>
      <c r="Q3046" t="s">
        <v>3826</v>
      </c>
      <c r="R3046" t="s">
        <v>2465</v>
      </c>
    </row>
    <row r="3047" spans="1:18" x14ac:dyDescent="0.5">
      <c r="A3047" t="str">
        <f>"20030NCH2"</f>
        <v>20030NCH2</v>
      </c>
      <c r="B3047" t="s">
        <v>101</v>
      </c>
      <c r="C3047" t="s">
        <v>3827</v>
      </c>
      <c r="D3047" t="s">
        <v>2433</v>
      </c>
      <c r="E3047">
        <v>3.55</v>
      </c>
      <c r="F3047" s="2">
        <v>46874</v>
      </c>
      <c r="G3047" s="2">
        <v>46784</v>
      </c>
      <c r="H3047" t="s">
        <v>627</v>
      </c>
      <c r="I3047" t="s">
        <v>713</v>
      </c>
      <c r="J3047">
        <v>97.027000000000001</v>
      </c>
      <c r="K3047">
        <v>97.165000000000006</v>
      </c>
      <c r="L3047">
        <v>4.577</v>
      </c>
      <c r="M3047">
        <v>4.5289999999999999</v>
      </c>
      <c r="N3047">
        <v>4.5289999999999999</v>
      </c>
      <c r="O3047" t="s">
        <v>101</v>
      </c>
      <c r="P3047" t="s">
        <v>1702</v>
      </c>
      <c r="Q3047" t="s">
        <v>2454</v>
      </c>
      <c r="R3047" t="s">
        <v>2436</v>
      </c>
    </row>
    <row r="3048" spans="1:18" x14ac:dyDescent="0.5">
      <c r="A3048" t="str">
        <f>"670346AP0"</f>
        <v>670346AP0</v>
      </c>
      <c r="B3048" t="s">
        <v>101</v>
      </c>
      <c r="C3048" t="s">
        <v>3828</v>
      </c>
      <c r="D3048" t="s">
        <v>2433</v>
      </c>
      <c r="E3048">
        <v>3.95</v>
      </c>
      <c r="F3048" s="2">
        <v>46874</v>
      </c>
      <c r="G3048" s="2">
        <v>46784</v>
      </c>
      <c r="H3048" t="s">
        <v>670</v>
      </c>
      <c r="I3048" t="s">
        <v>713</v>
      </c>
      <c r="J3048">
        <v>98.04</v>
      </c>
      <c r="K3048">
        <v>98.293999999999997</v>
      </c>
      <c r="L3048">
        <v>4.6269999999999998</v>
      </c>
      <c r="M3048">
        <v>4.5380000000000003</v>
      </c>
      <c r="N3048">
        <v>4.5380000000000003</v>
      </c>
      <c r="O3048" t="s">
        <v>101</v>
      </c>
      <c r="P3048" t="s">
        <v>2454</v>
      </c>
      <c r="Q3048" t="s">
        <v>2454</v>
      </c>
      <c r="R3048" t="s">
        <v>2436</v>
      </c>
    </row>
    <row r="3049" spans="1:18" x14ac:dyDescent="0.5">
      <c r="A3049" t="str">
        <f>"74460WAD9"</f>
        <v>74460WAD9</v>
      </c>
      <c r="B3049" t="s">
        <v>101</v>
      </c>
      <c r="C3049" t="s">
        <v>3829</v>
      </c>
      <c r="D3049" t="s">
        <v>2433</v>
      </c>
      <c r="E3049">
        <v>1.85</v>
      </c>
      <c r="F3049" s="2">
        <v>46874</v>
      </c>
      <c r="G3049" s="2">
        <v>46813</v>
      </c>
      <c r="H3049" t="s">
        <v>610</v>
      </c>
      <c r="I3049" t="s">
        <v>611</v>
      </c>
      <c r="J3049">
        <v>92.298000000000002</v>
      </c>
      <c r="K3049">
        <v>92.492999999999995</v>
      </c>
      <c r="L3049">
        <v>4.5110000000000001</v>
      </c>
      <c r="M3049">
        <v>4.4400000000000004</v>
      </c>
      <c r="N3049">
        <v>4.4400000000000004</v>
      </c>
      <c r="O3049" t="s">
        <v>101</v>
      </c>
      <c r="P3049" t="s">
        <v>1702</v>
      </c>
      <c r="Q3049" t="s">
        <v>2454</v>
      </c>
      <c r="R3049" t="s">
        <v>2436</v>
      </c>
    </row>
    <row r="3050" spans="1:18" x14ac:dyDescent="0.5">
      <c r="A3050" t="str">
        <f>"74456QBU9"</f>
        <v>74456QBU9</v>
      </c>
      <c r="B3050" t="s">
        <v>101</v>
      </c>
      <c r="C3050" t="s">
        <v>3830</v>
      </c>
      <c r="D3050" t="s">
        <v>2433</v>
      </c>
      <c r="E3050">
        <v>3.7</v>
      </c>
      <c r="F3050" s="2">
        <v>46874</v>
      </c>
      <c r="G3050" s="2">
        <v>46784</v>
      </c>
      <c r="H3050" t="s">
        <v>641</v>
      </c>
      <c r="I3050" t="s">
        <v>611</v>
      </c>
      <c r="J3050">
        <v>97.677999999999997</v>
      </c>
      <c r="K3050">
        <v>97.944999999999993</v>
      </c>
      <c r="L3050">
        <v>4.5010000000000003</v>
      </c>
      <c r="M3050">
        <v>4.407</v>
      </c>
      <c r="N3050">
        <v>4.407</v>
      </c>
      <c r="O3050" t="s">
        <v>101</v>
      </c>
      <c r="P3050" t="s">
        <v>1391</v>
      </c>
      <c r="Q3050" t="s">
        <v>2815</v>
      </c>
      <c r="R3050" t="s">
        <v>2436</v>
      </c>
    </row>
    <row r="3051" spans="1:18" x14ac:dyDescent="0.5">
      <c r="A3051" t="str">
        <f>"427866BH0"</f>
        <v>427866BH0</v>
      </c>
      <c r="B3051" t="s">
        <v>101</v>
      </c>
      <c r="C3051" t="s">
        <v>3831</v>
      </c>
      <c r="D3051" t="s">
        <v>2433</v>
      </c>
      <c r="E3051">
        <v>4.25</v>
      </c>
      <c r="F3051" s="2">
        <v>46877</v>
      </c>
      <c r="G3051" s="2">
        <v>46847</v>
      </c>
      <c r="H3051" t="s">
        <v>641</v>
      </c>
      <c r="I3051" t="s">
        <v>611</v>
      </c>
      <c r="J3051">
        <v>99.697999999999993</v>
      </c>
      <c r="K3051">
        <v>99.962999999999994</v>
      </c>
      <c r="L3051">
        <v>4.3520000000000003</v>
      </c>
      <c r="M3051">
        <v>4.2610000000000001</v>
      </c>
      <c r="N3051">
        <v>4.2610000000000001</v>
      </c>
      <c r="O3051" t="s">
        <v>101</v>
      </c>
      <c r="P3051" t="s">
        <v>1999</v>
      </c>
      <c r="Q3051" t="s">
        <v>3832</v>
      </c>
      <c r="R3051" t="s">
        <v>2436</v>
      </c>
    </row>
    <row r="3052" spans="1:18" x14ac:dyDescent="0.5">
      <c r="A3052" t="str">
        <f>"037833ET3"</f>
        <v>037833ET3</v>
      </c>
      <c r="B3052" t="s">
        <v>101</v>
      </c>
      <c r="C3052" t="s">
        <v>3833</v>
      </c>
      <c r="D3052" t="s">
        <v>2433</v>
      </c>
      <c r="E3052">
        <v>4</v>
      </c>
      <c r="F3052" s="2">
        <v>46883</v>
      </c>
      <c r="G3052" s="2">
        <v>46853</v>
      </c>
      <c r="H3052" t="s">
        <v>104</v>
      </c>
      <c r="I3052" t="s">
        <v>509</v>
      </c>
      <c r="J3052">
        <v>99.587999999999994</v>
      </c>
      <c r="K3052">
        <v>99.698999999999998</v>
      </c>
      <c r="L3052">
        <v>4.1390000000000002</v>
      </c>
      <c r="M3052">
        <v>4.101</v>
      </c>
      <c r="N3052">
        <v>4.101</v>
      </c>
      <c r="O3052" t="s">
        <v>101</v>
      </c>
      <c r="P3052" t="s">
        <v>3834</v>
      </c>
      <c r="Q3052" t="s">
        <v>2454</v>
      </c>
      <c r="R3052" t="s">
        <v>2436</v>
      </c>
    </row>
    <row r="3053" spans="1:18" x14ac:dyDescent="0.5">
      <c r="A3053" t="str">
        <f>"023135BY1"</f>
        <v>023135BY1</v>
      </c>
      <c r="B3053" t="s">
        <v>101</v>
      </c>
      <c r="C3053" t="s">
        <v>3835</v>
      </c>
      <c r="D3053" t="s">
        <v>2433</v>
      </c>
      <c r="E3053">
        <v>1.65</v>
      </c>
      <c r="F3053" s="2">
        <v>46885</v>
      </c>
      <c r="G3053" s="2">
        <v>46824</v>
      </c>
      <c r="H3053" t="s">
        <v>641</v>
      </c>
      <c r="I3053" t="s">
        <v>628</v>
      </c>
      <c r="J3053">
        <v>92.210999999999999</v>
      </c>
      <c r="K3053">
        <v>92.332999999999998</v>
      </c>
      <c r="L3053">
        <v>4.3070000000000004</v>
      </c>
      <c r="M3053">
        <v>4.2629999999999999</v>
      </c>
      <c r="N3053">
        <v>4.2629999999999999</v>
      </c>
      <c r="O3053" t="s">
        <v>101</v>
      </c>
      <c r="P3053" t="s">
        <v>2438</v>
      </c>
      <c r="Q3053" t="s">
        <v>2581</v>
      </c>
      <c r="R3053" t="s">
        <v>2436</v>
      </c>
    </row>
    <row r="3054" spans="1:18" x14ac:dyDescent="0.5">
      <c r="A3054" t="str">
        <f>"02361DAS9"</f>
        <v>02361DAS9</v>
      </c>
      <c r="B3054" t="s">
        <v>101</v>
      </c>
      <c r="C3054" t="s">
        <v>3836</v>
      </c>
      <c r="D3054" t="s">
        <v>2433</v>
      </c>
      <c r="E3054">
        <v>3.8</v>
      </c>
      <c r="F3054" s="2">
        <v>46888</v>
      </c>
      <c r="G3054" s="2">
        <v>46798</v>
      </c>
      <c r="H3054" t="s">
        <v>641</v>
      </c>
      <c r="I3054" t="s">
        <v>611</v>
      </c>
      <c r="J3054">
        <v>98.097999999999999</v>
      </c>
      <c r="K3054">
        <v>98.347999999999999</v>
      </c>
      <c r="L3054">
        <v>4.4470000000000001</v>
      </c>
      <c r="M3054">
        <v>4.3609999999999998</v>
      </c>
      <c r="N3054">
        <v>4.3609999999999998</v>
      </c>
      <c r="O3054" t="s">
        <v>101</v>
      </c>
      <c r="P3054" t="s">
        <v>1999</v>
      </c>
      <c r="Q3054" t="s">
        <v>2747</v>
      </c>
      <c r="R3054" t="s">
        <v>2436</v>
      </c>
    </row>
    <row r="3055" spans="1:18" x14ac:dyDescent="0.5">
      <c r="A3055" t="str">
        <f>"053015AG8"</f>
        <v>053015AG8</v>
      </c>
      <c r="B3055" t="s">
        <v>101</v>
      </c>
      <c r="C3055" t="s">
        <v>3837</v>
      </c>
      <c r="D3055" t="s">
        <v>2433</v>
      </c>
      <c r="E3055">
        <v>1.7</v>
      </c>
      <c r="F3055" s="2">
        <v>46888</v>
      </c>
      <c r="G3055" s="2">
        <v>46827</v>
      </c>
      <c r="H3055" t="s">
        <v>624</v>
      </c>
      <c r="I3055" t="s">
        <v>616</v>
      </c>
      <c r="J3055">
        <v>92.427999999999997</v>
      </c>
      <c r="K3055">
        <v>92.566000000000003</v>
      </c>
      <c r="L3055">
        <v>4.2750000000000004</v>
      </c>
      <c r="M3055">
        <v>4.226</v>
      </c>
      <c r="N3055">
        <v>4.226</v>
      </c>
      <c r="O3055" t="s">
        <v>101</v>
      </c>
      <c r="P3055" t="s">
        <v>1702</v>
      </c>
      <c r="Q3055" t="s">
        <v>2454</v>
      </c>
      <c r="R3055" t="s">
        <v>2436</v>
      </c>
    </row>
    <row r="3056" spans="1:18" x14ac:dyDescent="0.5">
      <c r="A3056" t="str">
        <f>"209111FP3"</f>
        <v>209111FP3</v>
      </c>
      <c r="B3056" t="s">
        <v>101</v>
      </c>
      <c r="C3056" t="s">
        <v>3838</v>
      </c>
      <c r="D3056" t="s">
        <v>2433</v>
      </c>
      <c r="E3056">
        <v>3.8</v>
      </c>
      <c r="F3056" s="2">
        <v>46888</v>
      </c>
      <c r="G3056" s="2">
        <v>46798</v>
      </c>
      <c r="H3056" t="s">
        <v>627</v>
      </c>
      <c r="I3056" t="s">
        <v>713</v>
      </c>
      <c r="J3056">
        <v>97.608000000000004</v>
      </c>
      <c r="K3056">
        <v>98.012</v>
      </c>
      <c r="L3056">
        <v>4.617</v>
      </c>
      <c r="M3056">
        <v>4.4770000000000003</v>
      </c>
      <c r="N3056">
        <v>4.4770000000000003</v>
      </c>
      <c r="O3056" t="s">
        <v>101</v>
      </c>
      <c r="P3056" t="s">
        <v>3178</v>
      </c>
      <c r="Q3056" t="s">
        <v>2731</v>
      </c>
      <c r="R3056" t="s">
        <v>2436</v>
      </c>
    </row>
    <row r="3057" spans="1:18" x14ac:dyDescent="0.5">
      <c r="A3057" t="str">
        <f>"341081GN1"</f>
        <v>341081GN1</v>
      </c>
      <c r="B3057" t="s">
        <v>101</v>
      </c>
      <c r="C3057" t="s">
        <v>3839</v>
      </c>
      <c r="D3057" t="s">
        <v>2433</v>
      </c>
      <c r="E3057">
        <v>4.4000000000000004</v>
      </c>
      <c r="F3057" s="2">
        <v>46888</v>
      </c>
      <c r="G3057" s="2">
        <v>46827</v>
      </c>
      <c r="H3057" t="s">
        <v>613</v>
      </c>
      <c r="I3057" t="s">
        <v>658</v>
      </c>
      <c r="J3057">
        <v>99.887</v>
      </c>
      <c r="K3057">
        <v>100.041</v>
      </c>
      <c r="L3057">
        <v>4.4370000000000003</v>
      </c>
      <c r="M3057">
        <v>4.3840000000000003</v>
      </c>
      <c r="N3057">
        <v>4.3840000000000003</v>
      </c>
      <c r="O3057" t="s">
        <v>101</v>
      </c>
      <c r="P3057" t="s">
        <v>3840</v>
      </c>
      <c r="Q3057" t="s">
        <v>2731</v>
      </c>
      <c r="R3057" t="s">
        <v>2436</v>
      </c>
    </row>
    <row r="3058" spans="1:18" x14ac:dyDescent="0.5">
      <c r="A3058" t="str">
        <f>"369550BC1"</f>
        <v>369550BC1</v>
      </c>
      <c r="B3058" t="s">
        <v>101</v>
      </c>
      <c r="C3058" t="s">
        <v>3841</v>
      </c>
      <c r="D3058" t="s">
        <v>2433</v>
      </c>
      <c r="E3058">
        <v>3.75</v>
      </c>
      <c r="F3058" s="2">
        <v>46888</v>
      </c>
      <c r="G3058" s="2">
        <v>46798</v>
      </c>
      <c r="H3058" t="s">
        <v>610</v>
      </c>
      <c r="I3058" t="s">
        <v>611</v>
      </c>
      <c r="J3058">
        <v>97.894999999999996</v>
      </c>
      <c r="K3058">
        <v>98.033000000000001</v>
      </c>
      <c r="L3058">
        <v>4.4669999999999996</v>
      </c>
      <c r="M3058">
        <v>4.4189999999999996</v>
      </c>
      <c r="N3058">
        <v>4.4189999999999996</v>
      </c>
      <c r="O3058" t="s">
        <v>101</v>
      </c>
      <c r="P3058" t="s">
        <v>2581</v>
      </c>
      <c r="Q3058" t="s">
        <v>2454</v>
      </c>
      <c r="R3058" t="s">
        <v>2436</v>
      </c>
    </row>
    <row r="3059" spans="1:18" x14ac:dyDescent="0.5">
      <c r="A3059" t="str">
        <f>"377372AN7"</f>
        <v>377372AN7</v>
      </c>
      <c r="B3059" t="s">
        <v>101</v>
      </c>
      <c r="C3059" t="s">
        <v>3842</v>
      </c>
      <c r="D3059" t="s">
        <v>2433</v>
      </c>
      <c r="E3059">
        <v>3.875</v>
      </c>
      <c r="F3059" s="2">
        <v>46888</v>
      </c>
      <c r="G3059" s="2" t="s">
        <v>101</v>
      </c>
      <c r="H3059" t="s">
        <v>610</v>
      </c>
      <c r="I3059" t="s">
        <v>611</v>
      </c>
      <c r="J3059">
        <v>98.31</v>
      </c>
      <c r="K3059">
        <v>98.477000000000004</v>
      </c>
      <c r="L3059">
        <v>4.45</v>
      </c>
      <c r="M3059">
        <v>4.3929999999999998</v>
      </c>
      <c r="N3059">
        <v>4.3929999999999998</v>
      </c>
      <c r="O3059" t="s">
        <v>101</v>
      </c>
      <c r="P3059" t="s">
        <v>2454</v>
      </c>
      <c r="Q3059" t="s">
        <v>2454</v>
      </c>
      <c r="R3059" t="s">
        <v>2436</v>
      </c>
    </row>
    <row r="3060" spans="1:18" x14ac:dyDescent="0.5">
      <c r="A3060" t="str">
        <f>"487836BW7"</f>
        <v>487836BW7</v>
      </c>
      <c r="B3060" t="s">
        <v>101</v>
      </c>
      <c r="C3060" t="s">
        <v>3843</v>
      </c>
      <c r="D3060" t="s">
        <v>2433</v>
      </c>
      <c r="E3060">
        <v>4.3</v>
      </c>
      <c r="F3060" s="2">
        <v>46888</v>
      </c>
      <c r="G3060" s="2">
        <v>46798</v>
      </c>
      <c r="H3060" t="s">
        <v>677</v>
      </c>
      <c r="I3060" t="s">
        <v>611</v>
      </c>
      <c r="J3060">
        <v>99.191999999999993</v>
      </c>
      <c r="K3060">
        <v>99.353999999999999</v>
      </c>
      <c r="L3060">
        <v>4.5739999999999998</v>
      </c>
      <c r="M3060">
        <v>4.5190000000000001</v>
      </c>
      <c r="N3060">
        <v>4.5190000000000001</v>
      </c>
      <c r="O3060" t="s">
        <v>101</v>
      </c>
      <c r="P3060" t="s">
        <v>3411</v>
      </c>
      <c r="Q3060" t="s">
        <v>2454</v>
      </c>
      <c r="R3060" t="s">
        <v>2436</v>
      </c>
    </row>
    <row r="3061" spans="1:18" x14ac:dyDescent="0.5">
      <c r="A3061" t="str">
        <f>"29736RAS9"</f>
        <v>29736RAS9</v>
      </c>
      <c r="B3061" t="s">
        <v>101</v>
      </c>
      <c r="C3061" t="s">
        <v>3844</v>
      </c>
      <c r="D3061" t="s">
        <v>2433</v>
      </c>
      <c r="E3061">
        <v>4.375</v>
      </c>
      <c r="F3061" s="2">
        <v>46888</v>
      </c>
      <c r="G3061" s="2">
        <v>46858</v>
      </c>
      <c r="H3061" t="s">
        <v>610</v>
      </c>
      <c r="I3061" t="s">
        <v>713</v>
      </c>
      <c r="J3061">
        <v>99.424000000000007</v>
      </c>
      <c r="K3061">
        <v>99.616</v>
      </c>
      <c r="L3061">
        <v>4.57</v>
      </c>
      <c r="M3061">
        <v>4.5039999999999996</v>
      </c>
      <c r="N3061">
        <v>4.5039999999999996</v>
      </c>
      <c r="O3061" t="s">
        <v>101</v>
      </c>
      <c r="P3061" t="s">
        <v>3845</v>
      </c>
      <c r="Q3061" t="s">
        <v>2581</v>
      </c>
      <c r="R3061" t="s">
        <v>2436</v>
      </c>
    </row>
    <row r="3062" spans="1:18" x14ac:dyDescent="0.5">
      <c r="A3062" t="str">
        <f>"539830BZ1"</f>
        <v>539830BZ1</v>
      </c>
      <c r="B3062" t="s">
        <v>101</v>
      </c>
      <c r="C3062" t="s">
        <v>3846</v>
      </c>
      <c r="D3062" t="s">
        <v>2433</v>
      </c>
      <c r="E3062">
        <v>4.45</v>
      </c>
      <c r="F3062" s="2">
        <v>46888</v>
      </c>
      <c r="G3062" s="2">
        <v>46858</v>
      </c>
      <c r="H3062" t="s">
        <v>610</v>
      </c>
      <c r="I3062" t="s">
        <v>713</v>
      </c>
      <c r="J3062">
        <v>100.256</v>
      </c>
      <c r="K3062">
        <v>100.40600000000001</v>
      </c>
      <c r="L3062">
        <v>4.3600000000000003</v>
      </c>
      <c r="M3062">
        <v>4.3070000000000004</v>
      </c>
      <c r="N3062">
        <v>4.3099999999999996</v>
      </c>
      <c r="O3062" t="s">
        <v>101</v>
      </c>
      <c r="P3062" t="s">
        <v>2581</v>
      </c>
      <c r="Q3062" t="s">
        <v>2555</v>
      </c>
      <c r="R3062" t="s">
        <v>2436</v>
      </c>
    </row>
    <row r="3063" spans="1:18" x14ac:dyDescent="0.5">
      <c r="A3063" t="str">
        <f>"30303M8L9"</f>
        <v>30303M8L9</v>
      </c>
      <c r="B3063" t="s">
        <v>101</v>
      </c>
      <c r="C3063" t="s">
        <v>3847</v>
      </c>
      <c r="D3063" t="s">
        <v>2433</v>
      </c>
      <c r="E3063">
        <v>4.5999999999999996</v>
      </c>
      <c r="F3063" s="2">
        <v>46888</v>
      </c>
      <c r="G3063" s="2">
        <v>46858</v>
      </c>
      <c r="H3063" t="s">
        <v>624</v>
      </c>
      <c r="I3063" t="s">
        <v>616</v>
      </c>
      <c r="J3063">
        <v>100.729</v>
      </c>
      <c r="K3063">
        <v>100.913</v>
      </c>
      <c r="L3063">
        <v>4.3449999999999998</v>
      </c>
      <c r="M3063">
        <v>4.2809999999999997</v>
      </c>
      <c r="N3063">
        <v>4.2869999999999999</v>
      </c>
      <c r="O3063" t="s">
        <v>101</v>
      </c>
      <c r="P3063" t="s">
        <v>2438</v>
      </c>
      <c r="Q3063" t="s">
        <v>2454</v>
      </c>
      <c r="R3063" t="s">
        <v>2436</v>
      </c>
    </row>
    <row r="3064" spans="1:18" x14ac:dyDescent="0.5">
      <c r="A3064" t="str">
        <f>"63743FZR0"</f>
        <v>63743FZR0</v>
      </c>
      <c r="B3064" t="s">
        <v>101</v>
      </c>
      <c r="C3064" t="s">
        <v>3848</v>
      </c>
      <c r="D3064" t="s">
        <v>2433</v>
      </c>
      <c r="E3064">
        <v>3</v>
      </c>
      <c r="F3064" s="2">
        <v>46888</v>
      </c>
      <c r="G3064" s="2" t="s">
        <v>105</v>
      </c>
      <c r="H3064" t="s">
        <v>610</v>
      </c>
      <c r="I3064" t="s">
        <v>713</v>
      </c>
      <c r="J3064">
        <v>95.141000000000005</v>
      </c>
      <c r="K3064">
        <v>95.748999999999995</v>
      </c>
      <c r="L3064">
        <v>4.649</v>
      </c>
      <c r="M3064">
        <v>4.4379999999999997</v>
      </c>
      <c r="N3064">
        <v>4.4379999999999997</v>
      </c>
      <c r="O3064" t="s">
        <v>101</v>
      </c>
      <c r="P3064" t="s">
        <v>1236</v>
      </c>
      <c r="Q3064" t="s">
        <v>2739</v>
      </c>
      <c r="R3064" t="s">
        <v>2610</v>
      </c>
    </row>
    <row r="3065" spans="1:18" x14ac:dyDescent="0.5">
      <c r="A3065" t="str">
        <f>"68233JCQ5"</f>
        <v>68233JCQ5</v>
      </c>
      <c r="B3065" t="s">
        <v>101</v>
      </c>
      <c r="C3065" t="s">
        <v>3849</v>
      </c>
      <c r="D3065" t="s">
        <v>2433</v>
      </c>
      <c r="E3065">
        <v>4.3</v>
      </c>
      <c r="F3065" s="2">
        <v>46888</v>
      </c>
      <c r="G3065" s="2">
        <v>46858</v>
      </c>
      <c r="H3065" t="s">
        <v>610</v>
      </c>
      <c r="I3065" t="s">
        <v>658</v>
      </c>
      <c r="J3065">
        <v>99.210999999999999</v>
      </c>
      <c r="K3065">
        <v>99.58</v>
      </c>
      <c r="L3065">
        <v>4.5679999999999996</v>
      </c>
      <c r="M3065">
        <v>4.4409999999999998</v>
      </c>
      <c r="N3065">
        <v>4.4409999999999998</v>
      </c>
      <c r="O3065" t="s">
        <v>101</v>
      </c>
      <c r="P3065" t="s">
        <v>2786</v>
      </c>
      <c r="Q3065" t="s">
        <v>2628</v>
      </c>
      <c r="R3065" t="s">
        <v>2436</v>
      </c>
    </row>
    <row r="3066" spans="1:18" x14ac:dyDescent="0.5">
      <c r="A3066" t="str">
        <f>"713448FR4"</f>
        <v>713448FR4</v>
      </c>
      <c r="B3066" t="s">
        <v>101</v>
      </c>
      <c r="C3066" t="s">
        <v>3850</v>
      </c>
      <c r="D3066" t="s">
        <v>2433</v>
      </c>
      <c r="E3066">
        <v>4.45</v>
      </c>
      <c r="F3066" s="2">
        <v>46888</v>
      </c>
      <c r="G3066" s="2">
        <v>46858</v>
      </c>
      <c r="H3066" t="s">
        <v>641</v>
      </c>
      <c r="I3066" t="s">
        <v>658</v>
      </c>
      <c r="J3066">
        <v>100.461</v>
      </c>
      <c r="K3066">
        <v>100.678</v>
      </c>
      <c r="L3066">
        <v>4.2880000000000003</v>
      </c>
      <c r="M3066">
        <v>4.2130000000000001</v>
      </c>
      <c r="N3066">
        <v>4.218</v>
      </c>
      <c r="O3066" t="s">
        <v>101</v>
      </c>
      <c r="P3066" t="s">
        <v>3178</v>
      </c>
      <c r="Q3066" t="s">
        <v>2454</v>
      </c>
      <c r="R3066" t="s">
        <v>2436</v>
      </c>
    </row>
    <row r="3067" spans="1:18" x14ac:dyDescent="0.5">
      <c r="A3067" t="str">
        <f>"806854AK1"</f>
        <v>806854AK1</v>
      </c>
      <c r="B3067" t="s">
        <v>101</v>
      </c>
      <c r="C3067" t="s">
        <v>3851</v>
      </c>
      <c r="D3067" t="s">
        <v>2433</v>
      </c>
      <c r="E3067">
        <v>4.5</v>
      </c>
      <c r="F3067" s="2">
        <v>46888</v>
      </c>
      <c r="G3067" s="2">
        <v>46858</v>
      </c>
      <c r="H3067" t="s">
        <v>641</v>
      </c>
      <c r="I3067" t="s">
        <v>611</v>
      </c>
      <c r="J3067">
        <v>96</v>
      </c>
      <c r="K3067">
        <v>100.38500000000001</v>
      </c>
      <c r="L3067">
        <v>5.8970000000000002</v>
      </c>
      <c r="M3067">
        <v>4.3650000000000002</v>
      </c>
      <c r="N3067">
        <v>4.367</v>
      </c>
      <c r="O3067" t="s">
        <v>101</v>
      </c>
      <c r="P3067" t="s">
        <v>3481</v>
      </c>
      <c r="Q3067" t="s">
        <v>2765</v>
      </c>
      <c r="R3067" t="s">
        <v>2439</v>
      </c>
    </row>
    <row r="3068" spans="1:18" x14ac:dyDescent="0.5">
      <c r="A3068" t="str">
        <f>"872540AV1"</f>
        <v>872540AV1</v>
      </c>
      <c r="B3068" t="s">
        <v>101</v>
      </c>
      <c r="C3068" t="s">
        <v>3852</v>
      </c>
      <c r="D3068" t="s">
        <v>2433</v>
      </c>
      <c r="E3068">
        <v>1.1499999999999999</v>
      </c>
      <c r="F3068" s="2">
        <v>46888</v>
      </c>
      <c r="G3068" s="2">
        <v>46827</v>
      </c>
      <c r="H3068" t="s">
        <v>610</v>
      </c>
      <c r="I3068" t="s">
        <v>611</v>
      </c>
      <c r="J3068">
        <v>90.427000000000007</v>
      </c>
      <c r="K3068">
        <v>90.510999999999996</v>
      </c>
      <c r="L3068">
        <v>4.4139999999999997</v>
      </c>
      <c r="M3068">
        <v>4.3840000000000003</v>
      </c>
      <c r="N3068">
        <v>4.3840000000000003</v>
      </c>
      <c r="O3068" t="s">
        <v>101</v>
      </c>
      <c r="P3068" t="s">
        <v>2447</v>
      </c>
      <c r="Q3068" t="s">
        <v>2581</v>
      </c>
      <c r="R3068" t="s">
        <v>2436</v>
      </c>
    </row>
    <row r="3069" spans="1:18" x14ac:dyDescent="0.5">
      <c r="A3069" t="str">
        <f>"373334KS9"</f>
        <v>373334KS9</v>
      </c>
      <c r="B3069" t="s">
        <v>101</v>
      </c>
      <c r="C3069" t="s">
        <v>3853</v>
      </c>
      <c r="D3069" t="s">
        <v>2433</v>
      </c>
      <c r="E3069">
        <v>4.6500000000000004</v>
      </c>
      <c r="F3069" s="2">
        <v>46889</v>
      </c>
      <c r="G3069" s="2">
        <v>46828</v>
      </c>
      <c r="H3069" t="s">
        <v>627</v>
      </c>
      <c r="I3069" t="s">
        <v>611</v>
      </c>
      <c r="J3069">
        <v>100.21599999999999</v>
      </c>
      <c r="K3069">
        <v>100.42100000000001</v>
      </c>
      <c r="L3069">
        <v>4.5720000000000001</v>
      </c>
      <c r="M3069">
        <v>4.4989999999999997</v>
      </c>
      <c r="N3069">
        <v>4.5039999999999996</v>
      </c>
      <c r="O3069" t="s">
        <v>101</v>
      </c>
      <c r="P3069" t="s">
        <v>2454</v>
      </c>
      <c r="Q3069" t="s">
        <v>2747</v>
      </c>
      <c r="R3069" t="s">
        <v>2436</v>
      </c>
    </row>
    <row r="3070" spans="1:18" x14ac:dyDescent="0.5">
      <c r="A3070" t="str">
        <f>"58933YBH7"</f>
        <v>58933YBH7</v>
      </c>
      <c r="B3070" t="s">
        <v>101</v>
      </c>
      <c r="C3070" t="s">
        <v>3854</v>
      </c>
      <c r="D3070" t="s">
        <v>2433</v>
      </c>
      <c r="E3070">
        <v>4.05</v>
      </c>
      <c r="F3070" s="2">
        <v>46890</v>
      </c>
      <c r="G3070" s="2">
        <v>46860</v>
      </c>
      <c r="H3070" t="s">
        <v>641</v>
      </c>
      <c r="I3070" t="s">
        <v>658</v>
      </c>
      <c r="J3070">
        <v>99.429000000000002</v>
      </c>
      <c r="K3070">
        <v>99.647000000000006</v>
      </c>
      <c r="L3070">
        <v>4.242</v>
      </c>
      <c r="M3070">
        <v>4.1680000000000001</v>
      </c>
      <c r="N3070">
        <v>4.1680000000000001</v>
      </c>
      <c r="O3070" t="s">
        <v>101</v>
      </c>
      <c r="P3070" t="s">
        <v>2746</v>
      </c>
      <c r="Q3070" t="s">
        <v>1702</v>
      </c>
      <c r="R3070" t="s">
        <v>2436</v>
      </c>
    </row>
    <row r="3071" spans="1:18" x14ac:dyDescent="0.5">
      <c r="A3071" t="str">
        <f>"25243YAZ2"</f>
        <v>25243YAZ2</v>
      </c>
      <c r="B3071" t="s">
        <v>101</v>
      </c>
      <c r="C3071" t="s">
        <v>3855</v>
      </c>
      <c r="D3071" t="s">
        <v>2433</v>
      </c>
      <c r="E3071">
        <v>3.875</v>
      </c>
      <c r="F3071" s="2">
        <v>46891</v>
      </c>
      <c r="G3071" s="2">
        <v>46801</v>
      </c>
      <c r="H3071" t="s">
        <v>627</v>
      </c>
      <c r="I3071" t="s">
        <v>713</v>
      </c>
      <c r="J3071">
        <v>98.117000000000004</v>
      </c>
      <c r="K3071">
        <v>98.283000000000001</v>
      </c>
      <c r="L3071">
        <v>4.5149999999999997</v>
      </c>
      <c r="M3071">
        <v>4.4580000000000002</v>
      </c>
      <c r="N3071">
        <v>4.4580000000000002</v>
      </c>
      <c r="O3071" t="s">
        <v>101</v>
      </c>
      <c r="P3071" t="s">
        <v>3356</v>
      </c>
      <c r="Q3071" t="s">
        <v>542</v>
      </c>
      <c r="R3071" t="s">
        <v>2436</v>
      </c>
    </row>
    <row r="3072" spans="1:18" x14ac:dyDescent="0.5">
      <c r="A3072" t="str">
        <f>"278062AK0"</f>
        <v>278062AK0</v>
      </c>
      <c r="B3072" t="s">
        <v>101</v>
      </c>
      <c r="C3072" t="s">
        <v>3856</v>
      </c>
      <c r="D3072" t="s">
        <v>2433</v>
      </c>
      <c r="E3072">
        <v>4.3499999999999996</v>
      </c>
      <c r="F3072" s="2">
        <v>46891</v>
      </c>
      <c r="G3072" s="2">
        <v>46861</v>
      </c>
      <c r="H3072" t="s">
        <v>627</v>
      </c>
      <c r="I3072" t="s">
        <v>713</v>
      </c>
      <c r="J3072">
        <v>99.62</v>
      </c>
      <c r="K3072">
        <v>99.86</v>
      </c>
      <c r="L3072">
        <v>4.4779999999999998</v>
      </c>
      <c r="M3072">
        <v>4.3959999999999999</v>
      </c>
      <c r="N3072">
        <v>4.3959999999999999</v>
      </c>
      <c r="O3072" t="s">
        <v>101</v>
      </c>
      <c r="P3072" t="s">
        <v>3241</v>
      </c>
      <c r="Q3072" t="s">
        <v>2454</v>
      </c>
      <c r="R3072" t="s">
        <v>2436</v>
      </c>
    </row>
    <row r="3073" spans="1:18" x14ac:dyDescent="0.5">
      <c r="A3073" t="str">
        <f>"716973AC6"</f>
        <v>716973AC6</v>
      </c>
      <c r="B3073" t="s">
        <v>101</v>
      </c>
      <c r="C3073" t="s">
        <v>3857</v>
      </c>
      <c r="D3073" t="s">
        <v>2433</v>
      </c>
      <c r="E3073">
        <v>4.45</v>
      </c>
      <c r="F3073" s="2">
        <v>46892</v>
      </c>
      <c r="G3073" s="2">
        <v>46862</v>
      </c>
      <c r="H3073" t="s">
        <v>610</v>
      </c>
      <c r="I3073" t="s">
        <v>611</v>
      </c>
      <c r="J3073">
        <v>99.884</v>
      </c>
      <c r="K3073">
        <v>100.036</v>
      </c>
      <c r="L3073">
        <v>4.4880000000000004</v>
      </c>
      <c r="M3073">
        <v>4.4359999999999999</v>
      </c>
      <c r="N3073">
        <v>4.4359999999999999</v>
      </c>
      <c r="O3073" t="s">
        <v>101</v>
      </c>
      <c r="P3073" t="s">
        <v>2472</v>
      </c>
      <c r="Q3073" t="s">
        <v>3239</v>
      </c>
      <c r="R3073" t="s">
        <v>2436</v>
      </c>
    </row>
    <row r="3074" spans="1:18" x14ac:dyDescent="0.5">
      <c r="A3074" t="str">
        <f>"747525BN2"</f>
        <v>747525BN2</v>
      </c>
      <c r="B3074" t="s">
        <v>101</v>
      </c>
      <c r="C3074" t="s">
        <v>3858</v>
      </c>
      <c r="D3074" t="s">
        <v>2433</v>
      </c>
      <c r="E3074">
        <v>1.3</v>
      </c>
      <c r="F3074" s="2">
        <v>46893</v>
      </c>
      <c r="G3074" s="2">
        <v>46803</v>
      </c>
      <c r="H3074" t="s">
        <v>610</v>
      </c>
      <c r="I3074" t="s">
        <v>611</v>
      </c>
      <c r="J3074">
        <v>90.924000000000007</v>
      </c>
      <c r="K3074">
        <v>91.100999999999999</v>
      </c>
      <c r="L3074">
        <v>4.38</v>
      </c>
      <c r="M3074">
        <v>4.3170000000000002</v>
      </c>
      <c r="N3074">
        <v>4.3170000000000002</v>
      </c>
      <c r="O3074" t="s">
        <v>101</v>
      </c>
      <c r="P3074" t="s">
        <v>2438</v>
      </c>
      <c r="Q3074" t="s">
        <v>2581</v>
      </c>
      <c r="R3074" t="s">
        <v>2436</v>
      </c>
    </row>
    <row r="3075" spans="1:18" x14ac:dyDescent="0.5">
      <c r="A3075" t="str">
        <f>"04636NAE3"</f>
        <v>04636NAE3</v>
      </c>
      <c r="B3075" t="s">
        <v>101</v>
      </c>
      <c r="C3075" t="s">
        <v>3859</v>
      </c>
      <c r="D3075" t="s">
        <v>2433</v>
      </c>
      <c r="E3075">
        <v>1.75</v>
      </c>
      <c r="F3075" s="2">
        <v>46901</v>
      </c>
      <c r="G3075" s="2">
        <v>46840</v>
      </c>
      <c r="H3075" t="s">
        <v>641</v>
      </c>
      <c r="I3075" t="s">
        <v>658</v>
      </c>
      <c r="J3075">
        <v>92.037000000000006</v>
      </c>
      <c r="K3075">
        <v>92.174999999999997</v>
      </c>
      <c r="L3075">
        <v>4.4370000000000003</v>
      </c>
      <c r="M3075">
        <v>4.3879999999999999</v>
      </c>
      <c r="N3075">
        <v>4.3879999999999999</v>
      </c>
      <c r="O3075" t="s">
        <v>101</v>
      </c>
      <c r="P3075" t="s">
        <v>1999</v>
      </c>
      <c r="Q3075" t="s">
        <v>2454</v>
      </c>
      <c r="R3075" t="s">
        <v>2436</v>
      </c>
    </row>
    <row r="3076" spans="1:18" x14ac:dyDescent="0.5">
      <c r="A3076" t="str">
        <f>"590188JB5"</f>
        <v>590188JB5</v>
      </c>
      <c r="B3076" t="s">
        <v>101</v>
      </c>
      <c r="C3076" t="s">
        <v>3860</v>
      </c>
      <c r="D3076" t="s">
        <v>2433</v>
      </c>
      <c r="E3076">
        <v>6.75</v>
      </c>
      <c r="F3076" s="2">
        <v>46905</v>
      </c>
      <c r="G3076" s="2" t="s">
        <v>105</v>
      </c>
      <c r="H3076" t="s">
        <v>641</v>
      </c>
      <c r="I3076" t="s">
        <v>713</v>
      </c>
      <c r="J3076">
        <v>106.441</v>
      </c>
      <c r="K3076">
        <v>107.911</v>
      </c>
      <c r="L3076">
        <v>4.5730000000000004</v>
      </c>
      <c r="M3076">
        <v>4.0990000000000002</v>
      </c>
      <c r="N3076">
        <v>4.0990000000000002</v>
      </c>
      <c r="O3076" t="s">
        <v>101</v>
      </c>
      <c r="P3076" t="s">
        <v>3116</v>
      </c>
      <c r="Q3076" t="s">
        <v>3861</v>
      </c>
      <c r="R3076" t="s">
        <v>2465</v>
      </c>
    </row>
    <row r="3077" spans="1:18" x14ac:dyDescent="0.5">
      <c r="A3077" t="str">
        <f>"29364DAV2"</f>
        <v>29364DAV2</v>
      </c>
      <c r="B3077" t="s">
        <v>101</v>
      </c>
      <c r="C3077" t="s">
        <v>3862</v>
      </c>
      <c r="D3077" t="s">
        <v>2433</v>
      </c>
      <c r="E3077">
        <v>4</v>
      </c>
      <c r="F3077" s="2">
        <v>46905</v>
      </c>
      <c r="G3077" s="2">
        <v>46813</v>
      </c>
      <c r="H3077" t="s">
        <v>610</v>
      </c>
      <c r="I3077" t="s">
        <v>611</v>
      </c>
      <c r="J3077">
        <v>98.084000000000003</v>
      </c>
      <c r="K3077">
        <v>98.475999999999999</v>
      </c>
      <c r="L3077">
        <v>4.6459999999999999</v>
      </c>
      <c r="M3077">
        <v>4.5119999999999996</v>
      </c>
      <c r="N3077">
        <v>4.5119999999999996</v>
      </c>
      <c r="O3077" t="s">
        <v>101</v>
      </c>
      <c r="P3077" t="s">
        <v>3082</v>
      </c>
      <c r="Q3077" t="s">
        <v>2922</v>
      </c>
      <c r="R3077" t="s">
        <v>2436</v>
      </c>
    </row>
    <row r="3078" spans="1:18" x14ac:dyDescent="0.5">
      <c r="A3078" t="str">
        <f>"29364NAT5"</f>
        <v>29364NAT5</v>
      </c>
      <c r="B3078" t="s">
        <v>101</v>
      </c>
      <c r="C3078" t="s">
        <v>3863</v>
      </c>
      <c r="D3078" t="s">
        <v>2433</v>
      </c>
      <c r="E3078">
        <v>2.85</v>
      </c>
      <c r="F3078" s="2">
        <v>46905</v>
      </c>
      <c r="G3078" s="2">
        <v>46813</v>
      </c>
      <c r="H3078" t="s">
        <v>610</v>
      </c>
      <c r="I3078" t="s">
        <v>611</v>
      </c>
      <c r="J3078">
        <v>94.722999999999999</v>
      </c>
      <c r="K3078">
        <v>95.055999999999997</v>
      </c>
      <c r="L3078">
        <v>4.6319999999999997</v>
      </c>
      <c r="M3078">
        <v>4.516</v>
      </c>
      <c r="N3078">
        <v>4.516</v>
      </c>
      <c r="O3078" t="s">
        <v>101</v>
      </c>
      <c r="P3078" t="s">
        <v>3777</v>
      </c>
      <c r="Q3078" t="s">
        <v>3386</v>
      </c>
      <c r="R3078" t="s">
        <v>2436</v>
      </c>
    </row>
    <row r="3079" spans="1:18" x14ac:dyDescent="0.5">
      <c r="A3079" t="str">
        <f>"976656BP2"</f>
        <v>976656BP2</v>
      </c>
      <c r="B3079" t="s">
        <v>101</v>
      </c>
      <c r="C3079" t="s">
        <v>3864</v>
      </c>
      <c r="D3079" t="s">
        <v>2433</v>
      </c>
      <c r="E3079">
        <v>6.5</v>
      </c>
      <c r="F3079" s="2">
        <v>46905</v>
      </c>
      <c r="G3079" s="2" t="s">
        <v>105</v>
      </c>
      <c r="H3079" t="s">
        <v>610</v>
      </c>
      <c r="I3079" t="s">
        <v>713</v>
      </c>
      <c r="J3079">
        <v>106.09099999999999</v>
      </c>
      <c r="K3079">
        <v>106.627</v>
      </c>
      <c r="L3079">
        <v>4.4459999999999997</v>
      </c>
      <c r="M3079">
        <v>4.2720000000000002</v>
      </c>
      <c r="N3079">
        <v>4.2720000000000002</v>
      </c>
      <c r="O3079" t="s">
        <v>101</v>
      </c>
      <c r="P3079" t="s">
        <v>2747</v>
      </c>
      <c r="Q3079" t="s">
        <v>488</v>
      </c>
      <c r="R3079" t="s">
        <v>2465</v>
      </c>
    </row>
    <row r="3080" spans="1:18" x14ac:dyDescent="0.5">
      <c r="A3080" t="str">
        <f>"440452AH3"</f>
        <v>440452AH3</v>
      </c>
      <c r="B3080" t="s">
        <v>101</v>
      </c>
      <c r="C3080" t="s">
        <v>3865</v>
      </c>
      <c r="D3080" t="s">
        <v>2433</v>
      </c>
      <c r="E3080">
        <v>1.7</v>
      </c>
      <c r="F3080" s="2">
        <v>46907</v>
      </c>
      <c r="G3080" s="2">
        <v>46846</v>
      </c>
      <c r="H3080" t="s">
        <v>641</v>
      </c>
      <c r="I3080" t="s">
        <v>713</v>
      </c>
      <c r="J3080">
        <v>91.814999999999998</v>
      </c>
      <c r="K3080">
        <v>91.947999999999993</v>
      </c>
      <c r="L3080">
        <v>4.452</v>
      </c>
      <c r="M3080">
        <v>4.4050000000000002</v>
      </c>
      <c r="N3080">
        <v>4.4050000000000002</v>
      </c>
      <c r="O3080" t="s">
        <v>101</v>
      </c>
      <c r="P3080" t="s">
        <v>2581</v>
      </c>
      <c r="Q3080" t="s">
        <v>1999</v>
      </c>
      <c r="R3080" t="s">
        <v>2436</v>
      </c>
    </row>
    <row r="3081" spans="1:18" x14ac:dyDescent="0.5">
      <c r="A3081" t="str">
        <f>"06418GAD9"</f>
        <v>06418GAD9</v>
      </c>
      <c r="B3081" t="s">
        <v>101</v>
      </c>
      <c r="C3081" t="s">
        <v>3866</v>
      </c>
      <c r="D3081" t="s">
        <v>2433</v>
      </c>
      <c r="E3081">
        <v>5.25</v>
      </c>
      <c r="F3081" s="2">
        <v>46916</v>
      </c>
      <c r="G3081" s="2" t="s">
        <v>101</v>
      </c>
      <c r="H3081" t="s">
        <v>610</v>
      </c>
      <c r="I3081" t="s">
        <v>713</v>
      </c>
      <c r="J3081">
        <v>101.929</v>
      </c>
      <c r="K3081">
        <v>102.059</v>
      </c>
      <c r="L3081">
        <v>4.6020000000000003</v>
      </c>
      <c r="M3081">
        <v>4.5590000000000002</v>
      </c>
      <c r="N3081">
        <v>4.5590000000000002</v>
      </c>
      <c r="O3081" t="s">
        <v>101</v>
      </c>
      <c r="P3081" t="s">
        <v>1702</v>
      </c>
      <c r="Q3081" t="s">
        <v>2581</v>
      </c>
      <c r="R3081" t="s">
        <v>2436</v>
      </c>
    </row>
    <row r="3082" spans="1:18" x14ac:dyDescent="0.5">
      <c r="A3082" t="str">
        <f>"12572QAJ4"</f>
        <v>12572QAJ4</v>
      </c>
      <c r="B3082" t="s">
        <v>101</v>
      </c>
      <c r="C3082" t="s">
        <v>3867</v>
      </c>
      <c r="D3082" t="s">
        <v>2433</v>
      </c>
      <c r="E3082">
        <v>3.75</v>
      </c>
      <c r="F3082" s="2">
        <v>46919</v>
      </c>
      <c r="G3082" s="2">
        <v>46827</v>
      </c>
      <c r="H3082" t="s">
        <v>624</v>
      </c>
      <c r="I3082" t="s">
        <v>616</v>
      </c>
      <c r="J3082">
        <v>98.105000000000004</v>
      </c>
      <c r="K3082">
        <v>98.305999999999997</v>
      </c>
      <c r="L3082">
        <v>4.3789999999999996</v>
      </c>
      <c r="M3082">
        <v>4.3109999999999999</v>
      </c>
      <c r="N3082">
        <v>4.3109999999999999</v>
      </c>
      <c r="O3082" t="s">
        <v>101</v>
      </c>
      <c r="P3082" t="s">
        <v>2289</v>
      </c>
      <c r="Q3082" t="s">
        <v>2454</v>
      </c>
      <c r="R3082" t="s">
        <v>2436</v>
      </c>
    </row>
    <row r="3083" spans="1:18" x14ac:dyDescent="0.5">
      <c r="A3083" t="str">
        <f>"438506AS6"</f>
        <v>438506AS6</v>
      </c>
      <c r="B3083" t="s">
        <v>101</v>
      </c>
      <c r="C3083" t="s">
        <v>3868</v>
      </c>
      <c r="D3083" t="s">
        <v>2433</v>
      </c>
      <c r="E3083">
        <v>6.625</v>
      </c>
      <c r="F3083" s="2">
        <v>46919</v>
      </c>
      <c r="G3083" s="2" t="s">
        <v>101</v>
      </c>
      <c r="H3083" t="s">
        <v>610</v>
      </c>
      <c r="I3083" t="s">
        <v>611</v>
      </c>
      <c r="J3083">
        <v>106.46599999999999</v>
      </c>
      <c r="K3083">
        <v>106.99299999999999</v>
      </c>
      <c r="L3083">
        <v>4.468</v>
      </c>
      <c r="M3083">
        <v>4.2990000000000004</v>
      </c>
      <c r="N3083">
        <v>4.2990000000000004</v>
      </c>
      <c r="O3083" t="s">
        <v>101</v>
      </c>
      <c r="P3083" t="s">
        <v>1391</v>
      </c>
      <c r="Q3083" t="s">
        <v>1391</v>
      </c>
      <c r="R3083" t="s">
        <v>2436</v>
      </c>
    </row>
    <row r="3084" spans="1:18" x14ac:dyDescent="0.5">
      <c r="A3084" t="str">
        <f>"41013MPZ7"</f>
        <v>41013MPZ7</v>
      </c>
      <c r="B3084" t="s">
        <v>101</v>
      </c>
      <c r="C3084" t="s">
        <v>3869</v>
      </c>
      <c r="D3084" t="s">
        <v>2433</v>
      </c>
      <c r="E3084">
        <v>5.05</v>
      </c>
      <c r="F3084" s="2">
        <v>46919</v>
      </c>
      <c r="G3084" s="2" t="s">
        <v>101</v>
      </c>
      <c r="H3084" t="s">
        <v>610</v>
      </c>
      <c r="I3084" t="s">
        <v>616</v>
      </c>
      <c r="J3084">
        <v>100.65</v>
      </c>
      <c r="K3084">
        <v>101.589</v>
      </c>
      <c r="L3084">
        <v>4.8339999999999996</v>
      </c>
      <c r="M3084">
        <v>4.5250000000000004</v>
      </c>
      <c r="N3084">
        <v>4.5250000000000004</v>
      </c>
      <c r="O3084" t="s">
        <v>101</v>
      </c>
      <c r="P3084" t="s">
        <v>858</v>
      </c>
      <c r="Q3084" t="s">
        <v>2821</v>
      </c>
      <c r="R3084" t="s">
        <v>3643</v>
      </c>
    </row>
    <row r="3085" spans="1:18" x14ac:dyDescent="0.5">
      <c r="A3085" t="str">
        <f>"41013MQG8"</f>
        <v>41013MQG8</v>
      </c>
      <c r="B3085" t="s">
        <v>101</v>
      </c>
      <c r="C3085" t="s">
        <v>3870</v>
      </c>
      <c r="D3085" t="s">
        <v>2433</v>
      </c>
      <c r="E3085">
        <v>5.0999999999999996</v>
      </c>
      <c r="F3085" s="2">
        <v>46919</v>
      </c>
      <c r="G3085" s="2" t="s">
        <v>101</v>
      </c>
      <c r="H3085" t="s">
        <v>610</v>
      </c>
      <c r="I3085" t="s">
        <v>616</v>
      </c>
      <c r="J3085">
        <v>100.34399999999999</v>
      </c>
      <c r="K3085">
        <v>102.854</v>
      </c>
      <c r="L3085">
        <v>4.9850000000000003</v>
      </c>
      <c r="M3085">
        <v>4.1619999999999999</v>
      </c>
      <c r="N3085">
        <v>4.1619999999999999</v>
      </c>
      <c r="O3085" t="s">
        <v>101</v>
      </c>
      <c r="P3085" t="s">
        <v>858</v>
      </c>
      <c r="Q3085" t="s">
        <v>3298</v>
      </c>
      <c r="R3085" t="s">
        <v>3643</v>
      </c>
    </row>
    <row r="3086" spans="1:18" x14ac:dyDescent="0.5">
      <c r="A3086" t="str">
        <f>"41013MQP8"</f>
        <v>41013MQP8</v>
      </c>
      <c r="B3086" t="s">
        <v>101</v>
      </c>
      <c r="C3086" t="s">
        <v>3871</v>
      </c>
      <c r="D3086" t="s">
        <v>2433</v>
      </c>
      <c r="E3086">
        <v>5</v>
      </c>
      <c r="F3086" s="2">
        <v>46919</v>
      </c>
      <c r="G3086" s="2" t="s">
        <v>101</v>
      </c>
      <c r="H3086" t="s">
        <v>610</v>
      </c>
      <c r="I3086" t="s">
        <v>616</v>
      </c>
      <c r="J3086">
        <v>100.554</v>
      </c>
      <c r="K3086">
        <v>102.512</v>
      </c>
      <c r="L3086">
        <v>4.8120000000000003</v>
      </c>
      <c r="M3086">
        <v>4.165</v>
      </c>
      <c r="N3086">
        <v>4.165</v>
      </c>
      <c r="O3086" t="s">
        <v>101</v>
      </c>
      <c r="P3086" t="s">
        <v>858</v>
      </c>
      <c r="Q3086" t="s">
        <v>3872</v>
      </c>
      <c r="R3086" t="s">
        <v>3643</v>
      </c>
    </row>
    <row r="3087" spans="1:18" x14ac:dyDescent="0.5">
      <c r="A3087" t="str">
        <f>"59523UAP2"</f>
        <v>59523UAP2</v>
      </c>
      <c r="B3087" t="s">
        <v>101</v>
      </c>
      <c r="C3087" t="s">
        <v>3873</v>
      </c>
      <c r="D3087" t="s">
        <v>2433</v>
      </c>
      <c r="E3087">
        <v>4.2</v>
      </c>
      <c r="F3087" s="2">
        <v>46919</v>
      </c>
      <c r="G3087" s="2">
        <v>46827</v>
      </c>
      <c r="H3087" t="s">
        <v>627</v>
      </c>
      <c r="I3087" t="s">
        <v>713</v>
      </c>
      <c r="J3087">
        <v>98.637</v>
      </c>
      <c r="K3087">
        <v>98.807000000000002</v>
      </c>
      <c r="L3087">
        <v>4.6539999999999999</v>
      </c>
      <c r="M3087">
        <v>4.5960000000000001</v>
      </c>
      <c r="N3087">
        <v>4.5960000000000001</v>
      </c>
      <c r="O3087" t="s">
        <v>101</v>
      </c>
      <c r="P3087" t="s">
        <v>1999</v>
      </c>
      <c r="Q3087" t="s">
        <v>3874</v>
      </c>
      <c r="R3087" t="s">
        <v>2436</v>
      </c>
    </row>
    <row r="3088" spans="1:18" x14ac:dyDescent="0.5">
      <c r="A3088" t="str">
        <f>"63743FWP7"</f>
        <v>63743FWP7</v>
      </c>
      <c r="B3088" t="s">
        <v>101</v>
      </c>
      <c r="C3088" t="s">
        <v>3875</v>
      </c>
      <c r="D3088" t="s">
        <v>2433</v>
      </c>
      <c r="E3088">
        <v>3.5</v>
      </c>
      <c r="F3088" s="2">
        <v>46919</v>
      </c>
      <c r="G3088" s="2" t="s">
        <v>105</v>
      </c>
      <c r="H3088" t="s">
        <v>610</v>
      </c>
      <c r="I3088" t="s">
        <v>713</v>
      </c>
      <c r="J3088">
        <v>95.64</v>
      </c>
      <c r="K3088">
        <v>97.552000000000007</v>
      </c>
      <c r="L3088">
        <v>4.952</v>
      </c>
      <c r="M3088">
        <v>4.3070000000000004</v>
      </c>
      <c r="N3088">
        <v>4.3070000000000004</v>
      </c>
      <c r="O3088" t="s">
        <v>101</v>
      </c>
      <c r="P3088" t="s">
        <v>858</v>
      </c>
      <c r="Q3088" t="s">
        <v>2821</v>
      </c>
      <c r="R3088" t="s">
        <v>2610</v>
      </c>
    </row>
    <row r="3089" spans="1:18" x14ac:dyDescent="0.5">
      <c r="A3089" t="str">
        <f>"67066GAM6"</f>
        <v>67066GAM6</v>
      </c>
      <c r="B3089" t="s">
        <v>101</v>
      </c>
      <c r="C3089" t="s">
        <v>3876</v>
      </c>
      <c r="D3089" t="s">
        <v>2433</v>
      </c>
      <c r="E3089">
        <v>1.55</v>
      </c>
      <c r="F3089" s="2">
        <v>46919</v>
      </c>
      <c r="G3089" s="2">
        <v>46858</v>
      </c>
      <c r="H3089" t="s">
        <v>624</v>
      </c>
      <c r="I3089" t="s">
        <v>616</v>
      </c>
      <c r="J3089">
        <v>91.751000000000005</v>
      </c>
      <c r="K3089">
        <v>91.962999999999994</v>
      </c>
      <c r="L3089">
        <v>4.2889999999999997</v>
      </c>
      <c r="M3089">
        <v>4.2149999999999999</v>
      </c>
      <c r="N3089">
        <v>4.2149999999999999</v>
      </c>
      <c r="O3089" t="s">
        <v>101</v>
      </c>
      <c r="P3089" t="s">
        <v>2434</v>
      </c>
      <c r="Q3089" t="s">
        <v>1702</v>
      </c>
      <c r="R3089" t="s">
        <v>2436</v>
      </c>
    </row>
    <row r="3090" spans="1:18" x14ac:dyDescent="0.5">
      <c r="A3090" t="str">
        <f>"74340XCG4"</f>
        <v>74340XCG4</v>
      </c>
      <c r="B3090" t="s">
        <v>101</v>
      </c>
      <c r="C3090" t="s">
        <v>3877</v>
      </c>
      <c r="D3090" t="s">
        <v>2433</v>
      </c>
      <c r="E3090">
        <v>4.875</v>
      </c>
      <c r="F3090" s="2">
        <v>46919</v>
      </c>
      <c r="G3090" s="2">
        <v>46888</v>
      </c>
      <c r="H3090" t="s">
        <v>610</v>
      </c>
      <c r="I3090" t="s">
        <v>611</v>
      </c>
      <c r="J3090">
        <v>100.842</v>
      </c>
      <c r="K3090">
        <v>101.04</v>
      </c>
      <c r="L3090">
        <v>4.5860000000000003</v>
      </c>
      <c r="M3090">
        <v>4.5190000000000001</v>
      </c>
      <c r="N3090">
        <v>4.5259999999999998</v>
      </c>
      <c r="O3090" t="s">
        <v>101</v>
      </c>
      <c r="P3090" t="s">
        <v>3878</v>
      </c>
      <c r="Q3090" t="s">
        <v>2454</v>
      </c>
      <c r="R3090" t="s">
        <v>2436</v>
      </c>
    </row>
    <row r="3091" spans="1:18" x14ac:dyDescent="0.5">
      <c r="A3091" t="str">
        <f>"744448CP4"</f>
        <v>744448CP4</v>
      </c>
      <c r="B3091" t="s">
        <v>101</v>
      </c>
      <c r="C3091" t="s">
        <v>3879</v>
      </c>
      <c r="D3091" t="s">
        <v>2433</v>
      </c>
      <c r="E3091">
        <v>3.7</v>
      </c>
      <c r="F3091" s="2">
        <v>46919</v>
      </c>
      <c r="G3091" s="2">
        <v>46736</v>
      </c>
      <c r="H3091" t="s">
        <v>641</v>
      </c>
      <c r="I3091" t="s">
        <v>611</v>
      </c>
      <c r="J3091">
        <v>97.453999999999994</v>
      </c>
      <c r="K3091">
        <v>97.816000000000003</v>
      </c>
      <c r="L3091">
        <v>4.548</v>
      </c>
      <c r="M3091">
        <v>4.4249999999999998</v>
      </c>
      <c r="N3091">
        <v>4.4249999999999998</v>
      </c>
      <c r="O3091" t="s">
        <v>101</v>
      </c>
      <c r="P3091" t="s">
        <v>2747</v>
      </c>
      <c r="Q3091" t="s">
        <v>2786</v>
      </c>
      <c r="R3091" t="s">
        <v>2436</v>
      </c>
    </row>
    <row r="3092" spans="1:18" x14ac:dyDescent="0.5">
      <c r="A3092" t="str">
        <f>"756109BJ2"</f>
        <v>756109BJ2</v>
      </c>
      <c r="B3092" t="s">
        <v>101</v>
      </c>
      <c r="C3092" t="s">
        <v>3880</v>
      </c>
      <c r="D3092" t="s">
        <v>2433</v>
      </c>
      <c r="E3092">
        <v>2.2000000000000002</v>
      </c>
      <c r="F3092" s="2">
        <v>46919</v>
      </c>
      <c r="G3092" s="2">
        <v>46858</v>
      </c>
      <c r="H3092" t="s">
        <v>627</v>
      </c>
      <c r="I3092" t="s">
        <v>713</v>
      </c>
      <c r="J3092">
        <v>92.667000000000002</v>
      </c>
      <c r="K3092">
        <v>92.965999999999994</v>
      </c>
      <c r="L3092">
        <v>4.6500000000000004</v>
      </c>
      <c r="M3092">
        <v>4.5460000000000003</v>
      </c>
      <c r="N3092">
        <v>4.5460000000000003</v>
      </c>
      <c r="O3092" t="s">
        <v>101</v>
      </c>
      <c r="P3092" t="s">
        <v>1702</v>
      </c>
      <c r="Q3092" t="s">
        <v>2786</v>
      </c>
      <c r="R3092" t="s">
        <v>2436</v>
      </c>
    </row>
    <row r="3093" spans="1:18" x14ac:dyDescent="0.5">
      <c r="A3093" t="str">
        <f>"91324PDK5"</f>
        <v>91324PDK5</v>
      </c>
      <c r="B3093" t="s">
        <v>101</v>
      </c>
      <c r="C3093" t="s">
        <v>3881</v>
      </c>
      <c r="D3093" t="s">
        <v>2433</v>
      </c>
      <c r="E3093">
        <v>3.85</v>
      </c>
      <c r="F3093" s="2">
        <v>46919</v>
      </c>
      <c r="G3093" s="2" t="s">
        <v>101</v>
      </c>
      <c r="H3093" t="s">
        <v>610</v>
      </c>
      <c r="I3093" t="s">
        <v>658</v>
      </c>
      <c r="J3093">
        <v>98.11</v>
      </c>
      <c r="K3093">
        <v>98.209000000000003</v>
      </c>
      <c r="L3093">
        <v>4.4779999999999998</v>
      </c>
      <c r="M3093">
        <v>4.4450000000000003</v>
      </c>
      <c r="N3093">
        <v>4.4450000000000003</v>
      </c>
      <c r="O3093" t="s">
        <v>101</v>
      </c>
      <c r="P3093" t="s">
        <v>1702</v>
      </c>
      <c r="Q3093" t="s">
        <v>2454</v>
      </c>
      <c r="R3093" t="s">
        <v>2436</v>
      </c>
    </row>
    <row r="3094" spans="1:18" x14ac:dyDescent="0.5">
      <c r="A3094" t="str">
        <f>"976656CM8"</f>
        <v>976656CM8</v>
      </c>
      <c r="B3094" t="s">
        <v>101</v>
      </c>
      <c r="C3094" t="s">
        <v>3882</v>
      </c>
      <c r="D3094" t="s">
        <v>2433</v>
      </c>
      <c r="E3094">
        <v>1.7</v>
      </c>
      <c r="F3094" s="2">
        <v>46919</v>
      </c>
      <c r="G3094" s="2">
        <v>46858</v>
      </c>
      <c r="H3094" t="s">
        <v>610</v>
      </c>
      <c r="I3094" t="s">
        <v>713</v>
      </c>
      <c r="J3094">
        <v>91.656000000000006</v>
      </c>
      <c r="K3094">
        <v>92.012</v>
      </c>
      <c r="L3094">
        <v>4.4800000000000004</v>
      </c>
      <c r="M3094">
        <v>4.3550000000000004</v>
      </c>
      <c r="N3094">
        <v>4.3550000000000004</v>
      </c>
      <c r="O3094" t="s">
        <v>101</v>
      </c>
      <c r="P3094" t="s">
        <v>1391</v>
      </c>
      <c r="Q3094" t="s">
        <v>3386</v>
      </c>
      <c r="R3094" t="s">
        <v>2436</v>
      </c>
    </row>
    <row r="3095" spans="1:18" x14ac:dyDescent="0.5">
      <c r="A3095" t="str">
        <f>"801060AD6"</f>
        <v>801060AD6</v>
      </c>
      <c r="B3095" t="s">
        <v>101</v>
      </c>
      <c r="C3095" t="s">
        <v>3883</v>
      </c>
      <c r="D3095" t="s">
        <v>2433</v>
      </c>
      <c r="E3095">
        <v>3.625</v>
      </c>
      <c r="F3095" s="2">
        <v>46923</v>
      </c>
      <c r="G3095" s="2">
        <v>46831</v>
      </c>
      <c r="H3095" t="s">
        <v>641</v>
      </c>
      <c r="I3095" t="s">
        <v>628</v>
      </c>
      <c r="J3095">
        <v>97.655000000000001</v>
      </c>
      <c r="K3095">
        <v>98.075000000000003</v>
      </c>
      <c r="L3095">
        <v>4.4009999999999998</v>
      </c>
      <c r="M3095">
        <v>4.26</v>
      </c>
      <c r="N3095">
        <v>4.26</v>
      </c>
      <c r="O3095" t="s">
        <v>101</v>
      </c>
      <c r="P3095" t="s">
        <v>3884</v>
      </c>
      <c r="Q3095" t="s">
        <v>2746</v>
      </c>
      <c r="R3095" t="s">
        <v>2436</v>
      </c>
    </row>
    <row r="3096" spans="1:18" x14ac:dyDescent="0.5">
      <c r="A3096" t="str">
        <f>"06741RHF1"</f>
        <v>06741RHF1</v>
      </c>
      <c r="B3096" t="s">
        <v>101</v>
      </c>
      <c r="C3096" t="s">
        <v>3885</v>
      </c>
      <c r="D3096" t="s">
        <v>2433</v>
      </c>
      <c r="E3096">
        <v>3</v>
      </c>
      <c r="F3096" s="2">
        <v>46924</v>
      </c>
      <c r="G3096" s="2" t="s">
        <v>105</v>
      </c>
      <c r="H3096" t="s">
        <v>641</v>
      </c>
      <c r="I3096" t="s">
        <v>658</v>
      </c>
      <c r="J3096">
        <v>93.004000000000005</v>
      </c>
      <c r="K3096">
        <v>94.938999999999993</v>
      </c>
      <c r="L3096">
        <v>5.3579999999999997</v>
      </c>
      <c r="M3096">
        <v>4.6849999999999996</v>
      </c>
      <c r="N3096">
        <v>4.6849999999999996</v>
      </c>
      <c r="O3096" t="s">
        <v>101</v>
      </c>
      <c r="P3096" t="s">
        <v>2595</v>
      </c>
      <c r="Q3096" t="s">
        <v>2601</v>
      </c>
      <c r="R3096" t="s">
        <v>2610</v>
      </c>
    </row>
    <row r="3097" spans="1:18" x14ac:dyDescent="0.5">
      <c r="A3097" t="str">
        <f>"931142EE9"</f>
        <v>931142EE9</v>
      </c>
      <c r="B3097" t="s">
        <v>101</v>
      </c>
      <c r="C3097" t="s">
        <v>3886</v>
      </c>
      <c r="D3097" t="s">
        <v>2433</v>
      </c>
      <c r="E3097">
        <v>3.7</v>
      </c>
      <c r="F3097" s="2">
        <v>46930</v>
      </c>
      <c r="G3097" s="2">
        <v>46838</v>
      </c>
      <c r="H3097" t="s">
        <v>613</v>
      </c>
      <c r="I3097" t="s">
        <v>628</v>
      </c>
      <c r="J3097">
        <v>98.394999999999996</v>
      </c>
      <c r="K3097">
        <v>98.513999999999996</v>
      </c>
      <c r="L3097">
        <v>4.226</v>
      </c>
      <c r="M3097">
        <v>4.1870000000000003</v>
      </c>
      <c r="N3097">
        <v>4.1870000000000003</v>
      </c>
      <c r="O3097" t="s">
        <v>101</v>
      </c>
      <c r="P3097" t="s">
        <v>1391</v>
      </c>
      <c r="Q3097" t="s">
        <v>2581</v>
      </c>
      <c r="R3097" t="s">
        <v>2436</v>
      </c>
    </row>
    <row r="3098" spans="1:18" x14ac:dyDescent="0.5">
      <c r="A3098" t="str">
        <f>"254687DR4"</f>
        <v>254687DR4</v>
      </c>
      <c r="B3098" t="s">
        <v>101</v>
      </c>
      <c r="C3098" t="s">
        <v>3887</v>
      </c>
      <c r="D3098" t="s">
        <v>2433</v>
      </c>
      <c r="E3098">
        <v>7.28</v>
      </c>
      <c r="F3098" s="2">
        <v>46934</v>
      </c>
      <c r="G3098" s="2" t="s">
        <v>105</v>
      </c>
      <c r="H3098" t="s">
        <v>610</v>
      </c>
      <c r="I3098" t="s">
        <v>611</v>
      </c>
      <c r="J3098">
        <v>108.71</v>
      </c>
      <c r="K3098">
        <v>109.19799999999999</v>
      </c>
      <c r="L3098">
        <v>4.4119999999999999</v>
      </c>
      <c r="M3098">
        <v>4.26</v>
      </c>
      <c r="N3098">
        <v>4.26</v>
      </c>
      <c r="O3098" t="s">
        <v>101</v>
      </c>
      <c r="P3098" t="s">
        <v>2595</v>
      </c>
      <c r="Q3098" t="s">
        <v>2475</v>
      </c>
      <c r="R3098" t="s">
        <v>2465</v>
      </c>
    </row>
    <row r="3099" spans="1:18" x14ac:dyDescent="0.5">
      <c r="A3099" t="str">
        <f>"02665WEM9"</f>
        <v>02665WEM9</v>
      </c>
      <c r="B3099" t="s">
        <v>101</v>
      </c>
      <c r="C3099" t="s">
        <v>3888</v>
      </c>
      <c r="D3099" t="s">
        <v>2433</v>
      </c>
      <c r="E3099">
        <v>5.125</v>
      </c>
      <c r="F3099" s="2">
        <v>46941</v>
      </c>
      <c r="G3099" s="2" t="s">
        <v>101</v>
      </c>
      <c r="H3099" t="s">
        <v>627</v>
      </c>
      <c r="I3099" t="s">
        <v>713</v>
      </c>
      <c r="J3099">
        <v>101.298</v>
      </c>
      <c r="K3099">
        <v>101.514</v>
      </c>
      <c r="L3099">
        <v>4.6959999999999997</v>
      </c>
      <c r="M3099">
        <v>4.6260000000000003</v>
      </c>
      <c r="N3099">
        <v>4.6260000000000003</v>
      </c>
      <c r="O3099" t="s">
        <v>101</v>
      </c>
      <c r="P3099" t="s">
        <v>715</v>
      </c>
      <c r="Q3099" t="s">
        <v>3889</v>
      </c>
      <c r="R3099" t="s">
        <v>2436</v>
      </c>
    </row>
    <row r="3100" spans="1:18" x14ac:dyDescent="0.5">
      <c r="A3100" t="str">
        <f>"86562MDB3"</f>
        <v>86562MDB3</v>
      </c>
      <c r="B3100" t="s">
        <v>101</v>
      </c>
      <c r="C3100" t="s">
        <v>3890</v>
      </c>
      <c r="D3100" t="s">
        <v>2433</v>
      </c>
      <c r="E3100">
        <v>5.8</v>
      </c>
      <c r="F3100" s="2">
        <v>46947</v>
      </c>
      <c r="G3100" s="2" t="s">
        <v>101</v>
      </c>
      <c r="H3100" t="s">
        <v>641</v>
      </c>
      <c r="I3100" t="s">
        <v>713</v>
      </c>
      <c r="J3100">
        <v>103.217</v>
      </c>
      <c r="K3100">
        <v>103.449</v>
      </c>
      <c r="L3100">
        <v>4.7439999999999998</v>
      </c>
      <c r="M3100">
        <v>4.6689999999999996</v>
      </c>
      <c r="N3100">
        <v>4.6689999999999996</v>
      </c>
      <c r="O3100" t="s">
        <v>101</v>
      </c>
      <c r="P3100" t="s">
        <v>3891</v>
      </c>
      <c r="Q3100" t="s">
        <v>542</v>
      </c>
      <c r="R3100" t="s">
        <v>2436</v>
      </c>
    </row>
    <row r="3101" spans="1:18" x14ac:dyDescent="0.5">
      <c r="A3101" t="str">
        <f>"892331AQ2"</f>
        <v>892331AQ2</v>
      </c>
      <c r="B3101" t="s">
        <v>101</v>
      </c>
      <c r="C3101" t="s">
        <v>3892</v>
      </c>
      <c r="D3101" t="s">
        <v>2433</v>
      </c>
      <c r="E3101">
        <v>5.1180000000000003</v>
      </c>
      <c r="F3101" s="2">
        <v>46947</v>
      </c>
      <c r="G3101" s="2">
        <v>46917</v>
      </c>
      <c r="H3101" t="s">
        <v>641</v>
      </c>
      <c r="I3101" t="s">
        <v>658</v>
      </c>
      <c r="J3101">
        <v>101.928</v>
      </c>
      <c r="K3101">
        <v>102.316</v>
      </c>
      <c r="L3101">
        <v>4.4740000000000002</v>
      </c>
      <c r="M3101">
        <v>4.3460000000000001</v>
      </c>
      <c r="N3101">
        <v>4.3630000000000004</v>
      </c>
      <c r="O3101" t="s">
        <v>101</v>
      </c>
      <c r="P3101" t="s">
        <v>2595</v>
      </c>
      <c r="Q3101" t="s">
        <v>2454</v>
      </c>
      <c r="R3101" t="s">
        <v>2436</v>
      </c>
    </row>
    <row r="3102" spans="1:18" x14ac:dyDescent="0.5">
      <c r="A3102" t="str">
        <f>"06406RAU1"</f>
        <v>06406RAU1</v>
      </c>
      <c r="B3102" t="s">
        <v>101</v>
      </c>
      <c r="C3102" t="s">
        <v>3893</v>
      </c>
      <c r="D3102" t="s">
        <v>2433</v>
      </c>
      <c r="E3102">
        <v>1.65</v>
      </c>
      <c r="F3102" s="2">
        <v>46948</v>
      </c>
      <c r="G3102" s="2">
        <v>46887</v>
      </c>
      <c r="H3102" t="s">
        <v>624</v>
      </c>
      <c r="I3102" t="s">
        <v>611</v>
      </c>
      <c r="J3102">
        <v>91.77</v>
      </c>
      <c r="K3102">
        <v>92.072000000000003</v>
      </c>
      <c r="L3102">
        <v>4.3230000000000004</v>
      </c>
      <c r="M3102">
        <v>4.22</v>
      </c>
      <c r="N3102">
        <v>4.22</v>
      </c>
      <c r="O3102" t="s">
        <v>101</v>
      </c>
      <c r="P3102" t="s">
        <v>2289</v>
      </c>
      <c r="Q3102" t="s">
        <v>2952</v>
      </c>
      <c r="R3102" t="s">
        <v>2436</v>
      </c>
    </row>
    <row r="3103" spans="1:18" x14ac:dyDescent="0.5">
      <c r="A3103" t="str">
        <f>"24422EXB0"</f>
        <v>24422EXB0</v>
      </c>
      <c r="B3103" t="s">
        <v>101</v>
      </c>
      <c r="C3103" t="s">
        <v>3894</v>
      </c>
      <c r="D3103" t="s">
        <v>2433</v>
      </c>
      <c r="E3103">
        <v>4.95</v>
      </c>
      <c r="F3103" s="2">
        <v>46948</v>
      </c>
      <c r="G3103" s="2" t="s">
        <v>105</v>
      </c>
      <c r="H3103" t="s">
        <v>641</v>
      </c>
      <c r="I3103" t="s">
        <v>611</v>
      </c>
      <c r="J3103">
        <v>101.604</v>
      </c>
      <c r="K3103">
        <v>101.78</v>
      </c>
      <c r="L3103">
        <v>4.4260000000000002</v>
      </c>
      <c r="M3103">
        <v>4.3689999999999998</v>
      </c>
      <c r="N3103">
        <v>4.3689999999999998</v>
      </c>
      <c r="O3103" t="s">
        <v>101</v>
      </c>
      <c r="P3103" t="s">
        <v>790</v>
      </c>
      <c r="Q3103" t="s">
        <v>2507</v>
      </c>
      <c r="R3103" t="s">
        <v>2465</v>
      </c>
    </row>
    <row r="3104" spans="1:18" x14ac:dyDescent="0.5">
      <c r="A3104" t="str">
        <f>"136375BD3"</f>
        <v>136375BD3</v>
      </c>
      <c r="B3104" t="s">
        <v>101</v>
      </c>
      <c r="C3104" t="s">
        <v>3895</v>
      </c>
      <c r="D3104" t="s">
        <v>2433</v>
      </c>
      <c r="E3104">
        <v>6.9</v>
      </c>
      <c r="F3104" s="2">
        <v>46949</v>
      </c>
      <c r="G3104" s="2" t="s">
        <v>101</v>
      </c>
      <c r="H3104" t="s">
        <v>610</v>
      </c>
      <c r="I3104" t="s">
        <v>713</v>
      </c>
      <c r="J3104">
        <v>106.87</v>
      </c>
      <c r="K3104">
        <v>107.16200000000001</v>
      </c>
      <c r="L3104">
        <v>4.6539999999999999</v>
      </c>
      <c r="M3104">
        <v>4.5620000000000003</v>
      </c>
      <c r="N3104">
        <v>4.5620000000000003</v>
      </c>
      <c r="O3104" t="s">
        <v>101</v>
      </c>
      <c r="P3104" t="s">
        <v>1236</v>
      </c>
      <c r="Q3104" t="s">
        <v>2506</v>
      </c>
      <c r="R3104" t="s">
        <v>2436</v>
      </c>
    </row>
    <row r="3105" spans="1:18" x14ac:dyDescent="0.5">
      <c r="A3105" t="str">
        <f>"149123BF7"</f>
        <v>149123BF7</v>
      </c>
      <c r="B3105" t="s">
        <v>101</v>
      </c>
      <c r="C3105" t="s">
        <v>3896</v>
      </c>
      <c r="D3105" t="s">
        <v>2433</v>
      </c>
      <c r="E3105">
        <v>6.625</v>
      </c>
      <c r="F3105" s="2">
        <v>46949</v>
      </c>
      <c r="G3105" s="2" t="s">
        <v>101</v>
      </c>
      <c r="H3105" t="s">
        <v>610</v>
      </c>
      <c r="I3105" t="s">
        <v>611</v>
      </c>
      <c r="J3105">
        <v>106.812</v>
      </c>
      <c r="K3105">
        <v>106.922</v>
      </c>
      <c r="L3105">
        <v>4.4080000000000004</v>
      </c>
      <c r="M3105">
        <v>4.3730000000000002</v>
      </c>
      <c r="N3105">
        <v>4.3730000000000002</v>
      </c>
      <c r="O3105" t="s">
        <v>101</v>
      </c>
      <c r="P3105" t="s">
        <v>2434</v>
      </c>
      <c r="Q3105" t="s">
        <v>790</v>
      </c>
      <c r="R3105" t="s">
        <v>2436</v>
      </c>
    </row>
    <row r="3106" spans="1:18" x14ac:dyDescent="0.5">
      <c r="A3106" t="str">
        <f>"26444HAE1"</f>
        <v>26444HAE1</v>
      </c>
      <c r="B3106" t="s">
        <v>101</v>
      </c>
      <c r="C3106" t="s">
        <v>3897</v>
      </c>
      <c r="D3106" t="s">
        <v>2433</v>
      </c>
      <c r="E3106">
        <v>3.8</v>
      </c>
      <c r="F3106" s="2">
        <v>46949</v>
      </c>
      <c r="G3106" s="2">
        <v>46858</v>
      </c>
      <c r="H3106" t="s">
        <v>641</v>
      </c>
      <c r="I3106" t="s">
        <v>611</v>
      </c>
      <c r="J3106">
        <v>97.754999999999995</v>
      </c>
      <c r="K3106">
        <v>97.948999999999998</v>
      </c>
      <c r="L3106">
        <v>4.53</v>
      </c>
      <c r="M3106">
        <v>4.4660000000000002</v>
      </c>
      <c r="N3106">
        <v>4.4660000000000002</v>
      </c>
      <c r="O3106" t="s">
        <v>101</v>
      </c>
      <c r="P3106" t="s">
        <v>3898</v>
      </c>
      <c r="Q3106" t="s">
        <v>2454</v>
      </c>
      <c r="R3106" t="s">
        <v>2436</v>
      </c>
    </row>
    <row r="3107" spans="1:18" x14ac:dyDescent="0.5">
      <c r="A3107" t="str">
        <f>"767201AD8"</f>
        <v>767201AD8</v>
      </c>
      <c r="B3107" t="s">
        <v>101</v>
      </c>
      <c r="C3107" t="s">
        <v>3899</v>
      </c>
      <c r="D3107" t="s">
        <v>2433</v>
      </c>
      <c r="E3107">
        <v>7.125</v>
      </c>
      <c r="F3107" s="2">
        <v>46949</v>
      </c>
      <c r="G3107" s="2" t="s">
        <v>101</v>
      </c>
      <c r="H3107" t="s">
        <v>641</v>
      </c>
      <c r="I3107" t="s">
        <v>611</v>
      </c>
      <c r="J3107">
        <v>108.024</v>
      </c>
      <c r="K3107">
        <v>108.303</v>
      </c>
      <c r="L3107">
        <v>4.5090000000000003</v>
      </c>
      <c r="M3107">
        <v>4.4219999999999997</v>
      </c>
      <c r="N3107">
        <v>4.4219999999999997</v>
      </c>
      <c r="O3107" t="s">
        <v>101</v>
      </c>
      <c r="P3107" t="s">
        <v>858</v>
      </c>
      <c r="Q3107" t="s">
        <v>2746</v>
      </c>
      <c r="R3107" t="s">
        <v>2436</v>
      </c>
    </row>
    <row r="3108" spans="1:18" x14ac:dyDescent="0.5">
      <c r="A3108" t="str">
        <f>"79466LAH7"</f>
        <v>79466LAH7</v>
      </c>
      <c r="B3108" t="s">
        <v>101</v>
      </c>
      <c r="C3108" t="s">
        <v>3900</v>
      </c>
      <c r="D3108" t="s">
        <v>2433</v>
      </c>
      <c r="E3108">
        <v>1.5</v>
      </c>
      <c r="F3108" s="2">
        <v>46949</v>
      </c>
      <c r="G3108" s="2">
        <v>46888</v>
      </c>
      <c r="H3108" t="s">
        <v>641</v>
      </c>
      <c r="I3108" t="s">
        <v>658</v>
      </c>
      <c r="J3108">
        <v>91.055000000000007</v>
      </c>
      <c r="K3108">
        <v>91.266999999999996</v>
      </c>
      <c r="L3108">
        <v>4.4080000000000004</v>
      </c>
      <c r="M3108">
        <v>4.335</v>
      </c>
      <c r="N3108">
        <v>4.335</v>
      </c>
      <c r="O3108" t="s">
        <v>101</v>
      </c>
      <c r="P3108" t="s">
        <v>2454</v>
      </c>
      <c r="Q3108" t="s">
        <v>1391</v>
      </c>
      <c r="R3108" t="s">
        <v>2436</v>
      </c>
    </row>
    <row r="3109" spans="1:18" x14ac:dyDescent="0.5">
      <c r="A3109" t="str">
        <f>"902917AH6"</f>
        <v>902917AH6</v>
      </c>
      <c r="B3109" t="s">
        <v>101</v>
      </c>
      <c r="C3109" t="s">
        <v>3901</v>
      </c>
      <c r="D3109" t="s">
        <v>2433</v>
      </c>
      <c r="E3109">
        <v>7</v>
      </c>
      <c r="F3109" s="2">
        <v>46949</v>
      </c>
      <c r="G3109" s="2" t="s">
        <v>101</v>
      </c>
      <c r="H3109" t="s">
        <v>627</v>
      </c>
      <c r="I3109" t="s">
        <v>713</v>
      </c>
      <c r="J3109">
        <v>107.669</v>
      </c>
      <c r="K3109">
        <v>107.977</v>
      </c>
      <c r="L3109">
        <v>4.5</v>
      </c>
      <c r="M3109">
        <v>4.4039999999999999</v>
      </c>
      <c r="N3109">
        <v>4.4039999999999999</v>
      </c>
      <c r="O3109" t="s">
        <v>101</v>
      </c>
      <c r="P3109" t="s">
        <v>2618</v>
      </c>
      <c r="Q3109" t="s">
        <v>2793</v>
      </c>
      <c r="R3109" t="s">
        <v>2436</v>
      </c>
    </row>
    <row r="3110" spans="1:18" x14ac:dyDescent="0.5">
      <c r="A3110" t="str">
        <f>"89115A2U5"</f>
        <v>89115A2U5</v>
      </c>
      <c r="B3110" t="s">
        <v>101</v>
      </c>
      <c r="C3110" t="s">
        <v>3902</v>
      </c>
      <c r="D3110" t="s">
        <v>2433</v>
      </c>
      <c r="E3110">
        <v>5.5229999999999997</v>
      </c>
      <c r="F3110" s="2">
        <v>46951</v>
      </c>
      <c r="G3110" s="2" t="s">
        <v>101</v>
      </c>
      <c r="H3110" t="s">
        <v>610</v>
      </c>
      <c r="I3110" t="s">
        <v>713</v>
      </c>
      <c r="J3110">
        <v>102.379</v>
      </c>
      <c r="K3110">
        <v>102.52</v>
      </c>
      <c r="L3110">
        <v>4.7439999999999998</v>
      </c>
      <c r="M3110">
        <v>4.6980000000000004</v>
      </c>
      <c r="N3110">
        <v>4.6980000000000004</v>
      </c>
      <c r="O3110" t="s">
        <v>101</v>
      </c>
      <c r="P3110" t="s">
        <v>1702</v>
      </c>
      <c r="Q3110" t="s">
        <v>2454</v>
      </c>
      <c r="R3110" t="s">
        <v>2436</v>
      </c>
    </row>
    <row r="3111" spans="1:18" x14ac:dyDescent="0.5">
      <c r="A3111" t="str">
        <f>"86562MBC3"</f>
        <v>86562MBC3</v>
      </c>
      <c r="B3111" t="s">
        <v>101</v>
      </c>
      <c r="C3111" t="s">
        <v>3903</v>
      </c>
      <c r="D3111" t="s">
        <v>2433</v>
      </c>
      <c r="E3111">
        <v>3.944</v>
      </c>
      <c r="F3111" s="2">
        <v>46953</v>
      </c>
      <c r="G3111" s="2" t="s">
        <v>101</v>
      </c>
      <c r="H3111" t="s">
        <v>641</v>
      </c>
      <c r="I3111" t="s">
        <v>713</v>
      </c>
      <c r="J3111">
        <v>97.87</v>
      </c>
      <c r="K3111">
        <v>98.09</v>
      </c>
      <c r="L3111">
        <v>4.6360000000000001</v>
      </c>
      <c r="M3111">
        <v>4.5629999999999997</v>
      </c>
      <c r="N3111">
        <v>4.5629999999999997</v>
      </c>
      <c r="O3111" t="s">
        <v>101</v>
      </c>
      <c r="P3111" t="s">
        <v>3884</v>
      </c>
      <c r="Q3111" t="s">
        <v>2438</v>
      </c>
      <c r="R3111" t="s">
        <v>2436</v>
      </c>
    </row>
    <row r="3112" spans="1:18" x14ac:dyDescent="0.5">
      <c r="A3112" t="str">
        <f>"892331AD1"</f>
        <v>892331AD1</v>
      </c>
      <c r="B3112" t="s">
        <v>101</v>
      </c>
      <c r="C3112" t="s">
        <v>3904</v>
      </c>
      <c r="D3112" t="s">
        <v>2433</v>
      </c>
      <c r="E3112">
        <v>3.669</v>
      </c>
      <c r="F3112" s="2">
        <v>46954</v>
      </c>
      <c r="G3112" s="2" t="s">
        <v>101</v>
      </c>
      <c r="H3112" t="s">
        <v>641</v>
      </c>
      <c r="I3112" t="s">
        <v>658</v>
      </c>
      <c r="J3112">
        <v>98.242999999999995</v>
      </c>
      <c r="K3112">
        <v>98.722999999999999</v>
      </c>
      <c r="L3112">
        <v>4.2350000000000003</v>
      </c>
      <c r="M3112">
        <v>4.0789999999999997</v>
      </c>
      <c r="N3112">
        <v>4.0789999999999997</v>
      </c>
      <c r="O3112" t="s">
        <v>101</v>
      </c>
      <c r="P3112" t="s">
        <v>2595</v>
      </c>
      <c r="Q3112" t="s">
        <v>3386</v>
      </c>
      <c r="R3112" t="s">
        <v>2436</v>
      </c>
    </row>
    <row r="3113" spans="1:18" x14ac:dyDescent="0.5">
      <c r="A3113" t="str">
        <f>"61744YAK4"</f>
        <v>61744YAK4</v>
      </c>
      <c r="B3113" t="s">
        <v>101</v>
      </c>
      <c r="C3113" t="s">
        <v>3905</v>
      </c>
      <c r="D3113" t="s">
        <v>2433</v>
      </c>
      <c r="E3113">
        <v>3.5910000000000002</v>
      </c>
      <c r="F3113" s="2">
        <v>46956</v>
      </c>
      <c r="G3113" s="2">
        <v>46590</v>
      </c>
      <c r="H3113" t="s">
        <v>641</v>
      </c>
      <c r="I3113" t="s">
        <v>713</v>
      </c>
      <c r="J3113">
        <v>97.122</v>
      </c>
      <c r="K3113">
        <v>97.298000000000002</v>
      </c>
      <c r="L3113">
        <v>4.5220000000000002</v>
      </c>
      <c r="M3113">
        <v>4.4640000000000004</v>
      </c>
      <c r="N3113">
        <v>4.4640000000000004</v>
      </c>
      <c r="O3113" t="s">
        <v>101</v>
      </c>
      <c r="P3113" t="s">
        <v>3075</v>
      </c>
      <c r="Q3113" t="s">
        <v>2795</v>
      </c>
      <c r="R3113" t="s">
        <v>2436</v>
      </c>
    </row>
    <row r="3114" spans="1:18" x14ac:dyDescent="0.5">
      <c r="A3114" t="str">
        <f>"12189TAJ3"</f>
        <v>12189TAJ3</v>
      </c>
      <c r="B3114" t="s">
        <v>101</v>
      </c>
      <c r="C3114" t="s">
        <v>3906</v>
      </c>
      <c r="D3114" t="s">
        <v>2433</v>
      </c>
      <c r="E3114">
        <v>6.7</v>
      </c>
      <c r="F3114" s="2">
        <v>46966</v>
      </c>
      <c r="G3114" s="2" t="s">
        <v>101</v>
      </c>
      <c r="H3114" t="s">
        <v>610</v>
      </c>
      <c r="I3114" t="s">
        <v>616</v>
      </c>
      <c r="J3114">
        <v>106.44499999999999</v>
      </c>
      <c r="K3114">
        <v>107.003</v>
      </c>
      <c r="L3114">
        <v>4.62</v>
      </c>
      <c r="M3114">
        <v>4.4470000000000001</v>
      </c>
      <c r="N3114">
        <v>4.4470000000000001</v>
      </c>
      <c r="O3114" t="s">
        <v>101</v>
      </c>
      <c r="P3114" t="s">
        <v>503</v>
      </c>
      <c r="Q3114" t="s">
        <v>3907</v>
      </c>
      <c r="R3114" t="s">
        <v>2436</v>
      </c>
    </row>
    <row r="3115" spans="1:18" x14ac:dyDescent="0.5">
      <c r="A3115" t="str">
        <f>"78016HZS2"</f>
        <v>78016HZS2</v>
      </c>
      <c r="B3115" t="s">
        <v>101</v>
      </c>
      <c r="C3115" t="s">
        <v>3908</v>
      </c>
      <c r="D3115" t="s">
        <v>2433</v>
      </c>
      <c r="E3115">
        <v>5.2</v>
      </c>
      <c r="F3115" s="2">
        <v>46966</v>
      </c>
      <c r="G3115" s="2" t="s">
        <v>101</v>
      </c>
      <c r="H3115" t="s">
        <v>641</v>
      </c>
      <c r="I3115" t="s">
        <v>611</v>
      </c>
      <c r="J3115">
        <v>101.601</v>
      </c>
      <c r="K3115">
        <v>101.83799999999999</v>
      </c>
      <c r="L3115">
        <v>4.6820000000000004</v>
      </c>
      <c r="M3115">
        <v>4.6059999999999999</v>
      </c>
      <c r="N3115">
        <v>4.6059999999999999</v>
      </c>
      <c r="O3115" t="s">
        <v>101</v>
      </c>
      <c r="P3115" t="s">
        <v>3820</v>
      </c>
      <c r="Q3115" t="s">
        <v>2940</v>
      </c>
      <c r="R3115" t="s">
        <v>2436</v>
      </c>
    </row>
    <row r="3116" spans="1:18" x14ac:dyDescent="0.5">
      <c r="A3116" t="str">
        <f>"239753DL7"</f>
        <v>239753DL7</v>
      </c>
      <c r="B3116" t="s">
        <v>101</v>
      </c>
      <c r="C3116" t="s">
        <v>3909</v>
      </c>
      <c r="D3116" t="s">
        <v>2433</v>
      </c>
      <c r="E3116">
        <v>6.65</v>
      </c>
      <c r="F3116" s="2">
        <v>46966</v>
      </c>
      <c r="G3116" s="2" t="s">
        <v>101</v>
      </c>
      <c r="H3116" t="s">
        <v>610</v>
      </c>
      <c r="I3116" t="s">
        <v>611</v>
      </c>
      <c r="J3116">
        <v>106.83199999999999</v>
      </c>
      <c r="K3116">
        <v>107.235</v>
      </c>
      <c r="L3116">
        <v>4.452</v>
      </c>
      <c r="M3116">
        <v>4.3280000000000003</v>
      </c>
      <c r="N3116">
        <v>4.3280000000000003</v>
      </c>
      <c r="O3116" t="s">
        <v>101</v>
      </c>
      <c r="P3116" t="s">
        <v>2438</v>
      </c>
      <c r="Q3116" t="s">
        <v>2491</v>
      </c>
      <c r="R3116" t="s">
        <v>2436</v>
      </c>
    </row>
    <row r="3117" spans="1:18" x14ac:dyDescent="0.5">
      <c r="A3117" t="str">
        <f>"665859AT1"</f>
        <v>665859AT1</v>
      </c>
      <c r="B3117" t="s">
        <v>101</v>
      </c>
      <c r="C3117" t="s">
        <v>3910</v>
      </c>
      <c r="D3117" t="s">
        <v>2433</v>
      </c>
      <c r="E3117">
        <v>3.65</v>
      </c>
      <c r="F3117" s="2">
        <v>46968</v>
      </c>
      <c r="G3117" s="2">
        <v>46876</v>
      </c>
      <c r="H3117" t="s">
        <v>610</v>
      </c>
      <c r="I3117" t="s">
        <v>658</v>
      </c>
      <c r="J3117">
        <v>97.492999999999995</v>
      </c>
      <c r="K3117">
        <v>97.751999999999995</v>
      </c>
      <c r="L3117">
        <v>4.4530000000000003</v>
      </c>
      <c r="M3117">
        <v>4.3689999999999998</v>
      </c>
      <c r="N3117">
        <v>4.3689999999999998</v>
      </c>
      <c r="O3117" t="s">
        <v>101</v>
      </c>
      <c r="P3117" t="s">
        <v>1702</v>
      </c>
      <c r="Q3117" t="s">
        <v>1702</v>
      </c>
      <c r="R3117" t="s">
        <v>2436</v>
      </c>
    </row>
    <row r="3118" spans="1:18" x14ac:dyDescent="0.5">
      <c r="A3118" t="str">
        <f>"037833EH9"</f>
        <v>037833EH9</v>
      </c>
      <c r="B3118" t="s">
        <v>101</v>
      </c>
      <c r="C3118" t="s">
        <v>3911</v>
      </c>
      <c r="D3118" t="s">
        <v>2433</v>
      </c>
      <c r="E3118">
        <v>1.4</v>
      </c>
      <c r="F3118" s="2">
        <v>46970</v>
      </c>
      <c r="G3118" s="2">
        <v>46909</v>
      </c>
      <c r="H3118" t="s">
        <v>104</v>
      </c>
      <c r="I3118" t="s">
        <v>509</v>
      </c>
      <c r="J3118">
        <v>91.001999999999995</v>
      </c>
      <c r="K3118">
        <v>91.144999999999996</v>
      </c>
      <c r="L3118">
        <v>4.2729999999999997</v>
      </c>
      <c r="M3118">
        <v>4.2210000000000001</v>
      </c>
      <c r="N3118">
        <v>4.2249999999999996</v>
      </c>
      <c r="O3118" t="s">
        <v>101</v>
      </c>
      <c r="P3118" t="s">
        <v>2581</v>
      </c>
      <c r="Q3118" t="s">
        <v>2454</v>
      </c>
      <c r="R3118" t="s">
        <v>2436</v>
      </c>
    </row>
    <row r="3119" spans="1:18" x14ac:dyDescent="0.5">
      <c r="A3119" t="str">
        <f>"05964HAU9"</f>
        <v>05964HAU9</v>
      </c>
      <c r="B3119" t="s">
        <v>101</v>
      </c>
      <c r="C3119" t="s">
        <v>3912</v>
      </c>
      <c r="D3119" t="s">
        <v>2433</v>
      </c>
      <c r="E3119">
        <v>5.5880000000000001</v>
      </c>
      <c r="F3119" s="2">
        <v>46973</v>
      </c>
      <c r="G3119" s="2" t="s">
        <v>101</v>
      </c>
      <c r="H3119" t="s">
        <v>610</v>
      </c>
      <c r="I3119" t="s">
        <v>658</v>
      </c>
      <c r="J3119">
        <v>102.575</v>
      </c>
      <c r="K3119">
        <v>102.71599999999999</v>
      </c>
      <c r="L3119">
        <v>4.758</v>
      </c>
      <c r="M3119">
        <v>4.7140000000000004</v>
      </c>
      <c r="N3119">
        <v>4.7140000000000004</v>
      </c>
      <c r="O3119" t="s">
        <v>101</v>
      </c>
      <c r="P3119" t="s">
        <v>542</v>
      </c>
      <c r="Q3119" t="s">
        <v>2666</v>
      </c>
      <c r="R3119" t="s">
        <v>2436</v>
      </c>
    </row>
    <row r="3120" spans="1:18" x14ac:dyDescent="0.5">
      <c r="A3120" t="str">
        <f>"63305MAE1"</f>
        <v>63305MAE1</v>
      </c>
      <c r="B3120" t="s">
        <v>101</v>
      </c>
      <c r="C3120" t="s">
        <v>3913</v>
      </c>
      <c r="D3120" t="s">
        <v>2433</v>
      </c>
      <c r="E3120">
        <v>5.05</v>
      </c>
      <c r="F3120" s="2">
        <v>46975</v>
      </c>
      <c r="G3120" s="2">
        <v>46063</v>
      </c>
      <c r="H3120" t="s">
        <v>613</v>
      </c>
      <c r="I3120" t="s">
        <v>658</v>
      </c>
      <c r="J3120">
        <v>99.334999999999994</v>
      </c>
      <c r="K3120">
        <v>100.3</v>
      </c>
      <c r="L3120">
        <v>5.2640000000000002</v>
      </c>
      <c r="M3120">
        <v>4.7050000000000001</v>
      </c>
      <c r="N3120">
        <v>4.952</v>
      </c>
      <c r="O3120" t="s">
        <v>101</v>
      </c>
      <c r="P3120" t="s">
        <v>3914</v>
      </c>
      <c r="Q3120" t="s">
        <v>3915</v>
      </c>
      <c r="R3120" t="s">
        <v>2726</v>
      </c>
    </row>
    <row r="3121" spans="1:18" x14ac:dyDescent="0.5">
      <c r="A3121" t="str">
        <f>"69371RS64"</f>
        <v>69371RS64</v>
      </c>
      <c r="B3121" t="s">
        <v>101</v>
      </c>
      <c r="C3121" t="s">
        <v>3916</v>
      </c>
      <c r="D3121" t="s">
        <v>2433</v>
      </c>
      <c r="E3121">
        <v>4.95</v>
      </c>
      <c r="F3121" s="2">
        <v>46975</v>
      </c>
      <c r="G3121" s="2" t="s">
        <v>105</v>
      </c>
      <c r="H3121" t="s">
        <v>641</v>
      </c>
      <c r="I3121" t="s">
        <v>658</v>
      </c>
      <c r="J3121">
        <v>101.351</v>
      </c>
      <c r="K3121">
        <v>101.736</v>
      </c>
      <c r="L3121">
        <v>4.5170000000000003</v>
      </c>
      <c r="M3121">
        <v>4.3949999999999996</v>
      </c>
      <c r="N3121">
        <v>4.3949999999999996</v>
      </c>
      <c r="O3121" t="s">
        <v>101</v>
      </c>
      <c r="P3121" t="s">
        <v>1064</v>
      </c>
      <c r="Q3121" t="s">
        <v>3917</v>
      </c>
      <c r="R3121" t="s">
        <v>2465</v>
      </c>
    </row>
    <row r="3122" spans="1:18" x14ac:dyDescent="0.5">
      <c r="A3122" t="str">
        <f>"007589AA2"</f>
        <v>007589AA2</v>
      </c>
      <c r="B3122" t="s">
        <v>101</v>
      </c>
      <c r="C3122" t="s">
        <v>3918</v>
      </c>
      <c r="D3122" t="s">
        <v>2433</v>
      </c>
      <c r="E3122">
        <v>3.8290000000000002</v>
      </c>
      <c r="F3122" s="2">
        <v>46980</v>
      </c>
      <c r="G3122" s="2">
        <v>46888</v>
      </c>
      <c r="H3122" t="s">
        <v>624</v>
      </c>
      <c r="I3122" t="s">
        <v>628</v>
      </c>
      <c r="J3122">
        <v>97.596999999999994</v>
      </c>
      <c r="K3122">
        <v>98.807000000000002</v>
      </c>
      <c r="L3122">
        <v>4.5940000000000003</v>
      </c>
      <c r="M3122">
        <v>4.2060000000000004</v>
      </c>
      <c r="N3122">
        <v>4.2060000000000004</v>
      </c>
      <c r="O3122" t="s">
        <v>101</v>
      </c>
      <c r="P3122" t="s">
        <v>2747</v>
      </c>
      <c r="Q3122" t="s">
        <v>3038</v>
      </c>
      <c r="R3122" t="s">
        <v>2436</v>
      </c>
    </row>
    <row r="3123" spans="1:18" x14ac:dyDescent="0.5">
      <c r="A3123" t="str">
        <f>"202795JN1"</f>
        <v>202795JN1</v>
      </c>
      <c r="B3123" t="s">
        <v>101</v>
      </c>
      <c r="C3123" t="s">
        <v>3919</v>
      </c>
      <c r="D3123" t="s">
        <v>2433</v>
      </c>
      <c r="E3123">
        <v>3.7</v>
      </c>
      <c r="F3123" s="2">
        <v>46980</v>
      </c>
      <c r="G3123" s="2">
        <v>46888</v>
      </c>
      <c r="H3123" t="s">
        <v>641</v>
      </c>
      <c r="I3123" t="s">
        <v>611</v>
      </c>
      <c r="J3123">
        <v>97.412999999999997</v>
      </c>
      <c r="K3123">
        <v>97.707999999999998</v>
      </c>
      <c r="L3123">
        <v>4.5229999999999997</v>
      </c>
      <c r="M3123">
        <v>4.4279999999999999</v>
      </c>
      <c r="N3123">
        <v>4.4279999999999999</v>
      </c>
      <c r="O3123" t="s">
        <v>101</v>
      </c>
      <c r="P3123" t="s">
        <v>3920</v>
      </c>
      <c r="Q3123" t="s">
        <v>2747</v>
      </c>
      <c r="R3123" t="s">
        <v>2436</v>
      </c>
    </row>
    <row r="3124" spans="1:18" x14ac:dyDescent="0.5">
      <c r="A3124" t="str">
        <f>"20825CAY0"</f>
        <v>20825CAY0</v>
      </c>
      <c r="B3124" t="s">
        <v>101</v>
      </c>
      <c r="C3124" t="s">
        <v>3921</v>
      </c>
      <c r="D3124" t="s">
        <v>2433</v>
      </c>
      <c r="E3124">
        <v>4.3</v>
      </c>
      <c r="F3124" s="2">
        <v>46980</v>
      </c>
      <c r="G3124" s="2">
        <v>46888</v>
      </c>
      <c r="H3124" t="s">
        <v>610</v>
      </c>
      <c r="I3124" t="s">
        <v>713</v>
      </c>
      <c r="J3124">
        <v>99.298000000000002</v>
      </c>
      <c r="K3124">
        <v>99.977000000000004</v>
      </c>
      <c r="L3124">
        <v>4.5229999999999997</v>
      </c>
      <c r="M3124">
        <v>4.306</v>
      </c>
      <c r="N3124">
        <v>4.306</v>
      </c>
      <c r="O3124" t="s">
        <v>101</v>
      </c>
      <c r="P3124" t="s">
        <v>2289</v>
      </c>
      <c r="Q3124" t="s">
        <v>2289</v>
      </c>
      <c r="R3124" t="s">
        <v>2436</v>
      </c>
    </row>
    <row r="3125" spans="1:18" x14ac:dyDescent="0.5">
      <c r="A3125" t="str">
        <f>"678858BT7"</f>
        <v>678858BT7</v>
      </c>
      <c r="B3125" t="s">
        <v>101</v>
      </c>
      <c r="C3125" t="s">
        <v>3922</v>
      </c>
      <c r="D3125" t="s">
        <v>2433</v>
      </c>
      <c r="E3125">
        <v>3.8</v>
      </c>
      <c r="F3125" s="2">
        <v>46980</v>
      </c>
      <c r="G3125" s="2">
        <v>46798</v>
      </c>
      <c r="H3125" t="s">
        <v>627</v>
      </c>
      <c r="I3125" t="s">
        <v>713</v>
      </c>
      <c r="J3125">
        <v>97.369</v>
      </c>
      <c r="K3125">
        <v>97.668000000000006</v>
      </c>
      <c r="L3125">
        <v>4.6390000000000002</v>
      </c>
      <c r="M3125">
        <v>4.5419999999999998</v>
      </c>
      <c r="N3125">
        <v>4.5419999999999998</v>
      </c>
      <c r="O3125" t="s">
        <v>101</v>
      </c>
      <c r="P3125" t="s">
        <v>1391</v>
      </c>
      <c r="Q3125" t="s">
        <v>2454</v>
      </c>
      <c r="R3125" t="s">
        <v>2436</v>
      </c>
    </row>
    <row r="3126" spans="1:18" x14ac:dyDescent="0.5">
      <c r="A3126" t="str">
        <f>"797440CE2"</f>
        <v>797440CE2</v>
      </c>
      <c r="B3126" t="s">
        <v>101</v>
      </c>
      <c r="C3126" t="s">
        <v>3923</v>
      </c>
      <c r="D3126" t="s">
        <v>2433</v>
      </c>
      <c r="E3126">
        <v>4.95</v>
      </c>
      <c r="F3126" s="2">
        <v>46980</v>
      </c>
      <c r="G3126" s="2">
        <v>46949</v>
      </c>
      <c r="H3126" t="s">
        <v>641</v>
      </c>
      <c r="I3126" t="s">
        <v>611</v>
      </c>
      <c r="J3126">
        <v>100.66</v>
      </c>
      <c r="K3126">
        <v>100.925</v>
      </c>
      <c r="L3126">
        <v>4.734</v>
      </c>
      <c r="M3126">
        <v>4.6479999999999997</v>
      </c>
      <c r="N3126">
        <v>4.6539999999999999</v>
      </c>
      <c r="O3126" t="s">
        <v>101</v>
      </c>
      <c r="P3126" t="s">
        <v>3924</v>
      </c>
      <c r="Q3126" t="s">
        <v>2507</v>
      </c>
      <c r="R3126" t="s">
        <v>2436</v>
      </c>
    </row>
    <row r="3127" spans="1:18" x14ac:dyDescent="0.5">
      <c r="A3127" t="str">
        <f>"06376CHS8"</f>
        <v>06376CHS8</v>
      </c>
      <c r="B3127" t="s">
        <v>101</v>
      </c>
      <c r="C3127" t="s">
        <v>3925</v>
      </c>
      <c r="D3127" t="s">
        <v>2433</v>
      </c>
      <c r="E3127">
        <v>5</v>
      </c>
      <c r="F3127" s="2">
        <v>46989</v>
      </c>
      <c r="G3127" s="2">
        <v>46077</v>
      </c>
      <c r="H3127" t="s">
        <v>610</v>
      </c>
      <c r="I3127" t="s">
        <v>713</v>
      </c>
      <c r="J3127">
        <v>99.49</v>
      </c>
      <c r="K3127">
        <v>99.99</v>
      </c>
      <c r="L3127">
        <v>5.1619999999999999</v>
      </c>
      <c r="M3127">
        <v>5.0019999999999998</v>
      </c>
      <c r="N3127">
        <v>5.0019999999999998</v>
      </c>
      <c r="O3127" t="s">
        <v>101</v>
      </c>
      <c r="P3127" t="s">
        <v>2758</v>
      </c>
      <c r="Q3127" t="s">
        <v>3926</v>
      </c>
      <c r="R3127" t="s">
        <v>2436</v>
      </c>
    </row>
    <row r="3128" spans="1:18" x14ac:dyDescent="0.5">
      <c r="A3128" t="str">
        <f>"63305MDA6"</f>
        <v>63305MDA6</v>
      </c>
      <c r="B3128" t="s">
        <v>101</v>
      </c>
      <c r="C3128" t="s">
        <v>3927</v>
      </c>
      <c r="D3128" t="s">
        <v>2433</v>
      </c>
      <c r="E3128">
        <v>5</v>
      </c>
      <c r="F3128" s="2">
        <v>46993</v>
      </c>
      <c r="G3128" s="2">
        <v>46081</v>
      </c>
      <c r="H3128" t="s">
        <v>613</v>
      </c>
      <c r="I3128" t="s">
        <v>658</v>
      </c>
      <c r="J3128">
        <v>97.05</v>
      </c>
      <c r="K3128">
        <v>99.95</v>
      </c>
      <c r="L3128">
        <v>5.9770000000000003</v>
      </c>
      <c r="M3128">
        <v>5.0170000000000003</v>
      </c>
      <c r="N3128">
        <v>5.0229999999999997</v>
      </c>
      <c r="O3128" t="s">
        <v>101</v>
      </c>
      <c r="P3128" t="s">
        <v>3928</v>
      </c>
      <c r="Q3128" t="s">
        <v>3929</v>
      </c>
      <c r="R3128" t="s">
        <v>2726</v>
      </c>
    </row>
    <row r="3129" spans="1:18" x14ac:dyDescent="0.5">
      <c r="A3129" t="str">
        <f>"03040WAS4"</f>
        <v>03040WAS4</v>
      </c>
      <c r="B3129" t="s">
        <v>101</v>
      </c>
      <c r="C3129" t="s">
        <v>3930</v>
      </c>
      <c r="D3129" t="s">
        <v>2433</v>
      </c>
      <c r="E3129">
        <v>3.75</v>
      </c>
      <c r="F3129" s="2">
        <v>46997</v>
      </c>
      <c r="G3129" s="2">
        <v>46905</v>
      </c>
      <c r="H3129" t="s">
        <v>670</v>
      </c>
      <c r="I3129" t="s">
        <v>611</v>
      </c>
      <c r="J3129">
        <v>96.984999999999999</v>
      </c>
      <c r="K3129">
        <v>97.212000000000003</v>
      </c>
      <c r="L3129">
        <v>4.702</v>
      </c>
      <c r="M3129">
        <v>4.6289999999999996</v>
      </c>
      <c r="N3129">
        <v>4.6289999999999996</v>
      </c>
      <c r="O3129" t="s">
        <v>101</v>
      </c>
      <c r="P3129" t="s">
        <v>1702</v>
      </c>
      <c r="Q3129" t="s">
        <v>2952</v>
      </c>
      <c r="R3129" t="s">
        <v>2436</v>
      </c>
    </row>
    <row r="3130" spans="1:18" x14ac:dyDescent="0.5">
      <c r="A3130" t="str">
        <f>"26442UAG9"</f>
        <v>26442UAG9</v>
      </c>
      <c r="B3130" t="s">
        <v>101</v>
      </c>
      <c r="C3130" t="s">
        <v>3931</v>
      </c>
      <c r="D3130" t="s">
        <v>2433</v>
      </c>
      <c r="E3130">
        <v>3.7</v>
      </c>
      <c r="F3130" s="2">
        <v>46997</v>
      </c>
      <c r="G3130" s="2">
        <v>46905</v>
      </c>
      <c r="H3130" t="s">
        <v>624</v>
      </c>
      <c r="I3130" t="s">
        <v>611</v>
      </c>
      <c r="J3130">
        <v>97.343000000000004</v>
      </c>
      <c r="K3130">
        <v>97.646000000000001</v>
      </c>
      <c r="L3130">
        <v>4.5359999999999996</v>
      </c>
      <c r="M3130">
        <v>4.4390000000000001</v>
      </c>
      <c r="N3130">
        <v>4.4390000000000001</v>
      </c>
      <c r="O3130" t="s">
        <v>101</v>
      </c>
      <c r="P3130" t="s">
        <v>3932</v>
      </c>
      <c r="Q3130" t="s">
        <v>2481</v>
      </c>
      <c r="R3130" t="s">
        <v>2436</v>
      </c>
    </row>
    <row r="3131" spans="1:18" x14ac:dyDescent="0.5">
      <c r="A3131" t="str">
        <f>"45866FBB9"</f>
        <v>45866FBB9</v>
      </c>
      <c r="B3131" t="s">
        <v>101</v>
      </c>
      <c r="C3131" t="s">
        <v>3933</v>
      </c>
      <c r="D3131" t="s">
        <v>2433</v>
      </c>
      <c r="E3131">
        <v>3.625</v>
      </c>
      <c r="F3131" s="2">
        <v>46997</v>
      </c>
      <c r="G3131" s="2">
        <v>46905</v>
      </c>
      <c r="H3131" t="s">
        <v>627</v>
      </c>
      <c r="I3131" t="s">
        <v>713</v>
      </c>
      <c r="J3131">
        <v>96.751999999999995</v>
      </c>
      <c r="K3131">
        <v>96.966999999999999</v>
      </c>
      <c r="L3131">
        <v>4.649</v>
      </c>
      <c r="M3131">
        <v>4.58</v>
      </c>
      <c r="N3131">
        <v>4.58</v>
      </c>
      <c r="O3131" t="s">
        <v>101</v>
      </c>
      <c r="P3131" t="s">
        <v>3920</v>
      </c>
      <c r="Q3131" t="s">
        <v>2441</v>
      </c>
      <c r="R3131" t="s">
        <v>2726</v>
      </c>
    </row>
    <row r="3132" spans="1:18" x14ac:dyDescent="0.5">
      <c r="A3132" t="str">
        <f>"74456QBX3"</f>
        <v>74456QBX3</v>
      </c>
      <c r="B3132" t="s">
        <v>101</v>
      </c>
      <c r="C3132" t="s">
        <v>3934</v>
      </c>
      <c r="D3132" t="s">
        <v>2433</v>
      </c>
      <c r="E3132">
        <v>3.65</v>
      </c>
      <c r="F3132" s="2">
        <v>46997</v>
      </c>
      <c r="G3132" s="2">
        <v>46905</v>
      </c>
      <c r="H3132" t="s">
        <v>641</v>
      </c>
      <c r="I3132" t="s">
        <v>611</v>
      </c>
      <c r="J3132">
        <v>96.997</v>
      </c>
      <c r="K3132">
        <v>97.393000000000001</v>
      </c>
      <c r="L3132">
        <v>4.5960000000000001</v>
      </c>
      <c r="M3132">
        <v>4.4690000000000003</v>
      </c>
      <c r="N3132">
        <v>4.4690000000000003</v>
      </c>
      <c r="O3132" t="s">
        <v>101</v>
      </c>
      <c r="P3132" t="s">
        <v>2774</v>
      </c>
      <c r="Q3132" t="s">
        <v>2746</v>
      </c>
      <c r="R3132" t="s">
        <v>2436</v>
      </c>
    </row>
    <row r="3133" spans="1:18" x14ac:dyDescent="0.5">
      <c r="A3133" t="str">
        <f>"718172DC0"</f>
        <v>718172DC0</v>
      </c>
      <c r="B3133" t="s">
        <v>101</v>
      </c>
      <c r="C3133" t="s">
        <v>3935</v>
      </c>
      <c r="D3133" t="s">
        <v>2433</v>
      </c>
      <c r="E3133">
        <v>5.25</v>
      </c>
      <c r="F3133" s="2">
        <v>47003</v>
      </c>
      <c r="G3133" s="2">
        <v>46972</v>
      </c>
      <c r="H3133" t="s">
        <v>610</v>
      </c>
      <c r="I3133" t="s">
        <v>713</v>
      </c>
      <c r="J3133">
        <v>102.14100000000001</v>
      </c>
      <c r="K3133">
        <v>102.31399999999999</v>
      </c>
      <c r="L3133">
        <v>4.5640000000000001</v>
      </c>
      <c r="M3133">
        <v>4.51</v>
      </c>
      <c r="N3133">
        <v>4.5250000000000004</v>
      </c>
      <c r="O3133" t="s">
        <v>101</v>
      </c>
      <c r="P3133" t="s">
        <v>1702</v>
      </c>
      <c r="Q3133" t="s">
        <v>2454</v>
      </c>
      <c r="R3133" t="s">
        <v>2436</v>
      </c>
    </row>
    <row r="3134" spans="1:18" x14ac:dyDescent="0.5">
      <c r="A3134" t="str">
        <f>"055451BC1"</f>
        <v>055451BC1</v>
      </c>
      <c r="B3134" t="s">
        <v>101</v>
      </c>
      <c r="C3134" t="s">
        <v>3936</v>
      </c>
      <c r="D3134" t="s">
        <v>2433</v>
      </c>
      <c r="E3134">
        <v>5.0999999999999996</v>
      </c>
      <c r="F3134" s="2">
        <v>47004</v>
      </c>
      <c r="G3134" s="2">
        <v>46973</v>
      </c>
      <c r="H3134" t="s">
        <v>641</v>
      </c>
      <c r="I3134" t="s">
        <v>713</v>
      </c>
      <c r="J3134">
        <v>101.55</v>
      </c>
      <c r="K3134">
        <v>101.715</v>
      </c>
      <c r="L3134">
        <v>4.6040000000000001</v>
      </c>
      <c r="M3134">
        <v>4.5519999999999996</v>
      </c>
      <c r="N3134">
        <v>4.5629999999999997</v>
      </c>
      <c r="O3134" t="s">
        <v>101</v>
      </c>
      <c r="P3134" t="s">
        <v>2447</v>
      </c>
      <c r="Q3134" t="s">
        <v>2454</v>
      </c>
      <c r="R3134" t="s">
        <v>2436</v>
      </c>
    </row>
    <row r="3135" spans="1:18" x14ac:dyDescent="0.5">
      <c r="A3135" t="str">
        <f>"904764BS5"</f>
        <v>904764BS5</v>
      </c>
      <c r="B3135" t="s">
        <v>101</v>
      </c>
      <c r="C3135" t="s">
        <v>3937</v>
      </c>
      <c r="D3135" t="s">
        <v>2433</v>
      </c>
      <c r="E3135">
        <v>4.875</v>
      </c>
      <c r="F3135" s="2">
        <v>47004</v>
      </c>
      <c r="G3135" s="2">
        <v>46973</v>
      </c>
      <c r="H3135" t="s">
        <v>641</v>
      </c>
      <c r="I3135" t="s">
        <v>658</v>
      </c>
      <c r="J3135">
        <v>101.745</v>
      </c>
      <c r="K3135">
        <v>101.848</v>
      </c>
      <c r="L3135">
        <v>4.319</v>
      </c>
      <c r="M3135">
        <v>4.2869999999999999</v>
      </c>
      <c r="N3135">
        <v>4.2990000000000004</v>
      </c>
      <c r="O3135" t="s">
        <v>101</v>
      </c>
      <c r="P3135" t="s">
        <v>2635</v>
      </c>
      <c r="Q3135" t="s">
        <v>2635</v>
      </c>
      <c r="R3135" t="s">
        <v>2436</v>
      </c>
    </row>
    <row r="3136" spans="1:18" x14ac:dyDescent="0.5">
      <c r="A3136" t="str">
        <f>"29446MAB8"</f>
        <v>29446MAB8</v>
      </c>
      <c r="B3136" t="s">
        <v>101</v>
      </c>
      <c r="C3136" t="s">
        <v>3938</v>
      </c>
      <c r="D3136" t="s">
        <v>2433</v>
      </c>
      <c r="E3136">
        <v>3.625</v>
      </c>
      <c r="F3136" s="2">
        <v>47006</v>
      </c>
      <c r="G3136" s="2">
        <v>46914</v>
      </c>
      <c r="H3136" t="s">
        <v>613</v>
      </c>
      <c r="I3136" t="s">
        <v>616</v>
      </c>
      <c r="J3136">
        <v>97.378</v>
      </c>
      <c r="K3136">
        <v>97.597999999999999</v>
      </c>
      <c r="L3136">
        <v>4.4429999999999996</v>
      </c>
      <c r="M3136">
        <v>4.3739999999999997</v>
      </c>
      <c r="N3136">
        <v>4.3739999999999997</v>
      </c>
      <c r="O3136" t="s">
        <v>101</v>
      </c>
      <c r="P3136" t="s">
        <v>3939</v>
      </c>
      <c r="Q3136" t="s">
        <v>2507</v>
      </c>
      <c r="R3136" t="s">
        <v>2436</v>
      </c>
    </row>
    <row r="3137" spans="1:18" x14ac:dyDescent="0.5">
      <c r="A3137" t="str">
        <f>"907818EY0"</f>
        <v>907818EY0</v>
      </c>
      <c r="B3137" t="s">
        <v>101</v>
      </c>
      <c r="C3137" t="s">
        <v>3940</v>
      </c>
      <c r="D3137" t="s">
        <v>2433</v>
      </c>
      <c r="E3137">
        <v>3.95</v>
      </c>
      <c r="F3137" s="2">
        <v>47006</v>
      </c>
      <c r="G3137" s="2">
        <v>46914</v>
      </c>
      <c r="H3137" t="s">
        <v>627</v>
      </c>
      <c r="I3137" t="s">
        <v>713</v>
      </c>
      <c r="J3137">
        <v>98.418000000000006</v>
      </c>
      <c r="K3137">
        <v>98.528000000000006</v>
      </c>
      <c r="L3137">
        <v>4.444</v>
      </c>
      <c r="M3137">
        <v>4.4089999999999998</v>
      </c>
      <c r="N3137">
        <v>4.4089999999999998</v>
      </c>
      <c r="O3137" t="s">
        <v>101</v>
      </c>
      <c r="P3137" t="s">
        <v>1236</v>
      </c>
      <c r="Q3137" t="s">
        <v>2507</v>
      </c>
      <c r="R3137" t="s">
        <v>2436</v>
      </c>
    </row>
    <row r="3138" spans="1:18" x14ac:dyDescent="0.5">
      <c r="A3138" t="str">
        <f>"606822BC7"</f>
        <v>606822BC7</v>
      </c>
      <c r="B3138" t="s">
        <v>101</v>
      </c>
      <c r="C3138" t="s">
        <v>3941</v>
      </c>
      <c r="D3138" t="s">
        <v>2433</v>
      </c>
      <c r="E3138">
        <v>4.05</v>
      </c>
      <c r="F3138" s="2">
        <v>47007</v>
      </c>
      <c r="G3138" s="2" t="s">
        <v>101</v>
      </c>
      <c r="H3138" t="s">
        <v>641</v>
      </c>
      <c r="I3138" t="s">
        <v>713</v>
      </c>
      <c r="J3138">
        <v>98.292000000000002</v>
      </c>
      <c r="K3138">
        <v>98.462999999999994</v>
      </c>
      <c r="L3138">
        <v>4.5839999999999996</v>
      </c>
      <c r="M3138">
        <v>4.53</v>
      </c>
      <c r="N3138">
        <v>4.53</v>
      </c>
      <c r="O3138" t="s">
        <v>101</v>
      </c>
      <c r="P3138" t="s">
        <v>3884</v>
      </c>
      <c r="Q3138" t="s">
        <v>2581</v>
      </c>
      <c r="R3138" t="s">
        <v>2436</v>
      </c>
    </row>
    <row r="3139" spans="1:18" x14ac:dyDescent="0.5">
      <c r="A3139" t="str">
        <f>"89236TLB9"</f>
        <v>89236TLB9</v>
      </c>
      <c r="B3139" t="s">
        <v>101</v>
      </c>
      <c r="C3139" t="s">
        <v>3942</v>
      </c>
      <c r="D3139" t="s">
        <v>2433</v>
      </c>
      <c r="E3139">
        <v>5.25</v>
      </c>
      <c r="F3139" s="2">
        <v>47007</v>
      </c>
      <c r="G3139" s="2" t="s">
        <v>101</v>
      </c>
      <c r="H3139" t="s">
        <v>641</v>
      </c>
      <c r="I3139" t="s">
        <v>658</v>
      </c>
      <c r="J3139">
        <v>102.253</v>
      </c>
      <c r="K3139">
        <v>102.66</v>
      </c>
      <c r="L3139">
        <v>4.5460000000000003</v>
      </c>
      <c r="M3139">
        <v>4.4210000000000003</v>
      </c>
      <c r="N3139">
        <v>4.4210000000000003</v>
      </c>
      <c r="O3139" t="s">
        <v>101</v>
      </c>
      <c r="P3139" t="s">
        <v>2595</v>
      </c>
      <c r="Q3139" t="s">
        <v>3943</v>
      </c>
      <c r="R3139" t="s">
        <v>2436</v>
      </c>
    </row>
    <row r="3140" spans="1:18" x14ac:dyDescent="0.5">
      <c r="A3140" t="str">
        <f>"902674ZW3"</f>
        <v>902674ZW3</v>
      </c>
      <c r="B3140" t="s">
        <v>101</v>
      </c>
      <c r="C3140" t="s">
        <v>3944</v>
      </c>
      <c r="D3140" t="s">
        <v>2433</v>
      </c>
      <c r="E3140">
        <v>5.65</v>
      </c>
      <c r="F3140" s="2">
        <v>47007</v>
      </c>
      <c r="G3140" s="2" t="s">
        <v>101</v>
      </c>
      <c r="H3140" t="s">
        <v>613</v>
      </c>
      <c r="I3140" t="s">
        <v>658</v>
      </c>
      <c r="J3140">
        <v>103.01300000000001</v>
      </c>
      <c r="K3140">
        <v>103.22199999999999</v>
      </c>
      <c r="L3140">
        <v>4.7050000000000001</v>
      </c>
      <c r="M3140">
        <v>4.641</v>
      </c>
      <c r="N3140">
        <v>4.641</v>
      </c>
      <c r="O3140" t="s">
        <v>101</v>
      </c>
      <c r="P3140" t="s">
        <v>3945</v>
      </c>
      <c r="Q3140" t="s">
        <v>542</v>
      </c>
      <c r="R3140" t="s">
        <v>2436</v>
      </c>
    </row>
    <row r="3141" spans="1:18" x14ac:dyDescent="0.5">
      <c r="A3141" t="str">
        <f>"459058JZ7"</f>
        <v>459058JZ7</v>
      </c>
      <c r="B3141" t="s">
        <v>101</v>
      </c>
      <c r="C3141" t="s">
        <v>3946</v>
      </c>
      <c r="D3141" t="s">
        <v>2433</v>
      </c>
      <c r="E3141">
        <v>1.125</v>
      </c>
      <c r="F3141" s="2">
        <v>47009</v>
      </c>
      <c r="G3141" s="2" t="s">
        <v>105</v>
      </c>
      <c r="H3141" t="s">
        <v>104</v>
      </c>
      <c r="I3141" t="s">
        <v>104</v>
      </c>
      <c r="J3141">
        <v>89.356999999999999</v>
      </c>
      <c r="K3141">
        <v>90.51</v>
      </c>
      <c r="L3141">
        <v>4.4390000000000001</v>
      </c>
      <c r="M3141">
        <v>4.0590000000000002</v>
      </c>
      <c r="N3141">
        <v>4.0590000000000002</v>
      </c>
      <c r="O3141" t="s">
        <v>101</v>
      </c>
      <c r="P3141" t="s">
        <v>2438</v>
      </c>
      <c r="Q3141" t="s">
        <v>3947</v>
      </c>
      <c r="R3141" t="s">
        <v>2713</v>
      </c>
    </row>
    <row r="3142" spans="1:18" x14ac:dyDescent="0.5">
      <c r="A3142" t="str">
        <f>"86562MDG2"</f>
        <v>86562MDG2</v>
      </c>
      <c r="B3142" t="s">
        <v>101</v>
      </c>
      <c r="C3142" t="s">
        <v>3948</v>
      </c>
      <c r="D3142" t="s">
        <v>2433</v>
      </c>
      <c r="E3142">
        <v>5.7160000000000002</v>
      </c>
      <c r="F3142" s="2">
        <v>47010</v>
      </c>
      <c r="G3142" s="2" t="s">
        <v>101</v>
      </c>
      <c r="H3142" t="s">
        <v>641</v>
      </c>
      <c r="I3142" t="s">
        <v>713</v>
      </c>
      <c r="J3142">
        <v>103.187</v>
      </c>
      <c r="K3142">
        <v>103.524</v>
      </c>
      <c r="L3142">
        <v>4.7190000000000003</v>
      </c>
      <c r="M3142">
        <v>4.6159999999999997</v>
      </c>
      <c r="N3142">
        <v>4.6159999999999997</v>
      </c>
      <c r="O3142" t="s">
        <v>101</v>
      </c>
      <c r="P3142" t="s">
        <v>3945</v>
      </c>
      <c r="Q3142" t="s">
        <v>2687</v>
      </c>
      <c r="R3142" t="s">
        <v>2436</v>
      </c>
    </row>
    <row r="3143" spans="1:18" x14ac:dyDescent="0.5">
      <c r="A3143" t="str">
        <f>"04621WAF7"</f>
        <v>04621WAF7</v>
      </c>
      <c r="B3143" t="s">
        <v>101</v>
      </c>
      <c r="C3143" t="s">
        <v>3949</v>
      </c>
      <c r="D3143" t="s">
        <v>2433</v>
      </c>
      <c r="E3143">
        <v>6.125</v>
      </c>
      <c r="F3143" s="2">
        <v>47011</v>
      </c>
      <c r="G3143" s="2">
        <v>46980</v>
      </c>
      <c r="H3143" t="s">
        <v>670</v>
      </c>
      <c r="I3143" t="s">
        <v>611</v>
      </c>
      <c r="J3143">
        <v>104.498</v>
      </c>
      <c r="K3143">
        <v>104.821</v>
      </c>
      <c r="L3143">
        <v>4.6890000000000001</v>
      </c>
      <c r="M3143">
        <v>4.5890000000000004</v>
      </c>
      <c r="N3143">
        <v>4.6210000000000004</v>
      </c>
      <c r="O3143" t="s">
        <v>101</v>
      </c>
      <c r="P3143" t="s">
        <v>2454</v>
      </c>
      <c r="Q3143" t="s">
        <v>2746</v>
      </c>
      <c r="R3143" t="s">
        <v>2436</v>
      </c>
    </row>
    <row r="3144" spans="1:18" x14ac:dyDescent="0.5">
      <c r="A3144" t="str">
        <f>"191219BE3"</f>
        <v>191219BE3</v>
      </c>
      <c r="B3144" t="s">
        <v>101</v>
      </c>
      <c r="C3144" t="s">
        <v>3950</v>
      </c>
      <c r="D3144" t="s">
        <v>2433</v>
      </c>
      <c r="E3144">
        <v>6.75</v>
      </c>
      <c r="F3144" s="2">
        <v>47011</v>
      </c>
      <c r="G3144" s="2" t="s">
        <v>101</v>
      </c>
      <c r="H3144" t="s">
        <v>2760</v>
      </c>
      <c r="I3144" t="s">
        <v>658</v>
      </c>
      <c r="J3144">
        <v>107.80800000000001</v>
      </c>
      <c r="K3144">
        <v>108.247</v>
      </c>
      <c r="L3144">
        <v>4.327</v>
      </c>
      <c r="M3144">
        <v>4.1970000000000001</v>
      </c>
      <c r="N3144">
        <v>4.1970000000000001</v>
      </c>
      <c r="O3144" t="s">
        <v>101</v>
      </c>
      <c r="P3144" t="s">
        <v>858</v>
      </c>
      <c r="Q3144" t="s">
        <v>3951</v>
      </c>
      <c r="R3144" t="s">
        <v>2436</v>
      </c>
    </row>
    <row r="3145" spans="1:18" x14ac:dyDescent="0.5">
      <c r="A3145" t="str">
        <f>"891027AS3"</f>
        <v>891027AS3</v>
      </c>
      <c r="B3145" t="s">
        <v>101</v>
      </c>
      <c r="C3145" t="s">
        <v>3952</v>
      </c>
      <c r="D3145" t="s">
        <v>2433</v>
      </c>
      <c r="E3145">
        <v>4.55</v>
      </c>
      <c r="F3145" s="2">
        <v>47011</v>
      </c>
      <c r="G3145" s="2">
        <v>46919</v>
      </c>
      <c r="H3145" t="s">
        <v>670</v>
      </c>
      <c r="I3145" t="s">
        <v>611</v>
      </c>
      <c r="J3145">
        <v>99.37</v>
      </c>
      <c r="K3145">
        <v>99.619</v>
      </c>
      <c r="L3145">
        <v>4.7469999999999999</v>
      </c>
      <c r="M3145">
        <v>4.6689999999999996</v>
      </c>
      <c r="N3145">
        <v>4.6689999999999996</v>
      </c>
      <c r="O3145" t="s">
        <v>101</v>
      </c>
      <c r="P3145" t="s">
        <v>1236</v>
      </c>
      <c r="Q3145" t="s">
        <v>2747</v>
      </c>
      <c r="R3145" t="s">
        <v>2436</v>
      </c>
    </row>
    <row r="3146" spans="1:18" x14ac:dyDescent="0.5">
      <c r="A3146" t="str">
        <f>"437076CH3"</f>
        <v>437076CH3</v>
      </c>
      <c r="B3146" t="s">
        <v>101</v>
      </c>
      <c r="C3146" t="s">
        <v>3953</v>
      </c>
      <c r="D3146" t="s">
        <v>2433</v>
      </c>
      <c r="E3146">
        <v>1.5</v>
      </c>
      <c r="F3146" s="2">
        <v>47011</v>
      </c>
      <c r="G3146" s="2">
        <v>46949</v>
      </c>
      <c r="H3146" t="s">
        <v>610</v>
      </c>
      <c r="I3146" t="s">
        <v>611</v>
      </c>
      <c r="J3146">
        <v>90.63</v>
      </c>
      <c r="K3146">
        <v>90.757000000000005</v>
      </c>
      <c r="L3146">
        <v>4.4119999999999999</v>
      </c>
      <c r="M3146">
        <v>4.37</v>
      </c>
      <c r="N3146">
        <v>4.37</v>
      </c>
      <c r="O3146" t="s">
        <v>101</v>
      </c>
      <c r="P3146" t="s">
        <v>2581</v>
      </c>
      <c r="Q3146" t="s">
        <v>2447</v>
      </c>
      <c r="R3146" t="s">
        <v>2436</v>
      </c>
    </row>
    <row r="3147" spans="1:18" x14ac:dyDescent="0.5">
      <c r="A3147" t="str">
        <f>"46124HAF3"</f>
        <v>46124HAF3</v>
      </c>
      <c r="B3147" t="s">
        <v>101</v>
      </c>
      <c r="C3147" t="s">
        <v>3954</v>
      </c>
      <c r="D3147" t="s">
        <v>2433</v>
      </c>
      <c r="E3147">
        <v>5.125</v>
      </c>
      <c r="F3147" s="2">
        <v>47011</v>
      </c>
      <c r="G3147" s="2">
        <v>46980</v>
      </c>
      <c r="H3147" t="s">
        <v>627</v>
      </c>
      <c r="I3147" t="s">
        <v>713</v>
      </c>
      <c r="J3147">
        <v>102.23699999999999</v>
      </c>
      <c r="K3147">
        <v>102.441</v>
      </c>
      <c r="L3147">
        <v>4.415</v>
      </c>
      <c r="M3147">
        <v>4.351</v>
      </c>
      <c r="N3147">
        <v>4.367</v>
      </c>
      <c r="O3147" t="s">
        <v>101</v>
      </c>
      <c r="P3147" t="s">
        <v>2525</v>
      </c>
      <c r="Q3147" t="s">
        <v>2454</v>
      </c>
      <c r="R3147" t="s">
        <v>2436</v>
      </c>
    </row>
    <row r="3148" spans="1:18" x14ac:dyDescent="0.5">
      <c r="A3148" t="str">
        <f>"63743FB39"</f>
        <v>63743FB39</v>
      </c>
      <c r="B3148" t="s">
        <v>101</v>
      </c>
      <c r="C3148" t="s">
        <v>3955</v>
      </c>
      <c r="D3148" t="s">
        <v>2433</v>
      </c>
      <c r="E3148">
        <v>3</v>
      </c>
      <c r="F3148" s="2">
        <v>47011</v>
      </c>
      <c r="G3148" s="2" t="s">
        <v>105</v>
      </c>
      <c r="H3148" t="s">
        <v>610</v>
      </c>
      <c r="I3148" t="s">
        <v>713</v>
      </c>
      <c r="J3148">
        <v>93.866</v>
      </c>
      <c r="K3148">
        <v>95.662000000000006</v>
      </c>
      <c r="L3148">
        <v>4.907</v>
      </c>
      <c r="M3148">
        <v>4.335</v>
      </c>
      <c r="N3148">
        <v>4.335</v>
      </c>
      <c r="O3148" t="s">
        <v>101</v>
      </c>
      <c r="P3148" t="s">
        <v>1391</v>
      </c>
      <c r="Q3148" t="s">
        <v>556</v>
      </c>
      <c r="R3148" t="s">
        <v>2610</v>
      </c>
    </row>
    <row r="3149" spans="1:18" x14ac:dyDescent="0.5">
      <c r="A3149" t="str">
        <f>"63743FB47"</f>
        <v>63743FB47</v>
      </c>
      <c r="B3149" t="s">
        <v>101</v>
      </c>
      <c r="C3149" t="s">
        <v>3956</v>
      </c>
      <c r="D3149" t="s">
        <v>2433</v>
      </c>
      <c r="E3149">
        <v>3</v>
      </c>
      <c r="F3149" s="2">
        <v>47011</v>
      </c>
      <c r="G3149" s="2" t="s">
        <v>105</v>
      </c>
      <c r="H3149" t="s">
        <v>610</v>
      </c>
      <c r="I3149" t="s">
        <v>713</v>
      </c>
      <c r="J3149">
        <v>94.093999999999994</v>
      </c>
      <c r="K3149">
        <v>95.887</v>
      </c>
      <c r="L3149">
        <v>4.8339999999999996</v>
      </c>
      <c r="M3149">
        <v>4.2640000000000002</v>
      </c>
      <c r="N3149">
        <v>4.2640000000000002</v>
      </c>
      <c r="O3149" t="s">
        <v>101</v>
      </c>
      <c r="P3149" t="s">
        <v>1391</v>
      </c>
      <c r="Q3149" t="s">
        <v>2489</v>
      </c>
      <c r="R3149" t="s">
        <v>2610</v>
      </c>
    </row>
    <row r="3150" spans="1:18" x14ac:dyDescent="0.5">
      <c r="A3150" t="str">
        <f>"63743FYZ3"</f>
        <v>63743FYZ3</v>
      </c>
      <c r="B3150" t="s">
        <v>101</v>
      </c>
      <c r="C3150" t="s">
        <v>3957</v>
      </c>
      <c r="D3150" t="s">
        <v>2433</v>
      </c>
      <c r="E3150">
        <v>3.5</v>
      </c>
      <c r="F3150" s="2">
        <v>47011</v>
      </c>
      <c r="G3150" s="2" t="s">
        <v>105</v>
      </c>
      <c r="H3150" t="s">
        <v>610</v>
      </c>
      <c r="I3150" t="s">
        <v>713</v>
      </c>
      <c r="J3150">
        <v>95.600999999999999</v>
      </c>
      <c r="K3150">
        <v>96.984999999999999</v>
      </c>
      <c r="L3150">
        <v>4.8659999999999997</v>
      </c>
      <c r="M3150">
        <v>4.4290000000000003</v>
      </c>
      <c r="N3150">
        <v>4.4290000000000003</v>
      </c>
      <c r="O3150" t="s">
        <v>101</v>
      </c>
      <c r="P3150" t="s">
        <v>1236</v>
      </c>
      <c r="Q3150" t="s">
        <v>457</v>
      </c>
      <c r="R3150" t="s">
        <v>2610</v>
      </c>
    </row>
    <row r="3151" spans="1:18" x14ac:dyDescent="0.5">
      <c r="A3151" t="str">
        <f>"63743HFJ6"</f>
        <v>63743HFJ6</v>
      </c>
      <c r="B3151" t="s">
        <v>101</v>
      </c>
      <c r="C3151" t="s">
        <v>3958</v>
      </c>
      <c r="D3151" t="s">
        <v>2433</v>
      </c>
      <c r="E3151">
        <v>5.05</v>
      </c>
      <c r="F3151" s="2">
        <v>47011</v>
      </c>
      <c r="G3151" s="2">
        <v>46980</v>
      </c>
      <c r="H3151" t="s">
        <v>610</v>
      </c>
      <c r="I3151" t="s">
        <v>713</v>
      </c>
      <c r="J3151">
        <v>101.533</v>
      </c>
      <c r="K3151">
        <v>101.816</v>
      </c>
      <c r="L3151">
        <v>4.5620000000000003</v>
      </c>
      <c r="M3151">
        <v>4.4729999999999999</v>
      </c>
      <c r="N3151">
        <v>4.4850000000000003</v>
      </c>
      <c r="O3151" t="s">
        <v>101</v>
      </c>
      <c r="P3151" t="s">
        <v>1999</v>
      </c>
      <c r="Q3151" t="s">
        <v>3959</v>
      </c>
      <c r="R3151" t="s">
        <v>2436</v>
      </c>
    </row>
    <row r="3152" spans="1:18" x14ac:dyDescent="0.5">
      <c r="A3152" t="str">
        <f>"717081EP4"</f>
        <v>717081EP4</v>
      </c>
      <c r="B3152" t="s">
        <v>101</v>
      </c>
      <c r="C3152" t="s">
        <v>3960</v>
      </c>
      <c r="D3152" t="s">
        <v>2433</v>
      </c>
      <c r="E3152">
        <v>3.6</v>
      </c>
      <c r="F3152" s="2">
        <v>47011</v>
      </c>
      <c r="G3152" s="2">
        <v>46919</v>
      </c>
      <c r="H3152" t="s">
        <v>610</v>
      </c>
      <c r="I3152" t="s">
        <v>611</v>
      </c>
      <c r="J3152">
        <v>97.798000000000002</v>
      </c>
      <c r="K3152">
        <v>97.941000000000003</v>
      </c>
      <c r="L3152">
        <v>4.2830000000000004</v>
      </c>
      <c r="M3152">
        <v>4.2380000000000004</v>
      </c>
      <c r="N3152">
        <v>4.2380000000000004</v>
      </c>
      <c r="O3152" t="s">
        <v>101</v>
      </c>
      <c r="P3152" t="s">
        <v>1064</v>
      </c>
      <c r="Q3152" t="s">
        <v>2581</v>
      </c>
      <c r="R3152" t="s">
        <v>2436</v>
      </c>
    </row>
    <row r="3153" spans="1:18" x14ac:dyDescent="0.5">
      <c r="A3153" t="str">
        <f>"74340XBH3"</f>
        <v>74340XBH3</v>
      </c>
      <c r="B3153" t="s">
        <v>101</v>
      </c>
      <c r="C3153" t="s">
        <v>3961</v>
      </c>
      <c r="D3153" t="s">
        <v>2433</v>
      </c>
      <c r="E3153">
        <v>3.875</v>
      </c>
      <c r="F3153" s="2">
        <v>47011</v>
      </c>
      <c r="G3153" s="2">
        <v>46919</v>
      </c>
      <c r="H3153" t="s">
        <v>610</v>
      </c>
      <c r="I3153" t="s">
        <v>611</v>
      </c>
      <c r="J3153">
        <v>97.757000000000005</v>
      </c>
      <c r="K3153">
        <v>98.070999999999998</v>
      </c>
      <c r="L3153">
        <v>4.5739999999999998</v>
      </c>
      <c r="M3153">
        <v>4.4749999999999996</v>
      </c>
      <c r="N3153">
        <v>4.4749999999999996</v>
      </c>
      <c r="O3153" t="s">
        <v>101</v>
      </c>
      <c r="P3153" t="s">
        <v>1702</v>
      </c>
      <c r="Q3153" t="s">
        <v>2454</v>
      </c>
      <c r="R3153" t="s">
        <v>2436</v>
      </c>
    </row>
    <row r="3154" spans="1:18" x14ac:dyDescent="0.5">
      <c r="A3154" t="str">
        <f>"74340XBX8"</f>
        <v>74340XBX8</v>
      </c>
      <c r="B3154" t="s">
        <v>101</v>
      </c>
      <c r="C3154" t="s">
        <v>3962</v>
      </c>
      <c r="D3154" t="s">
        <v>2433</v>
      </c>
      <c r="E3154">
        <v>4</v>
      </c>
      <c r="F3154" s="2">
        <v>47011</v>
      </c>
      <c r="G3154" s="2">
        <v>46919</v>
      </c>
      <c r="H3154" t="s">
        <v>610</v>
      </c>
      <c r="I3154" t="s">
        <v>611</v>
      </c>
      <c r="J3154">
        <v>98.102999999999994</v>
      </c>
      <c r="K3154">
        <v>98.335999999999999</v>
      </c>
      <c r="L3154">
        <v>4.5910000000000002</v>
      </c>
      <c r="M3154">
        <v>4.5179999999999998</v>
      </c>
      <c r="N3154">
        <v>4.5179999999999998</v>
      </c>
      <c r="O3154" t="s">
        <v>101</v>
      </c>
      <c r="P3154" t="s">
        <v>1702</v>
      </c>
      <c r="Q3154" t="s">
        <v>2507</v>
      </c>
      <c r="R3154" t="s">
        <v>2436</v>
      </c>
    </row>
    <row r="3155" spans="1:18" x14ac:dyDescent="0.5">
      <c r="A3155" t="str">
        <f>"86562MCG3"</f>
        <v>86562MCG3</v>
      </c>
      <c r="B3155" t="s">
        <v>101</v>
      </c>
      <c r="C3155" t="s">
        <v>3963</v>
      </c>
      <c r="D3155" t="s">
        <v>2433</v>
      </c>
      <c r="E3155">
        <v>1.9019999999999999</v>
      </c>
      <c r="F3155" s="2">
        <v>47013</v>
      </c>
      <c r="G3155" s="2" t="s">
        <v>101</v>
      </c>
      <c r="H3155" t="s">
        <v>641</v>
      </c>
      <c r="I3155" t="s">
        <v>713</v>
      </c>
      <c r="J3155">
        <v>91.007999999999996</v>
      </c>
      <c r="K3155">
        <v>91.221999999999994</v>
      </c>
      <c r="L3155">
        <v>4.7080000000000002</v>
      </c>
      <c r="M3155">
        <v>4.6379999999999999</v>
      </c>
      <c r="N3155">
        <v>4.6379999999999999</v>
      </c>
      <c r="O3155" t="s">
        <v>101</v>
      </c>
      <c r="P3155" t="s">
        <v>542</v>
      </c>
      <c r="Q3155" t="s">
        <v>2687</v>
      </c>
      <c r="R3155" t="s">
        <v>2436</v>
      </c>
    </row>
    <row r="3156" spans="1:18" x14ac:dyDescent="0.5">
      <c r="A3156" t="str">
        <f>"302154DY2"</f>
        <v>302154DY2</v>
      </c>
      <c r="B3156" t="s">
        <v>101</v>
      </c>
      <c r="C3156" t="s">
        <v>3964</v>
      </c>
      <c r="D3156" t="s">
        <v>2433</v>
      </c>
      <c r="E3156">
        <v>5.125</v>
      </c>
      <c r="F3156" s="2">
        <v>47014</v>
      </c>
      <c r="G3156" s="2" t="s">
        <v>105</v>
      </c>
      <c r="H3156" t="s">
        <v>613</v>
      </c>
      <c r="I3156" t="s">
        <v>628</v>
      </c>
      <c r="J3156" t="s">
        <v>101</v>
      </c>
      <c r="K3156">
        <v>102.64100000000001</v>
      </c>
      <c r="L3156" t="s">
        <v>101</v>
      </c>
      <c r="M3156">
        <v>4.3070000000000004</v>
      </c>
      <c r="N3156">
        <v>4.3070000000000004</v>
      </c>
      <c r="O3156" t="s">
        <v>101</v>
      </c>
      <c r="P3156" t="s">
        <v>448</v>
      </c>
      <c r="Q3156" t="s">
        <v>2688</v>
      </c>
      <c r="R3156" t="s">
        <v>2713</v>
      </c>
    </row>
    <row r="3157" spans="1:18" x14ac:dyDescent="0.5">
      <c r="A3157" t="str">
        <f>"10373QAC4"</f>
        <v>10373QAC4</v>
      </c>
      <c r="B3157" t="s">
        <v>101</v>
      </c>
      <c r="C3157" t="s">
        <v>3965</v>
      </c>
      <c r="D3157" t="s">
        <v>2433</v>
      </c>
      <c r="E3157">
        <v>3.9369999999999998</v>
      </c>
      <c r="F3157" s="2">
        <v>47017</v>
      </c>
      <c r="G3157" s="2">
        <v>46925</v>
      </c>
      <c r="H3157" t="s">
        <v>641</v>
      </c>
      <c r="I3157" t="s">
        <v>713</v>
      </c>
      <c r="J3157">
        <v>97.756</v>
      </c>
      <c r="K3157">
        <v>97.908000000000001</v>
      </c>
      <c r="L3157">
        <v>4.6340000000000003</v>
      </c>
      <c r="M3157">
        <v>4.5860000000000003</v>
      </c>
      <c r="N3157">
        <v>4.5860000000000003</v>
      </c>
      <c r="O3157" t="s">
        <v>101</v>
      </c>
      <c r="P3157" t="s">
        <v>2527</v>
      </c>
      <c r="Q3157" t="s">
        <v>3075</v>
      </c>
      <c r="R3157" t="s">
        <v>2436</v>
      </c>
    </row>
    <row r="3158" spans="1:18" x14ac:dyDescent="0.5">
      <c r="A3158" t="str">
        <f>"45866FAJ3"</f>
        <v>45866FAJ3</v>
      </c>
      <c r="B3158" t="s">
        <v>101</v>
      </c>
      <c r="C3158" t="s">
        <v>3966</v>
      </c>
      <c r="D3158" t="s">
        <v>2433</v>
      </c>
      <c r="E3158">
        <v>3.75</v>
      </c>
      <c r="F3158" s="2">
        <v>47017</v>
      </c>
      <c r="G3158" s="2">
        <v>46925</v>
      </c>
      <c r="H3158" t="s">
        <v>627</v>
      </c>
      <c r="I3158" t="s">
        <v>713</v>
      </c>
      <c r="J3158">
        <v>97.103999999999999</v>
      </c>
      <c r="K3158">
        <v>97.367000000000004</v>
      </c>
      <c r="L3158">
        <v>4.6500000000000004</v>
      </c>
      <c r="M3158">
        <v>4.5670000000000002</v>
      </c>
      <c r="N3158">
        <v>4.5670000000000002</v>
      </c>
      <c r="O3158" t="s">
        <v>101</v>
      </c>
      <c r="P3158" t="s">
        <v>2438</v>
      </c>
      <c r="Q3158" t="s">
        <v>2774</v>
      </c>
      <c r="R3158" t="s">
        <v>2436</v>
      </c>
    </row>
    <row r="3159" spans="1:18" x14ac:dyDescent="0.5">
      <c r="A3159" t="str">
        <f>"931142ES8"</f>
        <v>931142ES8</v>
      </c>
      <c r="B3159" t="s">
        <v>101</v>
      </c>
      <c r="C3159" t="s">
        <v>3967</v>
      </c>
      <c r="D3159" t="s">
        <v>2433</v>
      </c>
      <c r="E3159">
        <v>1.5</v>
      </c>
      <c r="F3159" s="2">
        <v>47018</v>
      </c>
      <c r="G3159" s="2">
        <v>46956</v>
      </c>
      <c r="H3159" t="s">
        <v>613</v>
      </c>
      <c r="I3159" t="s">
        <v>628</v>
      </c>
      <c r="J3159">
        <v>91.102000000000004</v>
      </c>
      <c r="K3159">
        <v>91.167000000000002</v>
      </c>
      <c r="L3159">
        <v>4.242</v>
      </c>
      <c r="M3159">
        <v>4.2210000000000001</v>
      </c>
      <c r="N3159">
        <v>4.2210000000000001</v>
      </c>
      <c r="O3159" t="s">
        <v>101</v>
      </c>
      <c r="P3159" t="s">
        <v>1391</v>
      </c>
      <c r="Q3159" t="s">
        <v>2447</v>
      </c>
      <c r="R3159" t="s">
        <v>2436</v>
      </c>
    </row>
    <row r="3160" spans="1:18" x14ac:dyDescent="0.5">
      <c r="A3160" t="str">
        <f>"06368LWU6"</f>
        <v>06368LWU6</v>
      </c>
      <c r="B3160" t="s">
        <v>101</v>
      </c>
      <c r="C3160" t="s">
        <v>3968</v>
      </c>
      <c r="D3160" t="s">
        <v>2433</v>
      </c>
      <c r="E3160">
        <v>5.7169999999999996</v>
      </c>
      <c r="F3160" s="2">
        <v>47021</v>
      </c>
      <c r="G3160" s="2">
        <v>46990</v>
      </c>
      <c r="H3160" t="s">
        <v>610</v>
      </c>
      <c r="I3160" t="s">
        <v>713</v>
      </c>
      <c r="J3160">
        <v>103.21899999999999</v>
      </c>
      <c r="K3160">
        <v>103.437</v>
      </c>
      <c r="L3160">
        <v>4.6970000000000001</v>
      </c>
      <c r="M3160">
        <v>4.6289999999999996</v>
      </c>
      <c r="N3160">
        <v>4.6509999999999998</v>
      </c>
      <c r="O3160" t="s">
        <v>101</v>
      </c>
      <c r="P3160" t="s">
        <v>2454</v>
      </c>
      <c r="Q3160" t="s">
        <v>1702</v>
      </c>
      <c r="R3160" t="s">
        <v>2436</v>
      </c>
    </row>
    <row r="3161" spans="1:18" x14ac:dyDescent="0.5">
      <c r="A3161" t="str">
        <f>"89236THJ7"</f>
        <v>89236THJ7</v>
      </c>
      <c r="B3161" t="s">
        <v>101</v>
      </c>
      <c r="C3161" t="s">
        <v>3969</v>
      </c>
      <c r="D3161" t="s">
        <v>2433</v>
      </c>
      <c r="E3161">
        <v>1</v>
      </c>
      <c r="F3161" s="2">
        <v>47021</v>
      </c>
      <c r="G3161" s="2">
        <v>45925</v>
      </c>
      <c r="H3161" t="s">
        <v>641</v>
      </c>
      <c r="I3161" t="s">
        <v>658</v>
      </c>
      <c r="J3161">
        <v>86.049000000000007</v>
      </c>
      <c r="K3161">
        <v>89.027000000000001</v>
      </c>
      <c r="L3161">
        <v>5.3849999999999998</v>
      </c>
      <c r="M3161">
        <v>4.3840000000000003</v>
      </c>
      <c r="N3161">
        <v>4.3840000000000003</v>
      </c>
      <c r="O3161" t="s">
        <v>101</v>
      </c>
      <c r="P3161" t="s">
        <v>858</v>
      </c>
      <c r="Q3161" t="s">
        <v>457</v>
      </c>
      <c r="R3161" t="s">
        <v>2436</v>
      </c>
    </row>
    <row r="3162" spans="1:18" x14ac:dyDescent="0.5">
      <c r="A3162" t="str">
        <f>"17325FBB3"</f>
        <v>17325FBB3</v>
      </c>
      <c r="B3162" t="s">
        <v>101</v>
      </c>
      <c r="C3162" t="s">
        <v>3970</v>
      </c>
      <c r="D3162" t="s">
        <v>2433</v>
      </c>
      <c r="E3162">
        <v>5.8029999999999999</v>
      </c>
      <c r="F3162" s="2">
        <v>47025</v>
      </c>
      <c r="G3162" s="2">
        <v>46994</v>
      </c>
      <c r="H3162" t="s">
        <v>624</v>
      </c>
      <c r="I3162" t="s">
        <v>658</v>
      </c>
      <c r="J3162">
        <v>103.75700000000001</v>
      </c>
      <c r="K3162">
        <v>103.98699999999999</v>
      </c>
      <c r="L3162">
        <v>4.617</v>
      </c>
      <c r="M3162">
        <v>4.5460000000000003</v>
      </c>
      <c r="N3162">
        <v>4.5720000000000001</v>
      </c>
      <c r="O3162" t="s">
        <v>101</v>
      </c>
      <c r="P3162" t="s">
        <v>3971</v>
      </c>
      <c r="Q3162" t="s">
        <v>2434</v>
      </c>
      <c r="R3162" t="s">
        <v>2436</v>
      </c>
    </row>
    <row r="3163" spans="1:18" x14ac:dyDescent="0.5">
      <c r="A3163" t="str">
        <f>"032654AU9"</f>
        <v>032654AU9</v>
      </c>
      <c r="B3163" t="s">
        <v>101</v>
      </c>
      <c r="C3163" t="s">
        <v>3972</v>
      </c>
      <c r="D3163" t="s">
        <v>2433</v>
      </c>
      <c r="E3163">
        <v>1.7</v>
      </c>
      <c r="F3163" s="2">
        <v>47027</v>
      </c>
      <c r="G3163" s="2">
        <v>46966</v>
      </c>
      <c r="H3163" t="s">
        <v>610</v>
      </c>
      <c r="I3163" t="s">
        <v>713</v>
      </c>
      <c r="J3163">
        <v>90.813000000000002</v>
      </c>
      <c r="K3163">
        <v>91.006</v>
      </c>
      <c r="L3163">
        <v>4.5279999999999996</v>
      </c>
      <c r="M3163">
        <v>4.4649999999999999</v>
      </c>
      <c r="N3163">
        <v>4.4649999999999999</v>
      </c>
      <c r="O3163" t="s">
        <v>101</v>
      </c>
      <c r="P3163" t="s">
        <v>3884</v>
      </c>
      <c r="Q3163" t="s">
        <v>2581</v>
      </c>
      <c r="R3163" t="s">
        <v>2436</v>
      </c>
    </row>
    <row r="3164" spans="1:18" x14ac:dyDescent="0.5">
      <c r="A3164" t="str">
        <f>"15189XBD9"</f>
        <v>15189XBD9</v>
      </c>
      <c r="B3164" t="s">
        <v>101</v>
      </c>
      <c r="C3164" t="s">
        <v>3973</v>
      </c>
      <c r="D3164" t="s">
        <v>2433</v>
      </c>
      <c r="E3164">
        <v>5.2</v>
      </c>
      <c r="F3164" s="2">
        <v>47027</v>
      </c>
      <c r="G3164" s="2">
        <v>46997</v>
      </c>
      <c r="H3164" t="s">
        <v>610</v>
      </c>
      <c r="I3164" t="s">
        <v>611</v>
      </c>
      <c r="J3164">
        <v>101.806</v>
      </c>
      <c r="K3164">
        <v>102.059</v>
      </c>
      <c r="L3164">
        <v>4.6310000000000002</v>
      </c>
      <c r="M3164">
        <v>4.5519999999999996</v>
      </c>
      <c r="N3164">
        <v>4.5650000000000004</v>
      </c>
      <c r="O3164" t="s">
        <v>101</v>
      </c>
      <c r="P3164" t="s">
        <v>3878</v>
      </c>
      <c r="Q3164" t="s">
        <v>2581</v>
      </c>
      <c r="R3164" t="s">
        <v>2436</v>
      </c>
    </row>
    <row r="3165" spans="1:18" x14ac:dyDescent="0.5">
      <c r="A3165" t="str">
        <f>"244199AW5"</f>
        <v>244199AW5</v>
      </c>
      <c r="B3165" t="s">
        <v>101</v>
      </c>
      <c r="C3165" t="s">
        <v>3974</v>
      </c>
      <c r="D3165" t="s">
        <v>2433</v>
      </c>
      <c r="E3165">
        <v>6.55</v>
      </c>
      <c r="F3165" s="2">
        <v>47027</v>
      </c>
      <c r="G3165" s="2" t="s">
        <v>105</v>
      </c>
      <c r="H3165" t="s">
        <v>641</v>
      </c>
      <c r="I3165" t="s">
        <v>611</v>
      </c>
      <c r="J3165">
        <v>107.062</v>
      </c>
      <c r="K3165">
        <v>108.13</v>
      </c>
      <c r="L3165">
        <v>4.3810000000000002</v>
      </c>
      <c r="M3165">
        <v>4.0679999999999996</v>
      </c>
      <c r="N3165">
        <v>4.0679999999999996</v>
      </c>
      <c r="O3165" t="s">
        <v>101</v>
      </c>
      <c r="P3165" t="s">
        <v>3975</v>
      </c>
      <c r="Q3165" t="s">
        <v>2815</v>
      </c>
      <c r="R3165" t="s">
        <v>2465</v>
      </c>
    </row>
    <row r="3166" spans="1:18" x14ac:dyDescent="0.5">
      <c r="A3166" t="str">
        <f>"67021CAU1"</f>
        <v>67021CAU1</v>
      </c>
      <c r="B3166" t="s">
        <v>101</v>
      </c>
      <c r="C3166" t="s">
        <v>3976</v>
      </c>
      <c r="D3166" t="s">
        <v>2433</v>
      </c>
      <c r="E3166">
        <v>5.6</v>
      </c>
      <c r="F3166" s="2">
        <v>47027</v>
      </c>
      <c r="G3166" s="2">
        <v>46997</v>
      </c>
      <c r="H3166" t="s">
        <v>610</v>
      </c>
      <c r="I3166" t="s">
        <v>713</v>
      </c>
      <c r="J3166">
        <v>101.51</v>
      </c>
      <c r="K3166">
        <v>103.26300000000001</v>
      </c>
      <c r="L3166">
        <v>5.12</v>
      </c>
      <c r="M3166">
        <v>4.5720000000000001</v>
      </c>
      <c r="N3166">
        <v>4.593</v>
      </c>
      <c r="O3166" t="s">
        <v>101</v>
      </c>
      <c r="P3166" t="s">
        <v>3977</v>
      </c>
      <c r="Q3166" t="s">
        <v>3406</v>
      </c>
      <c r="R3166" t="s">
        <v>2436</v>
      </c>
    </row>
    <row r="3167" spans="1:18" x14ac:dyDescent="0.5">
      <c r="A3167" t="str">
        <f>"842400HY2"</f>
        <v>842400HY2</v>
      </c>
      <c r="B3167" t="s">
        <v>101</v>
      </c>
      <c r="C3167" t="s">
        <v>3978</v>
      </c>
      <c r="D3167" t="s">
        <v>2433</v>
      </c>
      <c r="E3167">
        <v>5.65</v>
      </c>
      <c r="F3167" s="2">
        <v>47027</v>
      </c>
      <c r="G3167" s="2">
        <v>46997</v>
      </c>
      <c r="H3167" t="s">
        <v>610</v>
      </c>
      <c r="I3167" t="s">
        <v>713</v>
      </c>
      <c r="J3167">
        <v>101.941</v>
      </c>
      <c r="K3167">
        <v>102.10599999999999</v>
      </c>
      <c r="L3167">
        <v>5.0339999999999998</v>
      </c>
      <c r="M3167">
        <v>4.9820000000000002</v>
      </c>
      <c r="N3167">
        <v>4.9950000000000001</v>
      </c>
      <c r="O3167" t="s">
        <v>101</v>
      </c>
      <c r="P3167" t="s">
        <v>1391</v>
      </c>
      <c r="Q3167" t="s">
        <v>3075</v>
      </c>
      <c r="R3167" t="s">
        <v>2436</v>
      </c>
    </row>
    <row r="3168" spans="1:18" x14ac:dyDescent="0.5">
      <c r="A3168" t="str">
        <f>"456837AM5"</f>
        <v>456837AM5</v>
      </c>
      <c r="B3168" t="s">
        <v>101</v>
      </c>
      <c r="C3168" t="s">
        <v>3979</v>
      </c>
      <c r="D3168" t="s">
        <v>2433</v>
      </c>
      <c r="E3168">
        <v>4.55</v>
      </c>
      <c r="F3168" s="2">
        <v>47028</v>
      </c>
      <c r="G3168" s="2" t="s">
        <v>101</v>
      </c>
      <c r="H3168" t="s">
        <v>670</v>
      </c>
      <c r="I3168" t="s">
        <v>713</v>
      </c>
      <c r="J3168">
        <v>99.287000000000006</v>
      </c>
      <c r="K3168">
        <v>99.430999999999997</v>
      </c>
      <c r="L3168">
        <v>4.7699999999999996</v>
      </c>
      <c r="M3168">
        <v>4.7249999999999996</v>
      </c>
      <c r="N3168">
        <v>4.7249999999999996</v>
      </c>
      <c r="O3168" t="s">
        <v>101</v>
      </c>
      <c r="P3168" t="s">
        <v>542</v>
      </c>
      <c r="Q3168" t="s">
        <v>3980</v>
      </c>
      <c r="R3168" t="s">
        <v>2436</v>
      </c>
    </row>
    <row r="3169" spans="1:18" x14ac:dyDescent="0.5">
      <c r="A3169" t="str">
        <f>"13607LWV1"</f>
        <v>13607LWV1</v>
      </c>
      <c r="B3169" t="s">
        <v>101</v>
      </c>
      <c r="C3169" t="s">
        <v>3981</v>
      </c>
      <c r="D3169" t="s">
        <v>2433</v>
      </c>
      <c r="E3169">
        <v>5.9859999999999998</v>
      </c>
      <c r="F3169" s="2">
        <v>47029</v>
      </c>
      <c r="G3169" s="2">
        <v>46999</v>
      </c>
      <c r="H3169" t="s">
        <v>610</v>
      </c>
      <c r="I3169" t="s">
        <v>713</v>
      </c>
      <c r="J3169">
        <v>104.001</v>
      </c>
      <c r="K3169">
        <v>104.27</v>
      </c>
      <c r="L3169">
        <v>4.7240000000000002</v>
      </c>
      <c r="M3169">
        <v>4.641</v>
      </c>
      <c r="N3169">
        <v>4.6689999999999996</v>
      </c>
      <c r="O3169" t="s">
        <v>101</v>
      </c>
      <c r="P3169" t="s">
        <v>1702</v>
      </c>
      <c r="Q3169" t="s">
        <v>3411</v>
      </c>
      <c r="R3169" t="s">
        <v>2436</v>
      </c>
    </row>
    <row r="3170" spans="1:18" x14ac:dyDescent="0.5">
      <c r="A3170" t="str">
        <f>"048303CH2"</f>
        <v>048303CH2</v>
      </c>
      <c r="B3170" t="s">
        <v>101</v>
      </c>
      <c r="C3170" t="s">
        <v>3982</v>
      </c>
      <c r="D3170" t="s">
        <v>2433</v>
      </c>
      <c r="E3170">
        <v>4</v>
      </c>
      <c r="F3170" s="2">
        <v>47041</v>
      </c>
      <c r="G3170" s="2">
        <v>46949</v>
      </c>
      <c r="H3170" t="s">
        <v>610</v>
      </c>
      <c r="I3170" t="s">
        <v>611</v>
      </c>
      <c r="J3170">
        <v>98.031000000000006</v>
      </c>
      <c r="K3170">
        <v>98.441000000000003</v>
      </c>
      <c r="L3170">
        <v>4.5999999999999996</v>
      </c>
      <c r="M3170">
        <v>4.4740000000000002</v>
      </c>
      <c r="N3170">
        <v>4.4740000000000002</v>
      </c>
      <c r="O3170" t="s">
        <v>101</v>
      </c>
      <c r="P3170" t="s">
        <v>3884</v>
      </c>
      <c r="Q3170" t="s">
        <v>3983</v>
      </c>
      <c r="R3170" t="s">
        <v>2436</v>
      </c>
    </row>
    <row r="3171" spans="1:18" x14ac:dyDescent="0.5">
      <c r="A3171" t="str">
        <f>"133131AW2"</f>
        <v>133131AW2</v>
      </c>
      <c r="B3171" t="s">
        <v>101</v>
      </c>
      <c r="C3171" t="s">
        <v>3984</v>
      </c>
      <c r="D3171" t="s">
        <v>2433</v>
      </c>
      <c r="E3171">
        <v>4.0999999999999996</v>
      </c>
      <c r="F3171" s="2">
        <v>47041</v>
      </c>
      <c r="G3171" s="2">
        <v>46949</v>
      </c>
      <c r="H3171" t="s">
        <v>627</v>
      </c>
      <c r="I3171" t="s">
        <v>713</v>
      </c>
      <c r="J3171">
        <v>98.031999999999996</v>
      </c>
      <c r="K3171">
        <v>98.275000000000006</v>
      </c>
      <c r="L3171">
        <v>4.7009999999999996</v>
      </c>
      <c r="M3171">
        <v>4.6260000000000003</v>
      </c>
      <c r="N3171">
        <v>4.6260000000000003</v>
      </c>
      <c r="O3171" t="s">
        <v>101</v>
      </c>
      <c r="P3171" t="s">
        <v>1702</v>
      </c>
      <c r="Q3171" t="s">
        <v>2454</v>
      </c>
      <c r="R3171" t="s">
        <v>2436</v>
      </c>
    </row>
    <row r="3172" spans="1:18" x14ac:dyDescent="0.5">
      <c r="A3172" t="str">
        <f>"20030NCT6"</f>
        <v>20030NCT6</v>
      </c>
      <c r="B3172" t="s">
        <v>101</v>
      </c>
      <c r="C3172" t="s">
        <v>3985</v>
      </c>
      <c r="D3172" t="s">
        <v>2433</v>
      </c>
      <c r="E3172">
        <v>4.1500000000000004</v>
      </c>
      <c r="F3172" s="2">
        <v>47041</v>
      </c>
      <c r="G3172" s="2">
        <v>46949</v>
      </c>
      <c r="H3172" t="s">
        <v>627</v>
      </c>
      <c r="I3172" t="s">
        <v>713</v>
      </c>
      <c r="J3172">
        <v>98.516999999999996</v>
      </c>
      <c r="K3172">
        <v>98.635999999999996</v>
      </c>
      <c r="L3172">
        <v>4.6020000000000003</v>
      </c>
      <c r="M3172">
        <v>4.5650000000000004</v>
      </c>
      <c r="N3172">
        <v>4.5650000000000004</v>
      </c>
      <c r="O3172" t="s">
        <v>101</v>
      </c>
      <c r="P3172" t="s">
        <v>2581</v>
      </c>
      <c r="Q3172" t="s">
        <v>2454</v>
      </c>
      <c r="R3172" t="s">
        <v>2436</v>
      </c>
    </row>
    <row r="3173" spans="1:18" x14ac:dyDescent="0.5">
      <c r="A3173" t="str">
        <f>"63743FUY0"</f>
        <v>63743FUY0</v>
      </c>
      <c r="B3173" t="s">
        <v>101</v>
      </c>
      <c r="C3173" t="s">
        <v>3986</v>
      </c>
      <c r="D3173" t="s">
        <v>2433</v>
      </c>
      <c r="E3173">
        <v>3.5</v>
      </c>
      <c r="F3173" s="2">
        <v>47041</v>
      </c>
      <c r="G3173" s="2" t="s">
        <v>105</v>
      </c>
      <c r="H3173" t="s">
        <v>610</v>
      </c>
      <c r="I3173" t="s">
        <v>713</v>
      </c>
      <c r="J3173">
        <v>95.397000000000006</v>
      </c>
      <c r="K3173">
        <v>97.162999999999997</v>
      </c>
      <c r="L3173">
        <v>4.9000000000000004</v>
      </c>
      <c r="M3173">
        <v>4.3550000000000004</v>
      </c>
      <c r="N3173">
        <v>4.3550000000000004</v>
      </c>
      <c r="O3173" t="s">
        <v>101</v>
      </c>
      <c r="P3173" t="s">
        <v>858</v>
      </c>
      <c r="Q3173" t="s">
        <v>2821</v>
      </c>
      <c r="R3173" t="s">
        <v>2610</v>
      </c>
    </row>
    <row r="3174" spans="1:18" x14ac:dyDescent="0.5">
      <c r="A3174" t="str">
        <f>"125523AH3"</f>
        <v>125523AH3</v>
      </c>
      <c r="B3174" t="s">
        <v>101</v>
      </c>
      <c r="C3174" t="s">
        <v>3987</v>
      </c>
      <c r="D3174" t="s">
        <v>2433</v>
      </c>
      <c r="E3174">
        <v>4.375</v>
      </c>
      <c r="F3174" s="2">
        <v>47041</v>
      </c>
      <c r="G3174" s="2">
        <v>46949</v>
      </c>
      <c r="H3174" t="s">
        <v>670</v>
      </c>
      <c r="I3174" t="s">
        <v>713</v>
      </c>
      <c r="J3174">
        <v>98.965999999999994</v>
      </c>
      <c r="K3174">
        <v>99.108999999999995</v>
      </c>
      <c r="L3174">
        <v>4.6900000000000004</v>
      </c>
      <c r="M3174">
        <v>4.6459999999999999</v>
      </c>
      <c r="N3174">
        <v>4.6459999999999999</v>
      </c>
      <c r="O3174" t="s">
        <v>101</v>
      </c>
      <c r="P3174" t="s">
        <v>1702</v>
      </c>
      <c r="Q3174" t="s">
        <v>2454</v>
      </c>
      <c r="R3174" t="s">
        <v>2436</v>
      </c>
    </row>
    <row r="3175" spans="1:18" x14ac:dyDescent="0.5">
      <c r="A3175" t="str">
        <f>"883556CK6"</f>
        <v>883556CK6</v>
      </c>
      <c r="B3175" t="s">
        <v>101</v>
      </c>
      <c r="C3175" t="s">
        <v>3988</v>
      </c>
      <c r="D3175" t="s">
        <v>2433</v>
      </c>
      <c r="E3175">
        <v>1.75</v>
      </c>
      <c r="F3175" s="2">
        <v>47041</v>
      </c>
      <c r="G3175" s="2">
        <v>46980</v>
      </c>
      <c r="H3175" t="s">
        <v>627</v>
      </c>
      <c r="I3175" t="s">
        <v>713</v>
      </c>
      <c r="J3175">
        <v>91.05</v>
      </c>
      <c r="K3175">
        <v>91.194999999999993</v>
      </c>
      <c r="L3175">
        <v>4.4749999999999996</v>
      </c>
      <c r="M3175">
        <v>4.4279999999999999</v>
      </c>
      <c r="N3175">
        <v>4.4279999999999999</v>
      </c>
      <c r="O3175" t="s">
        <v>101</v>
      </c>
      <c r="P3175" t="s">
        <v>2581</v>
      </c>
      <c r="Q3175" t="s">
        <v>2454</v>
      </c>
      <c r="R3175" t="s">
        <v>2436</v>
      </c>
    </row>
    <row r="3176" spans="1:18" x14ac:dyDescent="0.5">
      <c r="A3176" t="str">
        <f>"29379VBT9"</f>
        <v>29379VBT9</v>
      </c>
      <c r="B3176" t="s">
        <v>101</v>
      </c>
      <c r="C3176" t="s">
        <v>3989</v>
      </c>
      <c r="D3176" t="s">
        <v>2433</v>
      </c>
      <c r="E3176">
        <v>4.1500000000000004</v>
      </c>
      <c r="F3176" s="2">
        <v>47042</v>
      </c>
      <c r="G3176" s="2">
        <v>46950</v>
      </c>
      <c r="H3176" t="s">
        <v>627</v>
      </c>
      <c r="I3176" t="s">
        <v>713</v>
      </c>
      <c r="J3176">
        <v>98.507999999999996</v>
      </c>
      <c r="K3176">
        <v>98.625</v>
      </c>
      <c r="L3176">
        <v>4.6040000000000001</v>
      </c>
      <c r="M3176">
        <v>4.5679999999999996</v>
      </c>
      <c r="N3176">
        <v>4.5679999999999996</v>
      </c>
      <c r="O3176" t="s">
        <v>101</v>
      </c>
      <c r="P3176" t="s">
        <v>2460</v>
      </c>
      <c r="Q3176" t="s">
        <v>2507</v>
      </c>
      <c r="R3176" t="s">
        <v>2436</v>
      </c>
    </row>
    <row r="3177" spans="1:18" x14ac:dyDescent="0.5">
      <c r="A3177" t="str">
        <f>"86562MBG4"</f>
        <v>86562MBG4</v>
      </c>
      <c r="B3177" t="s">
        <v>101</v>
      </c>
      <c r="C3177" t="s">
        <v>3990</v>
      </c>
      <c r="D3177" t="s">
        <v>2433</v>
      </c>
      <c r="E3177">
        <v>4.306</v>
      </c>
      <c r="F3177" s="2">
        <v>47042</v>
      </c>
      <c r="G3177" s="2" t="s">
        <v>101</v>
      </c>
      <c r="H3177" t="s">
        <v>641</v>
      </c>
      <c r="I3177" t="s">
        <v>713</v>
      </c>
      <c r="J3177">
        <v>99.058999999999997</v>
      </c>
      <c r="K3177">
        <v>99.230999999999995</v>
      </c>
      <c r="L3177">
        <v>4.59</v>
      </c>
      <c r="M3177">
        <v>4.5389999999999997</v>
      </c>
      <c r="N3177">
        <v>4.5389999999999997</v>
      </c>
      <c r="O3177" t="s">
        <v>101</v>
      </c>
      <c r="P3177" t="s">
        <v>3991</v>
      </c>
      <c r="Q3177" t="s">
        <v>2795</v>
      </c>
      <c r="R3177" t="s">
        <v>2436</v>
      </c>
    </row>
    <row r="3178" spans="1:18" x14ac:dyDescent="0.5">
      <c r="A3178" t="str">
        <f>"06406GAA9"</f>
        <v>06406GAA9</v>
      </c>
      <c r="B3178" t="s">
        <v>101</v>
      </c>
      <c r="C3178" t="s">
        <v>3992</v>
      </c>
      <c r="D3178" t="s">
        <v>2433</v>
      </c>
      <c r="E3178">
        <v>3</v>
      </c>
      <c r="F3178" s="2">
        <v>47056</v>
      </c>
      <c r="G3178" s="2">
        <v>46964</v>
      </c>
      <c r="H3178" t="s">
        <v>610</v>
      </c>
      <c r="I3178" t="s">
        <v>713</v>
      </c>
      <c r="J3178">
        <v>94.58</v>
      </c>
      <c r="K3178">
        <v>94.789000000000001</v>
      </c>
      <c r="L3178">
        <v>4.6369999999999996</v>
      </c>
      <c r="M3178">
        <v>4.5720000000000001</v>
      </c>
      <c r="N3178">
        <v>4.5720000000000001</v>
      </c>
      <c r="O3178" t="s">
        <v>101</v>
      </c>
      <c r="P3178" t="s">
        <v>2438</v>
      </c>
      <c r="Q3178" t="s">
        <v>2507</v>
      </c>
      <c r="R3178" t="s">
        <v>2436</v>
      </c>
    </row>
    <row r="3179" spans="1:18" x14ac:dyDescent="0.5">
      <c r="A3179" t="str">
        <f>"48128GU81"</f>
        <v>48128GU81</v>
      </c>
      <c r="B3179" t="s">
        <v>101</v>
      </c>
      <c r="C3179" t="s">
        <v>3993</v>
      </c>
      <c r="D3179" t="s">
        <v>2433</v>
      </c>
      <c r="E3179">
        <v>1.5</v>
      </c>
      <c r="F3179" s="2">
        <v>47057</v>
      </c>
      <c r="G3179" s="2">
        <v>45869</v>
      </c>
      <c r="H3179" t="s">
        <v>641</v>
      </c>
      <c r="I3179" t="s">
        <v>611</v>
      </c>
      <c r="J3179">
        <v>88.406000000000006</v>
      </c>
      <c r="K3179">
        <v>89.445999999999998</v>
      </c>
      <c r="L3179">
        <v>5.01</v>
      </c>
      <c r="M3179">
        <v>4.6749999999999998</v>
      </c>
      <c r="N3179">
        <v>4.6749999999999998</v>
      </c>
      <c r="O3179" t="s">
        <v>101</v>
      </c>
      <c r="P3179" t="s">
        <v>2595</v>
      </c>
      <c r="Q3179" t="s">
        <v>858</v>
      </c>
      <c r="R3179" t="s">
        <v>2436</v>
      </c>
    </row>
    <row r="3180" spans="1:18" x14ac:dyDescent="0.5">
      <c r="A3180" t="str">
        <f>"013716AN5"</f>
        <v>013716AN5</v>
      </c>
      <c r="B3180" t="s">
        <v>101</v>
      </c>
      <c r="C3180" t="s">
        <v>3994</v>
      </c>
      <c r="D3180" t="s">
        <v>2433</v>
      </c>
      <c r="E3180">
        <v>7.25</v>
      </c>
      <c r="F3180" s="2">
        <v>47058</v>
      </c>
      <c r="G3180" s="2" t="s">
        <v>101</v>
      </c>
      <c r="H3180" t="s">
        <v>105</v>
      </c>
      <c r="I3180" t="s">
        <v>611</v>
      </c>
      <c r="J3180">
        <v>106.215</v>
      </c>
      <c r="K3180">
        <v>109.696</v>
      </c>
      <c r="L3180">
        <v>5.3440000000000003</v>
      </c>
      <c r="M3180">
        <v>4.3369999999999997</v>
      </c>
      <c r="N3180">
        <v>4.3369999999999997</v>
      </c>
      <c r="O3180" t="s">
        <v>101</v>
      </c>
      <c r="P3180" t="s">
        <v>503</v>
      </c>
      <c r="Q3180" t="s">
        <v>3995</v>
      </c>
      <c r="R3180" t="s">
        <v>2436</v>
      </c>
    </row>
    <row r="3181" spans="1:18" x14ac:dyDescent="0.5">
      <c r="A3181" t="str">
        <f>"494368BY8"</f>
        <v>494368BY8</v>
      </c>
      <c r="B3181" t="s">
        <v>101</v>
      </c>
      <c r="C3181" t="s">
        <v>3996</v>
      </c>
      <c r="D3181" t="s">
        <v>2433</v>
      </c>
      <c r="E3181">
        <v>3.95</v>
      </c>
      <c r="F3181" s="2">
        <v>47058</v>
      </c>
      <c r="G3181" s="2">
        <v>46966</v>
      </c>
      <c r="H3181" t="s">
        <v>610</v>
      </c>
      <c r="I3181" t="s">
        <v>611</v>
      </c>
      <c r="J3181">
        <v>98.361000000000004</v>
      </c>
      <c r="K3181">
        <v>98.587999999999994</v>
      </c>
      <c r="L3181">
        <v>4.4420000000000002</v>
      </c>
      <c r="M3181">
        <v>4.3730000000000002</v>
      </c>
      <c r="N3181">
        <v>4.3730000000000002</v>
      </c>
      <c r="O3181" t="s">
        <v>101</v>
      </c>
      <c r="P3181" t="s">
        <v>1391</v>
      </c>
      <c r="Q3181" t="s">
        <v>2581</v>
      </c>
      <c r="R3181" t="s">
        <v>2436</v>
      </c>
    </row>
    <row r="3182" spans="1:18" x14ac:dyDescent="0.5">
      <c r="A3182" t="str">
        <f>"637432NQ4"</f>
        <v>637432NQ4</v>
      </c>
      <c r="B3182" t="s">
        <v>101</v>
      </c>
      <c r="C3182" t="s">
        <v>3997</v>
      </c>
      <c r="D3182" t="s">
        <v>2433</v>
      </c>
      <c r="E3182">
        <v>3.9</v>
      </c>
      <c r="F3182" s="2">
        <v>47058</v>
      </c>
      <c r="G3182" s="2">
        <v>46966</v>
      </c>
      <c r="H3182" t="s">
        <v>641</v>
      </c>
      <c r="I3182" t="s">
        <v>713</v>
      </c>
      <c r="J3182">
        <v>97.241</v>
      </c>
      <c r="K3182">
        <v>97.927000000000007</v>
      </c>
      <c r="L3182">
        <v>4.734</v>
      </c>
      <c r="M3182">
        <v>4.5229999999999997</v>
      </c>
      <c r="N3182">
        <v>4.5229999999999997</v>
      </c>
      <c r="O3182" t="s">
        <v>101</v>
      </c>
      <c r="P3182" t="s">
        <v>3998</v>
      </c>
      <c r="Q3182" t="s">
        <v>2454</v>
      </c>
      <c r="R3182" t="s">
        <v>2436</v>
      </c>
    </row>
    <row r="3183" spans="1:18" x14ac:dyDescent="0.5">
      <c r="A3183" t="str">
        <f>"06745NUM6"</f>
        <v>06745NUM6</v>
      </c>
      <c r="B3183" t="s">
        <v>101</v>
      </c>
      <c r="C3183" t="s">
        <v>3999</v>
      </c>
      <c r="D3183" t="s">
        <v>2433</v>
      </c>
      <c r="E3183">
        <v>6.25</v>
      </c>
      <c r="F3183" s="2">
        <v>47060</v>
      </c>
      <c r="G3183" s="2">
        <v>45964</v>
      </c>
      <c r="H3183" t="s">
        <v>641</v>
      </c>
      <c r="I3183" t="s">
        <v>658</v>
      </c>
      <c r="J3183">
        <v>100.36</v>
      </c>
      <c r="K3183">
        <v>100.88800000000001</v>
      </c>
      <c r="L3183">
        <v>5.657</v>
      </c>
      <c r="M3183">
        <v>4.8159999999999998</v>
      </c>
      <c r="N3183">
        <v>5.9720000000000004</v>
      </c>
      <c r="O3183" t="s">
        <v>101</v>
      </c>
      <c r="P3183" t="s">
        <v>2527</v>
      </c>
      <c r="Q3183" t="s">
        <v>2549</v>
      </c>
      <c r="R3183" t="s">
        <v>2436</v>
      </c>
    </row>
    <row r="3184" spans="1:18" x14ac:dyDescent="0.5">
      <c r="A3184" t="str">
        <f>"10373QAE0"</f>
        <v>10373QAE0</v>
      </c>
      <c r="B3184" t="s">
        <v>101</v>
      </c>
      <c r="C3184" t="s">
        <v>4000</v>
      </c>
      <c r="D3184" t="s">
        <v>2433</v>
      </c>
      <c r="E3184">
        <v>4.234</v>
      </c>
      <c r="F3184" s="2">
        <v>47063</v>
      </c>
      <c r="G3184" s="2">
        <v>46971</v>
      </c>
      <c r="H3184" t="s">
        <v>641</v>
      </c>
      <c r="I3184" t="s">
        <v>713</v>
      </c>
      <c r="J3184">
        <v>98.632999999999996</v>
      </c>
      <c r="K3184">
        <v>98.823999999999998</v>
      </c>
      <c r="L3184">
        <v>4.6440000000000001</v>
      </c>
      <c r="M3184">
        <v>4.5860000000000003</v>
      </c>
      <c r="N3184">
        <v>4.5860000000000003</v>
      </c>
      <c r="O3184" t="s">
        <v>101</v>
      </c>
      <c r="P3184" t="s">
        <v>2460</v>
      </c>
      <c r="Q3184" t="s">
        <v>2507</v>
      </c>
      <c r="R3184" t="s">
        <v>2436</v>
      </c>
    </row>
    <row r="3185" spans="1:18" x14ac:dyDescent="0.5">
      <c r="A3185" t="str">
        <f>"05964HAY1"</f>
        <v>05964HAY1</v>
      </c>
      <c r="B3185" t="s">
        <v>101</v>
      </c>
      <c r="C3185" t="s">
        <v>4001</v>
      </c>
      <c r="D3185" t="s">
        <v>2433</v>
      </c>
      <c r="E3185">
        <v>6.6070000000000002</v>
      </c>
      <c r="F3185" s="2">
        <v>47064</v>
      </c>
      <c r="G3185" s="2" t="s">
        <v>101</v>
      </c>
      <c r="H3185" t="s">
        <v>610</v>
      </c>
      <c r="I3185" t="s">
        <v>658</v>
      </c>
      <c r="J3185">
        <v>105.991</v>
      </c>
      <c r="K3185">
        <v>106.21899999999999</v>
      </c>
      <c r="L3185">
        <v>4.7969999999999997</v>
      </c>
      <c r="M3185">
        <v>4.7309999999999999</v>
      </c>
      <c r="N3185">
        <v>4.7309999999999999</v>
      </c>
      <c r="O3185" t="s">
        <v>101</v>
      </c>
      <c r="P3185" t="s">
        <v>3945</v>
      </c>
      <c r="Q3185" t="s">
        <v>542</v>
      </c>
      <c r="R3185" t="s">
        <v>2436</v>
      </c>
    </row>
    <row r="3186" spans="1:18" x14ac:dyDescent="0.5">
      <c r="A3186" t="str">
        <f>"74460DAH2"</f>
        <v>74460DAH2</v>
      </c>
      <c r="B3186" t="s">
        <v>101</v>
      </c>
      <c r="C3186" t="s">
        <v>4002</v>
      </c>
      <c r="D3186" t="s">
        <v>2433</v>
      </c>
      <c r="E3186">
        <v>1.95</v>
      </c>
      <c r="F3186" s="2">
        <v>47066</v>
      </c>
      <c r="G3186" s="2">
        <v>47005</v>
      </c>
      <c r="H3186" t="s">
        <v>610</v>
      </c>
      <c r="I3186" t="s">
        <v>611</v>
      </c>
      <c r="J3186">
        <v>91.378</v>
      </c>
      <c r="K3186">
        <v>91.534000000000006</v>
      </c>
      <c r="L3186">
        <v>4.5330000000000004</v>
      </c>
      <c r="M3186">
        <v>4.484</v>
      </c>
      <c r="N3186">
        <v>4.484</v>
      </c>
      <c r="O3186" t="s">
        <v>101</v>
      </c>
      <c r="P3186" t="s">
        <v>2776</v>
      </c>
      <c r="Q3186" t="s">
        <v>2774</v>
      </c>
      <c r="R3186" t="s">
        <v>2436</v>
      </c>
    </row>
    <row r="3187" spans="1:18" x14ac:dyDescent="0.5">
      <c r="A3187" t="str">
        <f>"00828EEX3"</f>
        <v>00828EEX3</v>
      </c>
      <c r="B3187" t="s">
        <v>101</v>
      </c>
      <c r="C3187" t="s">
        <v>4003</v>
      </c>
      <c r="D3187" t="s">
        <v>2433</v>
      </c>
      <c r="E3187">
        <v>5.5</v>
      </c>
      <c r="F3187" s="2">
        <v>47067</v>
      </c>
      <c r="G3187" s="2">
        <v>45971</v>
      </c>
      <c r="H3187" t="s">
        <v>104</v>
      </c>
      <c r="I3187" t="s">
        <v>104</v>
      </c>
      <c r="J3187">
        <v>99</v>
      </c>
      <c r="K3187">
        <v>100.91800000000001</v>
      </c>
      <c r="L3187">
        <v>5.8</v>
      </c>
      <c r="M3187">
        <v>4</v>
      </c>
      <c r="N3187">
        <v>5.2089999999999996</v>
      </c>
      <c r="O3187" t="s">
        <v>101</v>
      </c>
      <c r="P3187" t="s">
        <v>2635</v>
      </c>
      <c r="Q3187" t="s">
        <v>4004</v>
      </c>
      <c r="R3187" t="s">
        <v>3443</v>
      </c>
    </row>
    <row r="3188" spans="1:18" x14ac:dyDescent="0.5">
      <c r="A3188" t="str">
        <f>"822582CB6"</f>
        <v>822582CB6</v>
      </c>
      <c r="B3188" t="s">
        <v>101</v>
      </c>
      <c r="C3188" t="s">
        <v>4005</v>
      </c>
      <c r="D3188" t="s">
        <v>2433</v>
      </c>
      <c r="E3188">
        <v>3.875</v>
      </c>
      <c r="F3188" s="2">
        <v>47070</v>
      </c>
      <c r="G3188" s="2">
        <v>46978</v>
      </c>
      <c r="H3188" t="s">
        <v>613</v>
      </c>
      <c r="I3188" t="s">
        <v>658</v>
      </c>
      <c r="J3188">
        <v>98.075999999999993</v>
      </c>
      <c r="K3188">
        <v>98.146000000000001</v>
      </c>
      <c r="L3188">
        <v>4.4480000000000004</v>
      </c>
      <c r="M3188">
        <v>4.4269999999999996</v>
      </c>
      <c r="N3188">
        <v>4.4269999999999996</v>
      </c>
      <c r="O3188" t="s">
        <v>101</v>
      </c>
      <c r="P3188" t="s">
        <v>4006</v>
      </c>
      <c r="Q3188" t="s">
        <v>2507</v>
      </c>
      <c r="R3188" t="s">
        <v>2436</v>
      </c>
    </row>
    <row r="3189" spans="1:18" x14ac:dyDescent="0.5">
      <c r="A3189" t="str">
        <f>"00287YBF5"</f>
        <v>00287YBF5</v>
      </c>
      <c r="B3189" t="s">
        <v>101</v>
      </c>
      <c r="C3189" t="s">
        <v>4007</v>
      </c>
      <c r="D3189" t="s">
        <v>2433</v>
      </c>
      <c r="E3189">
        <v>4.25</v>
      </c>
      <c r="F3189" s="2">
        <v>47071</v>
      </c>
      <c r="G3189" s="2">
        <v>46979</v>
      </c>
      <c r="H3189" t="s">
        <v>627</v>
      </c>
      <c r="I3189" t="s">
        <v>713</v>
      </c>
      <c r="J3189">
        <v>99.308000000000007</v>
      </c>
      <c r="K3189">
        <v>99.417000000000002</v>
      </c>
      <c r="L3189">
        <v>4.4550000000000001</v>
      </c>
      <c r="M3189">
        <v>4.4219999999999997</v>
      </c>
      <c r="N3189">
        <v>4.4219999999999997</v>
      </c>
      <c r="O3189" t="s">
        <v>101</v>
      </c>
      <c r="P3189" t="s">
        <v>485</v>
      </c>
      <c r="Q3189" t="s">
        <v>2454</v>
      </c>
      <c r="R3189" t="s">
        <v>2436</v>
      </c>
    </row>
    <row r="3190" spans="1:18" x14ac:dyDescent="0.5">
      <c r="A3190" t="str">
        <f>"02665WEV9"</f>
        <v>02665WEV9</v>
      </c>
      <c r="B3190" t="s">
        <v>101</v>
      </c>
      <c r="C3190" t="s">
        <v>4008</v>
      </c>
      <c r="D3190" t="s">
        <v>2433</v>
      </c>
      <c r="E3190">
        <v>5.65</v>
      </c>
      <c r="F3190" s="2">
        <v>47072</v>
      </c>
      <c r="G3190" s="2" t="s">
        <v>101</v>
      </c>
      <c r="H3190" t="s">
        <v>627</v>
      </c>
      <c r="I3190" t="s">
        <v>713</v>
      </c>
      <c r="J3190">
        <v>102.86799999999999</v>
      </c>
      <c r="K3190">
        <v>103.28700000000001</v>
      </c>
      <c r="L3190">
        <v>4.7869999999999999</v>
      </c>
      <c r="M3190">
        <v>4.6639999999999997</v>
      </c>
      <c r="N3190">
        <v>4.6639999999999997</v>
      </c>
      <c r="O3190" t="s">
        <v>101</v>
      </c>
      <c r="P3190" t="s">
        <v>4009</v>
      </c>
      <c r="Q3190" t="s">
        <v>2454</v>
      </c>
      <c r="R3190" t="s">
        <v>2436</v>
      </c>
    </row>
    <row r="3191" spans="1:18" x14ac:dyDescent="0.5">
      <c r="A3191" t="str">
        <f>"210518DC7"</f>
        <v>210518DC7</v>
      </c>
      <c r="B3191" t="s">
        <v>101</v>
      </c>
      <c r="C3191" t="s">
        <v>4010</v>
      </c>
      <c r="D3191" t="s">
        <v>2433</v>
      </c>
      <c r="E3191">
        <v>3.8</v>
      </c>
      <c r="F3191" s="2">
        <v>47072</v>
      </c>
      <c r="G3191" s="2">
        <v>46980</v>
      </c>
      <c r="H3191" t="s">
        <v>641</v>
      </c>
      <c r="I3191" t="s">
        <v>611</v>
      </c>
      <c r="J3191">
        <v>97.484999999999999</v>
      </c>
      <c r="K3191">
        <v>97.876999999999995</v>
      </c>
      <c r="L3191">
        <v>4.5490000000000004</v>
      </c>
      <c r="M3191">
        <v>4.431</v>
      </c>
      <c r="N3191">
        <v>4.431</v>
      </c>
      <c r="O3191" t="s">
        <v>101</v>
      </c>
      <c r="P3191" t="s">
        <v>3920</v>
      </c>
      <c r="Q3191" t="s">
        <v>2454</v>
      </c>
      <c r="R3191" t="s">
        <v>2436</v>
      </c>
    </row>
    <row r="3192" spans="1:18" x14ac:dyDescent="0.5">
      <c r="A3192" t="str">
        <f>"26442CAX2"</f>
        <v>26442CAX2</v>
      </c>
      <c r="B3192" t="s">
        <v>101</v>
      </c>
      <c r="C3192" t="s">
        <v>4011</v>
      </c>
      <c r="D3192" t="s">
        <v>2433</v>
      </c>
      <c r="E3192">
        <v>3.95</v>
      </c>
      <c r="F3192" s="2">
        <v>47072</v>
      </c>
      <c r="G3192" s="2">
        <v>46980</v>
      </c>
      <c r="H3192" t="s">
        <v>624</v>
      </c>
      <c r="I3192" t="s">
        <v>611</v>
      </c>
      <c r="J3192">
        <v>98.146000000000001</v>
      </c>
      <c r="K3192">
        <v>98.468000000000004</v>
      </c>
      <c r="L3192">
        <v>4.5019999999999998</v>
      </c>
      <c r="M3192">
        <v>4.4050000000000002</v>
      </c>
      <c r="N3192">
        <v>4.4050000000000002</v>
      </c>
      <c r="O3192" t="s">
        <v>101</v>
      </c>
      <c r="P3192" t="s">
        <v>2747</v>
      </c>
      <c r="Q3192" t="s">
        <v>2454</v>
      </c>
      <c r="R3192" t="s">
        <v>2436</v>
      </c>
    </row>
    <row r="3193" spans="1:18" x14ac:dyDescent="0.5">
      <c r="A3193" t="str">
        <f>"61760LEZ4"</f>
        <v>61760LEZ4</v>
      </c>
      <c r="B3193" t="s">
        <v>101</v>
      </c>
      <c r="C3193" t="s">
        <v>4012</v>
      </c>
      <c r="D3193" t="s">
        <v>2433</v>
      </c>
      <c r="E3193">
        <v>4.375</v>
      </c>
      <c r="F3193" s="2">
        <v>47072</v>
      </c>
      <c r="G3193" s="2" t="s">
        <v>105</v>
      </c>
      <c r="H3193" t="s">
        <v>641</v>
      </c>
      <c r="I3193" t="s">
        <v>713</v>
      </c>
      <c r="J3193">
        <v>97.659000000000006</v>
      </c>
      <c r="K3193">
        <v>99.367000000000004</v>
      </c>
      <c r="L3193">
        <v>5.0789999999999997</v>
      </c>
      <c r="M3193">
        <v>4.5620000000000003</v>
      </c>
      <c r="N3193">
        <v>4.5620000000000003</v>
      </c>
      <c r="O3193" t="s">
        <v>101</v>
      </c>
      <c r="P3193" t="s">
        <v>2595</v>
      </c>
      <c r="Q3193" t="s">
        <v>488</v>
      </c>
      <c r="R3193" t="s">
        <v>2465</v>
      </c>
    </row>
    <row r="3194" spans="1:18" x14ac:dyDescent="0.5">
      <c r="A3194" t="str">
        <f>"64110LAT3"</f>
        <v>64110LAT3</v>
      </c>
      <c r="B3194" t="s">
        <v>101</v>
      </c>
      <c r="C3194" t="s">
        <v>4013</v>
      </c>
      <c r="D3194" t="s">
        <v>2433</v>
      </c>
      <c r="E3194">
        <v>5.875</v>
      </c>
      <c r="F3194" s="2">
        <v>47072</v>
      </c>
      <c r="G3194" s="2" t="s">
        <v>101</v>
      </c>
      <c r="H3194" t="s">
        <v>670</v>
      </c>
      <c r="I3194" t="s">
        <v>611</v>
      </c>
      <c r="J3194">
        <v>104.235</v>
      </c>
      <c r="K3194">
        <v>104.437</v>
      </c>
      <c r="L3194">
        <v>4.6070000000000002</v>
      </c>
      <c r="M3194">
        <v>4.548</v>
      </c>
      <c r="N3194">
        <v>4.548</v>
      </c>
      <c r="O3194" t="s">
        <v>101</v>
      </c>
      <c r="P3194" t="s">
        <v>1702</v>
      </c>
      <c r="Q3194" t="s">
        <v>2454</v>
      </c>
      <c r="R3194" t="s">
        <v>2436</v>
      </c>
    </row>
    <row r="3195" spans="1:18" x14ac:dyDescent="0.5">
      <c r="A3195" t="str">
        <f>"68233JBH6"</f>
        <v>68233JBH6</v>
      </c>
      <c r="B3195" t="s">
        <v>101</v>
      </c>
      <c r="C3195" t="s">
        <v>4014</v>
      </c>
      <c r="D3195" t="s">
        <v>2433</v>
      </c>
      <c r="E3195">
        <v>3.7</v>
      </c>
      <c r="F3195" s="2">
        <v>47072</v>
      </c>
      <c r="G3195" s="2">
        <v>46980</v>
      </c>
      <c r="H3195" t="s">
        <v>610</v>
      </c>
      <c r="I3195" t="s">
        <v>658</v>
      </c>
      <c r="J3195">
        <v>96.855000000000004</v>
      </c>
      <c r="K3195">
        <v>97.153000000000006</v>
      </c>
      <c r="L3195">
        <v>4.6390000000000002</v>
      </c>
      <c r="M3195">
        <v>4.5490000000000004</v>
      </c>
      <c r="N3195">
        <v>4.5490000000000004</v>
      </c>
      <c r="O3195" t="s">
        <v>101</v>
      </c>
      <c r="P3195" t="s">
        <v>3884</v>
      </c>
      <c r="Q3195" t="s">
        <v>2454</v>
      </c>
      <c r="R3195" t="s">
        <v>2436</v>
      </c>
    </row>
    <row r="3196" spans="1:18" x14ac:dyDescent="0.5">
      <c r="A3196" t="str">
        <f>"854502AH4"</f>
        <v>854502AH4</v>
      </c>
      <c r="B3196" t="s">
        <v>101</v>
      </c>
      <c r="C3196" t="s">
        <v>4015</v>
      </c>
      <c r="D3196" t="s">
        <v>2433</v>
      </c>
      <c r="E3196">
        <v>4.25</v>
      </c>
      <c r="F3196" s="2">
        <v>47072</v>
      </c>
      <c r="G3196" s="2">
        <v>46980</v>
      </c>
      <c r="H3196" t="s">
        <v>685</v>
      </c>
      <c r="I3196" t="s">
        <v>713</v>
      </c>
      <c r="J3196">
        <v>98.625</v>
      </c>
      <c r="K3196">
        <v>98.936999999999998</v>
      </c>
      <c r="L3196">
        <v>4.66</v>
      </c>
      <c r="M3196">
        <v>4.5659999999999998</v>
      </c>
      <c r="N3196">
        <v>4.5659999999999998</v>
      </c>
      <c r="O3196" t="s">
        <v>101</v>
      </c>
      <c r="P3196" t="s">
        <v>3920</v>
      </c>
      <c r="Q3196" t="s">
        <v>2454</v>
      </c>
      <c r="R3196" t="s">
        <v>2436</v>
      </c>
    </row>
    <row r="3197" spans="1:18" x14ac:dyDescent="0.5">
      <c r="A3197" t="str">
        <f>"961214FN8"</f>
        <v>961214FN8</v>
      </c>
      <c r="B3197" t="s">
        <v>101</v>
      </c>
      <c r="C3197" t="s">
        <v>4016</v>
      </c>
      <c r="D3197" t="s">
        <v>2433</v>
      </c>
      <c r="E3197">
        <v>5.5350000000000001</v>
      </c>
      <c r="F3197" s="2">
        <v>47074</v>
      </c>
      <c r="G3197" s="2" t="s">
        <v>101</v>
      </c>
      <c r="H3197" t="s">
        <v>613</v>
      </c>
      <c r="I3197" t="s">
        <v>616</v>
      </c>
      <c r="J3197">
        <v>103.545</v>
      </c>
      <c r="K3197">
        <v>103.858</v>
      </c>
      <c r="L3197">
        <v>4.4770000000000003</v>
      </c>
      <c r="M3197">
        <v>4.3860000000000001</v>
      </c>
      <c r="N3197">
        <v>4.3860000000000001</v>
      </c>
      <c r="O3197" t="s">
        <v>101</v>
      </c>
      <c r="P3197" t="s">
        <v>2747</v>
      </c>
      <c r="Q3197" t="s">
        <v>2544</v>
      </c>
      <c r="R3197" t="s">
        <v>2436</v>
      </c>
    </row>
    <row r="3198" spans="1:18" x14ac:dyDescent="0.5">
      <c r="A3198" t="str">
        <f>"961214EW9"</f>
        <v>961214EW9</v>
      </c>
      <c r="B3198" t="s">
        <v>101</v>
      </c>
      <c r="C3198" t="s">
        <v>4017</v>
      </c>
      <c r="D3198" t="s">
        <v>2433</v>
      </c>
      <c r="E3198">
        <v>1.9530000000000001</v>
      </c>
      <c r="F3198" s="2">
        <v>47077</v>
      </c>
      <c r="G3198" s="2" t="s">
        <v>105</v>
      </c>
      <c r="H3198" t="s">
        <v>613</v>
      </c>
      <c r="I3198" t="s">
        <v>616</v>
      </c>
      <c r="J3198">
        <v>91.552000000000007</v>
      </c>
      <c r="K3198">
        <v>91.781000000000006</v>
      </c>
      <c r="L3198">
        <v>4.4610000000000003</v>
      </c>
      <c r="M3198">
        <v>4.3899999999999997</v>
      </c>
      <c r="N3198">
        <v>4.3899999999999997</v>
      </c>
      <c r="O3198" t="s">
        <v>101</v>
      </c>
      <c r="P3198" t="s">
        <v>2454</v>
      </c>
      <c r="Q3198" t="s">
        <v>2746</v>
      </c>
      <c r="R3198" t="s">
        <v>2465</v>
      </c>
    </row>
    <row r="3199" spans="1:18" x14ac:dyDescent="0.5">
      <c r="A3199" t="str">
        <f>"05565QDH8"</f>
        <v>05565QDH8</v>
      </c>
      <c r="B3199" t="s">
        <v>101</v>
      </c>
      <c r="C3199" t="s">
        <v>4018</v>
      </c>
      <c r="D3199" t="s">
        <v>2433</v>
      </c>
      <c r="E3199">
        <v>3.7229999999999999</v>
      </c>
      <c r="F3199" s="2">
        <v>47085</v>
      </c>
      <c r="G3199" s="2">
        <v>46993</v>
      </c>
      <c r="H3199" t="s">
        <v>641</v>
      </c>
      <c r="I3199" t="s">
        <v>713</v>
      </c>
      <c r="J3199">
        <v>97.03</v>
      </c>
      <c r="K3199">
        <v>97.13</v>
      </c>
      <c r="L3199">
        <v>4.601</v>
      </c>
      <c r="M3199">
        <v>4.5709999999999997</v>
      </c>
      <c r="N3199">
        <v>4.5709999999999997</v>
      </c>
      <c r="O3199" t="s">
        <v>101</v>
      </c>
      <c r="P3199" t="s">
        <v>635</v>
      </c>
      <c r="Q3199" t="s">
        <v>2527</v>
      </c>
      <c r="R3199" t="s">
        <v>2436</v>
      </c>
    </row>
    <row r="3200" spans="1:18" x14ac:dyDescent="0.5">
      <c r="A3200" t="str">
        <f>"254687DT0"</f>
        <v>254687DT0</v>
      </c>
      <c r="B3200" t="s">
        <v>101</v>
      </c>
      <c r="C3200" t="s">
        <v>4019</v>
      </c>
      <c r="D3200" t="s">
        <v>2433</v>
      </c>
      <c r="E3200">
        <v>7.625</v>
      </c>
      <c r="F3200" s="2">
        <v>47087</v>
      </c>
      <c r="G3200" s="2" t="s">
        <v>105</v>
      </c>
      <c r="H3200" t="s">
        <v>610</v>
      </c>
      <c r="I3200" t="s">
        <v>611</v>
      </c>
      <c r="J3200">
        <v>110.184</v>
      </c>
      <c r="K3200">
        <v>111.499</v>
      </c>
      <c r="L3200">
        <v>4.609</v>
      </c>
      <c r="M3200">
        <v>4.2450000000000001</v>
      </c>
      <c r="N3200">
        <v>4.2450000000000001</v>
      </c>
      <c r="O3200" t="s">
        <v>101</v>
      </c>
      <c r="P3200" t="s">
        <v>2454</v>
      </c>
      <c r="Q3200" t="s">
        <v>3947</v>
      </c>
      <c r="R3200" t="s">
        <v>2465</v>
      </c>
    </row>
    <row r="3201" spans="1:18" x14ac:dyDescent="0.5">
      <c r="A3201" t="str">
        <f>"053484AC5"</f>
        <v>053484AC5</v>
      </c>
      <c r="B3201" t="s">
        <v>101</v>
      </c>
      <c r="C3201" t="s">
        <v>4020</v>
      </c>
      <c r="D3201" t="s">
        <v>2433</v>
      </c>
      <c r="E3201">
        <v>1.9</v>
      </c>
      <c r="F3201" s="2">
        <v>47088</v>
      </c>
      <c r="G3201" s="2">
        <v>47027</v>
      </c>
      <c r="H3201" t="s">
        <v>627</v>
      </c>
      <c r="I3201" t="s">
        <v>713</v>
      </c>
      <c r="J3201">
        <v>90.710999999999999</v>
      </c>
      <c r="K3201">
        <v>90.929000000000002</v>
      </c>
      <c r="L3201">
        <v>4.6479999999999997</v>
      </c>
      <c r="M3201">
        <v>4.5789999999999997</v>
      </c>
      <c r="N3201">
        <v>4.5789999999999997</v>
      </c>
      <c r="O3201" t="s">
        <v>101</v>
      </c>
      <c r="P3201" t="s">
        <v>1702</v>
      </c>
      <c r="Q3201" t="s">
        <v>2746</v>
      </c>
      <c r="R3201" t="s">
        <v>2436</v>
      </c>
    </row>
    <row r="3202" spans="1:18" x14ac:dyDescent="0.5">
      <c r="A3202" t="str">
        <f>"209111FS7"</f>
        <v>209111FS7</v>
      </c>
      <c r="B3202" t="s">
        <v>101</v>
      </c>
      <c r="C3202" t="s">
        <v>4021</v>
      </c>
      <c r="D3202" t="s">
        <v>2433</v>
      </c>
      <c r="E3202">
        <v>4</v>
      </c>
      <c r="F3202" s="2">
        <v>47088</v>
      </c>
      <c r="G3202" s="2">
        <v>46997</v>
      </c>
      <c r="H3202" t="s">
        <v>627</v>
      </c>
      <c r="I3202" t="s">
        <v>713</v>
      </c>
      <c r="J3202">
        <v>98.361000000000004</v>
      </c>
      <c r="K3202">
        <v>98.599000000000004</v>
      </c>
      <c r="L3202">
        <v>4.4820000000000002</v>
      </c>
      <c r="M3202">
        <v>4.4109999999999996</v>
      </c>
      <c r="N3202">
        <v>4.4109999999999996</v>
      </c>
      <c r="O3202" t="s">
        <v>101</v>
      </c>
      <c r="P3202" t="s">
        <v>2581</v>
      </c>
      <c r="Q3202" t="s">
        <v>2786</v>
      </c>
      <c r="R3202" t="s">
        <v>2436</v>
      </c>
    </row>
    <row r="3203" spans="1:18" x14ac:dyDescent="0.5">
      <c r="A3203" t="str">
        <f>"26884ABK8"</f>
        <v>26884ABK8</v>
      </c>
      <c r="B3203" t="s">
        <v>101</v>
      </c>
      <c r="C3203" t="s">
        <v>4022</v>
      </c>
      <c r="D3203" t="s">
        <v>2433</v>
      </c>
      <c r="E3203">
        <v>4.1500000000000004</v>
      </c>
      <c r="F3203" s="2">
        <v>47088</v>
      </c>
      <c r="G3203" s="2">
        <v>46997</v>
      </c>
      <c r="H3203" t="s">
        <v>627</v>
      </c>
      <c r="I3203" t="s">
        <v>713</v>
      </c>
      <c r="J3203">
        <v>98.575999999999993</v>
      </c>
      <c r="K3203">
        <v>98.694999999999993</v>
      </c>
      <c r="L3203">
        <v>4.569</v>
      </c>
      <c r="M3203">
        <v>4.5339999999999998</v>
      </c>
      <c r="N3203">
        <v>4.5339999999999998</v>
      </c>
      <c r="O3203" t="s">
        <v>101</v>
      </c>
      <c r="P3203" t="s">
        <v>1702</v>
      </c>
      <c r="Q3203" t="s">
        <v>2952</v>
      </c>
      <c r="R3203" t="s">
        <v>2436</v>
      </c>
    </row>
    <row r="3204" spans="1:18" x14ac:dyDescent="0.5">
      <c r="A3204" t="str">
        <f>"589331AE7"</f>
        <v>589331AE7</v>
      </c>
      <c r="B3204" t="s">
        <v>101</v>
      </c>
      <c r="C3204" t="s">
        <v>4023</v>
      </c>
      <c r="D3204" t="s">
        <v>2433</v>
      </c>
      <c r="E3204">
        <v>5.95</v>
      </c>
      <c r="F3204" s="2">
        <v>47088</v>
      </c>
      <c r="G3204" s="2" t="s">
        <v>101</v>
      </c>
      <c r="H3204" t="s">
        <v>641</v>
      </c>
      <c r="I3204" t="s">
        <v>658</v>
      </c>
      <c r="J3204">
        <v>105.114</v>
      </c>
      <c r="K3204">
        <v>105.44199999999999</v>
      </c>
      <c r="L3204">
        <v>4.4409999999999998</v>
      </c>
      <c r="M3204">
        <v>4.3470000000000004</v>
      </c>
      <c r="N3204">
        <v>4.3470000000000004</v>
      </c>
      <c r="O3204" t="s">
        <v>101</v>
      </c>
      <c r="P3204" t="s">
        <v>1064</v>
      </c>
      <c r="Q3204" t="s">
        <v>4024</v>
      </c>
      <c r="R3204" t="s">
        <v>2436</v>
      </c>
    </row>
    <row r="3205" spans="1:18" x14ac:dyDescent="0.5">
      <c r="A3205" t="str">
        <f>"71713UAW2"</f>
        <v>71713UAW2</v>
      </c>
      <c r="B3205" t="s">
        <v>101</v>
      </c>
      <c r="C3205" t="s">
        <v>4025</v>
      </c>
      <c r="D3205" t="s">
        <v>2433</v>
      </c>
      <c r="E3205">
        <v>6.6</v>
      </c>
      <c r="F3205" s="2">
        <v>47088</v>
      </c>
      <c r="G3205" s="2" t="s">
        <v>101</v>
      </c>
      <c r="H3205" t="s">
        <v>610</v>
      </c>
      <c r="I3205" t="s">
        <v>611</v>
      </c>
      <c r="J3205">
        <v>106.953</v>
      </c>
      <c r="K3205">
        <v>107.099</v>
      </c>
      <c r="L3205">
        <v>4.5439999999999996</v>
      </c>
      <c r="M3205">
        <v>4.5030000000000001</v>
      </c>
      <c r="N3205">
        <v>4.5030000000000001</v>
      </c>
      <c r="O3205" t="s">
        <v>101</v>
      </c>
      <c r="P3205" t="s">
        <v>3040</v>
      </c>
      <c r="Q3205" t="s">
        <v>4026</v>
      </c>
      <c r="R3205" t="s">
        <v>2436</v>
      </c>
    </row>
    <row r="3206" spans="1:18" x14ac:dyDescent="0.5">
      <c r="A3206" t="str">
        <f>"437076BW1"</f>
        <v>437076BW1</v>
      </c>
      <c r="B3206" t="s">
        <v>101</v>
      </c>
      <c r="C3206" t="s">
        <v>4027</v>
      </c>
      <c r="D3206" t="s">
        <v>2433</v>
      </c>
      <c r="E3206">
        <v>3.9</v>
      </c>
      <c r="F3206" s="2">
        <v>47093</v>
      </c>
      <c r="G3206" s="2">
        <v>47002</v>
      </c>
      <c r="H3206" t="s">
        <v>610</v>
      </c>
      <c r="I3206" t="s">
        <v>611</v>
      </c>
      <c r="J3206">
        <v>98.141999999999996</v>
      </c>
      <c r="K3206">
        <v>98.23</v>
      </c>
      <c r="L3206">
        <v>4.444</v>
      </c>
      <c r="M3206">
        <v>4.4180000000000001</v>
      </c>
      <c r="N3206">
        <v>4.4180000000000001</v>
      </c>
      <c r="O3206" t="s">
        <v>101</v>
      </c>
      <c r="P3206" t="s">
        <v>2472</v>
      </c>
      <c r="Q3206" t="s">
        <v>2581</v>
      </c>
      <c r="R3206" t="s">
        <v>2436</v>
      </c>
    </row>
    <row r="3207" spans="1:18" x14ac:dyDescent="0.5">
      <c r="A3207" t="str">
        <f>"58933YBD6"</f>
        <v>58933YBD6</v>
      </c>
      <c r="B3207" t="s">
        <v>101</v>
      </c>
      <c r="C3207" t="s">
        <v>4028</v>
      </c>
      <c r="D3207" t="s">
        <v>2433</v>
      </c>
      <c r="E3207">
        <v>1.9</v>
      </c>
      <c r="F3207" s="2">
        <v>47097</v>
      </c>
      <c r="G3207" s="2">
        <v>47036</v>
      </c>
      <c r="H3207" t="s">
        <v>641</v>
      </c>
      <c r="I3207" t="s">
        <v>658</v>
      </c>
      <c r="J3207">
        <v>91.352000000000004</v>
      </c>
      <c r="K3207">
        <v>91.552999999999997</v>
      </c>
      <c r="L3207">
        <v>4.43</v>
      </c>
      <c r="M3207">
        <v>4.3689999999999998</v>
      </c>
      <c r="N3207">
        <v>4.3689999999999998</v>
      </c>
      <c r="O3207" t="s">
        <v>101</v>
      </c>
      <c r="P3207" t="s">
        <v>2786</v>
      </c>
      <c r="Q3207" t="s">
        <v>1702</v>
      </c>
      <c r="R3207" t="s">
        <v>2436</v>
      </c>
    </row>
    <row r="3208" spans="1:18" x14ac:dyDescent="0.5">
      <c r="A3208" t="str">
        <f>"03076CAN6"</f>
        <v>03076CAN6</v>
      </c>
      <c r="B3208" t="s">
        <v>101</v>
      </c>
      <c r="C3208" t="s">
        <v>4029</v>
      </c>
      <c r="D3208" t="s">
        <v>2433</v>
      </c>
      <c r="E3208">
        <v>5.7</v>
      </c>
      <c r="F3208" s="2">
        <v>47102</v>
      </c>
      <c r="G3208" s="2">
        <v>47072</v>
      </c>
      <c r="H3208" t="s">
        <v>627</v>
      </c>
      <c r="I3208" t="s">
        <v>713</v>
      </c>
      <c r="J3208">
        <v>103.542</v>
      </c>
      <c r="K3208">
        <v>103.785</v>
      </c>
      <c r="L3208">
        <v>4.6379999999999999</v>
      </c>
      <c r="M3208">
        <v>4.5679999999999996</v>
      </c>
      <c r="N3208">
        <v>4.59</v>
      </c>
      <c r="O3208" t="s">
        <v>101</v>
      </c>
      <c r="P3208" t="s">
        <v>2454</v>
      </c>
      <c r="Q3208" t="s">
        <v>2454</v>
      </c>
      <c r="R3208" t="s">
        <v>2436</v>
      </c>
    </row>
    <row r="3209" spans="1:18" x14ac:dyDescent="0.5">
      <c r="A3209" t="str">
        <f>"037389BB8"</f>
        <v>037389BB8</v>
      </c>
      <c r="B3209" t="s">
        <v>101</v>
      </c>
      <c r="C3209" t="s">
        <v>4030</v>
      </c>
      <c r="D3209" t="s">
        <v>2433</v>
      </c>
      <c r="E3209">
        <v>4.5</v>
      </c>
      <c r="F3209" s="2">
        <v>47102</v>
      </c>
      <c r="G3209" s="2">
        <v>47011</v>
      </c>
      <c r="H3209" t="s">
        <v>677</v>
      </c>
      <c r="I3209" t="s">
        <v>713</v>
      </c>
      <c r="J3209">
        <v>99.453000000000003</v>
      </c>
      <c r="K3209">
        <v>99.759</v>
      </c>
      <c r="L3209">
        <v>4.6580000000000004</v>
      </c>
      <c r="M3209">
        <v>4.569</v>
      </c>
      <c r="N3209">
        <v>4.569</v>
      </c>
      <c r="O3209" t="s">
        <v>101</v>
      </c>
      <c r="P3209" t="s">
        <v>1702</v>
      </c>
      <c r="Q3209" t="s">
        <v>2747</v>
      </c>
      <c r="R3209" t="s">
        <v>2436</v>
      </c>
    </row>
    <row r="3210" spans="1:18" x14ac:dyDescent="0.5">
      <c r="A3210" t="str">
        <f>"63743FZW9"</f>
        <v>63743FZW9</v>
      </c>
      <c r="B3210" t="s">
        <v>101</v>
      </c>
      <c r="C3210" t="s">
        <v>4031</v>
      </c>
      <c r="D3210" t="s">
        <v>2433</v>
      </c>
      <c r="E3210">
        <v>3</v>
      </c>
      <c r="F3210" s="2">
        <v>47102</v>
      </c>
      <c r="G3210" s="2" t="s">
        <v>105</v>
      </c>
      <c r="H3210" t="s">
        <v>610</v>
      </c>
      <c r="I3210" t="s">
        <v>713</v>
      </c>
      <c r="J3210">
        <v>93.751999999999995</v>
      </c>
      <c r="K3210">
        <v>95.628</v>
      </c>
      <c r="L3210">
        <v>4.8209999999999997</v>
      </c>
      <c r="M3210">
        <v>4.2610000000000001</v>
      </c>
      <c r="N3210">
        <v>4.2610000000000001</v>
      </c>
      <c r="O3210" t="s">
        <v>101</v>
      </c>
      <c r="P3210" t="s">
        <v>858</v>
      </c>
      <c r="Q3210" t="s">
        <v>4032</v>
      </c>
      <c r="R3210" t="s">
        <v>2610</v>
      </c>
    </row>
    <row r="3211" spans="1:18" x14ac:dyDescent="0.5">
      <c r="A3211" t="str">
        <f>"756109BS2"</f>
        <v>756109BS2</v>
      </c>
      <c r="B3211" t="s">
        <v>101</v>
      </c>
      <c r="C3211" t="s">
        <v>4033</v>
      </c>
      <c r="D3211" t="s">
        <v>2433</v>
      </c>
      <c r="E3211">
        <v>4.7</v>
      </c>
      <c r="F3211" s="2">
        <v>47102</v>
      </c>
      <c r="G3211" s="2">
        <v>47072</v>
      </c>
      <c r="H3211" t="s">
        <v>627</v>
      </c>
      <c r="I3211" t="s">
        <v>713</v>
      </c>
      <c r="J3211">
        <v>99.978999999999999</v>
      </c>
      <c r="K3211">
        <v>100.111</v>
      </c>
      <c r="L3211">
        <v>4.7039999999999997</v>
      </c>
      <c r="M3211">
        <v>4.665</v>
      </c>
      <c r="N3211">
        <v>4.665</v>
      </c>
      <c r="O3211" t="s">
        <v>101</v>
      </c>
      <c r="P3211" t="s">
        <v>2447</v>
      </c>
      <c r="Q3211" t="s">
        <v>1702</v>
      </c>
      <c r="R3211" t="s">
        <v>2436</v>
      </c>
    </row>
    <row r="3212" spans="1:18" x14ac:dyDescent="0.5">
      <c r="A3212" t="str">
        <f>"91324PDP4"</f>
        <v>91324PDP4</v>
      </c>
      <c r="B3212" t="s">
        <v>101</v>
      </c>
      <c r="C3212" t="s">
        <v>4034</v>
      </c>
      <c r="D3212" t="s">
        <v>2433</v>
      </c>
      <c r="E3212">
        <v>3.875</v>
      </c>
      <c r="F3212" s="2">
        <v>47102</v>
      </c>
      <c r="G3212" s="2" t="s">
        <v>101</v>
      </c>
      <c r="H3212" t="s">
        <v>610</v>
      </c>
      <c r="I3212" t="s">
        <v>658</v>
      </c>
      <c r="J3212">
        <v>97.733000000000004</v>
      </c>
      <c r="K3212">
        <v>97.921000000000006</v>
      </c>
      <c r="L3212">
        <v>4.5359999999999996</v>
      </c>
      <c r="M3212">
        <v>4.4809999999999999</v>
      </c>
      <c r="N3212">
        <v>4.4809999999999999</v>
      </c>
      <c r="O3212" t="s">
        <v>101</v>
      </c>
      <c r="P3212" t="s">
        <v>2438</v>
      </c>
      <c r="Q3212" t="s">
        <v>2454</v>
      </c>
      <c r="R3212" t="s">
        <v>2436</v>
      </c>
    </row>
    <row r="3213" spans="1:18" x14ac:dyDescent="0.5">
      <c r="A3213" t="str">
        <f>"291011BQ6"</f>
        <v>291011BQ6</v>
      </c>
      <c r="B3213" t="s">
        <v>101</v>
      </c>
      <c r="C3213" t="s">
        <v>4035</v>
      </c>
      <c r="D3213" t="s">
        <v>2433</v>
      </c>
      <c r="E3213">
        <v>2</v>
      </c>
      <c r="F3213" s="2">
        <v>47108</v>
      </c>
      <c r="G3213" s="2">
        <v>47047</v>
      </c>
      <c r="H3213" t="s">
        <v>610</v>
      </c>
      <c r="I3213" t="s">
        <v>611</v>
      </c>
      <c r="J3213">
        <v>91.275000000000006</v>
      </c>
      <c r="K3213">
        <v>91.522999999999996</v>
      </c>
      <c r="L3213">
        <v>4.54</v>
      </c>
      <c r="M3213">
        <v>4.4640000000000004</v>
      </c>
      <c r="N3213">
        <v>4.4640000000000004</v>
      </c>
      <c r="O3213" t="s">
        <v>101</v>
      </c>
      <c r="P3213" t="s">
        <v>2774</v>
      </c>
      <c r="Q3213" t="s">
        <v>3160</v>
      </c>
      <c r="R3213" t="s">
        <v>2436</v>
      </c>
    </row>
    <row r="3214" spans="1:18" x14ac:dyDescent="0.5">
      <c r="A3214" t="str">
        <f>"48128GU24"</f>
        <v>48128GU24</v>
      </c>
      <c r="B3214" t="s">
        <v>101</v>
      </c>
      <c r="C3214" t="s">
        <v>4036</v>
      </c>
      <c r="D3214" t="s">
        <v>2433</v>
      </c>
      <c r="E3214">
        <v>2</v>
      </c>
      <c r="F3214" s="2">
        <v>47110</v>
      </c>
      <c r="G3214" s="2">
        <v>45739</v>
      </c>
      <c r="H3214" t="s">
        <v>641</v>
      </c>
      <c r="I3214" t="s">
        <v>611</v>
      </c>
      <c r="J3214">
        <v>90.774000000000001</v>
      </c>
      <c r="K3214">
        <v>91.759</v>
      </c>
      <c r="L3214">
        <v>4.6909999999999998</v>
      </c>
      <c r="M3214">
        <v>4.3890000000000002</v>
      </c>
      <c r="N3214">
        <v>4.3890000000000002</v>
      </c>
      <c r="O3214" t="s">
        <v>101</v>
      </c>
      <c r="P3214" t="s">
        <v>2595</v>
      </c>
      <c r="Q3214" t="s">
        <v>464</v>
      </c>
      <c r="R3214" t="s">
        <v>2436</v>
      </c>
    </row>
    <row r="3215" spans="1:18" x14ac:dyDescent="0.5">
      <c r="A3215" t="str">
        <f>"207597ER2"</f>
        <v>207597ER2</v>
      </c>
      <c r="B3215" t="s">
        <v>101</v>
      </c>
      <c r="C3215" t="s">
        <v>4037</v>
      </c>
      <c r="D3215" t="s">
        <v>2433</v>
      </c>
      <c r="E3215">
        <v>4.6500000000000004</v>
      </c>
      <c r="F3215" s="2">
        <v>47119</v>
      </c>
      <c r="G3215" s="2">
        <v>47088</v>
      </c>
      <c r="H3215" t="s">
        <v>641</v>
      </c>
      <c r="I3215" t="s">
        <v>611</v>
      </c>
      <c r="J3215">
        <v>100.083</v>
      </c>
      <c r="K3215">
        <v>100.447</v>
      </c>
      <c r="L3215">
        <v>4.6239999999999997</v>
      </c>
      <c r="M3215">
        <v>4.5170000000000003</v>
      </c>
      <c r="N3215">
        <v>4.5190000000000001</v>
      </c>
      <c r="O3215" t="s">
        <v>101</v>
      </c>
      <c r="P3215" t="s">
        <v>3884</v>
      </c>
      <c r="Q3215" t="s">
        <v>2454</v>
      </c>
      <c r="R3215" t="s">
        <v>2436</v>
      </c>
    </row>
    <row r="3216" spans="1:18" x14ac:dyDescent="0.5">
      <c r="A3216" t="str">
        <f>"89236TLL7"</f>
        <v>89236TLL7</v>
      </c>
      <c r="B3216" t="s">
        <v>101</v>
      </c>
      <c r="C3216" t="s">
        <v>4038</v>
      </c>
      <c r="D3216" t="s">
        <v>2433</v>
      </c>
      <c r="E3216">
        <v>4.6500000000000004</v>
      </c>
      <c r="F3216" s="2">
        <v>47123</v>
      </c>
      <c r="G3216" s="2" t="s">
        <v>101</v>
      </c>
      <c r="H3216" t="s">
        <v>641</v>
      </c>
      <c r="I3216" t="s">
        <v>658</v>
      </c>
      <c r="J3216">
        <v>100.102</v>
      </c>
      <c r="K3216">
        <v>100.508</v>
      </c>
      <c r="L3216">
        <v>4.6189999999999998</v>
      </c>
      <c r="M3216">
        <v>4.5019999999999998</v>
      </c>
      <c r="N3216">
        <v>4.5019999999999998</v>
      </c>
      <c r="O3216" t="s">
        <v>101</v>
      </c>
      <c r="P3216" t="s">
        <v>3878</v>
      </c>
      <c r="Q3216" t="s">
        <v>3386</v>
      </c>
      <c r="R3216" t="s">
        <v>2436</v>
      </c>
    </row>
    <row r="3217" spans="1:18" x14ac:dyDescent="0.5">
      <c r="A3217" t="str">
        <f>"89236TFT7"</f>
        <v>89236TFT7</v>
      </c>
      <c r="B3217" t="s">
        <v>101</v>
      </c>
      <c r="C3217" t="s">
        <v>4039</v>
      </c>
      <c r="D3217" t="s">
        <v>2433</v>
      </c>
      <c r="E3217">
        <v>3.65</v>
      </c>
      <c r="F3217" s="2">
        <v>47126</v>
      </c>
      <c r="G3217" s="2" t="s">
        <v>101</v>
      </c>
      <c r="H3217" t="s">
        <v>641</v>
      </c>
      <c r="I3217" t="s">
        <v>658</v>
      </c>
      <c r="J3217">
        <v>96.685000000000002</v>
      </c>
      <c r="K3217">
        <v>96.971999999999994</v>
      </c>
      <c r="L3217">
        <v>4.6040000000000001</v>
      </c>
      <c r="M3217">
        <v>4.5199999999999996</v>
      </c>
      <c r="N3217">
        <v>4.5199999999999996</v>
      </c>
      <c r="O3217" t="s">
        <v>101</v>
      </c>
      <c r="P3217" t="s">
        <v>2595</v>
      </c>
      <c r="Q3217" t="s">
        <v>2454</v>
      </c>
      <c r="R3217" t="s">
        <v>2436</v>
      </c>
    </row>
    <row r="3218" spans="1:18" x14ac:dyDescent="0.5">
      <c r="A3218" t="str">
        <f>"02665WEB3"</f>
        <v>02665WEB3</v>
      </c>
      <c r="B3218" t="s">
        <v>101</v>
      </c>
      <c r="C3218" t="s">
        <v>4040</v>
      </c>
      <c r="D3218" t="s">
        <v>2433</v>
      </c>
      <c r="E3218">
        <v>2.25</v>
      </c>
      <c r="F3218" s="2">
        <v>47130</v>
      </c>
      <c r="G3218" s="2" t="s">
        <v>101</v>
      </c>
      <c r="H3218" t="s">
        <v>627</v>
      </c>
      <c r="I3218" t="s">
        <v>713</v>
      </c>
      <c r="J3218">
        <v>91.134</v>
      </c>
      <c r="K3218">
        <v>91.471999999999994</v>
      </c>
      <c r="L3218">
        <v>4.8090000000000002</v>
      </c>
      <c r="M3218">
        <v>4.7069999999999999</v>
      </c>
      <c r="N3218">
        <v>4.7069999999999999</v>
      </c>
      <c r="O3218" t="s">
        <v>101</v>
      </c>
      <c r="P3218" t="s">
        <v>858</v>
      </c>
      <c r="Q3218" t="s">
        <v>2454</v>
      </c>
      <c r="R3218" t="s">
        <v>2436</v>
      </c>
    </row>
    <row r="3219" spans="1:18" x14ac:dyDescent="0.5">
      <c r="A3219" t="str">
        <f>"86562MCN8"</f>
        <v>86562MCN8</v>
      </c>
      <c r="B3219" t="s">
        <v>101</v>
      </c>
      <c r="C3219" t="s">
        <v>4041</v>
      </c>
      <c r="D3219" t="s">
        <v>2433</v>
      </c>
      <c r="E3219">
        <v>2.472</v>
      </c>
      <c r="F3219" s="2">
        <v>47132</v>
      </c>
      <c r="G3219" s="2" t="s">
        <v>101</v>
      </c>
      <c r="H3219" t="s">
        <v>641</v>
      </c>
      <c r="I3219" t="s">
        <v>713</v>
      </c>
      <c r="J3219">
        <v>92.165999999999997</v>
      </c>
      <c r="K3219">
        <v>92.37</v>
      </c>
      <c r="L3219">
        <v>4.726</v>
      </c>
      <c r="M3219">
        <v>4.665</v>
      </c>
      <c r="N3219">
        <v>4.665</v>
      </c>
      <c r="O3219" t="s">
        <v>101</v>
      </c>
      <c r="P3219" t="s">
        <v>3891</v>
      </c>
      <c r="Q3219" t="s">
        <v>542</v>
      </c>
      <c r="R3219" t="s">
        <v>2436</v>
      </c>
    </row>
    <row r="3220" spans="1:18" x14ac:dyDescent="0.5">
      <c r="A3220" t="str">
        <f>"20030NED9"</f>
        <v>20030NED9</v>
      </c>
      <c r="B3220" t="s">
        <v>101</v>
      </c>
      <c r="C3220" t="s">
        <v>4042</v>
      </c>
      <c r="D3220" t="s">
        <v>2433</v>
      </c>
      <c r="E3220">
        <v>4.55</v>
      </c>
      <c r="F3220" s="2">
        <v>47133</v>
      </c>
      <c r="G3220" s="2">
        <v>47102</v>
      </c>
      <c r="H3220" t="s">
        <v>627</v>
      </c>
      <c r="I3220" t="s">
        <v>713</v>
      </c>
      <c r="J3220">
        <v>99.804000000000002</v>
      </c>
      <c r="K3220">
        <v>99.986999999999995</v>
      </c>
      <c r="L3220">
        <v>4.6050000000000004</v>
      </c>
      <c r="M3220">
        <v>4.5519999999999996</v>
      </c>
      <c r="N3220">
        <v>4.5519999999999996</v>
      </c>
      <c r="O3220" t="s">
        <v>101</v>
      </c>
      <c r="P3220" t="s">
        <v>1702</v>
      </c>
      <c r="Q3220" t="s">
        <v>2454</v>
      </c>
      <c r="R3220" t="s">
        <v>2436</v>
      </c>
    </row>
    <row r="3221" spans="1:18" x14ac:dyDescent="0.5">
      <c r="A3221" t="str">
        <f>"438516CL8"</f>
        <v>438516CL8</v>
      </c>
      <c r="B3221" t="s">
        <v>101</v>
      </c>
      <c r="C3221" t="s">
        <v>4043</v>
      </c>
      <c r="D3221" t="s">
        <v>2433</v>
      </c>
      <c r="E3221">
        <v>4.25</v>
      </c>
      <c r="F3221" s="2">
        <v>47133</v>
      </c>
      <c r="G3221" s="2">
        <v>47102</v>
      </c>
      <c r="H3221" t="s">
        <v>610</v>
      </c>
      <c r="I3221" t="s">
        <v>611</v>
      </c>
      <c r="J3221">
        <v>98.915000000000006</v>
      </c>
      <c r="K3221">
        <v>98.975999999999999</v>
      </c>
      <c r="L3221">
        <v>4.5599999999999996</v>
      </c>
      <c r="M3221">
        <v>4.5419999999999998</v>
      </c>
      <c r="N3221">
        <v>4.5419999999999998</v>
      </c>
      <c r="O3221" t="s">
        <v>101</v>
      </c>
      <c r="P3221" t="s">
        <v>1702</v>
      </c>
      <c r="Q3221" t="s">
        <v>2454</v>
      </c>
      <c r="R3221" t="s">
        <v>2436</v>
      </c>
    </row>
    <row r="3222" spans="1:18" x14ac:dyDescent="0.5">
      <c r="A3222" t="str">
        <f>"63743FG75"</f>
        <v>63743FG75</v>
      </c>
      <c r="B3222" t="s">
        <v>101</v>
      </c>
      <c r="C3222" t="s">
        <v>4044</v>
      </c>
      <c r="D3222" t="s">
        <v>2433</v>
      </c>
      <c r="E3222">
        <v>3.6</v>
      </c>
      <c r="F3222" s="2">
        <v>47133</v>
      </c>
      <c r="G3222" s="2" t="s">
        <v>105</v>
      </c>
      <c r="H3222" t="s">
        <v>610</v>
      </c>
      <c r="I3222" t="s">
        <v>713</v>
      </c>
      <c r="J3222">
        <v>95.323999999999998</v>
      </c>
      <c r="K3222">
        <v>97.5</v>
      </c>
      <c r="L3222">
        <v>4.9390000000000001</v>
      </c>
      <c r="M3222">
        <v>4.3070000000000004</v>
      </c>
      <c r="N3222">
        <v>4.3070000000000004</v>
      </c>
      <c r="O3222" t="s">
        <v>101</v>
      </c>
      <c r="P3222" t="s">
        <v>1391</v>
      </c>
      <c r="Q3222" t="s">
        <v>488</v>
      </c>
      <c r="R3222" t="s">
        <v>2610</v>
      </c>
    </row>
    <row r="3223" spans="1:18" x14ac:dyDescent="0.5">
      <c r="A3223" t="str">
        <f>"63743FYR1"</f>
        <v>63743FYR1</v>
      </c>
      <c r="B3223" t="s">
        <v>101</v>
      </c>
      <c r="C3223" t="s">
        <v>4045</v>
      </c>
      <c r="D3223" t="s">
        <v>2433</v>
      </c>
      <c r="E3223">
        <v>3.5</v>
      </c>
      <c r="F3223" s="2">
        <v>47133</v>
      </c>
      <c r="G3223" s="2" t="s">
        <v>105</v>
      </c>
      <c r="H3223" t="s">
        <v>610</v>
      </c>
      <c r="I3223" t="s">
        <v>713</v>
      </c>
      <c r="J3223">
        <v>95.013999999999996</v>
      </c>
      <c r="K3223">
        <v>96.995999999999995</v>
      </c>
      <c r="L3223">
        <v>4.9269999999999996</v>
      </c>
      <c r="M3223">
        <v>4.351</v>
      </c>
      <c r="N3223">
        <v>4.351</v>
      </c>
      <c r="O3223" t="s">
        <v>101</v>
      </c>
      <c r="P3223" t="s">
        <v>858</v>
      </c>
      <c r="Q3223" t="s">
        <v>2739</v>
      </c>
      <c r="R3223" t="s">
        <v>2610</v>
      </c>
    </row>
    <row r="3224" spans="1:18" x14ac:dyDescent="0.5">
      <c r="A3224" t="str">
        <f>"74460WAF4"</f>
        <v>74460WAF4</v>
      </c>
      <c r="B3224" t="s">
        <v>101</v>
      </c>
      <c r="C3224" t="s">
        <v>4046</v>
      </c>
      <c r="D3224" t="s">
        <v>2433</v>
      </c>
      <c r="E3224">
        <v>5.125</v>
      </c>
      <c r="F3224" s="2">
        <v>47133</v>
      </c>
      <c r="G3224" s="2">
        <v>47102</v>
      </c>
      <c r="H3224" t="s">
        <v>610</v>
      </c>
      <c r="I3224" t="s">
        <v>611</v>
      </c>
      <c r="J3224">
        <v>101.721</v>
      </c>
      <c r="K3224">
        <v>101.92</v>
      </c>
      <c r="L3224">
        <v>4.62</v>
      </c>
      <c r="M3224">
        <v>4.5620000000000003</v>
      </c>
      <c r="N3224">
        <v>4.5730000000000004</v>
      </c>
      <c r="O3224" t="s">
        <v>101</v>
      </c>
      <c r="P3224" t="s">
        <v>1702</v>
      </c>
      <c r="Q3224" t="s">
        <v>2454</v>
      </c>
      <c r="R3224" t="s">
        <v>2436</v>
      </c>
    </row>
    <row r="3225" spans="1:18" x14ac:dyDescent="0.5">
      <c r="A3225" t="str">
        <f>"91324PEU2"</f>
        <v>91324PEU2</v>
      </c>
      <c r="B3225" t="s">
        <v>101</v>
      </c>
      <c r="C3225" t="s">
        <v>4047</v>
      </c>
      <c r="D3225" t="s">
        <v>2433</v>
      </c>
      <c r="E3225">
        <v>4.25</v>
      </c>
      <c r="F3225" s="2">
        <v>47133</v>
      </c>
      <c r="G3225" s="2">
        <v>47102</v>
      </c>
      <c r="H3225" t="s">
        <v>610</v>
      </c>
      <c r="I3225" t="s">
        <v>658</v>
      </c>
      <c r="J3225">
        <v>98.902000000000001</v>
      </c>
      <c r="K3225">
        <v>98.930999999999997</v>
      </c>
      <c r="L3225">
        <v>4.5629999999999997</v>
      </c>
      <c r="M3225">
        <v>4.5549999999999997</v>
      </c>
      <c r="N3225">
        <v>4.5549999999999997</v>
      </c>
      <c r="O3225" t="s">
        <v>101</v>
      </c>
      <c r="P3225" t="s">
        <v>1702</v>
      </c>
      <c r="Q3225" t="s">
        <v>2454</v>
      </c>
      <c r="R3225" t="s">
        <v>2436</v>
      </c>
    </row>
    <row r="3226" spans="1:18" x14ac:dyDescent="0.5">
      <c r="A3226" t="str">
        <f>"24422EXH7"</f>
        <v>24422EXH7</v>
      </c>
      <c r="B3226" t="s">
        <v>101</v>
      </c>
      <c r="C3226" t="s">
        <v>4048</v>
      </c>
      <c r="D3226" t="s">
        <v>2433</v>
      </c>
      <c r="E3226">
        <v>4.5</v>
      </c>
      <c r="F3226" s="2">
        <v>47134</v>
      </c>
      <c r="G3226" s="2" t="s">
        <v>105</v>
      </c>
      <c r="H3226" t="s">
        <v>641</v>
      </c>
      <c r="I3226" t="s">
        <v>611</v>
      </c>
      <c r="J3226">
        <v>99.891999999999996</v>
      </c>
      <c r="K3226">
        <v>100.093</v>
      </c>
      <c r="L3226">
        <v>4.5289999999999999</v>
      </c>
      <c r="M3226">
        <v>4.4720000000000004</v>
      </c>
      <c r="N3226">
        <v>4.4720000000000004</v>
      </c>
      <c r="O3226" t="s">
        <v>101</v>
      </c>
      <c r="P3226" t="s">
        <v>2791</v>
      </c>
      <c r="Q3226" t="s">
        <v>2507</v>
      </c>
      <c r="R3226" t="s">
        <v>2465</v>
      </c>
    </row>
    <row r="3227" spans="1:18" x14ac:dyDescent="0.5">
      <c r="A3227" t="str">
        <f>"046353AT5"</f>
        <v>046353AT5</v>
      </c>
      <c r="B3227" t="s">
        <v>101</v>
      </c>
      <c r="C3227" t="s">
        <v>4049</v>
      </c>
      <c r="D3227" t="s">
        <v>2433</v>
      </c>
      <c r="E3227">
        <v>4</v>
      </c>
      <c r="F3227" s="2">
        <v>47135</v>
      </c>
      <c r="G3227" s="2">
        <v>47043</v>
      </c>
      <c r="H3227" t="s">
        <v>641</v>
      </c>
      <c r="I3227" t="s">
        <v>658</v>
      </c>
      <c r="J3227">
        <v>98.47</v>
      </c>
      <c r="K3227">
        <v>98.677999999999997</v>
      </c>
      <c r="L3227">
        <v>4.4359999999999999</v>
      </c>
      <c r="M3227">
        <v>4.3760000000000003</v>
      </c>
      <c r="N3227">
        <v>4.3760000000000003</v>
      </c>
      <c r="O3227" t="s">
        <v>101</v>
      </c>
      <c r="P3227" t="s">
        <v>1064</v>
      </c>
      <c r="Q3227" t="s">
        <v>2454</v>
      </c>
      <c r="R3227" t="s">
        <v>2436</v>
      </c>
    </row>
    <row r="3228" spans="1:18" x14ac:dyDescent="0.5">
      <c r="A3228" t="str">
        <f>"168863EB0"</f>
        <v>168863EB0</v>
      </c>
      <c r="B3228" t="s">
        <v>101</v>
      </c>
      <c r="C3228" t="s">
        <v>4050</v>
      </c>
      <c r="D3228" t="s">
        <v>2433</v>
      </c>
      <c r="E3228">
        <v>4.8499999999999996</v>
      </c>
      <c r="F3228" s="2">
        <v>47140</v>
      </c>
      <c r="G3228" s="2">
        <v>47109</v>
      </c>
      <c r="H3228" t="s">
        <v>610</v>
      </c>
      <c r="I3228" t="s">
        <v>611</v>
      </c>
      <c r="J3228" t="s">
        <v>101</v>
      </c>
      <c r="K3228">
        <v>100.49</v>
      </c>
      <c r="L3228" t="s">
        <v>101</v>
      </c>
      <c r="M3228">
        <v>4.7060000000000004</v>
      </c>
      <c r="N3228">
        <v>4.7080000000000002</v>
      </c>
      <c r="O3228" t="s">
        <v>101</v>
      </c>
      <c r="P3228" t="s">
        <v>448</v>
      </c>
      <c r="Q3228" t="s">
        <v>542</v>
      </c>
      <c r="R3228" t="s">
        <v>2436</v>
      </c>
    </row>
    <row r="3229" spans="1:18" x14ac:dyDescent="0.5">
      <c r="A3229" t="str">
        <f>"035240AQ3"</f>
        <v>035240AQ3</v>
      </c>
      <c r="B3229" t="s">
        <v>101</v>
      </c>
      <c r="C3229" t="s">
        <v>4051</v>
      </c>
      <c r="D3229" t="s">
        <v>2433</v>
      </c>
      <c r="E3229">
        <v>4.75</v>
      </c>
      <c r="F3229" s="2">
        <v>47141</v>
      </c>
      <c r="G3229" s="2">
        <v>47049</v>
      </c>
      <c r="H3229" t="s">
        <v>627</v>
      </c>
      <c r="I3229" t="s">
        <v>713</v>
      </c>
      <c r="J3229">
        <v>100.45099999999999</v>
      </c>
      <c r="K3229">
        <v>100.754</v>
      </c>
      <c r="L3229">
        <v>4.6130000000000004</v>
      </c>
      <c r="M3229">
        <v>4.5220000000000002</v>
      </c>
      <c r="N3229">
        <v>4.5339999999999998</v>
      </c>
      <c r="O3229" t="s">
        <v>101</v>
      </c>
      <c r="P3229" t="s">
        <v>2527</v>
      </c>
      <c r="Q3229" t="s">
        <v>2507</v>
      </c>
      <c r="R3229" t="s">
        <v>2436</v>
      </c>
    </row>
    <row r="3230" spans="1:18" x14ac:dyDescent="0.5">
      <c r="A3230" t="str">
        <f>"06406RAZ0"</f>
        <v>06406RAZ0</v>
      </c>
      <c r="B3230" t="s">
        <v>101</v>
      </c>
      <c r="C3230" t="s">
        <v>4052</v>
      </c>
      <c r="D3230" t="s">
        <v>2433</v>
      </c>
      <c r="E3230">
        <v>1.9</v>
      </c>
      <c r="F3230" s="2">
        <v>47143</v>
      </c>
      <c r="G3230" s="2">
        <v>47081</v>
      </c>
      <c r="H3230" t="s">
        <v>624</v>
      </c>
      <c r="I3230" t="s">
        <v>611</v>
      </c>
      <c r="J3230">
        <v>90.915000000000006</v>
      </c>
      <c r="K3230">
        <v>91.188999999999993</v>
      </c>
      <c r="L3230">
        <v>4.4829999999999997</v>
      </c>
      <c r="M3230">
        <v>4.4009999999999998</v>
      </c>
      <c r="N3230">
        <v>4.4009999999999998</v>
      </c>
      <c r="O3230" t="s">
        <v>101</v>
      </c>
      <c r="P3230" t="s">
        <v>2289</v>
      </c>
      <c r="Q3230" t="s">
        <v>3160</v>
      </c>
      <c r="R3230" t="s">
        <v>2436</v>
      </c>
    </row>
    <row r="3231" spans="1:18" x14ac:dyDescent="0.5">
      <c r="A3231" t="str">
        <f>"742718GF0"</f>
        <v>742718GF0</v>
      </c>
      <c r="B3231" t="s">
        <v>101</v>
      </c>
      <c r="C3231" t="s">
        <v>4053</v>
      </c>
      <c r="D3231" t="s">
        <v>2433</v>
      </c>
      <c r="E3231">
        <v>4.3499999999999996</v>
      </c>
      <c r="F3231" s="2">
        <v>47147</v>
      </c>
      <c r="G3231" s="2" t="s">
        <v>101</v>
      </c>
      <c r="H3231" t="s">
        <v>624</v>
      </c>
      <c r="I3231" t="s">
        <v>616</v>
      </c>
      <c r="J3231">
        <v>100.117</v>
      </c>
      <c r="K3231">
        <v>100.17</v>
      </c>
      <c r="L3231">
        <v>4.3159999999999998</v>
      </c>
      <c r="M3231">
        <v>4.3010000000000002</v>
      </c>
      <c r="N3231">
        <v>4.3010000000000002</v>
      </c>
      <c r="O3231" t="s">
        <v>101</v>
      </c>
      <c r="P3231" t="s">
        <v>2438</v>
      </c>
      <c r="Q3231" t="s">
        <v>3383</v>
      </c>
      <c r="R3231" t="s">
        <v>2436</v>
      </c>
    </row>
    <row r="3232" spans="1:18" x14ac:dyDescent="0.5">
      <c r="A3232" t="str">
        <f>"89114XDN0"</f>
        <v>89114XDN0</v>
      </c>
      <c r="B3232" t="s">
        <v>101</v>
      </c>
      <c r="C3232" t="s">
        <v>4054</v>
      </c>
      <c r="D3232" t="s">
        <v>2433</v>
      </c>
      <c r="E3232">
        <v>5.25</v>
      </c>
      <c r="F3232" s="2">
        <v>47148</v>
      </c>
      <c r="G3232" s="2">
        <v>45777</v>
      </c>
      <c r="H3232" t="s">
        <v>610</v>
      </c>
      <c r="I3232" t="s">
        <v>713</v>
      </c>
      <c r="J3232">
        <v>99.745000000000005</v>
      </c>
      <c r="K3232">
        <v>99.995000000000005</v>
      </c>
      <c r="L3232">
        <v>5.3230000000000004</v>
      </c>
      <c r="M3232">
        <v>5.2510000000000003</v>
      </c>
      <c r="N3232">
        <v>5.2510000000000003</v>
      </c>
      <c r="O3232" t="s">
        <v>101</v>
      </c>
      <c r="P3232" t="s">
        <v>1702</v>
      </c>
      <c r="Q3232" t="s">
        <v>4055</v>
      </c>
      <c r="R3232" t="s">
        <v>2436</v>
      </c>
    </row>
    <row r="3233" spans="1:18" x14ac:dyDescent="0.5">
      <c r="A3233" t="str">
        <f>"69371RS80"</f>
        <v>69371RS80</v>
      </c>
      <c r="B3233" t="s">
        <v>101</v>
      </c>
      <c r="C3233" t="s">
        <v>4056</v>
      </c>
      <c r="D3233" t="s">
        <v>2433</v>
      </c>
      <c r="E3233">
        <v>4.5999999999999996</v>
      </c>
      <c r="F3233" s="2">
        <v>47149</v>
      </c>
      <c r="G3233" s="2" t="s">
        <v>105</v>
      </c>
      <c r="H3233" t="s">
        <v>641</v>
      </c>
      <c r="I3233" t="s">
        <v>658</v>
      </c>
      <c r="J3233">
        <v>100.095</v>
      </c>
      <c r="K3233">
        <v>100.45399999999999</v>
      </c>
      <c r="L3233">
        <v>4.5720000000000001</v>
      </c>
      <c r="M3233">
        <v>4.47</v>
      </c>
      <c r="N3233">
        <v>4.47</v>
      </c>
      <c r="O3233" t="s">
        <v>101</v>
      </c>
      <c r="P3233" t="s">
        <v>2507</v>
      </c>
      <c r="Q3233" t="s">
        <v>2507</v>
      </c>
      <c r="R3233" t="s">
        <v>2465</v>
      </c>
    </row>
    <row r="3234" spans="1:18" x14ac:dyDescent="0.5">
      <c r="A3234" t="str">
        <f>"883556DA7"</f>
        <v>883556DA7</v>
      </c>
      <c r="B3234" t="s">
        <v>101</v>
      </c>
      <c r="C3234" t="s">
        <v>4057</v>
      </c>
      <c r="D3234" t="s">
        <v>2433</v>
      </c>
      <c r="E3234">
        <v>5</v>
      </c>
      <c r="F3234" s="2">
        <v>47149</v>
      </c>
      <c r="G3234" s="2">
        <v>47118</v>
      </c>
      <c r="H3234" t="s">
        <v>627</v>
      </c>
      <c r="I3234" t="s">
        <v>713</v>
      </c>
      <c r="J3234">
        <v>101.619</v>
      </c>
      <c r="K3234">
        <v>101.887</v>
      </c>
      <c r="L3234">
        <v>4.5270000000000001</v>
      </c>
      <c r="M3234">
        <v>4.4539999999999997</v>
      </c>
      <c r="N3234">
        <v>4.4640000000000004</v>
      </c>
      <c r="O3234" t="s">
        <v>101</v>
      </c>
      <c r="P3234" t="s">
        <v>1702</v>
      </c>
      <c r="Q3234" t="s">
        <v>2454</v>
      </c>
      <c r="R3234" t="s">
        <v>2436</v>
      </c>
    </row>
    <row r="3235" spans="1:18" x14ac:dyDescent="0.5">
      <c r="A3235" t="str">
        <f>"26442EAF7"</f>
        <v>26442EAF7</v>
      </c>
      <c r="B3235" t="s">
        <v>101</v>
      </c>
      <c r="C3235" t="s">
        <v>4058</v>
      </c>
      <c r="D3235" t="s">
        <v>2433</v>
      </c>
      <c r="E3235">
        <v>3.65</v>
      </c>
      <c r="F3235" s="2">
        <v>47150</v>
      </c>
      <c r="G3235" s="2">
        <v>47058</v>
      </c>
      <c r="H3235" t="s">
        <v>610</v>
      </c>
      <c r="I3235" t="s">
        <v>611</v>
      </c>
      <c r="J3235">
        <v>96.363</v>
      </c>
      <c r="K3235">
        <v>96.683999999999997</v>
      </c>
      <c r="L3235">
        <v>4.6829999999999998</v>
      </c>
      <c r="M3235">
        <v>4.59</v>
      </c>
      <c r="N3235">
        <v>4.59</v>
      </c>
      <c r="O3235" t="s">
        <v>101</v>
      </c>
      <c r="P3235" t="s">
        <v>2472</v>
      </c>
      <c r="Q3235" t="s">
        <v>1702</v>
      </c>
      <c r="R3235" t="s">
        <v>2436</v>
      </c>
    </row>
    <row r="3236" spans="1:18" x14ac:dyDescent="0.5">
      <c r="A3236" t="str">
        <f>"74340XBL4"</f>
        <v>74340XBL4</v>
      </c>
      <c r="B3236" t="s">
        <v>101</v>
      </c>
      <c r="C3236" t="s">
        <v>4059</v>
      </c>
      <c r="D3236" t="s">
        <v>2433</v>
      </c>
      <c r="E3236">
        <v>4.375</v>
      </c>
      <c r="F3236" s="2">
        <v>47150</v>
      </c>
      <c r="G3236" s="2">
        <v>47058</v>
      </c>
      <c r="H3236" t="s">
        <v>610</v>
      </c>
      <c r="I3236" t="s">
        <v>611</v>
      </c>
      <c r="J3236">
        <v>98.887</v>
      </c>
      <c r="K3236">
        <v>99.228999999999999</v>
      </c>
      <c r="L3236">
        <v>4.6900000000000004</v>
      </c>
      <c r="M3236">
        <v>4.593</v>
      </c>
      <c r="N3236">
        <v>4.593</v>
      </c>
      <c r="O3236" t="s">
        <v>101</v>
      </c>
      <c r="P3236" t="s">
        <v>1702</v>
      </c>
      <c r="Q3236" t="s">
        <v>2952</v>
      </c>
      <c r="R3236" t="s">
        <v>2436</v>
      </c>
    </row>
    <row r="3237" spans="1:18" x14ac:dyDescent="0.5">
      <c r="A3237" t="str">
        <f>"78016HZV5"</f>
        <v>78016HZV5</v>
      </c>
      <c r="B3237" t="s">
        <v>101</v>
      </c>
      <c r="C3237" t="s">
        <v>4060</v>
      </c>
      <c r="D3237" t="s">
        <v>2433</v>
      </c>
      <c r="E3237">
        <v>4.95</v>
      </c>
      <c r="F3237" s="2">
        <v>47150</v>
      </c>
      <c r="G3237" s="2" t="s">
        <v>101</v>
      </c>
      <c r="H3237" t="s">
        <v>641</v>
      </c>
      <c r="I3237" t="s">
        <v>611</v>
      </c>
      <c r="J3237">
        <v>100.809</v>
      </c>
      <c r="K3237">
        <v>101.01300000000001</v>
      </c>
      <c r="L3237">
        <v>4.718</v>
      </c>
      <c r="M3237">
        <v>4.6609999999999996</v>
      </c>
      <c r="N3237">
        <v>4.6609999999999996</v>
      </c>
      <c r="O3237" t="s">
        <v>101</v>
      </c>
      <c r="P3237" t="s">
        <v>1702</v>
      </c>
      <c r="Q3237" t="s">
        <v>2454</v>
      </c>
      <c r="R3237" t="s">
        <v>2436</v>
      </c>
    </row>
    <row r="3238" spans="1:18" x14ac:dyDescent="0.5">
      <c r="A3238" t="str">
        <f>"808513AZ8"</f>
        <v>808513AZ8</v>
      </c>
      <c r="B3238" t="s">
        <v>101</v>
      </c>
      <c r="C3238" t="s">
        <v>4061</v>
      </c>
      <c r="D3238" t="s">
        <v>2433</v>
      </c>
      <c r="E3238">
        <v>4</v>
      </c>
      <c r="F3238" s="2">
        <v>47150</v>
      </c>
      <c r="G3238" s="2">
        <v>47058</v>
      </c>
      <c r="H3238" t="s">
        <v>610</v>
      </c>
      <c r="I3238" t="s">
        <v>713</v>
      </c>
      <c r="J3238">
        <v>97.688000000000002</v>
      </c>
      <c r="K3238">
        <v>97.844999999999999</v>
      </c>
      <c r="L3238">
        <v>4.6559999999999997</v>
      </c>
      <c r="M3238">
        <v>4.6109999999999998</v>
      </c>
      <c r="N3238">
        <v>4.6109999999999998</v>
      </c>
      <c r="O3238" t="s">
        <v>101</v>
      </c>
      <c r="P3238" t="s">
        <v>1702</v>
      </c>
      <c r="Q3238" t="s">
        <v>2581</v>
      </c>
      <c r="R3238" t="s">
        <v>2436</v>
      </c>
    </row>
    <row r="3239" spans="1:18" x14ac:dyDescent="0.5">
      <c r="A3239" t="str">
        <f>"907818CF3"</f>
        <v>907818CF3</v>
      </c>
      <c r="B3239" t="s">
        <v>101</v>
      </c>
      <c r="C3239" t="s">
        <v>4062</v>
      </c>
      <c r="D3239" t="s">
        <v>2433</v>
      </c>
      <c r="E3239">
        <v>6.625</v>
      </c>
      <c r="F3239" s="2">
        <v>47150</v>
      </c>
      <c r="G3239" s="2" t="s">
        <v>101</v>
      </c>
      <c r="H3239" t="s">
        <v>627</v>
      </c>
      <c r="I3239" t="s">
        <v>713</v>
      </c>
      <c r="J3239">
        <v>107.36</v>
      </c>
      <c r="K3239">
        <v>107.85599999999999</v>
      </c>
      <c r="L3239">
        <v>4.5359999999999996</v>
      </c>
      <c r="M3239">
        <v>4.4020000000000001</v>
      </c>
      <c r="N3239">
        <v>4.4020000000000001</v>
      </c>
      <c r="O3239" t="s">
        <v>101</v>
      </c>
      <c r="P3239" t="s">
        <v>858</v>
      </c>
      <c r="Q3239" t="s">
        <v>4063</v>
      </c>
      <c r="R3239" t="s">
        <v>2436</v>
      </c>
    </row>
    <row r="3240" spans="1:18" x14ac:dyDescent="0.5">
      <c r="A3240" t="str">
        <f>"449276AC8"</f>
        <v>449276AC8</v>
      </c>
      <c r="B3240" t="s">
        <v>101</v>
      </c>
      <c r="C3240" t="s">
        <v>4064</v>
      </c>
      <c r="D3240" t="s">
        <v>2433</v>
      </c>
      <c r="E3240">
        <v>4.5999999999999996</v>
      </c>
      <c r="F3240" s="2">
        <v>47154</v>
      </c>
      <c r="G3240" s="2">
        <v>47123</v>
      </c>
      <c r="H3240" t="s">
        <v>627</v>
      </c>
      <c r="I3240" t="s">
        <v>713</v>
      </c>
      <c r="J3240">
        <v>99.55</v>
      </c>
      <c r="K3240">
        <v>99.893000000000001</v>
      </c>
      <c r="L3240">
        <v>4.7270000000000003</v>
      </c>
      <c r="M3240">
        <v>4.6289999999999996</v>
      </c>
      <c r="N3240">
        <v>4.6289999999999996</v>
      </c>
      <c r="O3240" t="s">
        <v>101</v>
      </c>
      <c r="P3240" t="s">
        <v>2635</v>
      </c>
      <c r="Q3240" t="s">
        <v>2988</v>
      </c>
      <c r="R3240" t="s">
        <v>2436</v>
      </c>
    </row>
    <row r="3241" spans="1:18" x14ac:dyDescent="0.5">
      <c r="A3241" t="str">
        <f>"63743HFN7"</f>
        <v>63743HFN7</v>
      </c>
      <c r="B3241" t="s">
        <v>101</v>
      </c>
      <c r="C3241" t="s">
        <v>4065</v>
      </c>
      <c r="D3241" t="s">
        <v>2433</v>
      </c>
      <c r="E3241">
        <v>4.8499999999999996</v>
      </c>
      <c r="F3241" s="2">
        <v>47156</v>
      </c>
      <c r="G3241" s="2">
        <v>47125</v>
      </c>
      <c r="H3241" t="s">
        <v>610</v>
      </c>
      <c r="I3241" t="s">
        <v>713</v>
      </c>
      <c r="J3241">
        <v>100.304</v>
      </c>
      <c r="K3241">
        <v>100.807</v>
      </c>
      <c r="L3241">
        <v>4.7619999999999996</v>
      </c>
      <c r="M3241">
        <v>4.617</v>
      </c>
      <c r="N3241">
        <v>4.62</v>
      </c>
      <c r="O3241" t="s">
        <v>101</v>
      </c>
      <c r="P3241" t="s">
        <v>3386</v>
      </c>
      <c r="Q3241" t="s">
        <v>1999</v>
      </c>
      <c r="R3241" t="s">
        <v>2436</v>
      </c>
    </row>
    <row r="3242" spans="1:18" x14ac:dyDescent="0.5">
      <c r="A3242" t="str">
        <f>"009158BH8"</f>
        <v>009158BH8</v>
      </c>
      <c r="B3242" t="s">
        <v>101</v>
      </c>
      <c r="C3242" t="s">
        <v>4066</v>
      </c>
      <c r="D3242" t="s">
        <v>2433</v>
      </c>
      <c r="E3242">
        <v>4.5999999999999996</v>
      </c>
      <c r="F3242" s="2">
        <v>47157</v>
      </c>
      <c r="G3242" s="2">
        <v>47126</v>
      </c>
      <c r="H3242" t="s">
        <v>610</v>
      </c>
      <c r="I3242" t="s">
        <v>611</v>
      </c>
      <c r="J3242">
        <v>100.273</v>
      </c>
      <c r="K3242">
        <v>100.508</v>
      </c>
      <c r="L3242">
        <v>4.5209999999999999</v>
      </c>
      <c r="M3242">
        <v>4.4539999999999997</v>
      </c>
      <c r="N3242">
        <v>4.4560000000000004</v>
      </c>
      <c r="O3242" t="s">
        <v>101</v>
      </c>
      <c r="P3242" t="s">
        <v>2454</v>
      </c>
      <c r="Q3242" t="s">
        <v>2454</v>
      </c>
      <c r="R3242" t="s">
        <v>2436</v>
      </c>
    </row>
    <row r="3243" spans="1:18" x14ac:dyDescent="0.5">
      <c r="A3243" t="str">
        <f>"882508CG7"</f>
        <v>882508CG7</v>
      </c>
      <c r="B3243" t="s">
        <v>101</v>
      </c>
      <c r="C3243" t="s">
        <v>4067</v>
      </c>
      <c r="D3243" t="s">
        <v>2433</v>
      </c>
      <c r="E3243">
        <v>4.5999999999999996</v>
      </c>
      <c r="F3243" s="2">
        <v>47157</v>
      </c>
      <c r="G3243" s="2">
        <v>47126</v>
      </c>
      <c r="H3243" t="s">
        <v>624</v>
      </c>
      <c r="I3243" t="s">
        <v>658</v>
      </c>
      <c r="J3243">
        <v>100.449</v>
      </c>
      <c r="K3243">
        <v>100.75700000000001</v>
      </c>
      <c r="L3243">
        <v>4.4710000000000001</v>
      </c>
      <c r="M3243">
        <v>4.3819999999999997</v>
      </c>
      <c r="N3243">
        <v>4.3860000000000001</v>
      </c>
      <c r="O3243" t="s">
        <v>101</v>
      </c>
      <c r="P3243" t="s">
        <v>2750</v>
      </c>
      <c r="Q3243" t="s">
        <v>2454</v>
      </c>
      <c r="R3243" t="s">
        <v>2436</v>
      </c>
    </row>
    <row r="3244" spans="1:18" x14ac:dyDescent="0.5">
      <c r="A3244" t="str">
        <f>"532457CK2"</f>
        <v>532457CK2</v>
      </c>
      <c r="B3244" t="s">
        <v>101</v>
      </c>
      <c r="C3244" t="s">
        <v>4068</v>
      </c>
      <c r="D3244" t="s">
        <v>2433</v>
      </c>
      <c r="E3244">
        <v>4.5</v>
      </c>
      <c r="F3244" s="2">
        <v>47158</v>
      </c>
      <c r="G3244" s="2">
        <v>47127</v>
      </c>
      <c r="H3244" t="s">
        <v>624</v>
      </c>
      <c r="I3244" t="s">
        <v>658</v>
      </c>
      <c r="J3244">
        <v>100.289</v>
      </c>
      <c r="K3244">
        <v>100.46599999999999</v>
      </c>
      <c r="L3244">
        <v>4.4169999999999998</v>
      </c>
      <c r="M3244">
        <v>4.3659999999999997</v>
      </c>
      <c r="N3244">
        <v>4.3680000000000003</v>
      </c>
      <c r="O3244" t="s">
        <v>101</v>
      </c>
      <c r="P3244" t="s">
        <v>1391</v>
      </c>
      <c r="Q3244" t="s">
        <v>2441</v>
      </c>
      <c r="R3244" t="s">
        <v>2436</v>
      </c>
    </row>
    <row r="3245" spans="1:18" x14ac:dyDescent="0.5">
      <c r="A3245" t="str">
        <f>"718172DG1"</f>
        <v>718172DG1</v>
      </c>
      <c r="B3245" t="s">
        <v>101</v>
      </c>
      <c r="C3245" t="s">
        <v>4069</v>
      </c>
      <c r="D3245" t="s">
        <v>2433</v>
      </c>
      <c r="E3245">
        <v>4.875</v>
      </c>
      <c r="F3245" s="2">
        <v>47162</v>
      </c>
      <c r="G3245" s="2">
        <v>47131</v>
      </c>
      <c r="H3245" t="s">
        <v>610</v>
      </c>
      <c r="I3245" t="s">
        <v>713</v>
      </c>
      <c r="J3245">
        <v>100.71899999999999</v>
      </c>
      <c r="K3245">
        <v>100.791</v>
      </c>
      <c r="L3245">
        <v>4.6680000000000001</v>
      </c>
      <c r="M3245">
        <v>4.6470000000000002</v>
      </c>
      <c r="N3245">
        <v>4.6509999999999998</v>
      </c>
      <c r="O3245" t="s">
        <v>101</v>
      </c>
      <c r="P3245" t="s">
        <v>1702</v>
      </c>
      <c r="Q3245" t="s">
        <v>2454</v>
      </c>
      <c r="R3245" t="s">
        <v>2436</v>
      </c>
    </row>
    <row r="3246" spans="1:18" x14ac:dyDescent="0.5">
      <c r="A3246" t="str">
        <f>"210518DV5"</f>
        <v>210518DV5</v>
      </c>
      <c r="B3246" t="s">
        <v>101</v>
      </c>
      <c r="C3246" t="s">
        <v>4070</v>
      </c>
      <c r="D3246" t="s">
        <v>2433</v>
      </c>
      <c r="E3246">
        <v>4.9000000000000004</v>
      </c>
      <c r="F3246" s="2">
        <v>47164</v>
      </c>
      <c r="G3246" s="2">
        <v>47102</v>
      </c>
      <c r="H3246" t="s">
        <v>641</v>
      </c>
      <c r="I3246" t="s">
        <v>611</v>
      </c>
      <c r="J3246">
        <v>100.849</v>
      </c>
      <c r="K3246">
        <v>101.038</v>
      </c>
      <c r="L3246">
        <v>4.6520000000000001</v>
      </c>
      <c r="M3246">
        <v>4.5970000000000004</v>
      </c>
      <c r="N3246">
        <v>4.6070000000000002</v>
      </c>
      <c r="O3246" t="s">
        <v>101</v>
      </c>
      <c r="P3246" t="s">
        <v>3878</v>
      </c>
      <c r="Q3246" t="s">
        <v>2581</v>
      </c>
      <c r="R3246" t="s">
        <v>2436</v>
      </c>
    </row>
    <row r="3247" spans="1:18" x14ac:dyDescent="0.5">
      <c r="A3247" t="str">
        <f>"48130CGM1"</f>
        <v>48130CGM1</v>
      </c>
      <c r="B3247" t="s">
        <v>101</v>
      </c>
      <c r="C3247" t="s">
        <v>4071</v>
      </c>
      <c r="D3247" t="s">
        <v>2433</v>
      </c>
      <c r="E3247">
        <v>5</v>
      </c>
      <c r="F3247" s="2">
        <v>47164</v>
      </c>
      <c r="G3247" s="2">
        <v>46068</v>
      </c>
      <c r="H3247" t="s">
        <v>641</v>
      </c>
      <c r="I3247" t="s">
        <v>611</v>
      </c>
      <c r="J3247">
        <v>99.299000000000007</v>
      </c>
      <c r="K3247">
        <v>100.20099999999999</v>
      </c>
      <c r="L3247">
        <v>5.1989999999999998</v>
      </c>
      <c r="M3247">
        <v>4.7709999999999999</v>
      </c>
      <c r="N3247">
        <v>4.9420000000000002</v>
      </c>
      <c r="O3247" t="s">
        <v>101</v>
      </c>
      <c r="P3247" t="s">
        <v>2595</v>
      </c>
      <c r="Q3247" t="s">
        <v>2549</v>
      </c>
      <c r="R3247" t="s">
        <v>2436</v>
      </c>
    </row>
    <row r="3248" spans="1:18" x14ac:dyDescent="0.5">
      <c r="A3248" t="str">
        <f>"539830CC1"</f>
        <v>539830CC1</v>
      </c>
      <c r="B3248" t="s">
        <v>101</v>
      </c>
      <c r="C3248" t="s">
        <v>4072</v>
      </c>
      <c r="D3248" t="s">
        <v>2433</v>
      </c>
      <c r="E3248">
        <v>4.5</v>
      </c>
      <c r="F3248" s="2">
        <v>47164</v>
      </c>
      <c r="G3248" s="2">
        <v>47133</v>
      </c>
      <c r="H3248" t="s">
        <v>610</v>
      </c>
      <c r="I3248" t="s">
        <v>713</v>
      </c>
      <c r="J3248">
        <v>99.655000000000001</v>
      </c>
      <c r="K3248">
        <v>99.873999999999995</v>
      </c>
      <c r="L3248">
        <v>4.5960000000000001</v>
      </c>
      <c r="M3248">
        <v>4.5350000000000001</v>
      </c>
      <c r="N3248">
        <v>4.5350000000000001</v>
      </c>
      <c r="O3248" t="s">
        <v>101</v>
      </c>
      <c r="P3248" t="s">
        <v>1702</v>
      </c>
      <c r="Q3248" t="s">
        <v>2438</v>
      </c>
      <c r="R3248" t="s">
        <v>2436</v>
      </c>
    </row>
    <row r="3249" spans="1:18" x14ac:dyDescent="0.5">
      <c r="A3249" t="str">
        <f>"63743FYT7"</f>
        <v>63743FYT7</v>
      </c>
      <c r="B3249" t="s">
        <v>101</v>
      </c>
      <c r="C3249" t="s">
        <v>4073</v>
      </c>
      <c r="D3249" t="s">
        <v>2433</v>
      </c>
      <c r="E3249">
        <v>3.5</v>
      </c>
      <c r="F3249" s="2">
        <v>47164</v>
      </c>
      <c r="G3249" s="2" t="s">
        <v>105</v>
      </c>
      <c r="H3249" t="s">
        <v>610</v>
      </c>
      <c r="I3249" t="s">
        <v>713</v>
      </c>
      <c r="J3249">
        <v>94.885999999999996</v>
      </c>
      <c r="K3249">
        <v>97.132000000000005</v>
      </c>
      <c r="L3249">
        <v>4.9359999999999999</v>
      </c>
      <c r="M3249">
        <v>4.2949999999999999</v>
      </c>
      <c r="N3249">
        <v>4.2949999999999999</v>
      </c>
      <c r="O3249" t="s">
        <v>101</v>
      </c>
      <c r="P3249" t="s">
        <v>858</v>
      </c>
      <c r="Q3249" t="s">
        <v>460</v>
      </c>
      <c r="R3249" t="s">
        <v>2610</v>
      </c>
    </row>
    <row r="3250" spans="1:18" x14ac:dyDescent="0.5">
      <c r="A3250" t="str">
        <f>"695114DB1"</f>
        <v>695114DB1</v>
      </c>
      <c r="B3250" t="s">
        <v>101</v>
      </c>
      <c r="C3250" t="s">
        <v>4074</v>
      </c>
      <c r="D3250" t="s">
        <v>2433</v>
      </c>
      <c r="E3250">
        <v>5.0999999999999996</v>
      </c>
      <c r="F3250" s="2">
        <v>47164</v>
      </c>
      <c r="G3250" s="2">
        <v>47133</v>
      </c>
      <c r="H3250" t="s">
        <v>610</v>
      </c>
      <c r="I3250" t="s">
        <v>611</v>
      </c>
      <c r="J3250">
        <v>100.96599999999999</v>
      </c>
      <c r="K3250">
        <v>101.312</v>
      </c>
      <c r="L3250">
        <v>4.8209999999999997</v>
      </c>
      <c r="M3250">
        <v>4.7220000000000004</v>
      </c>
      <c r="N3250">
        <v>4.7290000000000001</v>
      </c>
      <c r="O3250" t="s">
        <v>101</v>
      </c>
      <c r="P3250" t="s">
        <v>3884</v>
      </c>
      <c r="Q3250" t="s">
        <v>2746</v>
      </c>
      <c r="R3250" t="s">
        <v>2436</v>
      </c>
    </row>
    <row r="3251" spans="1:18" x14ac:dyDescent="0.5">
      <c r="A3251" t="str">
        <f>"756109CF9"</f>
        <v>756109CF9</v>
      </c>
      <c r="B3251" t="s">
        <v>101</v>
      </c>
      <c r="C3251" t="s">
        <v>4075</v>
      </c>
      <c r="D3251" t="s">
        <v>2433</v>
      </c>
      <c r="E3251">
        <v>4.75</v>
      </c>
      <c r="F3251" s="2">
        <v>47164</v>
      </c>
      <c r="G3251" s="2">
        <v>47133</v>
      </c>
      <c r="H3251" t="s">
        <v>627</v>
      </c>
      <c r="I3251" t="s">
        <v>713</v>
      </c>
      <c r="J3251">
        <v>99.793000000000006</v>
      </c>
      <c r="K3251">
        <v>100.078</v>
      </c>
      <c r="L3251">
        <v>4.8070000000000004</v>
      </c>
      <c r="M3251">
        <v>4.7270000000000003</v>
      </c>
      <c r="N3251">
        <v>4.7270000000000003</v>
      </c>
      <c r="O3251" t="s">
        <v>101</v>
      </c>
      <c r="P3251" t="s">
        <v>1702</v>
      </c>
      <c r="Q3251" t="s">
        <v>2472</v>
      </c>
      <c r="R3251" t="s">
        <v>2436</v>
      </c>
    </row>
    <row r="3252" spans="1:18" x14ac:dyDescent="0.5">
      <c r="A3252" t="str">
        <f>"94106LBV0"</f>
        <v>94106LBV0</v>
      </c>
      <c r="B3252" t="s">
        <v>101</v>
      </c>
      <c r="C3252" t="s">
        <v>4076</v>
      </c>
      <c r="D3252" t="s">
        <v>2433</v>
      </c>
      <c r="E3252">
        <v>4.875</v>
      </c>
      <c r="F3252" s="2">
        <v>47164</v>
      </c>
      <c r="G3252" s="2">
        <v>47133</v>
      </c>
      <c r="H3252" t="s">
        <v>627</v>
      </c>
      <c r="I3252" t="s">
        <v>713</v>
      </c>
      <c r="J3252">
        <v>101.322</v>
      </c>
      <c r="K3252">
        <v>101.45699999999999</v>
      </c>
      <c r="L3252">
        <v>4.4960000000000004</v>
      </c>
      <c r="M3252">
        <v>4.4580000000000002</v>
      </c>
      <c r="N3252">
        <v>4.4649999999999999</v>
      </c>
      <c r="O3252" t="s">
        <v>101</v>
      </c>
      <c r="P3252" t="s">
        <v>4077</v>
      </c>
      <c r="Q3252" t="s">
        <v>2581</v>
      </c>
      <c r="R3252" t="s">
        <v>2436</v>
      </c>
    </row>
    <row r="3253" spans="1:18" x14ac:dyDescent="0.5">
      <c r="A3253" t="str">
        <f>"713466AB6"</f>
        <v>713466AB6</v>
      </c>
      <c r="B3253" t="s">
        <v>101</v>
      </c>
      <c r="C3253" t="s">
        <v>4078</v>
      </c>
      <c r="D3253" t="s">
        <v>2433</v>
      </c>
      <c r="E3253">
        <v>4.55</v>
      </c>
      <c r="F3253" s="2">
        <v>47165</v>
      </c>
      <c r="G3253" s="2">
        <v>47134</v>
      </c>
      <c r="H3253" t="s">
        <v>641</v>
      </c>
      <c r="I3253" t="s">
        <v>658</v>
      </c>
      <c r="J3253">
        <v>100.093</v>
      </c>
      <c r="K3253">
        <v>100.422</v>
      </c>
      <c r="L3253">
        <v>4.5229999999999997</v>
      </c>
      <c r="M3253">
        <v>4.4290000000000003</v>
      </c>
      <c r="N3253">
        <v>4.431</v>
      </c>
      <c r="O3253" t="s">
        <v>101</v>
      </c>
      <c r="P3253" t="s">
        <v>1391</v>
      </c>
      <c r="Q3253" t="s">
        <v>2454</v>
      </c>
      <c r="R3253" t="s">
        <v>2436</v>
      </c>
    </row>
    <row r="3254" spans="1:18" x14ac:dyDescent="0.5">
      <c r="A3254" t="str">
        <f>"89153VAQ2"</f>
        <v>89153VAQ2</v>
      </c>
      <c r="B3254" t="s">
        <v>101</v>
      </c>
      <c r="C3254" t="s">
        <v>4079</v>
      </c>
      <c r="D3254" t="s">
        <v>2433</v>
      </c>
      <c r="E3254">
        <v>3.4550000000000001</v>
      </c>
      <c r="F3254" s="2">
        <v>47168</v>
      </c>
      <c r="G3254" s="2">
        <v>47076</v>
      </c>
      <c r="H3254" t="s">
        <v>624</v>
      </c>
      <c r="I3254" t="s">
        <v>658</v>
      </c>
      <c r="J3254">
        <v>96.26</v>
      </c>
      <c r="K3254">
        <v>96.277000000000001</v>
      </c>
      <c r="L3254">
        <v>4.5019999999999998</v>
      </c>
      <c r="M3254">
        <v>4.4969999999999999</v>
      </c>
      <c r="N3254">
        <v>4.4969999999999999</v>
      </c>
      <c r="O3254" t="s">
        <v>101</v>
      </c>
      <c r="P3254" t="s">
        <v>4080</v>
      </c>
      <c r="Q3254" t="s">
        <v>2472</v>
      </c>
      <c r="R3254" t="s">
        <v>2436</v>
      </c>
    </row>
    <row r="3255" spans="1:18" x14ac:dyDescent="0.5">
      <c r="A3255" t="str">
        <f>"231021AV8"</f>
        <v>231021AV8</v>
      </c>
      <c r="B3255" t="s">
        <v>101</v>
      </c>
      <c r="C3255" t="s">
        <v>4081</v>
      </c>
      <c r="D3255" t="s">
        <v>2433</v>
      </c>
      <c r="E3255">
        <v>4.9000000000000004</v>
      </c>
      <c r="F3255" s="2">
        <v>47169</v>
      </c>
      <c r="G3255" s="2">
        <v>47138</v>
      </c>
      <c r="H3255" t="s">
        <v>610</v>
      </c>
      <c r="I3255" t="s">
        <v>611</v>
      </c>
      <c r="J3255">
        <v>101.373</v>
      </c>
      <c r="K3255">
        <v>101.67700000000001</v>
      </c>
      <c r="L3255">
        <v>4.508</v>
      </c>
      <c r="M3255">
        <v>4.4219999999999997</v>
      </c>
      <c r="N3255">
        <v>4.431</v>
      </c>
      <c r="O3255" t="s">
        <v>101</v>
      </c>
      <c r="P3255" t="s">
        <v>2581</v>
      </c>
      <c r="Q3255" t="s">
        <v>2454</v>
      </c>
      <c r="R3255" t="s">
        <v>2436</v>
      </c>
    </row>
    <row r="3256" spans="1:18" x14ac:dyDescent="0.5">
      <c r="A3256" t="str">
        <f>"110122EF1"</f>
        <v>110122EF1</v>
      </c>
      <c r="B3256" t="s">
        <v>101</v>
      </c>
      <c r="C3256" t="s">
        <v>4082</v>
      </c>
      <c r="D3256" t="s">
        <v>2433</v>
      </c>
      <c r="E3256">
        <v>4.9000000000000004</v>
      </c>
      <c r="F3256" s="2">
        <v>47171</v>
      </c>
      <c r="G3256" s="2">
        <v>47140</v>
      </c>
      <c r="H3256" t="s">
        <v>610</v>
      </c>
      <c r="I3256" t="s">
        <v>611</v>
      </c>
      <c r="J3256">
        <v>101.22799999999999</v>
      </c>
      <c r="K3256">
        <v>101.51</v>
      </c>
      <c r="L3256">
        <v>4.55</v>
      </c>
      <c r="M3256">
        <v>4.47</v>
      </c>
      <c r="N3256">
        <v>4.4770000000000003</v>
      </c>
      <c r="O3256" t="s">
        <v>101</v>
      </c>
      <c r="P3256" t="s">
        <v>3878</v>
      </c>
      <c r="Q3256" t="s">
        <v>3241</v>
      </c>
      <c r="R3256" t="s">
        <v>2436</v>
      </c>
    </row>
    <row r="3257" spans="1:18" x14ac:dyDescent="0.5">
      <c r="A3257" t="str">
        <f>"04636NAL7"</f>
        <v>04636NAL7</v>
      </c>
      <c r="B3257" t="s">
        <v>101</v>
      </c>
      <c r="C3257" t="s">
        <v>4083</v>
      </c>
      <c r="D3257" t="s">
        <v>2433</v>
      </c>
      <c r="E3257">
        <v>4.8499999999999996</v>
      </c>
      <c r="F3257" s="2">
        <v>47175</v>
      </c>
      <c r="G3257" s="2">
        <v>47144</v>
      </c>
      <c r="H3257" t="s">
        <v>641</v>
      </c>
      <c r="I3257" t="s">
        <v>658</v>
      </c>
      <c r="J3257">
        <v>101.078</v>
      </c>
      <c r="K3257">
        <v>101.137</v>
      </c>
      <c r="L3257">
        <v>4.5439999999999996</v>
      </c>
      <c r="M3257">
        <v>4.5270000000000001</v>
      </c>
      <c r="N3257">
        <v>4.532</v>
      </c>
      <c r="O3257" t="s">
        <v>101</v>
      </c>
      <c r="P3257" t="s">
        <v>2581</v>
      </c>
      <c r="Q3257" t="s">
        <v>3840</v>
      </c>
      <c r="R3257" t="s">
        <v>2436</v>
      </c>
    </row>
    <row r="3258" spans="1:18" x14ac:dyDescent="0.5">
      <c r="A3258" t="str">
        <f>"17275RBR2"</f>
        <v>17275RBR2</v>
      </c>
      <c r="B3258" t="s">
        <v>101</v>
      </c>
      <c r="C3258" t="s">
        <v>4084</v>
      </c>
      <c r="D3258" t="s">
        <v>2433</v>
      </c>
      <c r="E3258">
        <v>4.8499999999999996</v>
      </c>
      <c r="F3258" s="2">
        <v>47175</v>
      </c>
      <c r="G3258" s="2">
        <v>47144</v>
      </c>
      <c r="H3258" t="s">
        <v>641</v>
      </c>
      <c r="I3258" t="s">
        <v>616</v>
      </c>
      <c r="J3258">
        <v>101.005</v>
      </c>
      <c r="K3258">
        <v>101.24</v>
      </c>
      <c r="L3258">
        <v>4.5640000000000001</v>
      </c>
      <c r="M3258">
        <v>4.4980000000000002</v>
      </c>
      <c r="N3258">
        <v>4.5039999999999996</v>
      </c>
      <c r="O3258" t="s">
        <v>101</v>
      </c>
      <c r="P3258" t="s">
        <v>3920</v>
      </c>
      <c r="Q3258" t="s">
        <v>2454</v>
      </c>
      <c r="R3258" t="s">
        <v>2436</v>
      </c>
    </row>
    <row r="3259" spans="1:18" x14ac:dyDescent="0.5">
      <c r="A3259" t="str">
        <f>"14913UAJ9"</f>
        <v>14913UAJ9</v>
      </c>
      <c r="B3259" t="s">
        <v>101</v>
      </c>
      <c r="C3259" t="s">
        <v>4085</v>
      </c>
      <c r="D3259" t="s">
        <v>2433</v>
      </c>
      <c r="E3259">
        <v>4.8499999999999996</v>
      </c>
      <c r="F3259" s="2">
        <v>47176</v>
      </c>
      <c r="G3259" s="2" t="s">
        <v>101</v>
      </c>
      <c r="H3259" t="s">
        <v>610</v>
      </c>
      <c r="I3259" t="s">
        <v>611</v>
      </c>
      <c r="J3259">
        <v>100.973</v>
      </c>
      <c r="K3259">
        <v>101.16</v>
      </c>
      <c r="L3259">
        <v>4.5780000000000003</v>
      </c>
      <c r="M3259">
        <v>4.5259999999999998</v>
      </c>
      <c r="N3259">
        <v>4.5259999999999998</v>
      </c>
      <c r="O3259" t="s">
        <v>101</v>
      </c>
      <c r="P3259" t="s">
        <v>2507</v>
      </c>
      <c r="Q3259" t="s">
        <v>4086</v>
      </c>
      <c r="R3259" t="s">
        <v>2436</v>
      </c>
    </row>
    <row r="3260" spans="1:18" x14ac:dyDescent="0.5">
      <c r="A3260" t="str">
        <f>"06418VKK9"</f>
        <v>06418VKK9</v>
      </c>
      <c r="B3260" t="s">
        <v>101</v>
      </c>
      <c r="C3260" t="s">
        <v>4087</v>
      </c>
      <c r="D3260" t="s">
        <v>2433</v>
      </c>
      <c r="E3260">
        <v>5</v>
      </c>
      <c r="F3260" s="2">
        <v>47177</v>
      </c>
      <c r="G3260" s="2">
        <v>46081</v>
      </c>
      <c r="H3260" t="s">
        <v>610</v>
      </c>
      <c r="I3260" t="s">
        <v>713</v>
      </c>
      <c r="J3260">
        <v>97</v>
      </c>
      <c r="K3260">
        <v>100.23</v>
      </c>
      <c r="L3260">
        <v>5.859</v>
      </c>
      <c r="M3260">
        <v>4.75</v>
      </c>
      <c r="N3260">
        <v>4.9349999999999996</v>
      </c>
      <c r="O3260" t="s">
        <v>101</v>
      </c>
      <c r="P3260" t="s">
        <v>2438</v>
      </c>
      <c r="Q3260" t="s">
        <v>4088</v>
      </c>
      <c r="R3260" t="s">
        <v>2439</v>
      </c>
    </row>
    <row r="3261" spans="1:18" x14ac:dyDescent="0.5">
      <c r="A3261" t="str">
        <f>"06745PWE7"</f>
        <v>06745PWE7</v>
      </c>
      <c r="B3261" t="s">
        <v>101</v>
      </c>
      <c r="C3261" t="s">
        <v>4089</v>
      </c>
      <c r="D3261" t="s">
        <v>2433</v>
      </c>
      <c r="E3261">
        <v>5</v>
      </c>
      <c r="F3261" s="2">
        <v>47177</v>
      </c>
      <c r="G3261" s="2">
        <v>46446</v>
      </c>
      <c r="H3261" t="s">
        <v>641</v>
      </c>
      <c r="I3261" t="s">
        <v>658</v>
      </c>
      <c r="J3261">
        <v>98.86</v>
      </c>
      <c r="K3261">
        <v>101.16</v>
      </c>
      <c r="L3261">
        <v>5.3220000000000001</v>
      </c>
      <c r="M3261">
        <v>4.3710000000000004</v>
      </c>
      <c r="N3261">
        <v>4.6749999999999998</v>
      </c>
      <c r="O3261" t="s">
        <v>101</v>
      </c>
      <c r="P3261" t="s">
        <v>2289</v>
      </c>
      <c r="Q3261" t="s">
        <v>3296</v>
      </c>
      <c r="R3261" t="s">
        <v>2726</v>
      </c>
    </row>
    <row r="3262" spans="1:18" x14ac:dyDescent="0.5">
      <c r="A3262" t="str">
        <f>"03740MAB6"</f>
        <v>03740MAB6</v>
      </c>
      <c r="B3262" t="s">
        <v>101</v>
      </c>
      <c r="C3262" t="s">
        <v>4090</v>
      </c>
      <c r="D3262" t="s">
        <v>2433</v>
      </c>
      <c r="E3262">
        <v>5.15</v>
      </c>
      <c r="F3262" s="2">
        <v>47178</v>
      </c>
      <c r="G3262" s="2">
        <v>47150</v>
      </c>
      <c r="H3262" t="s">
        <v>677</v>
      </c>
      <c r="I3262" t="s">
        <v>713</v>
      </c>
      <c r="J3262">
        <v>101.229</v>
      </c>
      <c r="K3262">
        <v>101.232</v>
      </c>
      <c r="L3262">
        <v>4.8</v>
      </c>
      <c r="M3262">
        <v>4.7990000000000004</v>
      </c>
      <c r="N3262">
        <v>4.8049999999999997</v>
      </c>
      <c r="O3262" t="s">
        <v>101</v>
      </c>
      <c r="P3262" t="s">
        <v>2447</v>
      </c>
      <c r="Q3262" t="s">
        <v>1702</v>
      </c>
      <c r="R3262" t="s">
        <v>2436</v>
      </c>
    </row>
    <row r="3263" spans="1:18" x14ac:dyDescent="0.5">
      <c r="A3263" t="str">
        <f>"101137AX5"</f>
        <v>101137AX5</v>
      </c>
      <c r="B3263" t="s">
        <v>101</v>
      </c>
      <c r="C3263" t="s">
        <v>4091</v>
      </c>
      <c r="D3263" t="s">
        <v>2433</v>
      </c>
      <c r="E3263">
        <v>4</v>
      </c>
      <c r="F3263" s="2">
        <v>47178</v>
      </c>
      <c r="G3263" s="2">
        <v>47088</v>
      </c>
      <c r="H3263" t="s">
        <v>670</v>
      </c>
      <c r="I3263" t="s">
        <v>713</v>
      </c>
      <c r="J3263">
        <v>97.590999999999994</v>
      </c>
      <c r="K3263">
        <v>97.947000000000003</v>
      </c>
      <c r="L3263">
        <v>4.6719999999999997</v>
      </c>
      <c r="M3263">
        <v>4.5709999999999997</v>
      </c>
      <c r="N3263">
        <v>4.5709999999999997</v>
      </c>
      <c r="O3263" t="s">
        <v>101</v>
      </c>
      <c r="P3263" t="s">
        <v>2289</v>
      </c>
      <c r="Q3263" t="s">
        <v>2747</v>
      </c>
      <c r="R3263" t="s">
        <v>2436</v>
      </c>
    </row>
    <row r="3264" spans="1:18" x14ac:dyDescent="0.5">
      <c r="A3264" t="str">
        <f>"122014AL7"</f>
        <v>122014AL7</v>
      </c>
      <c r="B3264" t="s">
        <v>101</v>
      </c>
      <c r="C3264" t="s">
        <v>4092</v>
      </c>
      <c r="D3264" t="s">
        <v>2433</v>
      </c>
      <c r="E3264">
        <v>7.375</v>
      </c>
      <c r="F3264" s="2">
        <v>47178</v>
      </c>
      <c r="G3264" s="2" t="s">
        <v>101</v>
      </c>
      <c r="H3264" t="s">
        <v>610</v>
      </c>
      <c r="I3264" t="s">
        <v>713</v>
      </c>
      <c r="J3264">
        <v>109.325</v>
      </c>
      <c r="K3264">
        <v>110.759</v>
      </c>
      <c r="L3264">
        <v>4.7679999999999998</v>
      </c>
      <c r="M3264">
        <v>4.391</v>
      </c>
      <c r="N3264">
        <v>4.391</v>
      </c>
      <c r="O3264" t="s">
        <v>101</v>
      </c>
      <c r="P3264" t="s">
        <v>475</v>
      </c>
      <c r="Q3264" t="s">
        <v>858</v>
      </c>
      <c r="R3264" t="s">
        <v>2436</v>
      </c>
    </row>
    <row r="3265" spans="1:18" x14ac:dyDescent="0.5">
      <c r="A3265" t="str">
        <f>"713448EG9"</f>
        <v>713448EG9</v>
      </c>
      <c r="B3265" t="s">
        <v>101</v>
      </c>
      <c r="C3265" t="s">
        <v>4093</v>
      </c>
      <c r="D3265" t="s">
        <v>2433</v>
      </c>
      <c r="E3265">
        <v>7</v>
      </c>
      <c r="F3265" s="2">
        <v>47178</v>
      </c>
      <c r="G3265" s="2" t="s">
        <v>101</v>
      </c>
      <c r="H3265" t="s">
        <v>641</v>
      </c>
      <c r="I3265" t="s">
        <v>658</v>
      </c>
      <c r="J3265">
        <v>109.253</v>
      </c>
      <c r="K3265">
        <v>109.521</v>
      </c>
      <c r="L3265">
        <v>4.4320000000000004</v>
      </c>
      <c r="M3265">
        <v>4.3609999999999998</v>
      </c>
      <c r="N3265">
        <v>4.3609999999999998</v>
      </c>
      <c r="O3265" t="s">
        <v>101</v>
      </c>
      <c r="P3265" t="s">
        <v>2454</v>
      </c>
      <c r="Q3265" t="s">
        <v>1064</v>
      </c>
      <c r="R3265" t="s">
        <v>2436</v>
      </c>
    </row>
    <row r="3266" spans="1:18" x14ac:dyDescent="0.5">
      <c r="A3266" t="str">
        <f>"743315AJ2"</f>
        <v>743315AJ2</v>
      </c>
      <c r="B3266" t="s">
        <v>101</v>
      </c>
      <c r="C3266" t="s">
        <v>4094</v>
      </c>
      <c r="D3266" t="s">
        <v>2433</v>
      </c>
      <c r="E3266">
        <v>6.625</v>
      </c>
      <c r="F3266" s="2">
        <v>47178</v>
      </c>
      <c r="G3266" s="2" t="s">
        <v>101</v>
      </c>
      <c r="H3266" t="s">
        <v>610</v>
      </c>
      <c r="I3266" t="s">
        <v>611</v>
      </c>
      <c r="J3266">
        <v>107.21299999999999</v>
      </c>
      <c r="K3266">
        <v>107.621</v>
      </c>
      <c r="L3266">
        <v>4.6150000000000002</v>
      </c>
      <c r="M3266">
        <v>4.5060000000000002</v>
      </c>
      <c r="N3266">
        <v>4.5060000000000002</v>
      </c>
      <c r="O3266" t="s">
        <v>101</v>
      </c>
      <c r="P3266" t="s">
        <v>2527</v>
      </c>
      <c r="Q3266" t="s">
        <v>4095</v>
      </c>
      <c r="R3266" t="s">
        <v>2436</v>
      </c>
    </row>
    <row r="3267" spans="1:18" x14ac:dyDescent="0.5">
      <c r="A3267" t="str">
        <f>"743315AV5"</f>
        <v>743315AV5</v>
      </c>
      <c r="B3267" t="s">
        <v>101</v>
      </c>
      <c r="C3267" t="s">
        <v>4096</v>
      </c>
      <c r="D3267" t="s">
        <v>2433</v>
      </c>
      <c r="E3267">
        <v>4</v>
      </c>
      <c r="F3267" s="2">
        <v>47178</v>
      </c>
      <c r="G3267" s="2">
        <v>47088</v>
      </c>
      <c r="H3267" t="s">
        <v>610</v>
      </c>
      <c r="I3267" t="s">
        <v>611</v>
      </c>
      <c r="J3267">
        <v>98.057000000000002</v>
      </c>
      <c r="K3267">
        <v>98.222999999999999</v>
      </c>
      <c r="L3267">
        <v>4.54</v>
      </c>
      <c r="M3267">
        <v>4.4930000000000003</v>
      </c>
      <c r="N3267">
        <v>4.4930000000000003</v>
      </c>
      <c r="O3267" t="s">
        <v>101</v>
      </c>
      <c r="P3267" t="s">
        <v>2447</v>
      </c>
      <c r="Q3267" t="s">
        <v>2581</v>
      </c>
      <c r="R3267" t="s">
        <v>2436</v>
      </c>
    </row>
    <row r="3268" spans="1:18" x14ac:dyDescent="0.5">
      <c r="A3268" t="str">
        <f>"773903AH2"</f>
        <v>773903AH2</v>
      </c>
      <c r="B3268" t="s">
        <v>101</v>
      </c>
      <c r="C3268" t="s">
        <v>4097</v>
      </c>
      <c r="D3268" t="s">
        <v>2433</v>
      </c>
      <c r="E3268">
        <v>3.5</v>
      </c>
      <c r="F3268" s="2">
        <v>47178</v>
      </c>
      <c r="G3268" s="2">
        <v>47088</v>
      </c>
      <c r="H3268" t="s">
        <v>627</v>
      </c>
      <c r="I3268" t="s">
        <v>713</v>
      </c>
      <c r="J3268">
        <v>96.054000000000002</v>
      </c>
      <c r="K3268">
        <v>96.349000000000004</v>
      </c>
      <c r="L3268">
        <v>4.5990000000000002</v>
      </c>
      <c r="M3268">
        <v>4.5149999999999997</v>
      </c>
      <c r="N3268">
        <v>4.5149999999999997</v>
      </c>
      <c r="O3268" t="s">
        <v>101</v>
      </c>
      <c r="P3268" t="s">
        <v>3920</v>
      </c>
      <c r="Q3268" t="s">
        <v>1054</v>
      </c>
      <c r="R3268" t="s">
        <v>2436</v>
      </c>
    </row>
    <row r="3269" spans="1:18" x14ac:dyDescent="0.5">
      <c r="A3269" t="str">
        <f>"842400GQ0"</f>
        <v>842400GQ0</v>
      </c>
      <c r="B3269" t="s">
        <v>101</v>
      </c>
      <c r="C3269" t="s">
        <v>4098</v>
      </c>
      <c r="D3269" t="s">
        <v>2433</v>
      </c>
      <c r="E3269">
        <v>4.2</v>
      </c>
      <c r="F3269" s="2">
        <v>47178</v>
      </c>
      <c r="G3269" s="2">
        <v>47088</v>
      </c>
      <c r="H3269" t="s">
        <v>610</v>
      </c>
      <c r="I3269" t="s">
        <v>713</v>
      </c>
      <c r="J3269">
        <v>96.408000000000001</v>
      </c>
      <c r="K3269">
        <v>96.697000000000003</v>
      </c>
      <c r="L3269">
        <v>5.2130000000000001</v>
      </c>
      <c r="M3269">
        <v>5.13</v>
      </c>
      <c r="N3269">
        <v>5.13</v>
      </c>
      <c r="O3269" t="s">
        <v>101</v>
      </c>
      <c r="P3269" t="s">
        <v>3939</v>
      </c>
      <c r="Q3269" t="s">
        <v>3075</v>
      </c>
      <c r="R3269" t="s">
        <v>2436</v>
      </c>
    </row>
    <row r="3270" spans="1:18" x14ac:dyDescent="0.5">
      <c r="A3270" t="str">
        <f>"907818FB9"</f>
        <v>907818FB9</v>
      </c>
      <c r="B3270" t="s">
        <v>101</v>
      </c>
      <c r="C3270" t="s">
        <v>4099</v>
      </c>
      <c r="D3270" t="s">
        <v>2433</v>
      </c>
      <c r="E3270">
        <v>3.7</v>
      </c>
      <c r="F3270" s="2">
        <v>47178</v>
      </c>
      <c r="G3270" s="2">
        <v>47088</v>
      </c>
      <c r="H3270" t="s">
        <v>627</v>
      </c>
      <c r="I3270" t="s">
        <v>713</v>
      </c>
      <c r="J3270">
        <v>96.956999999999994</v>
      </c>
      <c r="K3270">
        <v>97.215999999999994</v>
      </c>
      <c r="L3270">
        <v>4.5460000000000003</v>
      </c>
      <c r="M3270">
        <v>4.4729999999999999</v>
      </c>
      <c r="N3270">
        <v>4.4729999999999999</v>
      </c>
      <c r="O3270" t="s">
        <v>101</v>
      </c>
      <c r="P3270" t="s">
        <v>1236</v>
      </c>
      <c r="Q3270" t="s">
        <v>1236</v>
      </c>
      <c r="R3270" t="s">
        <v>2436</v>
      </c>
    </row>
    <row r="3271" spans="1:18" x14ac:dyDescent="0.5">
      <c r="A3271" t="str">
        <f>"24422EUU1"</f>
        <v>24422EUU1</v>
      </c>
      <c r="B3271" t="s">
        <v>101</v>
      </c>
      <c r="C3271" t="s">
        <v>4100</v>
      </c>
      <c r="D3271" t="s">
        <v>2433</v>
      </c>
      <c r="E3271">
        <v>3.45</v>
      </c>
      <c r="F3271" s="2">
        <v>47184</v>
      </c>
      <c r="G3271" s="2" t="s">
        <v>105</v>
      </c>
      <c r="H3271" t="s">
        <v>641</v>
      </c>
      <c r="I3271" t="s">
        <v>611</v>
      </c>
      <c r="J3271">
        <v>96.188999999999993</v>
      </c>
      <c r="K3271">
        <v>96.375</v>
      </c>
      <c r="L3271">
        <v>4.5049999999999999</v>
      </c>
      <c r="M3271">
        <v>4.452</v>
      </c>
      <c r="N3271">
        <v>4.452</v>
      </c>
      <c r="O3271" t="s">
        <v>101</v>
      </c>
      <c r="P3271" t="s">
        <v>3075</v>
      </c>
      <c r="Q3271" t="s">
        <v>858</v>
      </c>
      <c r="R3271" t="s">
        <v>2465</v>
      </c>
    </row>
    <row r="3272" spans="1:18" x14ac:dyDescent="0.5">
      <c r="A3272" t="str">
        <f>"58933YAX3"</f>
        <v>58933YAX3</v>
      </c>
      <c r="B3272" t="s">
        <v>101</v>
      </c>
      <c r="C3272" t="s">
        <v>4101</v>
      </c>
      <c r="D3272" t="s">
        <v>2433</v>
      </c>
      <c r="E3272">
        <v>3.4</v>
      </c>
      <c r="F3272" s="2">
        <v>47184</v>
      </c>
      <c r="G3272" s="2">
        <v>47094</v>
      </c>
      <c r="H3272" t="s">
        <v>641</v>
      </c>
      <c r="I3272" t="s">
        <v>658</v>
      </c>
      <c r="J3272">
        <v>96.165000000000006</v>
      </c>
      <c r="K3272">
        <v>96.299000000000007</v>
      </c>
      <c r="L3272">
        <v>4.4610000000000003</v>
      </c>
      <c r="M3272">
        <v>4.423</v>
      </c>
      <c r="N3272">
        <v>4.423</v>
      </c>
      <c r="O3272" t="s">
        <v>101</v>
      </c>
      <c r="P3272" t="s">
        <v>1236</v>
      </c>
      <c r="Q3272" t="s">
        <v>2454</v>
      </c>
      <c r="R3272" t="s">
        <v>2436</v>
      </c>
    </row>
    <row r="3273" spans="1:18" x14ac:dyDescent="0.5">
      <c r="A3273" t="str">
        <f>"606822BH6"</f>
        <v>606822BH6</v>
      </c>
      <c r="B3273" t="s">
        <v>101</v>
      </c>
      <c r="C3273" t="s">
        <v>4102</v>
      </c>
      <c r="D3273" t="s">
        <v>2433</v>
      </c>
      <c r="E3273">
        <v>3.7410000000000001</v>
      </c>
      <c r="F3273" s="2">
        <v>47184</v>
      </c>
      <c r="G3273" s="2" t="s">
        <v>101</v>
      </c>
      <c r="H3273" t="s">
        <v>641</v>
      </c>
      <c r="I3273" t="s">
        <v>713</v>
      </c>
      <c r="J3273">
        <v>96.525999999999996</v>
      </c>
      <c r="K3273">
        <v>96.923000000000002</v>
      </c>
      <c r="L3273">
        <v>4.7069999999999999</v>
      </c>
      <c r="M3273">
        <v>4.5940000000000003</v>
      </c>
      <c r="N3273">
        <v>4.5940000000000003</v>
      </c>
      <c r="O3273" t="s">
        <v>101</v>
      </c>
      <c r="P3273" t="s">
        <v>1702</v>
      </c>
      <c r="Q3273" t="s">
        <v>4103</v>
      </c>
      <c r="R3273" t="s">
        <v>2436</v>
      </c>
    </row>
    <row r="3274" spans="1:18" x14ac:dyDescent="0.5">
      <c r="A3274" t="str">
        <f>"02665WFE6"</f>
        <v>02665WFE6</v>
      </c>
      <c r="B3274" t="s">
        <v>101</v>
      </c>
      <c r="C3274" t="s">
        <v>4104</v>
      </c>
      <c r="D3274" t="s">
        <v>2433</v>
      </c>
      <c r="E3274">
        <v>4.9000000000000004</v>
      </c>
      <c r="F3274" s="2">
        <v>47190</v>
      </c>
      <c r="G3274" s="2" t="s">
        <v>101</v>
      </c>
      <c r="H3274" t="s">
        <v>627</v>
      </c>
      <c r="I3274" t="s">
        <v>713</v>
      </c>
      <c r="J3274">
        <v>100.062</v>
      </c>
      <c r="K3274">
        <v>100.636</v>
      </c>
      <c r="L3274">
        <v>4.883</v>
      </c>
      <c r="M3274">
        <v>4.7240000000000002</v>
      </c>
      <c r="N3274">
        <v>4.7240000000000002</v>
      </c>
      <c r="O3274" t="s">
        <v>101</v>
      </c>
      <c r="P3274" t="s">
        <v>2454</v>
      </c>
      <c r="Q3274" t="s">
        <v>2454</v>
      </c>
      <c r="R3274" t="s">
        <v>2436</v>
      </c>
    </row>
    <row r="3275" spans="1:18" x14ac:dyDescent="0.5">
      <c r="A3275" t="str">
        <f>"05946KAQ4"</f>
        <v>05946KAQ4</v>
      </c>
      <c r="B3275" t="s">
        <v>101</v>
      </c>
      <c r="C3275" t="s">
        <v>4105</v>
      </c>
      <c r="D3275" t="s">
        <v>2433</v>
      </c>
      <c r="E3275">
        <v>5.3810000000000002</v>
      </c>
      <c r="F3275" s="2">
        <v>47190</v>
      </c>
      <c r="G3275" s="2" t="s">
        <v>101</v>
      </c>
      <c r="H3275" t="s">
        <v>627</v>
      </c>
      <c r="I3275" t="s">
        <v>611</v>
      </c>
      <c r="J3275">
        <v>101.822</v>
      </c>
      <c r="K3275">
        <v>102.125</v>
      </c>
      <c r="L3275">
        <v>4.8739999999999997</v>
      </c>
      <c r="M3275">
        <v>4.7910000000000004</v>
      </c>
      <c r="N3275">
        <v>4.7910000000000004</v>
      </c>
      <c r="O3275" t="s">
        <v>101</v>
      </c>
      <c r="P3275" t="s">
        <v>3891</v>
      </c>
      <c r="Q3275" t="s">
        <v>3292</v>
      </c>
      <c r="R3275" t="s">
        <v>2436</v>
      </c>
    </row>
    <row r="3276" spans="1:18" x14ac:dyDescent="0.5">
      <c r="A3276" t="str">
        <f>"09290DAA9"</f>
        <v>09290DAA9</v>
      </c>
      <c r="B3276" t="s">
        <v>101</v>
      </c>
      <c r="C3276" t="s">
        <v>4106</v>
      </c>
      <c r="D3276" t="s">
        <v>2433</v>
      </c>
      <c r="E3276">
        <v>4.7</v>
      </c>
      <c r="F3276" s="2">
        <v>47191</v>
      </c>
      <c r="G3276" s="2">
        <v>47163</v>
      </c>
      <c r="H3276" t="s">
        <v>624</v>
      </c>
      <c r="I3276" t="s">
        <v>616</v>
      </c>
      <c r="J3276">
        <v>100.98</v>
      </c>
      <c r="K3276">
        <v>101.057</v>
      </c>
      <c r="L3276">
        <v>4.4260000000000002</v>
      </c>
      <c r="M3276">
        <v>4.4039999999999999</v>
      </c>
      <c r="N3276">
        <v>4.4089999999999998</v>
      </c>
      <c r="O3276" t="s">
        <v>101</v>
      </c>
      <c r="P3276" t="s">
        <v>1702</v>
      </c>
      <c r="Q3276" t="s">
        <v>2581</v>
      </c>
      <c r="R3276" t="s">
        <v>2436</v>
      </c>
    </row>
    <row r="3277" spans="1:18" x14ac:dyDescent="0.5">
      <c r="A3277" t="str">
        <f>"559222BA1"</f>
        <v>559222BA1</v>
      </c>
      <c r="B3277" t="s">
        <v>101</v>
      </c>
      <c r="C3277" t="s">
        <v>4107</v>
      </c>
      <c r="D3277" t="s">
        <v>2433</v>
      </c>
      <c r="E3277">
        <v>5.05</v>
      </c>
      <c r="F3277" s="2">
        <v>47191</v>
      </c>
      <c r="G3277" s="2">
        <v>47163</v>
      </c>
      <c r="H3277" t="s">
        <v>627</v>
      </c>
      <c r="I3277" t="s">
        <v>713</v>
      </c>
      <c r="J3277">
        <v>100.434</v>
      </c>
      <c r="K3277">
        <v>100.845</v>
      </c>
      <c r="L3277">
        <v>4.9279999999999999</v>
      </c>
      <c r="M3277">
        <v>4.8120000000000003</v>
      </c>
      <c r="N3277">
        <v>4.8150000000000004</v>
      </c>
      <c r="O3277" t="s">
        <v>101</v>
      </c>
      <c r="P3277" t="s">
        <v>2472</v>
      </c>
      <c r="Q3277" t="s">
        <v>2786</v>
      </c>
      <c r="R3277" t="s">
        <v>2436</v>
      </c>
    </row>
    <row r="3278" spans="1:18" x14ac:dyDescent="0.5">
      <c r="A3278" t="str">
        <f>"00287YDS5"</f>
        <v>00287YDS5</v>
      </c>
      <c r="B3278" t="s">
        <v>101</v>
      </c>
      <c r="C3278" t="s">
        <v>4108</v>
      </c>
      <c r="D3278" t="s">
        <v>2433</v>
      </c>
      <c r="E3278">
        <v>4.8</v>
      </c>
      <c r="F3278" s="2">
        <v>47192</v>
      </c>
      <c r="G3278" s="2">
        <v>47164</v>
      </c>
      <c r="H3278" t="s">
        <v>627</v>
      </c>
      <c r="I3278" t="s">
        <v>713</v>
      </c>
      <c r="J3278">
        <v>100.822</v>
      </c>
      <c r="K3278">
        <v>100.855</v>
      </c>
      <c r="L3278">
        <v>4.57</v>
      </c>
      <c r="M3278">
        <v>4.5599999999999996</v>
      </c>
      <c r="N3278">
        <v>4.5640000000000001</v>
      </c>
      <c r="O3278" t="s">
        <v>101</v>
      </c>
      <c r="P3278" t="s">
        <v>2581</v>
      </c>
      <c r="Q3278" t="s">
        <v>2454</v>
      </c>
      <c r="R3278" t="s">
        <v>2436</v>
      </c>
    </row>
    <row r="3279" spans="1:18" x14ac:dyDescent="0.5">
      <c r="A3279" t="str">
        <f>"12189TAN4"</f>
        <v>12189TAN4</v>
      </c>
      <c r="B3279" t="s">
        <v>101</v>
      </c>
      <c r="C3279" t="s">
        <v>4109</v>
      </c>
      <c r="D3279" t="s">
        <v>2433</v>
      </c>
      <c r="E3279">
        <v>6.75</v>
      </c>
      <c r="F3279" s="2">
        <v>47192</v>
      </c>
      <c r="G3279" s="2" t="s">
        <v>101</v>
      </c>
      <c r="H3279" t="s">
        <v>610</v>
      </c>
      <c r="I3279" t="s">
        <v>616</v>
      </c>
      <c r="J3279">
        <v>107.336</v>
      </c>
      <c r="K3279">
        <v>108.607</v>
      </c>
      <c r="L3279">
        <v>4.72</v>
      </c>
      <c r="M3279">
        <v>4.3849999999999998</v>
      </c>
      <c r="N3279">
        <v>4.3849999999999998</v>
      </c>
      <c r="O3279" t="s">
        <v>101</v>
      </c>
      <c r="P3279" t="s">
        <v>2527</v>
      </c>
      <c r="Q3279" t="s">
        <v>453</v>
      </c>
      <c r="R3279" t="s">
        <v>2436</v>
      </c>
    </row>
    <row r="3280" spans="1:18" x14ac:dyDescent="0.5">
      <c r="A3280" t="str">
        <f>"26442UAH7"</f>
        <v>26442UAH7</v>
      </c>
      <c r="B3280" t="s">
        <v>101</v>
      </c>
      <c r="C3280" t="s">
        <v>4110</v>
      </c>
      <c r="D3280" t="s">
        <v>2433</v>
      </c>
      <c r="E3280">
        <v>3.45</v>
      </c>
      <c r="F3280" s="2">
        <v>47192</v>
      </c>
      <c r="G3280" s="2">
        <v>47102</v>
      </c>
      <c r="H3280" t="s">
        <v>624</v>
      </c>
      <c r="I3280" t="s">
        <v>611</v>
      </c>
      <c r="J3280">
        <v>95.798000000000002</v>
      </c>
      <c r="K3280">
        <v>95.968000000000004</v>
      </c>
      <c r="L3280">
        <v>4.6100000000000003</v>
      </c>
      <c r="M3280">
        <v>4.5620000000000003</v>
      </c>
      <c r="N3280">
        <v>4.5620000000000003</v>
      </c>
      <c r="O3280" t="s">
        <v>101</v>
      </c>
      <c r="P3280" t="s">
        <v>4111</v>
      </c>
      <c r="Q3280" t="s">
        <v>2581</v>
      </c>
      <c r="R3280" t="s">
        <v>2436</v>
      </c>
    </row>
    <row r="3281" spans="1:18" x14ac:dyDescent="0.5">
      <c r="A3281" t="str">
        <f>"532457BV9"</f>
        <v>532457BV9</v>
      </c>
      <c r="B3281" t="s">
        <v>101</v>
      </c>
      <c r="C3281" t="s">
        <v>4112</v>
      </c>
      <c r="D3281" t="s">
        <v>2433</v>
      </c>
      <c r="E3281">
        <v>3.375</v>
      </c>
      <c r="F3281" s="2">
        <v>47192</v>
      </c>
      <c r="G3281" s="2">
        <v>47102</v>
      </c>
      <c r="H3281" t="s">
        <v>624</v>
      </c>
      <c r="I3281" t="s">
        <v>658</v>
      </c>
      <c r="J3281">
        <v>96.141000000000005</v>
      </c>
      <c r="K3281">
        <v>96.349000000000004</v>
      </c>
      <c r="L3281">
        <v>4.4359999999999999</v>
      </c>
      <c r="M3281">
        <v>4.3780000000000001</v>
      </c>
      <c r="N3281">
        <v>4.3780000000000001</v>
      </c>
      <c r="O3281" t="s">
        <v>101</v>
      </c>
      <c r="P3281" t="s">
        <v>1391</v>
      </c>
      <c r="Q3281" t="s">
        <v>2581</v>
      </c>
      <c r="R3281" t="s">
        <v>2436</v>
      </c>
    </row>
    <row r="3282" spans="1:18" x14ac:dyDescent="0.5">
      <c r="A3282" t="str">
        <f>"482480AG5"</f>
        <v>482480AG5</v>
      </c>
      <c r="B3282" t="s">
        <v>101</v>
      </c>
      <c r="C3282" t="s">
        <v>4113</v>
      </c>
      <c r="D3282" t="s">
        <v>2433</v>
      </c>
      <c r="E3282">
        <v>4.0999999999999996</v>
      </c>
      <c r="F3282" s="2">
        <v>47192</v>
      </c>
      <c r="G3282" s="2">
        <v>47102</v>
      </c>
      <c r="H3282" t="s">
        <v>610</v>
      </c>
      <c r="I3282" t="s">
        <v>713</v>
      </c>
      <c r="J3282">
        <v>98.132999999999996</v>
      </c>
      <c r="K3282">
        <v>98.358999999999995</v>
      </c>
      <c r="L3282">
        <v>4.6150000000000002</v>
      </c>
      <c r="M3282">
        <v>4.5519999999999996</v>
      </c>
      <c r="N3282">
        <v>4.5519999999999996</v>
      </c>
      <c r="O3282" t="s">
        <v>101</v>
      </c>
      <c r="P3282" t="s">
        <v>2776</v>
      </c>
      <c r="Q3282" t="s">
        <v>1702</v>
      </c>
      <c r="R3282" t="s">
        <v>2436</v>
      </c>
    </row>
    <row r="3283" spans="1:18" x14ac:dyDescent="0.5">
      <c r="A3283" t="str">
        <f>"512807AU2"</f>
        <v>512807AU2</v>
      </c>
      <c r="B3283" t="s">
        <v>101</v>
      </c>
      <c r="C3283" t="s">
        <v>4114</v>
      </c>
      <c r="D3283" t="s">
        <v>2433</v>
      </c>
      <c r="E3283">
        <v>4</v>
      </c>
      <c r="F3283" s="2">
        <v>47192</v>
      </c>
      <c r="G3283" s="2">
        <v>47102</v>
      </c>
      <c r="H3283" t="s">
        <v>610</v>
      </c>
      <c r="I3283" t="s">
        <v>713</v>
      </c>
      <c r="J3283">
        <v>97.870999999999995</v>
      </c>
      <c r="K3283">
        <v>98.278000000000006</v>
      </c>
      <c r="L3283">
        <v>4.5869999999999997</v>
      </c>
      <c r="M3283">
        <v>4.4740000000000002</v>
      </c>
      <c r="N3283">
        <v>4.4740000000000002</v>
      </c>
      <c r="O3283" t="s">
        <v>101</v>
      </c>
      <c r="P3283" t="s">
        <v>4115</v>
      </c>
      <c r="Q3283" t="s">
        <v>1702</v>
      </c>
      <c r="R3283" t="s">
        <v>2436</v>
      </c>
    </row>
    <row r="3284" spans="1:18" x14ac:dyDescent="0.5">
      <c r="A3284" t="str">
        <f>"571748BG6"</f>
        <v>571748BG6</v>
      </c>
      <c r="B3284" t="s">
        <v>101</v>
      </c>
      <c r="C3284" t="s">
        <v>4116</v>
      </c>
      <c r="D3284" t="s">
        <v>2433</v>
      </c>
      <c r="E3284">
        <v>4.375</v>
      </c>
      <c r="F3284" s="2">
        <v>47192</v>
      </c>
      <c r="G3284" s="2">
        <v>47102</v>
      </c>
      <c r="H3284" t="s">
        <v>627</v>
      </c>
      <c r="I3284" t="s">
        <v>713</v>
      </c>
      <c r="J3284">
        <v>98.974999999999994</v>
      </c>
      <c r="K3284">
        <v>99.183000000000007</v>
      </c>
      <c r="L3284">
        <v>4.6580000000000004</v>
      </c>
      <c r="M3284">
        <v>4.5999999999999996</v>
      </c>
      <c r="N3284">
        <v>4.5999999999999996</v>
      </c>
      <c r="O3284" t="s">
        <v>101</v>
      </c>
      <c r="P3284" t="s">
        <v>3884</v>
      </c>
      <c r="Q3284" t="s">
        <v>2454</v>
      </c>
      <c r="R3284" t="s">
        <v>2436</v>
      </c>
    </row>
    <row r="3285" spans="1:18" x14ac:dyDescent="0.5">
      <c r="A3285" t="str">
        <f>"59523UAQ0"</f>
        <v>59523UAQ0</v>
      </c>
      <c r="B3285" t="s">
        <v>101</v>
      </c>
      <c r="C3285" t="s">
        <v>4117</v>
      </c>
      <c r="D3285" t="s">
        <v>2433</v>
      </c>
      <c r="E3285">
        <v>3.95</v>
      </c>
      <c r="F3285" s="2">
        <v>47192</v>
      </c>
      <c r="G3285" s="2">
        <v>47102</v>
      </c>
      <c r="H3285" t="s">
        <v>627</v>
      </c>
      <c r="I3285" t="s">
        <v>713</v>
      </c>
      <c r="J3285">
        <v>96.974000000000004</v>
      </c>
      <c r="K3285">
        <v>97.16</v>
      </c>
      <c r="L3285">
        <v>4.7889999999999997</v>
      </c>
      <c r="M3285">
        <v>4.7359999999999998</v>
      </c>
      <c r="N3285">
        <v>4.7359999999999998</v>
      </c>
      <c r="O3285" t="s">
        <v>101</v>
      </c>
      <c r="P3285" t="s">
        <v>2525</v>
      </c>
      <c r="Q3285" t="s">
        <v>1999</v>
      </c>
      <c r="R3285" t="s">
        <v>2436</v>
      </c>
    </row>
    <row r="3286" spans="1:18" x14ac:dyDescent="0.5">
      <c r="A3286" t="str">
        <f>"63743FA97"</f>
        <v>63743FA97</v>
      </c>
      <c r="B3286" t="s">
        <v>101</v>
      </c>
      <c r="C3286" t="s">
        <v>4118</v>
      </c>
      <c r="D3286" t="s">
        <v>2433</v>
      </c>
      <c r="E3286">
        <v>3</v>
      </c>
      <c r="F3286" s="2">
        <v>47192</v>
      </c>
      <c r="G3286" s="2" t="s">
        <v>105</v>
      </c>
      <c r="H3286" t="s">
        <v>610</v>
      </c>
      <c r="I3286" t="s">
        <v>713</v>
      </c>
      <c r="J3286">
        <v>92.876000000000005</v>
      </c>
      <c r="K3286">
        <v>94.936999999999998</v>
      </c>
      <c r="L3286">
        <v>4.9640000000000004</v>
      </c>
      <c r="M3286">
        <v>4.38</v>
      </c>
      <c r="N3286">
        <v>4.38</v>
      </c>
      <c r="O3286" t="s">
        <v>101</v>
      </c>
      <c r="P3286" t="s">
        <v>1391</v>
      </c>
      <c r="Q3286" t="s">
        <v>485</v>
      </c>
      <c r="R3286" t="s">
        <v>2610</v>
      </c>
    </row>
    <row r="3287" spans="1:18" x14ac:dyDescent="0.5">
      <c r="A3287" t="str">
        <f>"63743FB21"</f>
        <v>63743FB21</v>
      </c>
      <c r="B3287" t="s">
        <v>101</v>
      </c>
      <c r="C3287" t="s">
        <v>4119</v>
      </c>
      <c r="D3287" t="s">
        <v>2433</v>
      </c>
      <c r="E3287">
        <v>3</v>
      </c>
      <c r="F3287" s="2">
        <v>47192</v>
      </c>
      <c r="G3287" s="2" t="s">
        <v>105</v>
      </c>
      <c r="H3287" t="s">
        <v>610</v>
      </c>
      <c r="I3287" t="s">
        <v>713</v>
      </c>
      <c r="J3287">
        <v>92.822000000000003</v>
      </c>
      <c r="K3287">
        <v>94.793999999999997</v>
      </c>
      <c r="L3287">
        <v>4.9790000000000001</v>
      </c>
      <c r="M3287">
        <v>4.42</v>
      </c>
      <c r="N3287">
        <v>4.42</v>
      </c>
      <c r="O3287" t="s">
        <v>101</v>
      </c>
      <c r="P3287" t="s">
        <v>1391</v>
      </c>
      <c r="Q3287" t="s">
        <v>3861</v>
      </c>
      <c r="R3287" t="s">
        <v>2610</v>
      </c>
    </row>
    <row r="3288" spans="1:18" x14ac:dyDescent="0.5">
      <c r="A3288" t="str">
        <f>"63743FVR4"</f>
        <v>63743FVR4</v>
      </c>
      <c r="B3288" t="s">
        <v>101</v>
      </c>
      <c r="C3288" t="s">
        <v>4120</v>
      </c>
      <c r="D3288" t="s">
        <v>2433</v>
      </c>
      <c r="E3288">
        <v>3.5</v>
      </c>
      <c r="F3288" s="2">
        <v>47192</v>
      </c>
      <c r="G3288" s="2" t="s">
        <v>105</v>
      </c>
      <c r="H3288" t="s">
        <v>610</v>
      </c>
      <c r="I3288" t="s">
        <v>713</v>
      </c>
      <c r="J3288">
        <v>94.620999999999995</v>
      </c>
      <c r="K3288">
        <v>96.456000000000003</v>
      </c>
      <c r="L3288">
        <v>4.9829999999999997</v>
      </c>
      <c r="M3288">
        <v>4.4669999999999996</v>
      </c>
      <c r="N3288">
        <v>4.4669999999999996</v>
      </c>
      <c r="O3288" t="s">
        <v>101</v>
      </c>
      <c r="P3288" t="s">
        <v>1236</v>
      </c>
      <c r="Q3288" t="s">
        <v>488</v>
      </c>
      <c r="R3288" t="s">
        <v>2610</v>
      </c>
    </row>
    <row r="3289" spans="1:18" x14ac:dyDescent="0.5">
      <c r="A3289" t="str">
        <f>"637432NS0"</f>
        <v>637432NS0</v>
      </c>
      <c r="B3289" t="s">
        <v>101</v>
      </c>
      <c r="C3289" t="s">
        <v>4121</v>
      </c>
      <c r="D3289" t="s">
        <v>2433</v>
      </c>
      <c r="E3289">
        <v>3.7</v>
      </c>
      <c r="F3289" s="2">
        <v>47192</v>
      </c>
      <c r="G3289" s="2">
        <v>47102</v>
      </c>
      <c r="H3289" t="s">
        <v>641</v>
      </c>
      <c r="I3289" t="s">
        <v>713</v>
      </c>
      <c r="J3289">
        <v>96.51</v>
      </c>
      <c r="K3289">
        <v>96.811999999999998</v>
      </c>
      <c r="L3289">
        <v>4.665</v>
      </c>
      <c r="M3289">
        <v>4.58</v>
      </c>
      <c r="N3289">
        <v>4.58</v>
      </c>
      <c r="O3289" t="s">
        <v>101</v>
      </c>
      <c r="P3289" t="s">
        <v>2790</v>
      </c>
      <c r="Q3289" t="s">
        <v>1702</v>
      </c>
      <c r="R3289" t="s">
        <v>2436</v>
      </c>
    </row>
    <row r="3290" spans="1:18" x14ac:dyDescent="0.5">
      <c r="A3290" t="str">
        <f>"68233JBK9"</f>
        <v>68233JBK9</v>
      </c>
      <c r="B3290" t="s">
        <v>101</v>
      </c>
      <c r="C3290" t="s">
        <v>4122</v>
      </c>
      <c r="D3290" t="s">
        <v>2433</v>
      </c>
      <c r="E3290">
        <v>5.75</v>
      </c>
      <c r="F3290" s="2">
        <v>47192</v>
      </c>
      <c r="G3290" s="2">
        <v>47102</v>
      </c>
      <c r="H3290" t="s">
        <v>610</v>
      </c>
      <c r="I3290" t="s">
        <v>658</v>
      </c>
      <c r="J3290">
        <v>103.58499999999999</v>
      </c>
      <c r="K3290">
        <v>103.974</v>
      </c>
      <c r="L3290">
        <v>4.7</v>
      </c>
      <c r="M3290">
        <v>4.5890000000000004</v>
      </c>
      <c r="N3290">
        <v>4.6520000000000001</v>
      </c>
      <c r="O3290" t="s">
        <v>101</v>
      </c>
      <c r="P3290" t="s">
        <v>3920</v>
      </c>
      <c r="Q3290" t="s">
        <v>2472</v>
      </c>
      <c r="R3290" t="s">
        <v>2436</v>
      </c>
    </row>
    <row r="3291" spans="1:18" x14ac:dyDescent="0.5">
      <c r="A3291" t="str">
        <f>"717081ET6"</f>
        <v>717081ET6</v>
      </c>
      <c r="B3291" t="s">
        <v>101</v>
      </c>
      <c r="C3291" t="s">
        <v>4123</v>
      </c>
      <c r="D3291" t="s">
        <v>2433</v>
      </c>
      <c r="E3291">
        <v>3.45</v>
      </c>
      <c r="F3291" s="2">
        <v>47192</v>
      </c>
      <c r="G3291" s="2">
        <v>47102</v>
      </c>
      <c r="H3291" t="s">
        <v>610</v>
      </c>
      <c r="I3291" t="s">
        <v>611</v>
      </c>
      <c r="J3291">
        <v>96.28</v>
      </c>
      <c r="K3291">
        <v>96.421000000000006</v>
      </c>
      <c r="L3291">
        <v>4.4740000000000002</v>
      </c>
      <c r="M3291">
        <v>4.4340000000000002</v>
      </c>
      <c r="N3291">
        <v>4.4340000000000002</v>
      </c>
      <c r="O3291" t="s">
        <v>101</v>
      </c>
      <c r="P3291" t="s">
        <v>1236</v>
      </c>
      <c r="Q3291" t="s">
        <v>2454</v>
      </c>
      <c r="R3291" t="s">
        <v>2436</v>
      </c>
    </row>
    <row r="3292" spans="1:18" x14ac:dyDescent="0.5">
      <c r="A3292" t="str">
        <f>"906548CP5"</f>
        <v>906548CP5</v>
      </c>
      <c r="B3292" t="s">
        <v>101</v>
      </c>
      <c r="C3292" t="s">
        <v>4124</v>
      </c>
      <c r="D3292" t="s">
        <v>2433</v>
      </c>
      <c r="E3292">
        <v>3.5</v>
      </c>
      <c r="F3292" s="2">
        <v>47192</v>
      </c>
      <c r="G3292" s="2">
        <v>47102</v>
      </c>
      <c r="H3292" t="s">
        <v>610</v>
      </c>
      <c r="I3292" t="s">
        <v>611</v>
      </c>
      <c r="J3292">
        <v>95.757999999999996</v>
      </c>
      <c r="K3292">
        <v>96.125</v>
      </c>
      <c r="L3292">
        <v>4.673</v>
      </c>
      <c r="M3292">
        <v>4.569</v>
      </c>
      <c r="N3292">
        <v>4.569</v>
      </c>
      <c r="O3292" t="s">
        <v>101</v>
      </c>
      <c r="P3292" t="s">
        <v>1391</v>
      </c>
      <c r="Q3292" t="s">
        <v>2454</v>
      </c>
      <c r="R3292" t="s">
        <v>2436</v>
      </c>
    </row>
    <row r="3293" spans="1:18" x14ac:dyDescent="0.5">
      <c r="A3293" t="str">
        <f>"911312BR6"</f>
        <v>911312BR6</v>
      </c>
      <c r="B3293" t="s">
        <v>101</v>
      </c>
      <c r="C3293" t="s">
        <v>4125</v>
      </c>
      <c r="D3293" t="s">
        <v>2433</v>
      </c>
      <c r="E3293">
        <v>3.4</v>
      </c>
      <c r="F3293" s="2">
        <v>47192</v>
      </c>
      <c r="G3293" s="2">
        <v>47102</v>
      </c>
      <c r="H3293" t="s">
        <v>610</v>
      </c>
      <c r="I3293" t="s">
        <v>611</v>
      </c>
      <c r="J3293">
        <v>95.793999999999997</v>
      </c>
      <c r="K3293">
        <v>96.02</v>
      </c>
      <c r="L3293">
        <v>4.5599999999999996</v>
      </c>
      <c r="M3293">
        <v>4.4960000000000004</v>
      </c>
      <c r="N3293">
        <v>4.4960000000000004</v>
      </c>
      <c r="O3293" t="s">
        <v>101</v>
      </c>
      <c r="P3293" t="s">
        <v>2447</v>
      </c>
      <c r="Q3293" t="s">
        <v>1236</v>
      </c>
      <c r="R3293" t="s">
        <v>2436</v>
      </c>
    </row>
    <row r="3294" spans="1:18" x14ac:dyDescent="0.5">
      <c r="A3294" t="str">
        <f>"731011AX0"</f>
        <v>731011AX0</v>
      </c>
      <c r="B3294" t="s">
        <v>101</v>
      </c>
      <c r="C3294" t="s">
        <v>4126</v>
      </c>
      <c r="D3294" t="s">
        <v>2433</v>
      </c>
      <c r="E3294">
        <v>4.625</v>
      </c>
      <c r="F3294" s="2">
        <v>47195</v>
      </c>
      <c r="G3294" s="2">
        <v>47167</v>
      </c>
      <c r="H3294" t="s">
        <v>610</v>
      </c>
      <c r="I3294" t="s">
        <v>713</v>
      </c>
      <c r="J3294">
        <v>99.760999999999996</v>
      </c>
      <c r="K3294">
        <v>100.227</v>
      </c>
      <c r="L3294">
        <v>4.6909999999999998</v>
      </c>
      <c r="M3294">
        <v>4.5620000000000003</v>
      </c>
      <c r="N3294">
        <v>4.5620000000000003</v>
      </c>
      <c r="O3294" t="s">
        <v>101</v>
      </c>
      <c r="P3294" t="s">
        <v>2994</v>
      </c>
      <c r="Q3294" t="s">
        <v>3712</v>
      </c>
      <c r="R3294" t="s">
        <v>2436</v>
      </c>
    </row>
    <row r="3295" spans="1:18" x14ac:dyDescent="0.5">
      <c r="A3295" t="str">
        <f>"06048WU57"</f>
        <v>06048WU57</v>
      </c>
      <c r="B3295" t="s">
        <v>101</v>
      </c>
      <c r="C3295" t="s">
        <v>4127</v>
      </c>
      <c r="D3295" t="s">
        <v>2433</v>
      </c>
      <c r="E3295">
        <v>3.45</v>
      </c>
      <c r="F3295" s="2">
        <v>47205</v>
      </c>
      <c r="G3295" s="2">
        <v>45744</v>
      </c>
      <c r="H3295" t="s">
        <v>641</v>
      </c>
      <c r="I3295" t="s">
        <v>713</v>
      </c>
      <c r="J3295">
        <v>94.852999999999994</v>
      </c>
      <c r="K3295">
        <v>95.891000000000005</v>
      </c>
      <c r="L3295">
        <v>4.867</v>
      </c>
      <c r="M3295">
        <v>4.5739999999999998</v>
      </c>
      <c r="N3295">
        <v>4.5739999999999998</v>
      </c>
      <c r="O3295" t="s">
        <v>101</v>
      </c>
      <c r="P3295" t="s">
        <v>2595</v>
      </c>
      <c r="Q3295" t="s">
        <v>3270</v>
      </c>
      <c r="R3295" t="s">
        <v>2436</v>
      </c>
    </row>
    <row r="3296" spans="1:18" x14ac:dyDescent="0.5">
      <c r="A3296" t="str">
        <f>"11271LAD4"</f>
        <v>11271LAD4</v>
      </c>
      <c r="B3296" t="s">
        <v>101</v>
      </c>
      <c r="C3296" t="s">
        <v>4128</v>
      </c>
      <c r="D3296" t="s">
        <v>2433</v>
      </c>
      <c r="E3296">
        <v>4.8499999999999996</v>
      </c>
      <c r="F3296" s="2">
        <v>47206</v>
      </c>
      <c r="G3296" s="2">
        <v>47116</v>
      </c>
      <c r="H3296" t="s">
        <v>627</v>
      </c>
      <c r="I3296" t="s">
        <v>713</v>
      </c>
      <c r="J3296">
        <v>99.661000000000001</v>
      </c>
      <c r="K3296">
        <v>100.02800000000001</v>
      </c>
      <c r="L3296">
        <v>4.9429999999999996</v>
      </c>
      <c r="M3296">
        <v>4.8419999999999996</v>
      </c>
      <c r="N3296">
        <v>4.8419999999999996</v>
      </c>
      <c r="O3296" t="s">
        <v>101</v>
      </c>
      <c r="P3296" t="s">
        <v>3884</v>
      </c>
      <c r="Q3296" t="s">
        <v>2454</v>
      </c>
      <c r="R3296" t="s">
        <v>2436</v>
      </c>
    </row>
    <row r="3297" spans="1:18" x14ac:dyDescent="0.5">
      <c r="A3297" t="str">
        <f>"718507BK1"</f>
        <v>718507BK1</v>
      </c>
      <c r="B3297" t="s">
        <v>101</v>
      </c>
      <c r="C3297" t="s">
        <v>4129</v>
      </c>
      <c r="D3297" t="s">
        <v>2433</v>
      </c>
      <c r="E3297">
        <v>7</v>
      </c>
      <c r="F3297" s="2">
        <v>47207</v>
      </c>
      <c r="G3297" s="2" t="s">
        <v>101</v>
      </c>
      <c r="H3297" t="s">
        <v>610</v>
      </c>
      <c r="I3297" t="s">
        <v>713</v>
      </c>
      <c r="J3297">
        <v>107.89700000000001</v>
      </c>
      <c r="K3297">
        <v>109.361</v>
      </c>
      <c r="L3297">
        <v>4.8250000000000002</v>
      </c>
      <c r="M3297">
        <v>4.444</v>
      </c>
      <c r="N3297">
        <v>4.444</v>
      </c>
      <c r="O3297" t="s">
        <v>101</v>
      </c>
      <c r="P3297" t="s">
        <v>858</v>
      </c>
      <c r="Q3297" t="s">
        <v>4130</v>
      </c>
      <c r="R3297" t="s">
        <v>2436</v>
      </c>
    </row>
    <row r="3298" spans="1:18" x14ac:dyDescent="0.5">
      <c r="A3298" t="str">
        <f>"29365TAG9"</f>
        <v>29365TAG9</v>
      </c>
      <c r="B3298" t="s">
        <v>101</v>
      </c>
      <c r="C3298" t="s">
        <v>4131</v>
      </c>
      <c r="D3298" t="s">
        <v>2433</v>
      </c>
      <c r="E3298">
        <v>4</v>
      </c>
      <c r="F3298" s="2">
        <v>47207</v>
      </c>
      <c r="G3298" s="2">
        <v>47117</v>
      </c>
      <c r="H3298" t="s">
        <v>627</v>
      </c>
      <c r="I3298" t="s">
        <v>611</v>
      </c>
      <c r="J3298">
        <v>97.745999999999995</v>
      </c>
      <c r="K3298">
        <v>98.191999999999993</v>
      </c>
      <c r="L3298">
        <v>4.6159999999999997</v>
      </c>
      <c r="M3298">
        <v>4.4930000000000003</v>
      </c>
      <c r="N3298">
        <v>4.4930000000000003</v>
      </c>
      <c r="O3298" t="s">
        <v>101</v>
      </c>
      <c r="P3298" t="s">
        <v>3924</v>
      </c>
      <c r="Q3298" t="s">
        <v>2507</v>
      </c>
      <c r="R3298" t="s">
        <v>2436</v>
      </c>
    </row>
    <row r="3299" spans="1:18" x14ac:dyDescent="0.5">
      <c r="A3299" t="str">
        <f>"68235PAN8"</f>
        <v>68235PAN8</v>
      </c>
      <c r="B3299" t="s">
        <v>101</v>
      </c>
      <c r="C3299" t="s">
        <v>4132</v>
      </c>
      <c r="D3299" t="s">
        <v>2433</v>
      </c>
      <c r="E3299">
        <v>5.0999999999999996</v>
      </c>
      <c r="F3299" s="2">
        <v>47209</v>
      </c>
      <c r="G3299" s="2">
        <v>47178</v>
      </c>
      <c r="H3299" t="s">
        <v>627</v>
      </c>
      <c r="I3299" t="s">
        <v>713</v>
      </c>
      <c r="J3299">
        <v>101.05</v>
      </c>
      <c r="K3299">
        <v>101.384</v>
      </c>
      <c r="L3299">
        <v>4.806</v>
      </c>
      <c r="M3299">
        <v>4.7140000000000004</v>
      </c>
      <c r="N3299">
        <v>4.72</v>
      </c>
      <c r="O3299" t="s">
        <v>101</v>
      </c>
      <c r="P3299" t="s">
        <v>4133</v>
      </c>
      <c r="Q3299" t="s">
        <v>1391</v>
      </c>
      <c r="R3299" t="s">
        <v>2436</v>
      </c>
    </row>
    <row r="3300" spans="1:18" x14ac:dyDescent="0.5">
      <c r="A3300" t="str">
        <f>"00724PAF6"</f>
        <v>00724PAF6</v>
      </c>
      <c r="B3300" t="s">
        <v>101</v>
      </c>
      <c r="C3300" t="s">
        <v>4134</v>
      </c>
      <c r="D3300" t="s">
        <v>2433</v>
      </c>
      <c r="E3300">
        <v>4.8</v>
      </c>
      <c r="F3300" s="2">
        <v>47212</v>
      </c>
      <c r="G3300" s="2">
        <v>47181</v>
      </c>
      <c r="H3300" t="s">
        <v>641</v>
      </c>
      <c r="I3300" t="s">
        <v>658</v>
      </c>
      <c r="J3300">
        <v>101.316</v>
      </c>
      <c r="K3300">
        <v>101.428</v>
      </c>
      <c r="L3300">
        <v>4.4359999999999999</v>
      </c>
      <c r="M3300">
        <v>4.4050000000000002</v>
      </c>
      <c r="N3300">
        <v>4.4109999999999996</v>
      </c>
      <c r="O3300" t="s">
        <v>101</v>
      </c>
      <c r="P3300" t="s">
        <v>2581</v>
      </c>
      <c r="Q3300" t="s">
        <v>2454</v>
      </c>
      <c r="R3300" t="s">
        <v>2436</v>
      </c>
    </row>
    <row r="3301" spans="1:18" x14ac:dyDescent="0.5">
      <c r="A3301" t="str">
        <f>"032095AP6"</f>
        <v>032095AP6</v>
      </c>
      <c r="B3301" t="s">
        <v>101</v>
      </c>
      <c r="C3301" t="s">
        <v>4135</v>
      </c>
      <c r="D3301" t="s">
        <v>2433</v>
      </c>
      <c r="E3301">
        <v>5.05</v>
      </c>
      <c r="F3301" s="2">
        <v>47213</v>
      </c>
      <c r="G3301" s="2">
        <v>47182</v>
      </c>
      <c r="H3301" t="s">
        <v>627</v>
      </c>
      <c r="I3301" t="s">
        <v>713</v>
      </c>
      <c r="J3301">
        <v>101.32</v>
      </c>
      <c r="K3301">
        <v>101.571</v>
      </c>
      <c r="L3301">
        <v>4.6829999999999998</v>
      </c>
      <c r="M3301">
        <v>4.6130000000000004</v>
      </c>
      <c r="N3301">
        <v>4.6210000000000004</v>
      </c>
      <c r="O3301" t="s">
        <v>101</v>
      </c>
      <c r="P3301" t="s">
        <v>4136</v>
      </c>
      <c r="Q3301" t="s">
        <v>2454</v>
      </c>
      <c r="R3301" t="s">
        <v>2436</v>
      </c>
    </row>
    <row r="3302" spans="1:18" x14ac:dyDescent="0.5">
      <c r="A3302" t="str">
        <f>"89115A2Y7"</f>
        <v>89115A2Y7</v>
      </c>
      <c r="B3302" t="s">
        <v>101</v>
      </c>
      <c r="C3302" t="s">
        <v>4137</v>
      </c>
      <c r="D3302" t="s">
        <v>2433</v>
      </c>
      <c r="E3302">
        <v>4.9939999999999998</v>
      </c>
      <c r="F3302" s="2">
        <v>47213</v>
      </c>
      <c r="G3302" s="2" t="s">
        <v>101</v>
      </c>
      <c r="H3302" t="s">
        <v>610</v>
      </c>
      <c r="I3302" t="s">
        <v>713</v>
      </c>
      <c r="J3302">
        <v>100.663</v>
      </c>
      <c r="K3302">
        <v>100.874</v>
      </c>
      <c r="L3302">
        <v>4.8120000000000003</v>
      </c>
      <c r="M3302">
        <v>4.7539999999999996</v>
      </c>
      <c r="N3302">
        <v>4.7539999999999996</v>
      </c>
      <c r="O3302" t="s">
        <v>101</v>
      </c>
      <c r="P3302" t="s">
        <v>1702</v>
      </c>
      <c r="Q3302" t="s">
        <v>2454</v>
      </c>
      <c r="R3302" t="s">
        <v>2436</v>
      </c>
    </row>
    <row r="3303" spans="1:18" x14ac:dyDescent="0.5">
      <c r="A3303" t="str">
        <f>"13608JAA5"</f>
        <v>13608JAA5</v>
      </c>
      <c r="B3303" t="s">
        <v>101</v>
      </c>
      <c r="C3303" t="s">
        <v>4138</v>
      </c>
      <c r="D3303" t="s">
        <v>2433</v>
      </c>
      <c r="E3303">
        <v>5.26</v>
      </c>
      <c r="F3303" s="2">
        <v>47216</v>
      </c>
      <c r="G3303" s="2">
        <v>47185</v>
      </c>
      <c r="H3303" t="s">
        <v>610</v>
      </c>
      <c r="I3303" t="s">
        <v>713</v>
      </c>
      <c r="J3303">
        <v>101.434</v>
      </c>
      <c r="K3303">
        <v>101.675</v>
      </c>
      <c r="L3303">
        <v>4.8600000000000003</v>
      </c>
      <c r="M3303">
        <v>4.7939999999999996</v>
      </c>
      <c r="N3303">
        <v>4.8010000000000002</v>
      </c>
      <c r="O3303" t="s">
        <v>101</v>
      </c>
      <c r="P3303" t="s">
        <v>2454</v>
      </c>
      <c r="Q3303" t="s">
        <v>2454</v>
      </c>
      <c r="R3303" t="s">
        <v>2436</v>
      </c>
    </row>
    <row r="3304" spans="1:18" x14ac:dyDescent="0.5">
      <c r="A3304" t="str">
        <f>"456837AQ6"</f>
        <v>456837AQ6</v>
      </c>
      <c r="B3304" t="s">
        <v>101</v>
      </c>
      <c r="C3304" t="s">
        <v>4139</v>
      </c>
      <c r="D3304" t="s">
        <v>2433</v>
      </c>
      <c r="E3304">
        <v>4.05</v>
      </c>
      <c r="F3304" s="2">
        <v>47217</v>
      </c>
      <c r="G3304" s="2" t="s">
        <v>101</v>
      </c>
      <c r="H3304" t="s">
        <v>670</v>
      </c>
      <c r="I3304" t="s">
        <v>713</v>
      </c>
      <c r="J3304">
        <v>97.096000000000004</v>
      </c>
      <c r="K3304">
        <v>97.307000000000002</v>
      </c>
      <c r="L3304">
        <v>4.843</v>
      </c>
      <c r="M3304">
        <v>4.7839999999999998</v>
      </c>
      <c r="N3304">
        <v>4.7839999999999998</v>
      </c>
      <c r="O3304" t="s">
        <v>101</v>
      </c>
      <c r="P3304" t="s">
        <v>2566</v>
      </c>
      <c r="Q3304" t="s">
        <v>542</v>
      </c>
      <c r="R3304" t="s">
        <v>2436</v>
      </c>
    </row>
    <row r="3305" spans="1:18" x14ac:dyDescent="0.5">
      <c r="A3305" t="str">
        <f>"10373QBX7"</f>
        <v>10373QBX7</v>
      </c>
      <c r="B3305" t="s">
        <v>101</v>
      </c>
      <c r="C3305" t="s">
        <v>4140</v>
      </c>
      <c r="D3305" t="s">
        <v>2433</v>
      </c>
      <c r="E3305">
        <v>4.6989999999999998</v>
      </c>
      <c r="F3305" s="2">
        <v>47218</v>
      </c>
      <c r="G3305" s="2">
        <v>47187</v>
      </c>
      <c r="H3305" t="s">
        <v>641</v>
      </c>
      <c r="I3305" t="s">
        <v>713</v>
      </c>
      <c r="J3305">
        <v>100.07</v>
      </c>
      <c r="K3305">
        <v>100.285</v>
      </c>
      <c r="L3305">
        <v>4.6790000000000003</v>
      </c>
      <c r="M3305">
        <v>4.62</v>
      </c>
      <c r="N3305">
        <v>4.6210000000000004</v>
      </c>
      <c r="O3305" t="s">
        <v>101</v>
      </c>
      <c r="P3305" t="s">
        <v>2527</v>
      </c>
      <c r="Q3305" t="s">
        <v>2507</v>
      </c>
      <c r="R3305" t="s">
        <v>2436</v>
      </c>
    </row>
    <row r="3306" spans="1:18" x14ac:dyDescent="0.5">
      <c r="A3306" t="str">
        <f>"023135CG9"</f>
        <v>023135CG9</v>
      </c>
      <c r="B3306" t="s">
        <v>101</v>
      </c>
      <c r="C3306" t="s">
        <v>4141</v>
      </c>
      <c r="D3306" t="s">
        <v>2433</v>
      </c>
      <c r="E3306">
        <v>3.45</v>
      </c>
      <c r="F3306" s="2">
        <v>47221</v>
      </c>
      <c r="G3306" s="2">
        <v>47162</v>
      </c>
      <c r="H3306" t="s">
        <v>641</v>
      </c>
      <c r="I3306" t="s">
        <v>628</v>
      </c>
      <c r="J3306">
        <v>96.863</v>
      </c>
      <c r="K3306">
        <v>97.040999999999997</v>
      </c>
      <c r="L3306">
        <v>4.2949999999999999</v>
      </c>
      <c r="M3306">
        <v>4.2460000000000004</v>
      </c>
      <c r="N3306">
        <v>4.2460000000000004</v>
      </c>
      <c r="O3306" t="s">
        <v>101</v>
      </c>
      <c r="P3306" t="s">
        <v>2438</v>
      </c>
      <c r="Q3306" t="s">
        <v>2454</v>
      </c>
      <c r="R3306" t="s">
        <v>2436</v>
      </c>
    </row>
    <row r="3307" spans="1:18" x14ac:dyDescent="0.5">
      <c r="A3307" t="str">
        <f>"437076CW0"</f>
        <v>437076CW0</v>
      </c>
      <c r="B3307" t="s">
        <v>101</v>
      </c>
      <c r="C3307" t="s">
        <v>4142</v>
      </c>
      <c r="D3307" t="s">
        <v>2433</v>
      </c>
      <c r="E3307">
        <v>4.9000000000000004</v>
      </c>
      <c r="F3307" s="2">
        <v>47223</v>
      </c>
      <c r="G3307" s="2">
        <v>47192</v>
      </c>
      <c r="H3307" t="s">
        <v>610</v>
      </c>
      <c r="I3307" t="s">
        <v>611</v>
      </c>
      <c r="J3307">
        <v>101.464</v>
      </c>
      <c r="K3307">
        <v>101.544</v>
      </c>
      <c r="L3307">
        <v>4.4969999999999999</v>
      </c>
      <c r="M3307">
        <v>4.4749999999999996</v>
      </c>
      <c r="N3307">
        <v>4.4820000000000002</v>
      </c>
      <c r="O3307" t="s">
        <v>101</v>
      </c>
      <c r="P3307" t="s">
        <v>2454</v>
      </c>
      <c r="Q3307" t="s">
        <v>2454</v>
      </c>
      <c r="R3307" t="s">
        <v>2436</v>
      </c>
    </row>
    <row r="3308" spans="1:18" x14ac:dyDescent="0.5">
      <c r="A3308" t="str">
        <f>"595620AT2"</f>
        <v>595620AT2</v>
      </c>
      <c r="B3308" t="s">
        <v>101</v>
      </c>
      <c r="C3308" t="s">
        <v>4143</v>
      </c>
      <c r="D3308" t="s">
        <v>2433</v>
      </c>
      <c r="E3308">
        <v>3.65</v>
      </c>
      <c r="F3308" s="2">
        <v>47223</v>
      </c>
      <c r="G3308" s="2">
        <v>47133</v>
      </c>
      <c r="H3308" t="s">
        <v>613</v>
      </c>
      <c r="I3308" t="s">
        <v>611</v>
      </c>
      <c r="J3308">
        <v>96.405000000000001</v>
      </c>
      <c r="K3308">
        <v>96.603999999999999</v>
      </c>
      <c r="L3308">
        <v>4.6239999999999997</v>
      </c>
      <c r="M3308">
        <v>4.569</v>
      </c>
      <c r="N3308">
        <v>4.569</v>
      </c>
      <c r="O3308" t="s">
        <v>101</v>
      </c>
      <c r="P3308" t="s">
        <v>2581</v>
      </c>
      <c r="Q3308" t="s">
        <v>2454</v>
      </c>
      <c r="R3308" t="s">
        <v>2436</v>
      </c>
    </row>
    <row r="3309" spans="1:18" x14ac:dyDescent="0.5">
      <c r="A3309" t="str">
        <f>"63743FB54"</f>
        <v>63743FB54</v>
      </c>
      <c r="B3309" t="s">
        <v>101</v>
      </c>
      <c r="C3309" t="s">
        <v>4144</v>
      </c>
      <c r="D3309" t="s">
        <v>2433</v>
      </c>
      <c r="E3309">
        <v>3</v>
      </c>
      <c r="F3309" s="2">
        <v>47223</v>
      </c>
      <c r="G3309" s="2" t="s">
        <v>105</v>
      </c>
      <c r="H3309" t="s">
        <v>610</v>
      </c>
      <c r="I3309" t="s">
        <v>713</v>
      </c>
      <c r="J3309">
        <v>93.215999999999994</v>
      </c>
      <c r="K3309">
        <v>94.519000000000005</v>
      </c>
      <c r="L3309">
        <v>4.8310000000000004</v>
      </c>
      <c r="M3309">
        <v>4.468</v>
      </c>
      <c r="N3309">
        <v>4.468</v>
      </c>
      <c r="O3309" t="s">
        <v>101</v>
      </c>
      <c r="P3309" t="s">
        <v>1391</v>
      </c>
      <c r="Q3309" t="s">
        <v>479</v>
      </c>
      <c r="R3309" t="s">
        <v>2610</v>
      </c>
    </row>
    <row r="3310" spans="1:18" x14ac:dyDescent="0.5">
      <c r="A3310" t="str">
        <f>"63743FB62"</f>
        <v>63743FB62</v>
      </c>
      <c r="B3310" t="s">
        <v>101</v>
      </c>
      <c r="C3310" t="s">
        <v>4145</v>
      </c>
      <c r="D3310" t="s">
        <v>2433</v>
      </c>
      <c r="E3310">
        <v>3</v>
      </c>
      <c r="F3310" s="2">
        <v>47223</v>
      </c>
      <c r="G3310" s="2" t="s">
        <v>105</v>
      </c>
      <c r="H3310" t="s">
        <v>610</v>
      </c>
      <c r="I3310" t="s">
        <v>713</v>
      </c>
      <c r="J3310">
        <v>93.085999999999999</v>
      </c>
      <c r="K3310">
        <v>94.869</v>
      </c>
      <c r="L3310">
        <v>4.867</v>
      </c>
      <c r="M3310">
        <v>4.3719999999999999</v>
      </c>
      <c r="N3310">
        <v>4.3719999999999999</v>
      </c>
      <c r="O3310" t="s">
        <v>101</v>
      </c>
      <c r="P3310" t="s">
        <v>1391</v>
      </c>
      <c r="Q3310" t="s">
        <v>4146</v>
      </c>
      <c r="R3310" t="s">
        <v>2610</v>
      </c>
    </row>
    <row r="3311" spans="1:18" x14ac:dyDescent="0.5">
      <c r="A3311" t="str">
        <f>"75968NAD3"</f>
        <v>75968NAD3</v>
      </c>
      <c r="B3311" t="s">
        <v>101</v>
      </c>
      <c r="C3311" t="s">
        <v>4147</v>
      </c>
      <c r="D3311" t="s">
        <v>2433</v>
      </c>
      <c r="E3311">
        <v>3.6</v>
      </c>
      <c r="F3311" s="2">
        <v>47223</v>
      </c>
      <c r="G3311" s="2">
        <v>47133</v>
      </c>
      <c r="H3311" t="s">
        <v>627</v>
      </c>
      <c r="I3311" t="s">
        <v>713</v>
      </c>
      <c r="J3311">
        <v>94.831000000000003</v>
      </c>
      <c r="K3311">
        <v>95.242999999999995</v>
      </c>
      <c r="L3311">
        <v>5.0119999999999996</v>
      </c>
      <c r="M3311">
        <v>4.8959999999999999</v>
      </c>
      <c r="N3311">
        <v>4.8959999999999999</v>
      </c>
      <c r="O3311" t="s">
        <v>101</v>
      </c>
      <c r="P3311" t="s">
        <v>3920</v>
      </c>
      <c r="Q3311" t="s">
        <v>2544</v>
      </c>
      <c r="R3311" t="s">
        <v>2436</v>
      </c>
    </row>
    <row r="3312" spans="1:18" x14ac:dyDescent="0.5">
      <c r="A3312" t="str">
        <f>"87612EBH8"</f>
        <v>87612EBH8</v>
      </c>
      <c r="B3312" t="s">
        <v>101</v>
      </c>
      <c r="C3312" t="s">
        <v>4148</v>
      </c>
      <c r="D3312" t="s">
        <v>2433</v>
      </c>
      <c r="E3312">
        <v>3.375</v>
      </c>
      <c r="F3312" s="2">
        <v>47223</v>
      </c>
      <c r="G3312" s="2">
        <v>47133</v>
      </c>
      <c r="H3312" t="s">
        <v>610</v>
      </c>
      <c r="I3312" t="s">
        <v>611</v>
      </c>
      <c r="J3312">
        <v>95.798000000000002</v>
      </c>
      <c r="K3312">
        <v>95.954999999999998</v>
      </c>
      <c r="L3312">
        <v>4.51</v>
      </c>
      <c r="M3312">
        <v>4.4669999999999996</v>
      </c>
      <c r="N3312">
        <v>4.4669999999999996</v>
      </c>
      <c r="O3312" t="s">
        <v>101</v>
      </c>
      <c r="P3312" t="s">
        <v>3920</v>
      </c>
      <c r="Q3312" t="s">
        <v>2472</v>
      </c>
      <c r="R3312" t="s">
        <v>2436</v>
      </c>
    </row>
    <row r="3313" spans="1:18" x14ac:dyDescent="0.5">
      <c r="A3313" t="str">
        <f>"91324PEZ1"</f>
        <v>91324PEZ1</v>
      </c>
      <c r="B3313" t="s">
        <v>101</v>
      </c>
      <c r="C3313" t="s">
        <v>4149</v>
      </c>
      <c r="D3313" t="s">
        <v>2433</v>
      </c>
      <c r="E3313">
        <v>4.7</v>
      </c>
      <c r="F3313" s="2">
        <v>47223</v>
      </c>
      <c r="G3313" s="2">
        <v>47192</v>
      </c>
      <c r="H3313" t="s">
        <v>610</v>
      </c>
      <c r="I3313" t="s">
        <v>658</v>
      </c>
      <c r="J3313">
        <v>100.304</v>
      </c>
      <c r="K3313">
        <v>100.623</v>
      </c>
      <c r="L3313">
        <v>4.6159999999999997</v>
      </c>
      <c r="M3313">
        <v>4.5279999999999996</v>
      </c>
      <c r="N3313">
        <v>4.53</v>
      </c>
      <c r="O3313" t="s">
        <v>101</v>
      </c>
      <c r="P3313" t="s">
        <v>1702</v>
      </c>
      <c r="Q3313" t="s">
        <v>2454</v>
      </c>
      <c r="R3313" t="s">
        <v>2436</v>
      </c>
    </row>
    <row r="3314" spans="1:18" x14ac:dyDescent="0.5">
      <c r="A3314" t="str">
        <f>"24422EWE5"</f>
        <v>24422EWE5</v>
      </c>
      <c r="B3314" t="s">
        <v>101</v>
      </c>
      <c r="C3314" t="s">
        <v>4150</v>
      </c>
      <c r="D3314" t="s">
        <v>2433</v>
      </c>
      <c r="E3314">
        <v>3.35</v>
      </c>
      <c r="F3314" s="2">
        <v>47226</v>
      </c>
      <c r="G3314" s="2" t="s">
        <v>105</v>
      </c>
      <c r="H3314" t="s">
        <v>641</v>
      </c>
      <c r="I3314" t="s">
        <v>611</v>
      </c>
      <c r="J3314">
        <v>95.738</v>
      </c>
      <c r="K3314">
        <v>96.052000000000007</v>
      </c>
      <c r="L3314">
        <v>4.4989999999999997</v>
      </c>
      <c r="M3314">
        <v>4.4119999999999999</v>
      </c>
      <c r="N3314">
        <v>4.4119999999999999</v>
      </c>
      <c r="O3314" t="s">
        <v>101</v>
      </c>
      <c r="P3314" t="s">
        <v>2527</v>
      </c>
      <c r="Q3314" t="s">
        <v>790</v>
      </c>
      <c r="R3314" t="s">
        <v>2465</v>
      </c>
    </row>
    <row r="3315" spans="1:18" x14ac:dyDescent="0.5">
      <c r="A3315" t="str">
        <f>"02364WBH7"</f>
        <v>02364WBH7</v>
      </c>
      <c r="B3315" t="s">
        <v>101</v>
      </c>
      <c r="C3315" t="s">
        <v>4151</v>
      </c>
      <c r="D3315" t="s">
        <v>2433</v>
      </c>
      <c r="E3315">
        <v>3.625</v>
      </c>
      <c r="F3315" s="2">
        <v>47230</v>
      </c>
      <c r="G3315" s="2">
        <v>47140</v>
      </c>
      <c r="H3315" t="s">
        <v>670</v>
      </c>
      <c r="I3315" t="s">
        <v>713</v>
      </c>
      <c r="J3315">
        <v>95.260999999999996</v>
      </c>
      <c r="K3315">
        <v>95.673000000000002</v>
      </c>
      <c r="L3315">
        <v>4.9109999999999996</v>
      </c>
      <c r="M3315">
        <v>4.7960000000000003</v>
      </c>
      <c r="N3315">
        <v>4.7960000000000003</v>
      </c>
      <c r="O3315" t="s">
        <v>101</v>
      </c>
      <c r="P3315" t="s">
        <v>4152</v>
      </c>
      <c r="Q3315" t="s">
        <v>542</v>
      </c>
      <c r="R3315" t="s">
        <v>2436</v>
      </c>
    </row>
    <row r="3316" spans="1:18" x14ac:dyDescent="0.5">
      <c r="A3316" t="str">
        <f>"872898AG6"</f>
        <v>872898AG6</v>
      </c>
      <c r="B3316" t="s">
        <v>101</v>
      </c>
      <c r="C3316" t="s">
        <v>4153</v>
      </c>
      <c r="D3316" t="s">
        <v>2433</v>
      </c>
      <c r="E3316">
        <v>4.125</v>
      </c>
      <c r="F3316" s="2">
        <v>47230</v>
      </c>
      <c r="G3316" s="2">
        <v>47171</v>
      </c>
      <c r="H3316" t="s">
        <v>624</v>
      </c>
      <c r="I3316" t="s">
        <v>616</v>
      </c>
      <c r="J3316">
        <v>98.373000000000005</v>
      </c>
      <c r="K3316">
        <v>98.63</v>
      </c>
      <c r="L3316">
        <v>4.5620000000000003</v>
      </c>
      <c r="M3316">
        <v>4.4930000000000003</v>
      </c>
      <c r="N3316">
        <v>4.4930000000000003</v>
      </c>
      <c r="O3316" t="s">
        <v>101</v>
      </c>
      <c r="P3316" t="s">
        <v>2687</v>
      </c>
      <c r="Q3316" t="s">
        <v>2666</v>
      </c>
      <c r="R3316" t="s">
        <v>2436</v>
      </c>
    </row>
    <row r="3317" spans="1:18" x14ac:dyDescent="0.5">
      <c r="A3317" t="str">
        <f>"693475AW5"</f>
        <v>693475AW5</v>
      </c>
      <c r="B3317" t="s">
        <v>101</v>
      </c>
      <c r="C3317" t="s">
        <v>4154</v>
      </c>
      <c r="D3317" t="s">
        <v>2433</v>
      </c>
      <c r="E3317">
        <v>3.45</v>
      </c>
      <c r="F3317" s="2">
        <v>47231</v>
      </c>
      <c r="G3317" s="2">
        <v>47141</v>
      </c>
      <c r="H3317" t="s">
        <v>627</v>
      </c>
      <c r="I3317" t="s">
        <v>713</v>
      </c>
      <c r="J3317">
        <v>95.340999999999994</v>
      </c>
      <c r="K3317">
        <v>95.5</v>
      </c>
      <c r="L3317">
        <v>4.7080000000000002</v>
      </c>
      <c r="M3317">
        <v>4.6639999999999997</v>
      </c>
      <c r="N3317">
        <v>4.6639999999999997</v>
      </c>
      <c r="O3317" t="s">
        <v>101</v>
      </c>
      <c r="P3317" t="s">
        <v>554</v>
      </c>
      <c r="Q3317" t="s">
        <v>2581</v>
      </c>
      <c r="R3317" t="s">
        <v>2436</v>
      </c>
    </row>
    <row r="3318" spans="1:18" x14ac:dyDescent="0.5">
      <c r="A3318" t="str">
        <f>"494368BZ5"</f>
        <v>494368BZ5</v>
      </c>
      <c r="B3318" t="s">
        <v>101</v>
      </c>
      <c r="C3318" t="s">
        <v>4155</v>
      </c>
      <c r="D3318" t="s">
        <v>2433</v>
      </c>
      <c r="E3318">
        <v>3.2</v>
      </c>
      <c r="F3318" s="2">
        <v>47233</v>
      </c>
      <c r="G3318" s="2">
        <v>47143</v>
      </c>
      <c r="H3318" t="s">
        <v>610</v>
      </c>
      <c r="I3318" t="s">
        <v>611</v>
      </c>
      <c r="J3318">
        <v>95.257999999999996</v>
      </c>
      <c r="K3318">
        <v>95.406999999999996</v>
      </c>
      <c r="L3318">
        <v>4.4720000000000004</v>
      </c>
      <c r="M3318">
        <v>4.431</v>
      </c>
      <c r="N3318">
        <v>4.431</v>
      </c>
      <c r="O3318" t="s">
        <v>101</v>
      </c>
      <c r="P3318" t="s">
        <v>2289</v>
      </c>
      <c r="Q3318" t="s">
        <v>2581</v>
      </c>
      <c r="R3318" t="s">
        <v>2436</v>
      </c>
    </row>
    <row r="3319" spans="1:18" x14ac:dyDescent="0.5">
      <c r="A3319" t="str">
        <f>"06406RBD8"</f>
        <v>06406RBD8</v>
      </c>
      <c r="B3319" t="s">
        <v>101</v>
      </c>
      <c r="C3319" t="s">
        <v>4156</v>
      </c>
      <c r="D3319" t="s">
        <v>2433</v>
      </c>
      <c r="E3319">
        <v>3.85</v>
      </c>
      <c r="F3319" s="2">
        <v>47234</v>
      </c>
      <c r="G3319" s="2">
        <v>47175</v>
      </c>
      <c r="H3319" t="s">
        <v>624</v>
      </c>
      <c r="I3319" t="s">
        <v>611</v>
      </c>
      <c r="J3319">
        <v>97.308999999999997</v>
      </c>
      <c r="K3319">
        <v>97.721999999999994</v>
      </c>
      <c r="L3319">
        <v>4.5730000000000004</v>
      </c>
      <c r="M3319">
        <v>4.46</v>
      </c>
      <c r="N3319">
        <v>4.46</v>
      </c>
      <c r="O3319" t="s">
        <v>101</v>
      </c>
      <c r="P3319" t="s">
        <v>3924</v>
      </c>
      <c r="Q3319" t="s">
        <v>2952</v>
      </c>
      <c r="R3319" t="s">
        <v>2436</v>
      </c>
    </row>
    <row r="3320" spans="1:18" x14ac:dyDescent="0.5">
      <c r="A3320" t="str">
        <f>"09247XAP6"</f>
        <v>09247XAP6</v>
      </c>
      <c r="B3320" t="s">
        <v>101</v>
      </c>
      <c r="C3320" t="s">
        <v>4157</v>
      </c>
      <c r="D3320" t="s">
        <v>2433</v>
      </c>
      <c r="E3320">
        <v>3.25</v>
      </c>
      <c r="F3320" s="2">
        <v>47238</v>
      </c>
      <c r="G3320" s="2">
        <v>47148</v>
      </c>
      <c r="H3320" t="s">
        <v>624</v>
      </c>
      <c r="I3320" t="s">
        <v>616</v>
      </c>
      <c r="J3320">
        <v>95.174000000000007</v>
      </c>
      <c r="K3320">
        <v>95.412999999999997</v>
      </c>
      <c r="L3320">
        <v>4.5430000000000001</v>
      </c>
      <c r="M3320">
        <v>4.4770000000000003</v>
      </c>
      <c r="N3320">
        <v>4.4770000000000003</v>
      </c>
      <c r="O3320" t="s">
        <v>101</v>
      </c>
      <c r="P3320" t="s">
        <v>2454</v>
      </c>
      <c r="Q3320" t="s">
        <v>2581</v>
      </c>
      <c r="R3320" t="s">
        <v>2436</v>
      </c>
    </row>
    <row r="3321" spans="1:18" x14ac:dyDescent="0.5">
      <c r="A3321" t="str">
        <f>"039483AR3"</f>
        <v>039483AR3</v>
      </c>
      <c r="B3321" t="s">
        <v>101</v>
      </c>
      <c r="C3321" t="s">
        <v>4158</v>
      </c>
      <c r="D3321" t="s">
        <v>2433</v>
      </c>
      <c r="E3321">
        <v>6.625</v>
      </c>
      <c r="F3321" s="2">
        <v>47239</v>
      </c>
      <c r="G3321" s="2" t="s">
        <v>101</v>
      </c>
      <c r="H3321" t="s">
        <v>610</v>
      </c>
      <c r="I3321" t="s">
        <v>611</v>
      </c>
      <c r="J3321">
        <v>106.64400000000001</v>
      </c>
      <c r="K3321">
        <v>108.968</v>
      </c>
      <c r="L3321">
        <v>4.8310000000000004</v>
      </c>
      <c r="M3321">
        <v>4.2370000000000001</v>
      </c>
      <c r="N3321">
        <v>4.2370000000000001</v>
      </c>
      <c r="O3321" t="s">
        <v>101</v>
      </c>
      <c r="P3321" t="s">
        <v>2289</v>
      </c>
      <c r="Q3321" t="s">
        <v>4159</v>
      </c>
      <c r="R3321" t="s">
        <v>2436</v>
      </c>
    </row>
    <row r="3322" spans="1:18" x14ac:dyDescent="0.5">
      <c r="A3322" t="str">
        <f>"126117AV2"</f>
        <v>126117AV2</v>
      </c>
      <c r="B3322" t="s">
        <v>101</v>
      </c>
      <c r="C3322" t="s">
        <v>4160</v>
      </c>
      <c r="D3322" t="s">
        <v>2433</v>
      </c>
      <c r="E3322">
        <v>3.9</v>
      </c>
      <c r="F3322" s="2">
        <v>47239</v>
      </c>
      <c r="G3322" s="2">
        <v>47150</v>
      </c>
      <c r="H3322" t="s">
        <v>677</v>
      </c>
      <c r="I3322" t="s">
        <v>713</v>
      </c>
      <c r="J3322">
        <v>96.602999999999994</v>
      </c>
      <c r="K3322">
        <v>96.858000000000004</v>
      </c>
      <c r="L3322">
        <v>4.8140000000000001</v>
      </c>
      <c r="M3322">
        <v>4.7439999999999998</v>
      </c>
      <c r="N3322">
        <v>4.7439999999999998</v>
      </c>
      <c r="O3322" t="s">
        <v>101</v>
      </c>
      <c r="P3322" t="s">
        <v>1702</v>
      </c>
      <c r="Q3322" t="s">
        <v>718</v>
      </c>
      <c r="R3322" t="s">
        <v>2436</v>
      </c>
    </row>
    <row r="3323" spans="1:18" x14ac:dyDescent="0.5">
      <c r="A3323" t="str">
        <f>"641423CC0"</f>
        <v>641423CC0</v>
      </c>
      <c r="B3323" t="s">
        <v>101</v>
      </c>
      <c r="C3323" t="s">
        <v>4161</v>
      </c>
      <c r="D3323" t="s">
        <v>2433</v>
      </c>
      <c r="E3323">
        <v>3.7</v>
      </c>
      <c r="F3323" s="2">
        <v>47239</v>
      </c>
      <c r="G3323" s="2">
        <v>47150</v>
      </c>
      <c r="H3323" t="s">
        <v>610</v>
      </c>
      <c r="I3323" t="s">
        <v>611</v>
      </c>
      <c r="J3323">
        <v>96.308000000000007</v>
      </c>
      <c r="K3323">
        <v>96.673000000000002</v>
      </c>
      <c r="L3323">
        <v>4.6909999999999998</v>
      </c>
      <c r="M3323">
        <v>4.5910000000000002</v>
      </c>
      <c r="N3323">
        <v>4.5910000000000002</v>
      </c>
      <c r="O3323" t="s">
        <v>101</v>
      </c>
      <c r="P3323" t="s">
        <v>2747</v>
      </c>
      <c r="Q3323" t="s">
        <v>2774</v>
      </c>
      <c r="R3323" t="s">
        <v>2436</v>
      </c>
    </row>
    <row r="3324" spans="1:18" x14ac:dyDescent="0.5">
      <c r="A3324" t="str">
        <f>"74460DAD1"</f>
        <v>74460DAD1</v>
      </c>
      <c r="B3324" t="s">
        <v>101</v>
      </c>
      <c r="C3324" t="s">
        <v>4162</v>
      </c>
      <c r="D3324" t="s">
        <v>2433</v>
      </c>
      <c r="E3324">
        <v>3.3849999999999998</v>
      </c>
      <c r="F3324" s="2">
        <v>47239</v>
      </c>
      <c r="G3324" s="2">
        <v>47150</v>
      </c>
      <c r="H3324" t="s">
        <v>610</v>
      </c>
      <c r="I3324" t="s">
        <v>611</v>
      </c>
      <c r="J3324">
        <v>95.25</v>
      </c>
      <c r="K3324">
        <v>95.445999999999998</v>
      </c>
      <c r="L3324">
        <v>4.66</v>
      </c>
      <c r="M3324">
        <v>4.6059999999999999</v>
      </c>
      <c r="N3324">
        <v>4.6059999999999999</v>
      </c>
      <c r="O3324" t="s">
        <v>101</v>
      </c>
      <c r="P3324" t="s">
        <v>2447</v>
      </c>
      <c r="Q3324" t="s">
        <v>2454</v>
      </c>
      <c r="R3324" t="s">
        <v>2436</v>
      </c>
    </row>
    <row r="3325" spans="1:18" x14ac:dyDescent="0.5">
      <c r="A3325" t="str">
        <f>"037389BC6"</f>
        <v>037389BC6</v>
      </c>
      <c r="B3325" t="s">
        <v>101</v>
      </c>
      <c r="C3325" t="s">
        <v>4163</v>
      </c>
      <c r="D3325" t="s">
        <v>2433</v>
      </c>
      <c r="E3325">
        <v>3.75</v>
      </c>
      <c r="F3325" s="2">
        <v>47240</v>
      </c>
      <c r="G3325" s="2">
        <v>47151</v>
      </c>
      <c r="H3325" t="s">
        <v>677</v>
      </c>
      <c r="I3325" t="s">
        <v>713</v>
      </c>
      <c r="J3325">
        <v>96.024000000000001</v>
      </c>
      <c r="K3325">
        <v>96.113</v>
      </c>
      <c r="L3325">
        <v>4.82</v>
      </c>
      <c r="M3325">
        <v>4.7949999999999999</v>
      </c>
      <c r="N3325">
        <v>4.7949999999999999</v>
      </c>
      <c r="O3325" t="s">
        <v>101</v>
      </c>
      <c r="P3325" t="s">
        <v>2472</v>
      </c>
      <c r="Q3325" t="s">
        <v>2581</v>
      </c>
      <c r="R3325" t="s">
        <v>2436</v>
      </c>
    </row>
    <row r="3326" spans="1:18" x14ac:dyDescent="0.5">
      <c r="A3326" t="str">
        <f>"025816CW7"</f>
        <v>025816CW7</v>
      </c>
      <c r="B3326" t="s">
        <v>101</v>
      </c>
      <c r="C3326" t="s">
        <v>4164</v>
      </c>
      <c r="D3326" t="s">
        <v>2433</v>
      </c>
      <c r="E3326">
        <v>4.05</v>
      </c>
      <c r="F3326" s="2">
        <v>47241</v>
      </c>
      <c r="G3326" s="2">
        <v>47180</v>
      </c>
      <c r="H3326" t="s">
        <v>610</v>
      </c>
      <c r="I3326" t="s">
        <v>713</v>
      </c>
      <c r="J3326">
        <v>98.171000000000006</v>
      </c>
      <c r="K3326">
        <v>98.42</v>
      </c>
      <c r="L3326">
        <v>4.5359999999999996</v>
      </c>
      <c r="M3326">
        <v>4.4710000000000001</v>
      </c>
      <c r="N3326">
        <v>4.4710000000000001</v>
      </c>
      <c r="O3326" t="s">
        <v>101</v>
      </c>
      <c r="P3326" t="s">
        <v>2786</v>
      </c>
      <c r="Q3326" t="s">
        <v>2454</v>
      </c>
      <c r="R3326" t="s">
        <v>2436</v>
      </c>
    </row>
    <row r="3327" spans="1:18" x14ac:dyDescent="0.5">
      <c r="A3327" t="str">
        <f>"665859AU8"</f>
        <v>665859AU8</v>
      </c>
      <c r="B3327" t="s">
        <v>101</v>
      </c>
      <c r="C3327" t="s">
        <v>4165</v>
      </c>
      <c r="D3327" t="s">
        <v>2433</v>
      </c>
      <c r="E3327">
        <v>3.15</v>
      </c>
      <c r="F3327" s="2">
        <v>47241</v>
      </c>
      <c r="G3327" s="2">
        <v>47152</v>
      </c>
      <c r="H3327" t="s">
        <v>610</v>
      </c>
      <c r="I3327" t="s">
        <v>658</v>
      </c>
      <c r="J3327">
        <v>94.846000000000004</v>
      </c>
      <c r="K3327">
        <v>95.14</v>
      </c>
      <c r="L3327">
        <v>4.5279999999999996</v>
      </c>
      <c r="M3327">
        <v>4.4470000000000001</v>
      </c>
      <c r="N3327">
        <v>4.4470000000000001</v>
      </c>
      <c r="O3327" t="s">
        <v>101</v>
      </c>
      <c r="P3327" t="s">
        <v>1702</v>
      </c>
      <c r="Q3327" t="s">
        <v>2454</v>
      </c>
      <c r="R3327" t="s">
        <v>2436</v>
      </c>
    </row>
    <row r="3328" spans="1:18" x14ac:dyDescent="0.5">
      <c r="A3328" t="str">
        <f>"251526CW7"</f>
        <v>251526CW7</v>
      </c>
      <c r="B3328" t="s">
        <v>101</v>
      </c>
      <c r="C3328" t="s">
        <v>4166</v>
      </c>
      <c r="D3328" t="s">
        <v>2433</v>
      </c>
      <c r="E3328">
        <v>5.4139999999999997</v>
      </c>
      <c r="F3328" s="2">
        <v>47248</v>
      </c>
      <c r="G3328" s="2" t="s">
        <v>101</v>
      </c>
      <c r="H3328" t="s">
        <v>641</v>
      </c>
      <c r="I3328" t="s">
        <v>611</v>
      </c>
      <c r="J3328">
        <v>102.024</v>
      </c>
      <c r="K3328">
        <v>102.169</v>
      </c>
      <c r="L3328">
        <v>4.8689999999999998</v>
      </c>
      <c r="M3328">
        <v>4.83</v>
      </c>
      <c r="N3328">
        <v>4.83</v>
      </c>
      <c r="O3328" t="s">
        <v>101</v>
      </c>
      <c r="P3328" t="s">
        <v>4167</v>
      </c>
      <c r="Q3328" t="s">
        <v>3566</v>
      </c>
      <c r="R3328" t="s">
        <v>2436</v>
      </c>
    </row>
    <row r="3329" spans="1:18" x14ac:dyDescent="0.5">
      <c r="A3329" t="str">
        <f>"12189TAK0"</f>
        <v>12189TAK0</v>
      </c>
      <c r="B3329" t="s">
        <v>101</v>
      </c>
      <c r="C3329" t="s">
        <v>4168</v>
      </c>
      <c r="D3329" t="s">
        <v>2433</v>
      </c>
      <c r="E3329">
        <v>7.0819999999999999</v>
      </c>
      <c r="F3329" s="2">
        <v>47251</v>
      </c>
      <c r="G3329" s="2" t="s">
        <v>105</v>
      </c>
      <c r="H3329" t="s">
        <v>610</v>
      </c>
      <c r="I3329" t="s">
        <v>616</v>
      </c>
      <c r="J3329">
        <v>109.259</v>
      </c>
      <c r="K3329">
        <v>110.328</v>
      </c>
      <c r="L3329">
        <v>4.6130000000000004</v>
      </c>
      <c r="M3329">
        <v>4.3449999999999998</v>
      </c>
      <c r="N3329">
        <v>4.3449999999999998</v>
      </c>
      <c r="O3329" t="s">
        <v>101</v>
      </c>
      <c r="P3329" t="s">
        <v>2461</v>
      </c>
      <c r="Q3329" t="s">
        <v>3298</v>
      </c>
      <c r="R3329" t="s">
        <v>2465</v>
      </c>
    </row>
    <row r="3330" spans="1:18" x14ac:dyDescent="0.5">
      <c r="A3330" t="str">
        <f>"459200KA8"</f>
        <v>459200KA8</v>
      </c>
      <c r="B3330" t="s">
        <v>101</v>
      </c>
      <c r="C3330" t="s">
        <v>4169</v>
      </c>
      <c r="D3330" t="s">
        <v>2433</v>
      </c>
      <c r="E3330">
        <v>3.5</v>
      </c>
      <c r="F3330" s="2">
        <v>47253</v>
      </c>
      <c r="G3330" s="2" t="s">
        <v>101</v>
      </c>
      <c r="H3330" t="s">
        <v>627</v>
      </c>
      <c r="I3330" t="s">
        <v>713</v>
      </c>
      <c r="J3330">
        <v>95.290999999999997</v>
      </c>
      <c r="K3330">
        <v>95.591999999999999</v>
      </c>
      <c r="L3330">
        <v>4.7560000000000002</v>
      </c>
      <c r="M3330">
        <v>4.673</v>
      </c>
      <c r="N3330">
        <v>4.673</v>
      </c>
      <c r="O3330" t="s">
        <v>101</v>
      </c>
      <c r="P3330" t="s">
        <v>4170</v>
      </c>
      <c r="Q3330" t="s">
        <v>2635</v>
      </c>
      <c r="R3330" t="s">
        <v>2436</v>
      </c>
    </row>
    <row r="3331" spans="1:18" x14ac:dyDescent="0.5">
      <c r="A3331" t="str">
        <f>"64110LAX4"</f>
        <v>64110LAX4</v>
      </c>
      <c r="B3331" t="s">
        <v>101</v>
      </c>
      <c r="C3331" t="s">
        <v>4171</v>
      </c>
      <c r="D3331" t="s">
        <v>2433</v>
      </c>
      <c r="E3331">
        <v>6.375</v>
      </c>
      <c r="F3331" s="2">
        <v>47253</v>
      </c>
      <c r="G3331" s="2" t="s">
        <v>101</v>
      </c>
      <c r="H3331" t="s">
        <v>670</v>
      </c>
      <c r="I3331" t="s">
        <v>611</v>
      </c>
      <c r="J3331">
        <v>106.839</v>
      </c>
      <c r="K3331">
        <v>106.95</v>
      </c>
      <c r="L3331">
        <v>4.556</v>
      </c>
      <c r="M3331">
        <v>4.5270000000000001</v>
      </c>
      <c r="N3331">
        <v>4.5270000000000001</v>
      </c>
      <c r="O3331" t="s">
        <v>101</v>
      </c>
      <c r="P3331" t="s">
        <v>1702</v>
      </c>
      <c r="Q3331" t="s">
        <v>1702</v>
      </c>
      <c r="R3331" t="s">
        <v>2436</v>
      </c>
    </row>
    <row r="3332" spans="1:18" x14ac:dyDescent="0.5">
      <c r="A3332" t="str">
        <f>"67021CAN7"</f>
        <v>67021CAN7</v>
      </c>
      <c r="B3332" t="s">
        <v>101</v>
      </c>
      <c r="C3332" t="s">
        <v>4172</v>
      </c>
      <c r="D3332" t="s">
        <v>2433</v>
      </c>
      <c r="E3332">
        <v>3.25</v>
      </c>
      <c r="F3332" s="2">
        <v>47253</v>
      </c>
      <c r="G3332" s="2">
        <v>47164</v>
      </c>
      <c r="H3332" t="s">
        <v>610</v>
      </c>
      <c r="I3332" t="s">
        <v>713</v>
      </c>
      <c r="J3332">
        <v>94.123000000000005</v>
      </c>
      <c r="K3332">
        <v>94.503</v>
      </c>
      <c r="L3332">
        <v>4.82</v>
      </c>
      <c r="M3332">
        <v>4.7149999999999999</v>
      </c>
      <c r="N3332">
        <v>4.7149999999999999</v>
      </c>
      <c r="O3332" t="s">
        <v>101</v>
      </c>
      <c r="P3332" t="s">
        <v>3884</v>
      </c>
      <c r="Q3332" t="s">
        <v>2747</v>
      </c>
      <c r="R3332" t="s">
        <v>2436</v>
      </c>
    </row>
    <row r="3333" spans="1:18" x14ac:dyDescent="0.5">
      <c r="A3333" t="str">
        <f>"74251VAR3"</f>
        <v>74251VAR3</v>
      </c>
      <c r="B3333" t="s">
        <v>101</v>
      </c>
      <c r="C3333" t="s">
        <v>4173</v>
      </c>
      <c r="D3333" t="s">
        <v>2433</v>
      </c>
      <c r="E3333">
        <v>3.7</v>
      </c>
      <c r="F3333" s="2">
        <v>47253</v>
      </c>
      <c r="G3333" s="2">
        <v>47164</v>
      </c>
      <c r="H3333" t="s">
        <v>670</v>
      </c>
      <c r="I3333" t="s">
        <v>713</v>
      </c>
      <c r="J3333">
        <v>96.024000000000001</v>
      </c>
      <c r="K3333">
        <v>96.311000000000007</v>
      </c>
      <c r="L3333">
        <v>4.76</v>
      </c>
      <c r="M3333">
        <v>4.6820000000000004</v>
      </c>
      <c r="N3333">
        <v>4.6820000000000004</v>
      </c>
      <c r="O3333" t="s">
        <v>101</v>
      </c>
      <c r="P3333" t="s">
        <v>2776</v>
      </c>
      <c r="Q3333" t="s">
        <v>2454</v>
      </c>
      <c r="R3333" t="s">
        <v>2436</v>
      </c>
    </row>
    <row r="3334" spans="1:18" x14ac:dyDescent="0.5">
      <c r="A3334" t="str">
        <f>"74456QBY1"</f>
        <v>74456QBY1</v>
      </c>
      <c r="B3334" t="s">
        <v>101</v>
      </c>
      <c r="C3334" t="s">
        <v>4174</v>
      </c>
      <c r="D3334" t="s">
        <v>2433</v>
      </c>
      <c r="E3334">
        <v>3.2</v>
      </c>
      <c r="F3334" s="2">
        <v>47253</v>
      </c>
      <c r="G3334" s="2">
        <v>47164</v>
      </c>
      <c r="H3334" t="s">
        <v>641</v>
      </c>
      <c r="I3334" t="s">
        <v>611</v>
      </c>
      <c r="J3334">
        <v>94.668999999999997</v>
      </c>
      <c r="K3334">
        <v>95.105999999999995</v>
      </c>
      <c r="L3334">
        <v>4.617</v>
      </c>
      <c r="M3334">
        <v>4.4980000000000002</v>
      </c>
      <c r="N3334">
        <v>4.4980000000000002</v>
      </c>
      <c r="O3334" t="s">
        <v>101</v>
      </c>
      <c r="P3334" t="s">
        <v>3878</v>
      </c>
      <c r="Q3334" t="s">
        <v>2747</v>
      </c>
      <c r="R3334" t="s">
        <v>2436</v>
      </c>
    </row>
    <row r="3335" spans="1:18" x14ac:dyDescent="0.5">
      <c r="A3335" t="str">
        <f>"759351AN9"</f>
        <v>759351AN9</v>
      </c>
      <c r="B3335" t="s">
        <v>101</v>
      </c>
      <c r="C3335" t="s">
        <v>4175</v>
      </c>
      <c r="D3335" t="s">
        <v>2433</v>
      </c>
      <c r="E3335">
        <v>3.9</v>
      </c>
      <c r="F3335" s="2">
        <v>47253</v>
      </c>
      <c r="G3335" s="2">
        <v>47164</v>
      </c>
      <c r="H3335" t="s">
        <v>670</v>
      </c>
      <c r="I3335" t="s">
        <v>611</v>
      </c>
      <c r="J3335">
        <v>96.048000000000002</v>
      </c>
      <c r="K3335">
        <v>96.346000000000004</v>
      </c>
      <c r="L3335">
        <v>4.9580000000000002</v>
      </c>
      <c r="M3335">
        <v>4.8760000000000003</v>
      </c>
      <c r="N3335">
        <v>4.8760000000000003</v>
      </c>
      <c r="O3335" t="s">
        <v>101</v>
      </c>
      <c r="P3335" t="s">
        <v>3884</v>
      </c>
      <c r="Q3335" t="s">
        <v>2581</v>
      </c>
      <c r="R3335" t="s">
        <v>2436</v>
      </c>
    </row>
    <row r="3336" spans="1:18" x14ac:dyDescent="0.5">
      <c r="A3336" t="str">
        <f>"125523CT5"</f>
        <v>125523CT5</v>
      </c>
      <c r="B3336" t="s">
        <v>101</v>
      </c>
      <c r="C3336" t="s">
        <v>4176</v>
      </c>
      <c r="D3336" t="s">
        <v>2433</v>
      </c>
      <c r="E3336">
        <v>5</v>
      </c>
      <c r="F3336" s="2">
        <v>47253</v>
      </c>
      <c r="G3336" s="2">
        <v>47223</v>
      </c>
      <c r="H3336" t="s">
        <v>670</v>
      </c>
      <c r="I3336" t="s">
        <v>713</v>
      </c>
      <c r="J3336">
        <v>100.923</v>
      </c>
      <c r="K3336">
        <v>101.158</v>
      </c>
      <c r="L3336">
        <v>4.7460000000000004</v>
      </c>
      <c r="M3336">
        <v>4.6849999999999996</v>
      </c>
      <c r="N3336">
        <v>4.6900000000000004</v>
      </c>
      <c r="O3336" t="s">
        <v>101</v>
      </c>
      <c r="P3336" t="s">
        <v>2454</v>
      </c>
      <c r="Q3336" t="s">
        <v>2454</v>
      </c>
      <c r="R3336" t="s">
        <v>2436</v>
      </c>
    </row>
    <row r="3337" spans="1:18" x14ac:dyDescent="0.5">
      <c r="A3337" t="str">
        <f>"91324PEH1"</f>
        <v>91324PEH1</v>
      </c>
      <c r="B3337" t="s">
        <v>101</v>
      </c>
      <c r="C3337" t="s">
        <v>4177</v>
      </c>
      <c r="D3337" t="s">
        <v>2433</v>
      </c>
      <c r="E3337">
        <v>4</v>
      </c>
      <c r="F3337" s="2">
        <v>47253</v>
      </c>
      <c r="G3337" s="2">
        <v>47192</v>
      </c>
      <c r="H3337" t="s">
        <v>610</v>
      </c>
      <c r="I3337" t="s">
        <v>658</v>
      </c>
      <c r="J3337">
        <v>97.682000000000002</v>
      </c>
      <c r="K3337">
        <v>97.909000000000006</v>
      </c>
      <c r="L3337">
        <v>4.6150000000000002</v>
      </c>
      <c r="M3337">
        <v>4.5540000000000003</v>
      </c>
      <c r="N3337">
        <v>4.5540000000000003</v>
      </c>
      <c r="O3337" t="s">
        <v>101</v>
      </c>
      <c r="P3337" t="s">
        <v>2438</v>
      </c>
      <c r="Q3337" t="s">
        <v>2454</v>
      </c>
      <c r="R3337" t="s">
        <v>2436</v>
      </c>
    </row>
    <row r="3338" spans="1:18" x14ac:dyDescent="0.5">
      <c r="A3338" t="str">
        <f>"976656CQ9"</f>
        <v>976656CQ9</v>
      </c>
      <c r="B3338" t="s">
        <v>101</v>
      </c>
      <c r="C3338" t="s">
        <v>4178</v>
      </c>
      <c r="D3338" t="s">
        <v>2433</v>
      </c>
      <c r="E3338">
        <v>5</v>
      </c>
      <c r="F3338" s="2">
        <v>47253</v>
      </c>
      <c r="G3338" s="2">
        <v>47223</v>
      </c>
      <c r="H3338" t="s">
        <v>610</v>
      </c>
      <c r="I3338" t="s">
        <v>713</v>
      </c>
      <c r="J3338">
        <v>101.416</v>
      </c>
      <c r="K3338">
        <v>101.764</v>
      </c>
      <c r="L3338">
        <v>4.6150000000000002</v>
      </c>
      <c r="M3338">
        <v>4.5220000000000002</v>
      </c>
      <c r="N3338">
        <v>4.53</v>
      </c>
      <c r="O3338" t="s">
        <v>101</v>
      </c>
      <c r="P3338" t="s">
        <v>1391</v>
      </c>
      <c r="Q3338" t="s">
        <v>2506</v>
      </c>
      <c r="R3338" t="s">
        <v>2436</v>
      </c>
    </row>
    <row r="3339" spans="1:18" x14ac:dyDescent="0.5">
      <c r="A3339" t="str">
        <f>"89236TMF9"</f>
        <v>89236TMF9</v>
      </c>
      <c r="B3339" t="s">
        <v>101</v>
      </c>
      <c r="C3339" t="s">
        <v>4179</v>
      </c>
      <c r="D3339" t="s">
        <v>2433</v>
      </c>
      <c r="E3339">
        <v>5.05</v>
      </c>
      <c r="F3339" s="2">
        <v>47254</v>
      </c>
      <c r="G3339" s="2" t="s">
        <v>101</v>
      </c>
      <c r="H3339" t="s">
        <v>641</v>
      </c>
      <c r="I3339" t="s">
        <v>658</v>
      </c>
      <c r="J3339">
        <v>101.479</v>
      </c>
      <c r="K3339">
        <v>101.717</v>
      </c>
      <c r="L3339">
        <v>4.6550000000000002</v>
      </c>
      <c r="M3339">
        <v>4.5919999999999996</v>
      </c>
      <c r="N3339">
        <v>4.5919999999999996</v>
      </c>
      <c r="O3339" t="s">
        <v>101</v>
      </c>
      <c r="P3339" t="s">
        <v>2581</v>
      </c>
      <c r="Q3339" t="s">
        <v>2454</v>
      </c>
      <c r="R3339" t="s">
        <v>2436</v>
      </c>
    </row>
    <row r="3340" spans="1:18" x14ac:dyDescent="0.5">
      <c r="A3340" t="str">
        <f>"808513BA2"</f>
        <v>808513BA2</v>
      </c>
      <c r="B3340" t="s">
        <v>101</v>
      </c>
      <c r="C3340" t="s">
        <v>4180</v>
      </c>
      <c r="D3340" t="s">
        <v>2433</v>
      </c>
      <c r="E3340">
        <v>3.25</v>
      </c>
      <c r="F3340" s="2">
        <v>47260</v>
      </c>
      <c r="G3340" s="2">
        <v>47171</v>
      </c>
      <c r="H3340" t="s">
        <v>610</v>
      </c>
      <c r="I3340" t="s">
        <v>713</v>
      </c>
      <c r="J3340">
        <v>94.355000000000004</v>
      </c>
      <c r="K3340">
        <v>94.715000000000003</v>
      </c>
      <c r="L3340">
        <v>4.7489999999999997</v>
      </c>
      <c r="M3340">
        <v>4.6500000000000004</v>
      </c>
      <c r="N3340">
        <v>4.6500000000000004</v>
      </c>
      <c r="O3340" t="s">
        <v>101</v>
      </c>
      <c r="P3340" t="s">
        <v>3878</v>
      </c>
      <c r="Q3340" t="s">
        <v>4181</v>
      </c>
      <c r="R3340" t="s">
        <v>2436</v>
      </c>
    </row>
    <row r="3341" spans="1:18" x14ac:dyDescent="0.5">
      <c r="A3341" t="str">
        <f>"210518DW3"</f>
        <v>210518DW3</v>
      </c>
      <c r="B3341" t="s">
        <v>101</v>
      </c>
      <c r="C3341" t="s">
        <v>4182</v>
      </c>
      <c r="D3341" t="s">
        <v>2433</v>
      </c>
      <c r="E3341">
        <v>4.5999999999999996</v>
      </c>
      <c r="F3341" s="2">
        <v>47268</v>
      </c>
      <c r="G3341" s="2">
        <v>47207</v>
      </c>
      <c r="H3341" t="s">
        <v>641</v>
      </c>
      <c r="I3341" t="s">
        <v>611</v>
      </c>
      <c r="J3341">
        <v>99.814999999999998</v>
      </c>
      <c r="K3341">
        <v>100.07</v>
      </c>
      <c r="L3341">
        <v>4.6470000000000002</v>
      </c>
      <c r="M3341">
        <v>4.58</v>
      </c>
      <c r="N3341">
        <v>4.58</v>
      </c>
      <c r="O3341" t="s">
        <v>101</v>
      </c>
      <c r="P3341" t="s">
        <v>2581</v>
      </c>
      <c r="Q3341" t="s">
        <v>1391</v>
      </c>
      <c r="R3341" t="s">
        <v>2436</v>
      </c>
    </row>
    <row r="3342" spans="1:18" x14ac:dyDescent="0.5">
      <c r="A3342" t="str">
        <f>"03040WAU9"</f>
        <v>03040WAU9</v>
      </c>
      <c r="B3342" t="s">
        <v>101</v>
      </c>
      <c r="C3342" t="s">
        <v>4183</v>
      </c>
      <c r="D3342" t="s">
        <v>2433</v>
      </c>
      <c r="E3342">
        <v>3.45</v>
      </c>
      <c r="F3342" s="2">
        <v>47270</v>
      </c>
      <c r="G3342" s="2">
        <v>47178</v>
      </c>
      <c r="H3342" t="s">
        <v>670</v>
      </c>
      <c r="I3342" t="s">
        <v>611</v>
      </c>
      <c r="J3342">
        <v>95.105000000000004</v>
      </c>
      <c r="K3342">
        <v>95.340999999999994</v>
      </c>
      <c r="L3342">
        <v>4.742</v>
      </c>
      <c r="M3342">
        <v>4.6779999999999999</v>
      </c>
      <c r="N3342">
        <v>4.6779999999999999</v>
      </c>
      <c r="O3342" t="s">
        <v>101</v>
      </c>
      <c r="P3342" t="s">
        <v>1702</v>
      </c>
      <c r="Q3342" t="s">
        <v>1702</v>
      </c>
      <c r="R3342" t="s">
        <v>2436</v>
      </c>
    </row>
    <row r="3343" spans="1:18" x14ac:dyDescent="0.5">
      <c r="A3343" t="str">
        <f>"032095AH4"</f>
        <v>032095AH4</v>
      </c>
      <c r="B3343" t="s">
        <v>101</v>
      </c>
      <c r="C3343" t="s">
        <v>4184</v>
      </c>
      <c r="D3343" t="s">
        <v>2433</v>
      </c>
      <c r="E3343">
        <v>4.3499999999999996</v>
      </c>
      <c r="F3343" s="2">
        <v>47270</v>
      </c>
      <c r="G3343" s="2">
        <v>47178</v>
      </c>
      <c r="H3343" t="s">
        <v>627</v>
      </c>
      <c r="I3343" t="s">
        <v>713</v>
      </c>
      <c r="J3343">
        <v>98.793000000000006</v>
      </c>
      <c r="K3343">
        <v>99.043000000000006</v>
      </c>
      <c r="L3343">
        <v>4.6669999999999998</v>
      </c>
      <c r="M3343">
        <v>4.601</v>
      </c>
      <c r="N3343">
        <v>4.601</v>
      </c>
      <c r="O3343" t="s">
        <v>101</v>
      </c>
      <c r="P3343" t="s">
        <v>1391</v>
      </c>
      <c r="Q3343" t="s">
        <v>2454</v>
      </c>
      <c r="R3343" t="s">
        <v>2436</v>
      </c>
    </row>
    <row r="3344" spans="1:18" x14ac:dyDescent="0.5">
      <c r="A3344" t="str">
        <f>"05348EBF5"</f>
        <v>05348EBF5</v>
      </c>
      <c r="B3344" t="s">
        <v>101</v>
      </c>
      <c r="C3344" t="s">
        <v>4185</v>
      </c>
      <c r="D3344" t="s">
        <v>2433</v>
      </c>
      <c r="E3344">
        <v>3.3</v>
      </c>
      <c r="F3344" s="2">
        <v>47270</v>
      </c>
      <c r="G3344" s="2">
        <v>47180</v>
      </c>
      <c r="H3344" t="s">
        <v>627</v>
      </c>
      <c r="I3344" t="s">
        <v>713</v>
      </c>
      <c r="J3344">
        <v>94.590999999999994</v>
      </c>
      <c r="K3344">
        <v>94.908000000000001</v>
      </c>
      <c r="L3344">
        <v>4.7279999999999998</v>
      </c>
      <c r="M3344">
        <v>4.641</v>
      </c>
      <c r="N3344">
        <v>4.641</v>
      </c>
      <c r="O3344" t="s">
        <v>101</v>
      </c>
      <c r="P3344" t="s">
        <v>1702</v>
      </c>
      <c r="Q3344" t="s">
        <v>2438</v>
      </c>
      <c r="R3344" t="s">
        <v>2436</v>
      </c>
    </row>
    <row r="3345" spans="1:18" x14ac:dyDescent="0.5">
      <c r="A3345" t="str">
        <f>"20030NEH0"</f>
        <v>20030NEH0</v>
      </c>
      <c r="B3345" t="s">
        <v>101</v>
      </c>
      <c r="C3345" t="s">
        <v>4186</v>
      </c>
      <c r="D3345" t="s">
        <v>2433</v>
      </c>
      <c r="E3345">
        <v>5.0999999999999996</v>
      </c>
      <c r="F3345" s="2">
        <v>47270</v>
      </c>
      <c r="G3345" s="2">
        <v>47239</v>
      </c>
      <c r="H3345" t="s">
        <v>627</v>
      </c>
      <c r="I3345" t="s">
        <v>713</v>
      </c>
      <c r="J3345">
        <v>101.682</v>
      </c>
      <c r="K3345">
        <v>101.84099999999999</v>
      </c>
      <c r="L3345">
        <v>4.6470000000000002</v>
      </c>
      <c r="M3345">
        <v>4.6050000000000004</v>
      </c>
      <c r="N3345">
        <v>4.6130000000000004</v>
      </c>
      <c r="O3345" t="s">
        <v>101</v>
      </c>
      <c r="P3345" t="s">
        <v>2581</v>
      </c>
      <c r="Q3345" t="s">
        <v>2454</v>
      </c>
      <c r="R3345" t="s">
        <v>2436</v>
      </c>
    </row>
    <row r="3346" spans="1:18" x14ac:dyDescent="0.5">
      <c r="A3346" t="str">
        <f>"377373AH8"</f>
        <v>377373AH8</v>
      </c>
      <c r="B3346" t="s">
        <v>101</v>
      </c>
      <c r="C3346" t="s">
        <v>4187</v>
      </c>
      <c r="D3346" t="s">
        <v>2433</v>
      </c>
      <c r="E3346">
        <v>3.375</v>
      </c>
      <c r="F3346" s="2">
        <v>47270</v>
      </c>
      <c r="G3346" s="2">
        <v>47178</v>
      </c>
      <c r="H3346" t="s">
        <v>610</v>
      </c>
      <c r="I3346" t="s">
        <v>611</v>
      </c>
      <c r="J3346">
        <v>95.468999999999994</v>
      </c>
      <c r="K3346">
        <v>95.725999999999999</v>
      </c>
      <c r="L3346">
        <v>4.5670000000000002</v>
      </c>
      <c r="M3346">
        <v>4.4969999999999999</v>
      </c>
      <c r="N3346">
        <v>4.4969999999999999</v>
      </c>
      <c r="O3346" t="s">
        <v>101</v>
      </c>
      <c r="P3346" t="s">
        <v>2438</v>
      </c>
      <c r="Q3346" t="s">
        <v>2454</v>
      </c>
      <c r="R3346" t="s">
        <v>2436</v>
      </c>
    </row>
    <row r="3347" spans="1:18" x14ac:dyDescent="0.5">
      <c r="A3347" t="str">
        <f>"478160CU6"</f>
        <v>478160CU6</v>
      </c>
      <c r="B3347" t="s">
        <v>101</v>
      </c>
      <c r="C3347" t="s">
        <v>4188</v>
      </c>
      <c r="D3347" t="s">
        <v>2433</v>
      </c>
      <c r="E3347">
        <v>4.8</v>
      </c>
      <c r="F3347" s="2">
        <v>47270</v>
      </c>
      <c r="G3347" s="2">
        <v>47239</v>
      </c>
      <c r="H3347" t="s">
        <v>104</v>
      </c>
      <c r="I3347" t="s">
        <v>104</v>
      </c>
      <c r="J3347">
        <v>101.7</v>
      </c>
      <c r="K3347">
        <v>101.86</v>
      </c>
      <c r="L3347">
        <v>4.3460000000000001</v>
      </c>
      <c r="M3347">
        <v>4.3029999999999999</v>
      </c>
      <c r="N3347">
        <v>4.3109999999999999</v>
      </c>
      <c r="O3347" t="s">
        <v>101</v>
      </c>
      <c r="P3347" t="s">
        <v>2552</v>
      </c>
      <c r="Q3347" t="s">
        <v>4189</v>
      </c>
      <c r="R3347" t="s">
        <v>2436</v>
      </c>
    </row>
    <row r="3348" spans="1:18" x14ac:dyDescent="0.5">
      <c r="A3348" t="str">
        <f>"57636QAM6"</f>
        <v>57636QAM6</v>
      </c>
      <c r="B3348" t="s">
        <v>101</v>
      </c>
      <c r="C3348" t="s">
        <v>4190</v>
      </c>
      <c r="D3348" t="s">
        <v>2433</v>
      </c>
      <c r="E3348">
        <v>2.95</v>
      </c>
      <c r="F3348" s="2">
        <v>47270</v>
      </c>
      <c r="G3348" s="2">
        <v>47178</v>
      </c>
      <c r="H3348" t="s">
        <v>624</v>
      </c>
      <c r="I3348" t="s">
        <v>658</v>
      </c>
      <c r="J3348">
        <v>94.218000000000004</v>
      </c>
      <c r="K3348">
        <v>94.411000000000001</v>
      </c>
      <c r="L3348">
        <v>4.468</v>
      </c>
      <c r="M3348">
        <v>4.415</v>
      </c>
      <c r="N3348">
        <v>4.415</v>
      </c>
      <c r="O3348" t="s">
        <v>101</v>
      </c>
      <c r="P3348" t="s">
        <v>1702</v>
      </c>
      <c r="Q3348" t="s">
        <v>2454</v>
      </c>
      <c r="R3348" t="s">
        <v>2436</v>
      </c>
    </row>
    <row r="3349" spans="1:18" x14ac:dyDescent="0.5">
      <c r="A3349" t="str">
        <f>"842400JC8"</f>
        <v>842400JC8</v>
      </c>
      <c r="B3349" t="s">
        <v>101</v>
      </c>
      <c r="C3349" t="s">
        <v>4191</v>
      </c>
      <c r="D3349" t="s">
        <v>2433</v>
      </c>
      <c r="E3349">
        <v>5.15</v>
      </c>
      <c r="F3349" s="2">
        <v>47270</v>
      </c>
      <c r="G3349" s="2">
        <v>47239</v>
      </c>
      <c r="H3349" t="s">
        <v>610</v>
      </c>
      <c r="I3349" t="s">
        <v>713</v>
      </c>
      <c r="J3349">
        <v>100.029</v>
      </c>
      <c r="K3349">
        <v>100.205</v>
      </c>
      <c r="L3349">
        <v>5.14</v>
      </c>
      <c r="M3349">
        <v>5.093</v>
      </c>
      <c r="N3349">
        <v>5.093</v>
      </c>
      <c r="O3349" t="s">
        <v>101</v>
      </c>
      <c r="P3349" t="s">
        <v>2255</v>
      </c>
      <c r="Q3349" t="s">
        <v>1391</v>
      </c>
      <c r="R3349" t="s">
        <v>2436</v>
      </c>
    </row>
    <row r="3350" spans="1:18" x14ac:dyDescent="0.5">
      <c r="A3350" t="str">
        <f>"94106LBQ1"</f>
        <v>94106LBQ1</v>
      </c>
      <c r="B3350" t="s">
        <v>101</v>
      </c>
      <c r="C3350" t="s">
        <v>4192</v>
      </c>
      <c r="D3350" t="s">
        <v>2433</v>
      </c>
      <c r="E3350">
        <v>2</v>
      </c>
      <c r="F3350" s="2">
        <v>47270</v>
      </c>
      <c r="G3350" s="2">
        <v>47209</v>
      </c>
      <c r="H3350" t="s">
        <v>627</v>
      </c>
      <c r="I3350" t="s">
        <v>713</v>
      </c>
      <c r="J3350">
        <v>90.168000000000006</v>
      </c>
      <c r="K3350">
        <v>90.45</v>
      </c>
      <c r="L3350">
        <v>4.5890000000000004</v>
      </c>
      <c r="M3350">
        <v>4.51</v>
      </c>
      <c r="N3350">
        <v>4.51</v>
      </c>
      <c r="O3350" t="s">
        <v>101</v>
      </c>
      <c r="P3350" t="s">
        <v>1236</v>
      </c>
      <c r="Q3350" t="s">
        <v>2454</v>
      </c>
      <c r="R3350" t="s">
        <v>2436</v>
      </c>
    </row>
    <row r="3351" spans="1:18" x14ac:dyDescent="0.5">
      <c r="A3351" t="str">
        <f>"24422EXT1"</f>
        <v>24422EXT1</v>
      </c>
      <c r="B3351" t="s">
        <v>101</v>
      </c>
      <c r="C3351" t="s">
        <v>4193</v>
      </c>
      <c r="D3351" t="s">
        <v>2433</v>
      </c>
      <c r="E3351">
        <v>4.8499999999999996</v>
      </c>
      <c r="F3351" s="2">
        <v>47280</v>
      </c>
      <c r="G3351" s="2" t="s">
        <v>105</v>
      </c>
      <c r="H3351" t="s">
        <v>641</v>
      </c>
      <c r="I3351" t="s">
        <v>611</v>
      </c>
      <c r="J3351">
        <v>101.012</v>
      </c>
      <c r="K3351">
        <v>101.29900000000001</v>
      </c>
      <c r="L3351">
        <v>4.5830000000000002</v>
      </c>
      <c r="M3351">
        <v>4.5090000000000003</v>
      </c>
      <c r="N3351">
        <v>4.5090000000000003</v>
      </c>
      <c r="O3351" t="s">
        <v>101</v>
      </c>
      <c r="P3351" t="s">
        <v>2507</v>
      </c>
      <c r="Q3351" t="s">
        <v>2507</v>
      </c>
      <c r="R3351" t="s">
        <v>2465</v>
      </c>
    </row>
    <row r="3352" spans="1:18" x14ac:dyDescent="0.5">
      <c r="A3352" t="str">
        <f>"038222AS4"</f>
        <v>038222AS4</v>
      </c>
      <c r="B3352" t="s">
        <v>101</v>
      </c>
      <c r="C3352" t="s">
        <v>4194</v>
      </c>
      <c r="D3352" t="s">
        <v>2433</v>
      </c>
      <c r="E3352">
        <v>4.8</v>
      </c>
      <c r="F3352" s="2">
        <v>47284</v>
      </c>
      <c r="G3352" s="2">
        <v>47253</v>
      </c>
      <c r="H3352" t="s">
        <v>610</v>
      </c>
      <c r="I3352" t="s">
        <v>611</v>
      </c>
      <c r="J3352">
        <v>100.934</v>
      </c>
      <c r="K3352">
        <v>101.21</v>
      </c>
      <c r="L3352">
        <v>4.5510000000000002</v>
      </c>
      <c r="M3352">
        <v>4.4779999999999998</v>
      </c>
      <c r="N3352">
        <v>4.4829999999999997</v>
      </c>
      <c r="O3352" t="s">
        <v>101</v>
      </c>
      <c r="P3352" t="s">
        <v>2472</v>
      </c>
      <c r="Q3352" t="s">
        <v>2454</v>
      </c>
      <c r="R3352" t="s">
        <v>2436</v>
      </c>
    </row>
    <row r="3353" spans="1:18" x14ac:dyDescent="0.5">
      <c r="A3353" t="str">
        <f>"036752AY9"</f>
        <v>036752AY9</v>
      </c>
      <c r="B3353" t="s">
        <v>101</v>
      </c>
      <c r="C3353" t="s">
        <v>4195</v>
      </c>
      <c r="D3353" t="s">
        <v>2433</v>
      </c>
      <c r="E3353">
        <v>5.15</v>
      </c>
      <c r="F3353" s="2">
        <v>47284</v>
      </c>
      <c r="G3353" s="2">
        <v>47253</v>
      </c>
      <c r="H3353" t="s">
        <v>677</v>
      </c>
      <c r="I3353" t="s">
        <v>611</v>
      </c>
      <c r="J3353">
        <v>101.527</v>
      </c>
      <c r="K3353">
        <v>101.705</v>
      </c>
      <c r="L3353">
        <v>4.7409999999999997</v>
      </c>
      <c r="M3353">
        <v>4.694</v>
      </c>
      <c r="N3353">
        <v>4.702</v>
      </c>
      <c r="O3353" t="s">
        <v>101</v>
      </c>
      <c r="P3353" t="s">
        <v>2438</v>
      </c>
      <c r="Q3353" t="s">
        <v>2507</v>
      </c>
      <c r="R3353" t="s">
        <v>2726</v>
      </c>
    </row>
    <row r="3354" spans="1:18" x14ac:dyDescent="0.5">
      <c r="A3354" t="str">
        <f>"341081GT8"</f>
        <v>341081GT8</v>
      </c>
      <c r="B3354" t="s">
        <v>101</v>
      </c>
      <c r="C3354" t="s">
        <v>4196</v>
      </c>
      <c r="D3354" t="s">
        <v>2433</v>
      </c>
      <c r="E3354">
        <v>5.15</v>
      </c>
      <c r="F3354" s="2">
        <v>47284</v>
      </c>
      <c r="G3354" s="2">
        <v>47223</v>
      </c>
      <c r="H3354" t="s">
        <v>613</v>
      </c>
      <c r="I3354" t="s">
        <v>658</v>
      </c>
      <c r="J3354">
        <v>102.26600000000001</v>
      </c>
      <c r="K3354">
        <v>102.392</v>
      </c>
      <c r="L3354">
        <v>4.5359999999999996</v>
      </c>
      <c r="M3354">
        <v>4.5030000000000001</v>
      </c>
      <c r="N3354">
        <v>4.524</v>
      </c>
      <c r="O3354" t="s">
        <v>101</v>
      </c>
      <c r="P3354" t="s">
        <v>2618</v>
      </c>
      <c r="Q3354" t="s">
        <v>2454</v>
      </c>
      <c r="R3354" t="s">
        <v>2436</v>
      </c>
    </row>
    <row r="3355" spans="1:18" x14ac:dyDescent="0.5">
      <c r="A3355" t="str">
        <f>"437076BY7"</f>
        <v>437076BY7</v>
      </c>
      <c r="B3355" t="s">
        <v>101</v>
      </c>
      <c r="C3355" t="s">
        <v>4197</v>
      </c>
      <c r="D3355" t="s">
        <v>2433</v>
      </c>
      <c r="E3355">
        <v>2.95</v>
      </c>
      <c r="F3355" s="2">
        <v>47284</v>
      </c>
      <c r="G3355" s="2">
        <v>47192</v>
      </c>
      <c r="H3355" t="s">
        <v>610</v>
      </c>
      <c r="I3355" t="s">
        <v>611</v>
      </c>
      <c r="J3355">
        <v>93.68</v>
      </c>
      <c r="K3355">
        <v>93.891999999999996</v>
      </c>
      <c r="L3355">
        <v>4.5999999999999996</v>
      </c>
      <c r="M3355">
        <v>4.5430000000000001</v>
      </c>
      <c r="N3355">
        <v>4.5430000000000001</v>
      </c>
      <c r="O3355" t="s">
        <v>101</v>
      </c>
      <c r="P3355" t="s">
        <v>2472</v>
      </c>
      <c r="Q3355" t="s">
        <v>2454</v>
      </c>
      <c r="R3355" t="s">
        <v>2436</v>
      </c>
    </row>
    <row r="3356" spans="1:18" x14ac:dyDescent="0.5">
      <c r="A3356" t="str">
        <f>"45866FAV6"</f>
        <v>45866FAV6</v>
      </c>
      <c r="B3356" t="s">
        <v>101</v>
      </c>
      <c r="C3356" t="s">
        <v>4198</v>
      </c>
      <c r="D3356" t="s">
        <v>2433</v>
      </c>
      <c r="E3356">
        <v>4.3499999999999996</v>
      </c>
      <c r="F3356" s="2">
        <v>47284</v>
      </c>
      <c r="G3356" s="2">
        <v>47223</v>
      </c>
      <c r="H3356" t="s">
        <v>627</v>
      </c>
      <c r="I3356" t="s">
        <v>713</v>
      </c>
      <c r="J3356">
        <v>98.650999999999996</v>
      </c>
      <c r="K3356">
        <v>98.900999999999996</v>
      </c>
      <c r="L3356">
        <v>4.7</v>
      </c>
      <c r="M3356">
        <v>4.6360000000000001</v>
      </c>
      <c r="N3356">
        <v>4.6360000000000001</v>
      </c>
      <c r="O3356" t="s">
        <v>101</v>
      </c>
      <c r="P3356" t="s">
        <v>3239</v>
      </c>
      <c r="Q3356" t="s">
        <v>1391</v>
      </c>
      <c r="R3356" t="s">
        <v>2436</v>
      </c>
    </row>
    <row r="3357" spans="1:18" x14ac:dyDescent="0.5">
      <c r="A3357" t="str">
        <f>"63743HFS6"</f>
        <v>63743HFS6</v>
      </c>
      <c r="B3357" t="s">
        <v>101</v>
      </c>
      <c r="C3357" t="s">
        <v>4199</v>
      </c>
      <c r="D3357" t="s">
        <v>2433</v>
      </c>
      <c r="E3357">
        <v>5.15</v>
      </c>
      <c r="F3357" s="2">
        <v>47284</v>
      </c>
      <c r="G3357" s="2">
        <v>47253</v>
      </c>
      <c r="H3357" t="s">
        <v>610</v>
      </c>
      <c r="I3357" t="s">
        <v>713</v>
      </c>
      <c r="J3357">
        <v>101.652</v>
      </c>
      <c r="K3357">
        <v>101.932</v>
      </c>
      <c r="L3357">
        <v>4.7080000000000002</v>
      </c>
      <c r="M3357">
        <v>4.6349999999999998</v>
      </c>
      <c r="N3357">
        <v>4.6429999999999998</v>
      </c>
      <c r="O3357" t="s">
        <v>101</v>
      </c>
      <c r="P3357" t="s">
        <v>2581</v>
      </c>
      <c r="Q3357" t="s">
        <v>1999</v>
      </c>
      <c r="R3357" t="s">
        <v>2436</v>
      </c>
    </row>
    <row r="3358" spans="1:18" x14ac:dyDescent="0.5">
      <c r="A3358" t="str">
        <f>"695114CU0"</f>
        <v>695114CU0</v>
      </c>
      <c r="B3358" t="s">
        <v>101</v>
      </c>
      <c r="C3358" t="s">
        <v>4200</v>
      </c>
      <c r="D3358" t="s">
        <v>2433</v>
      </c>
      <c r="E3358">
        <v>3.5</v>
      </c>
      <c r="F3358" s="2">
        <v>47284</v>
      </c>
      <c r="G3358" s="2">
        <v>47192</v>
      </c>
      <c r="H3358" t="s">
        <v>610</v>
      </c>
      <c r="I3358" t="s">
        <v>611</v>
      </c>
      <c r="J3358">
        <v>95.049000000000007</v>
      </c>
      <c r="K3358">
        <v>95.465000000000003</v>
      </c>
      <c r="L3358">
        <v>4.798</v>
      </c>
      <c r="M3358">
        <v>4.6859999999999999</v>
      </c>
      <c r="N3358">
        <v>4.6859999999999999</v>
      </c>
      <c r="O3358" t="s">
        <v>101</v>
      </c>
      <c r="P3358" t="s">
        <v>3920</v>
      </c>
      <c r="Q3358" t="s">
        <v>4201</v>
      </c>
      <c r="R3358" t="s">
        <v>2436</v>
      </c>
    </row>
    <row r="3359" spans="1:18" x14ac:dyDescent="0.5">
      <c r="A3359" t="str">
        <f>"756109AW4"</f>
        <v>756109AW4</v>
      </c>
      <c r="B3359" t="s">
        <v>101</v>
      </c>
      <c r="C3359" t="s">
        <v>4202</v>
      </c>
      <c r="D3359" t="s">
        <v>2433</v>
      </c>
      <c r="E3359">
        <v>3.25</v>
      </c>
      <c r="F3359" s="2">
        <v>47284</v>
      </c>
      <c r="G3359" s="2">
        <v>47192</v>
      </c>
      <c r="H3359" t="s">
        <v>627</v>
      </c>
      <c r="I3359" t="s">
        <v>713</v>
      </c>
      <c r="J3359">
        <v>94.236000000000004</v>
      </c>
      <c r="K3359">
        <v>94.441999999999993</v>
      </c>
      <c r="L3359">
        <v>4.76</v>
      </c>
      <c r="M3359">
        <v>4.7039999999999997</v>
      </c>
      <c r="N3359">
        <v>4.7039999999999997</v>
      </c>
      <c r="O3359" t="s">
        <v>101</v>
      </c>
      <c r="P3359" t="s">
        <v>2443</v>
      </c>
      <c r="Q3359" t="s">
        <v>2795</v>
      </c>
      <c r="R3359" t="s">
        <v>2436</v>
      </c>
    </row>
    <row r="3360" spans="1:18" x14ac:dyDescent="0.5">
      <c r="A3360" t="str">
        <f>"437076DC3"</f>
        <v>437076DC3</v>
      </c>
      <c r="B3360" t="s">
        <v>101</v>
      </c>
      <c r="C3360" t="s">
        <v>4203</v>
      </c>
      <c r="D3360" t="s">
        <v>2433</v>
      </c>
      <c r="E3360">
        <v>4.75</v>
      </c>
      <c r="F3360" s="2">
        <v>47294</v>
      </c>
      <c r="G3360" s="2">
        <v>47263</v>
      </c>
      <c r="H3360" t="s">
        <v>610</v>
      </c>
      <c r="I3360" t="s">
        <v>611</v>
      </c>
      <c r="J3360">
        <v>100.646</v>
      </c>
      <c r="K3360">
        <v>100.943</v>
      </c>
      <c r="L3360">
        <v>4.5780000000000003</v>
      </c>
      <c r="M3360">
        <v>4.5</v>
      </c>
      <c r="N3360">
        <v>4.5039999999999996</v>
      </c>
      <c r="O3360" t="s">
        <v>101</v>
      </c>
      <c r="P3360" t="s">
        <v>2774</v>
      </c>
      <c r="Q3360" t="s">
        <v>3352</v>
      </c>
      <c r="R3360" t="s">
        <v>2436</v>
      </c>
    </row>
    <row r="3361" spans="1:18" x14ac:dyDescent="0.5">
      <c r="A3361" t="str">
        <f>"05971KAC3"</f>
        <v>05971KAC3</v>
      </c>
      <c r="B3361" t="s">
        <v>101</v>
      </c>
      <c r="C3361" t="s">
        <v>4204</v>
      </c>
      <c r="D3361" t="s">
        <v>2433</v>
      </c>
      <c r="E3361">
        <v>3.306</v>
      </c>
      <c r="F3361" s="2">
        <v>47296</v>
      </c>
      <c r="G3361" s="2" t="s">
        <v>101</v>
      </c>
      <c r="H3361" t="s">
        <v>610</v>
      </c>
      <c r="I3361" t="s">
        <v>658</v>
      </c>
      <c r="J3361">
        <v>94.07</v>
      </c>
      <c r="K3361">
        <v>94.451999999999998</v>
      </c>
      <c r="L3361">
        <v>4.8520000000000003</v>
      </c>
      <c r="M3361">
        <v>4.7489999999999997</v>
      </c>
      <c r="N3361">
        <v>4.7489999999999997</v>
      </c>
      <c r="O3361" t="s">
        <v>101</v>
      </c>
      <c r="P3361" t="s">
        <v>4152</v>
      </c>
      <c r="Q3361" t="s">
        <v>2687</v>
      </c>
      <c r="R3361" t="s">
        <v>2436</v>
      </c>
    </row>
    <row r="3362" spans="1:18" x14ac:dyDescent="0.5">
      <c r="A3362" t="str">
        <f>"89236TKD6"</f>
        <v>89236TKD6</v>
      </c>
      <c r="B3362" t="s">
        <v>101</v>
      </c>
      <c r="C3362" t="s">
        <v>4205</v>
      </c>
      <c r="D3362" t="s">
        <v>2433</v>
      </c>
      <c r="E3362">
        <v>4.45</v>
      </c>
      <c r="F3362" s="2">
        <v>47298</v>
      </c>
      <c r="G3362" s="2" t="s">
        <v>101</v>
      </c>
      <c r="H3362" t="s">
        <v>641</v>
      </c>
      <c r="I3362" t="s">
        <v>658</v>
      </c>
      <c r="J3362">
        <v>99.215999999999994</v>
      </c>
      <c r="K3362">
        <v>99.679000000000002</v>
      </c>
      <c r="L3362">
        <v>4.6520000000000001</v>
      </c>
      <c r="M3362">
        <v>4.5309999999999997</v>
      </c>
      <c r="N3362">
        <v>4.5309999999999997</v>
      </c>
      <c r="O3362" t="s">
        <v>101</v>
      </c>
      <c r="P3362" t="s">
        <v>2454</v>
      </c>
      <c r="Q3362" t="s">
        <v>2755</v>
      </c>
      <c r="R3362" t="s">
        <v>2436</v>
      </c>
    </row>
    <row r="3363" spans="1:18" x14ac:dyDescent="0.5">
      <c r="A3363" t="str">
        <f>"133131AX0"</f>
        <v>133131AX0</v>
      </c>
      <c r="B3363" t="s">
        <v>101</v>
      </c>
      <c r="C3363" t="s">
        <v>4206</v>
      </c>
      <c r="D3363" t="s">
        <v>2433</v>
      </c>
      <c r="E3363">
        <v>3.15</v>
      </c>
      <c r="F3363" s="2">
        <v>47300</v>
      </c>
      <c r="G3363" s="2">
        <v>47209</v>
      </c>
      <c r="H3363" t="s">
        <v>627</v>
      </c>
      <c r="I3363" t="s">
        <v>713</v>
      </c>
      <c r="J3363">
        <v>94.045000000000002</v>
      </c>
      <c r="K3363">
        <v>94.176000000000002</v>
      </c>
      <c r="L3363">
        <v>4.6929999999999996</v>
      </c>
      <c r="M3363">
        <v>4.6580000000000004</v>
      </c>
      <c r="N3363">
        <v>4.6580000000000004</v>
      </c>
      <c r="O3363" t="s">
        <v>101</v>
      </c>
      <c r="P3363" t="s">
        <v>2443</v>
      </c>
      <c r="Q3363" t="s">
        <v>1702</v>
      </c>
      <c r="R3363" t="s">
        <v>2436</v>
      </c>
    </row>
    <row r="3364" spans="1:18" x14ac:dyDescent="0.5">
      <c r="A3364" t="str">
        <f>"26884ABL6"</f>
        <v>26884ABL6</v>
      </c>
      <c r="B3364" t="s">
        <v>101</v>
      </c>
      <c r="C3364" t="s">
        <v>4207</v>
      </c>
      <c r="D3364" t="s">
        <v>2433</v>
      </c>
      <c r="E3364">
        <v>3</v>
      </c>
      <c r="F3364" s="2">
        <v>47300</v>
      </c>
      <c r="G3364" s="2">
        <v>47209</v>
      </c>
      <c r="H3364" t="s">
        <v>627</v>
      </c>
      <c r="I3364" t="s">
        <v>713</v>
      </c>
      <c r="J3364">
        <v>93.263000000000005</v>
      </c>
      <c r="K3364">
        <v>93.364999999999995</v>
      </c>
      <c r="L3364">
        <v>4.7480000000000002</v>
      </c>
      <c r="M3364">
        <v>4.7210000000000001</v>
      </c>
      <c r="N3364">
        <v>4.7210000000000001</v>
      </c>
      <c r="O3364" t="s">
        <v>101</v>
      </c>
      <c r="P3364" t="s">
        <v>1702</v>
      </c>
      <c r="Q3364" t="s">
        <v>2507</v>
      </c>
      <c r="R3364" t="s">
        <v>2436</v>
      </c>
    </row>
    <row r="3365" spans="1:18" x14ac:dyDescent="0.5">
      <c r="A3365" t="str">
        <f>"976826BM8"</f>
        <v>976826BM8</v>
      </c>
      <c r="B3365" t="s">
        <v>101</v>
      </c>
      <c r="C3365" t="s">
        <v>4208</v>
      </c>
      <c r="D3365" t="s">
        <v>2433</v>
      </c>
      <c r="E3365">
        <v>3</v>
      </c>
      <c r="F3365" s="2">
        <v>47300</v>
      </c>
      <c r="G3365" s="2">
        <v>47209</v>
      </c>
      <c r="H3365" t="s">
        <v>670</v>
      </c>
      <c r="I3365" t="s">
        <v>713</v>
      </c>
      <c r="J3365">
        <v>93.197000000000003</v>
      </c>
      <c r="K3365">
        <v>93.525000000000006</v>
      </c>
      <c r="L3365">
        <v>4.766</v>
      </c>
      <c r="M3365">
        <v>4.6779999999999999</v>
      </c>
      <c r="N3365">
        <v>4.6779999999999999</v>
      </c>
      <c r="O3365" t="s">
        <v>101</v>
      </c>
      <c r="P3365" t="s">
        <v>1236</v>
      </c>
      <c r="Q3365" t="s">
        <v>1236</v>
      </c>
      <c r="R3365" t="s">
        <v>2436</v>
      </c>
    </row>
    <row r="3366" spans="1:18" x14ac:dyDescent="0.5">
      <c r="A3366" t="str">
        <f>"892331AG4"</f>
        <v>892331AG4</v>
      </c>
      <c r="B3366" t="s">
        <v>101</v>
      </c>
      <c r="C3366" t="s">
        <v>4209</v>
      </c>
      <c r="D3366" t="s">
        <v>2433</v>
      </c>
      <c r="E3366">
        <v>2.76</v>
      </c>
      <c r="F3366" s="2">
        <v>47301</v>
      </c>
      <c r="G3366" s="2">
        <v>45738</v>
      </c>
      <c r="H3366" t="s">
        <v>641</v>
      </c>
      <c r="I3366" t="s">
        <v>658</v>
      </c>
      <c r="J3366">
        <v>93.320999999999998</v>
      </c>
      <c r="K3366">
        <v>93.704999999999998</v>
      </c>
      <c r="L3366">
        <v>4.4820000000000002</v>
      </c>
      <c r="M3366">
        <v>4.3789999999999996</v>
      </c>
      <c r="N3366">
        <v>4.3789999999999996</v>
      </c>
      <c r="O3366" t="s">
        <v>101</v>
      </c>
      <c r="P3366" t="s">
        <v>2595</v>
      </c>
      <c r="Q3366" t="s">
        <v>3241</v>
      </c>
      <c r="R3366" t="s">
        <v>2436</v>
      </c>
    </row>
    <row r="3367" spans="1:18" x14ac:dyDescent="0.5">
      <c r="A3367" t="str">
        <f>"50064FAX2"</f>
        <v>50064FAX2</v>
      </c>
      <c r="B3367" t="s">
        <v>101</v>
      </c>
      <c r="C3367" t="s">
        <v>4210</v>
      </c>
      <c r="D3367" t="s">
        <v>2433</v>
      </c>
      <c r="E3367">
        <v>4.5</v>
      </c>
      <c r="F3367" s="2">
        <v>47302</v>
      </c>
      <c r="G3367" s="2" t="s">
        <v>105</v>
      </c>
      <c r="H3367" t="s">
        <v>613</v>
      </c>
      <c r="I3367" t="s">
        <v>628</v>
      </c>
      <c r="J3367" t="s">
        <v>101</v>
      </c>
      <c r="K3367">
        <v>101.5</v>
      </c>
      <c r="L3367" t="s">
        <v>101</v>
      </c>
      <c r="M3367">
        <v>4.1150000000000002</v>
      </c>
      <c r="N3367">
        <v>4.1150000000000002</v>
      </c>
      <c r="O3367" t="s">
        <v>101</v>
      </c>
      <c r="P3367" t="s">
        <v>448</v>
      </c>
      <c r="Q3367" t="s">
        <v>542</v>
      </c>
      <c r="R3367" t="s">
        <v>2465</v>
      </c>
    </row>
    <row r="3368" spans="1:18" x14ac:dyDescent="0.5">
      <c r="A3368" t="str">
        <f>"931142EN9"</f>
        <v>931142EN9</v>
      </c>
      <c r="B3368" t="s">
        <v>101</v>
      </c>
      <c r="C3368" t="s">
        <v>4211</v>
      </c>
      <c r="D3368" t="s">
        <v>2433</v>
      </c>
      <c r="E3368">
        <v>3.25</v>
      </c>
      <c r="F3368" s="2">
        <v>47307</v>
      </c>
      <c r="G3368" s="2">
        <v>47216</v>
      </c>
      <c r="H3368" t="s">
        <v>613</v>
      </c>
      <c r="I3368" t="s">
        <v>628</v>
      </c>
      <c r="J3368">
        <v>95.81</v>
      </c>
      <c r="K3368">
        <v>95.894000000000005</v>
      </c>
      <c r="L3368">
        <v>4.3220000000000001</v>
      </c>
      <c r="M3368">
        <v>4.3</v>
      </c>
      <c r="N3368">
        <v>4.3</v>
      </c>
      <c r="O3368" t="s">
        <v>101</v>
      </c>
      <c r="P3368" t="s">
        <v>2447</v>
      </c>
      <c r="Q3368" t="s">
        <v>2489</v>
      </c>
      <c r="R3368" t="s">
        <v>2436</v>
      </c>
    </row>
    <row r="3369" spans="1:18" x14ac:dyDescent="0.5">
      <c r="A3369" t="str">
        <f>"86562MDM9"</f>
        <v>86562MDM9</v>
      </c>
      <c r="B3369" t="s">
        <v>101</v>
      </c>
      <c r="C3369" t="s">
        <v>4212</v>
      </c>
      <c r="D3369" t="s">
        <v>2433</v>
      </c>
      <c r="E3369">
        <v>5.3159999999999998</v>
      </c>
      <c r="F3369" s="2">
        <v>47308</v>
      </c>
      <c r="G3369" s="2" t="s">
        <v>101</v>
      </c>
      <c r="H3369" t="s">
        <v>641</v>
      </c>
      <c r="I3369" t="s">
        <v>713</v>
      </c>
      <c r="J3369">
        <v>101.634</v>
      </c>
      <c r="K3369">
        <v>101.806</v>
      </c>
      <c r="L3369">
        <v>4.8890000000000002</v>
      </c>
      <c r="M3369">
        <v>4.8460000000000001</v>
      </c>
      <c r="N3369">
        <v>4.8460000000000001</v>
      </c>
      <c r="O3369" t="s">
        <v>101</v>
      </c>
      <c r="P3369" t="s">
        <v>2687</v>
      </c>
      <c r="Q3369" t="s">
        <v>542</v>
      </c>
      <c r="R3369" t="s">
        <v>2436</v>
      </c>
    </row>
    <row r="3370" spans="1:18" x14ac:dyDescent="0.5">
      <c r="A3370" t="str">
        <f>"05463HAB7"</f>
        <v>05463HAB7</v>
      </c>
      <c r="B3370" t="s">
        <v>101</v>
      </c>
      <c r="C3370" t="s">
        <v>4213</v>
      </c>
      <c r="D3370" t="s">
        <v>2433</v>
      </c>
      <c r="E3370">
        <v>3.9</v>
      </c>
      <c r="F3370" s="2">
        <v>47314</v>
      </c>
      <c r="G3370" s="2">
        <v>47224</v>
      </c>
      <c r="H3370" t="s">
        <v>670</v>
      </c>
      <c r="I3370" t="s">
        <v>713</v>
      </c>
      <c r="J3370">
        <v>95.872</v>
      </c>
      <c r="K3370">
        <v>96.061999999999998</v>
      </c>
      <c r="L3370">
        <v>4.9669999999999996</v>
      </c>
      <c r="M3370">
        <v>4.9169999999999998</v>
      </c>
      <c r="N3370">
        <v>4.9169999999999998</v>
      </c>
      <c r="O3370" t="s">
        <v>101</v>
      </c>
      <c r="P3370" t="s">
        <v>3920</v>
      </c>
      <c r="Q3370" t="s">
        <v>2467</v>
      </c>
      <c r="R3370" t="s">
        <v>2436</v>
      </c>
    </row>
    <row r="3371" spans="1:18" x14ac:dyDescent="0.5">
      <c r="A3371" t="str">
        <f>"63743FN51"</f>
        <v>63743FN51</v>
      </c>
      <c r="B3371" t="s">
        <v>101</v>
      </c>
      <c r="C3371" t="s">
        <v>4214</v>
      </c>
      <c r="D3371" t="s">
        <v>2433</v>
      </c>
      <c r="E3371">
        <v>1.75</v>
      </c>
      <c r="F3371" s="2">
        <v>47314</v>
      </c>
      <c r="G3371" s="2">
        <v>45731</v>
      </c>
      <c r="H3371" t="s">
        <v>610</v>
      </c>
      <c r="I3371" t="s">
        <v>713</v>
      </c>
      <c r="J3371">
        <v>87.272000000000006</v>
      </c>
      <c r="K3371">
        <v>90.028000000000006</v>
      </c>
      <c r="L3371">
        <v>5.0190000000000001</v>
      </c>
      <c r="M3371">
        <v>4.2699999999999996</v>
      </c>
      <c r="N3371">
        <v>4.2699999999999996</v>
      </c>
      <c r="O3371" t="s">
        <v>101</v>
      </c>
      <c r="P3371" t="s">
        <v>2443</v>
      </c>
      <c r="Q3371" t="s">
        <v>2790</v>
      </c>
      <c r="R3371" t="s">
        <v>3643</v>
      </c>
    </row>
    <row r="3372" spans="1:18" x14ac:dyDescent="0.5">
      <c r="A3372" t="str">
        <f>"63743FZZ2"</f>
        <v>63743FZZ2</v>
      </c>
      <c r="B3372" t="s">
        <v>101</v>
      </c>
      <c r="C3372" t="s">
        <v>4215</v>
      </c>
      <c r="D3372" t="s">
        <v>2433</v>
      </c>
      <c r="E3372">
        <v>3</v>
      </c>
      <c r="F3372" s="2">
        <v>47314</v>
      </c>
      <c r="G3372" s="2" t="s">
        <v>105</v>
      </c>
      <c r="H3372" t="s">
        <v>610</v>
      </c>
      <c r="I3372" t="s">
        <v>713</v>
      </c>
      <c r="J3372">
        <v>92.483999999999995</v>
      </c>
      <c r="K3372">
        <v>94.528000000000006</v>
      </c>
      <c r="L3372">
        <v>4.9260000000000002</v>
      </c>
      <c r="M3372">
        <v>4.3860000000000001</v>
      </c>
      <c r="N3372">
        <v>4.3860000000000001</v>
      </c>
      <c r="O3372" t="s">
        <v>101</v>
      </c>
      <c r="P3372" t="s">
        <v>1236</v>
      </c>
      <c r="Q3372" t="s">
        <v>4216</v>
      </c>
      <c r="R3372" t="s">
        <v>2610</v>
      </c>
    </row>
    <row r="3373" spans="1:18" x14ac:dyDescent="0.5">
      <c r="A3373" t="str">
        <f>"756109CB8"</f>
        <v>756109CB8</v>
      </c>
      <c r="B3373" t="s">
        <v>101</v>
      </c>
      <c r="C3373" t="s">
        <v>4217</v>
      </c>
      <c r="D3373" t="s">
        <v>2433</v>
      </c>
      <c r="E3373">
        <v>4</v>
      </c>
      <c r="F3373" s="2">
        <v>47314</v>
      </c>
      <c r="G3373" s="2">
        <v>47223</v>
      </c>
      <c r="H3373" t="s">
        <v>627</v>
      </c>
      <c r="I3373" t="s">
        <v>713</v>
      </c>
      <c r="J3373">
        <v>96.861999999999995</v>
      </c>
      <c r="K3373">
        <v>97.146000000000001</v>
      </c>
      <c r="L3373">
        <v>4.8079999999999998</v>
      </c>
      <c r="M3373">
        <v>4.734</v>
      </c>
      <c r="N3373">
        <v>4.734</v>
      </c>
      <c r="O3373" t="s">
        <v>101</v>
      </c>
      <c r="P3373" t="s">
        <v>1702</v>
      </c>
      <c r="Q3373" t="s">
        <v>2454</v>
      </c>
      <c r="R3373" t="s">
        <v>2436</v>
      </c>
    </row>
    <row r="3374" spans="1:18" x14ac:dyDescent="0.5">
      <c r="A3374" t="str">
        <f>"86562MBP4"</f>
        <v>86562MBP4</v>
      </c>
      <c r="B3374" t="s">
        <v>101</v>
      </c>
      <c r="C3374" t="s">
        <v>4218</v>
      </c>
      <c r="D3374" t="s">
        <v>2433</v>
      </c>
      <c r="E3374">
        <v>3.04</v>
      </c>
      <c r="F3374" s="2">
        <v>47315</v>
      </c>
      <c r="G3374" s="2" t="s">
        <v>101</v>
      </c>
      <c r="H3374" t="s">
        <v>641</v>
      </c>
      <c r="I3374" t="s">
        <v>713</v>
      </c>
      <c r="J3374">
        <v>92.79</v>
      </c>
      <c r="K3374">
        <v>93.144999999999996</v>
      </c>
      <c r="L3374">
        <v>4.9020000000000001</v>
      </c>
      <c r="M3374">
        <v>4.8019999999999996</v>
      </c>
      <c r="N3374">
        <v>4.8019999999999996</v>
      </c>
      <c r="O3374" t="s">
        <v>101</v>
      </c>
      <c r="P3374" t="s">
        <v>134</v>
      </c>
      <c r="Q3374" t="s">
        <v>2687</v>
      </c>
      <c r="R3374" t="s">
        <v>2436</v>
      </c>
    </row>
    <row r="3375" spans="1:18" x14ac:dyDescent="0.5">
      <c r="A3375" t="str">
        <f>"713448FX1"</f>
        <v>713448FX1</v>
      </c>
      <c r="B3375" t="s">
        <v>101</v>
      </c>
      <c r="C3375" t="s">
        <v>4219</v>
      </c>
      <c r="D3375" t="s">
        <v>2433</v>
      </c>
      <c r="E3375">
        <v>4.5</v>
      </c>
      <c r="F3375" s="2">
        <v>47316</v>
      </c>
      <c r="G3375" s="2">
        <v>47286</v>
      </c>
      <c r="H3375" t="s">
        <v>641</v>
      </c>
      <c r="I3375" t="s">
        <v>658</v>
      </c>
      <c r="J3375">
        <v>100.4</v>
      </c>
      <c r="K3375">
        <v>100.55</v>
      </c>
      <c r="L3375">
        <v>4.3949999999999996</v>
      </c>
      <c r="M3375">
        <v>4.3570000000000002</v>
      </c>
      <c r="N3375">
        <v>4.3579999999999997</v>
      </c>
      <c r="O3375" t="s">
        <v>101</v>
      </c>
      <c r="P3375" t="s">
        <v>1797</v>
      </c>
      <c r="Q3375" t="s">
        <v>2454</v>
      </c>
      <c r="R3375" t="s">
        <v>2436</v>
      </c>
    </row>
    <row r="3376" spans="1:18" x14ac:dyDescent="0.5">
      <c r="A3376" t="str">
        <f>"24422EUY3"</f>
        <v>24422EUY3</v>
      </c>
      <c r="B3376" t="s">
        <v>101</v>
      </c>
      <c r="C3376" t="s">
        <v>4220</v>
      </c>
      <c r="D3376" t="s">
        <v>2433</v>
      </c>
      <c r="E3376">
        <v>2.8</v>
      </c>
      <c r="F3376" s="2">
        <v>47317</v>
      </c>
      <c r="G3376" s="2" t="s">
        <v>105</v>
      </c>
      <c r="H3376" t="s">
        <v>641</v>
      </c>
      <c r="I3376" t="s">
        <v>611</v>
      </c>
      <c r="J3376">
        <v>93.335999999999999</v>
      </c>
      <c r="K3376">
        <v>93.52</v>
      </c>
      <c r="L3376">
        <v>4.5030000000000001</v>
      </c>
      <c r="M3376">
        <v>4.4539999999999997</v>
      </c>
      <c r="N3376">
        <v>4.4539999999999997</v>
      </c>
      <c r="O3376" t="s">
        <v>101</v>
      </c>
      <c r="P3376" t="s">
        <v>3075</v>
      </c>
      <c r="Q3376" t="s">
        <v>2506</v>
      </c>
      <c r="R3376" t="s">
        <v>2465</v>
      </c>
    </row>
    <row r="3377" spans="1:18" x14ac:dyDescent="0.5">
      <c r="A3377" t="str">
        <f>"606822BM5"</f>
        <v>606822BM5</v>
      </c>
      <c r="B3377" t="s">
        <v>101</v>
      </c>
      <c r="C3377" t="s">
        <v>4221</v>
      </c>
      <c r="D3377" t="s">
        <v>2433</v>
      </c>
      <c r="E3377">
        <v>3.1949999999999998</v>
      </c>
      <c r="F3377" s="2">
        <v>47317</v>
      </c>
      <c r="G3377" s="2" t="s">
        <v>101</v>
      </c>
      <c r="H3377" t="s">
        <v>641</v>
      </c>
      <c r="I3377" t="s">
        <v>713</v>
      </c>
      <c r="J3377">
        <v>93.718000000000004</v>
      </c>
      <c r="K3377">
        <v>93.971000000000004</v>
      </c>
      <c r="L3377">
        <v>4.8120000000000003</v>
      </c>
      <c r="M3377">
        <v>4.7439999999999998</v>
      </c>
      <c r="N3377">
        <v>4.7439999999999998</v>
      </c>
      <c r="O3377" t="s">
        <v>101</v>
      </c>
      <c r="P3377" t="s">
        <v>3891</v>
      </c>
      <c r="Q3377" t="s">
        <v>2687</v>
      </c>
      <c r="R3377" t="s">
        <v>2436</v>
      </c>
    </row>
    <row r="3378" spans="1:18" x14ac:dyDescent="0.5">
      <c r="A3378" t="str">
        <f>"06055JFF1"</f>
        <v>06055JFF1</v>
      </c>
      <c r="B3378" t="s">
        <v>101</v>
      </c>
      <c r="C3378" t="s">
        <v>4222</v>
      </c>
      <c r="D3378" t="s">
        <v>2433</v>
      </c>
      <c r="E3378">
        <v>5.5</v>
      </c>
      <c r="F3378" s="2">
        <v>47322</v>
      </c>
      <c r="G3378" s="2">
        <v>45861</v>
      </c>
      <c r="H3378" t="s">
        <v>641</v>
      </c>
      <c r="I3378" t="s">
        <v>713</v>
      </c>
      <c r="J3378">
        <v>100.00700000000001</v>
      </c>
      <c r="K3378">
        <v>100.407</v>
      </c>
      <c r="L3378">
        <v>5.44</v>
      </c>
      <c r="M3378">
        <v>4.3310000000000004</v>
      </c>
      <c r="N3378">
        <v>5.3920000000000003</v>
      </c>
      <c r="O3378" t="s">
        <v>101</v>
      </c>
      <c r="P3378" t="s">
        <v>2527</v>
      </c>
      <c r="Q3378" t="s">
        <v>2790</v>
      </c>
      <c r="R3378" t="s">
        <v>2726</v>
      </c>
    </row>
    <row r="3379" spans="1:18" x14ac:dyDescent="0.5">
      <c r="A3379" t="str">
        <f>"110122CP1"</f>
        <v>110122CP1</v>
      </c>
      <c r="B3379" t="s">
        <v>101</v>
      </c>
      <c r="C3379" t="s">
        <v>4223</v>
      </c>
      <c r="D3379" t="s">
        <v>2433</v>
      </c>
      <c r="E3379">
        <v>3.4</v>
      </c>
      <c r="F3379" s="2">
        <v>47325</v>
      </c>
      <c r="G3379" s="2">
        <v>47234</v>
      </c>
      <c r="H3379" t="s">
        <v>610</v>
      </c>
      <c r="I3379" t="s">
        <v>611</v>
      </c>
      <c r="J3379">
        <v>95.323999999999998</v>
      </c>
      <c r="K3379">
        <v>95.575000000000003</v>
      </c>
      <c r="L3379">
        <v>4.5919999999999996</v>
      </c>
      <c r="M3379">
        <v>4.5259999999999998</v>
      </c>
      <c r="N3379">
        <v>4.5259999999999998</v>
      </c>
      <c r="O3379" t="s">
        <v>101</v>
      </c>
      <c r="P3379" t="s">
        <v>3920</v>
      </c>
      <c r="Q3379" t="s">
        <v>2472</v>
      </c>
      <c r="R3379" t="s">
        <v>2436</v>
      </c>
    </row>
    <row r="3380" spans="1:18" x14ac:dyDescent="0.5">
      <c r="A3380" t="str">
        <f>"713448EL8"</f>
        <v>713448EL8</v>
      </c>
      <c r="B3380" t="s">
        <v>101</v>
      </c>
      <c r="C3380" t="s">
        <v>4224</v>
      </c>
      <c r="D3380" t="s">
        <v>2433</v>
      </c>
      <c r="E3380">
        <v>2.625</v>
      </c>
      <c r="F3380" s="2">
        <v>47328</v>
      </c>
      <c r="G3380" s="2">
        <v>47237</v>
      </c>
      <c r="H3380" t="s">
        <v>641</v>
      </c>
      <c r="I3380" t="s">
        <v>658</v>
      </c>
      <c r="J3380">
        <v>92.887</v>
      </c>
      <c r="K3380">
        <v>93.021000000000001</v>
      </c>
      <c r="L3380">
        <v>4.4290000000000003</v>
      </c>
      <c r="M3380">
        <v>4.3929999999999998</v>
      </c>
      <c r="N3380">
        <v>4.3929999999999998</v>
      </c>
      <c r="O3380" t="s">
        <v>101</v>
      </c>
      <c r="P3380" t="s">
        <v>2581</v>
      </c>
      <c r="Q3380" t="s">
        <v>2786</v>
      </c>
      <c r="R3380" t="s">
        <v>2436</v>
      </c>
    </row>
    <row r="3381" spans="1:18" x14ac:dyDescent="0.5">
      <c r="A3381" t="str">
        <f>"91159HHW3"</f>
        <v>91159HHW3</v>
      </c>
      <c r="B3381" t="s">
        <v>101</v>
      </c>
      <c r="C3381" t="s">
        <v>4225</v>
      </c>
      <c r="D3381" t="s">
        <v>2433</v>
      </c>
      <c r="E3381">
        <v>3</v>
      </c>
      <c r="F3381" s="2">
        <v>47329</v>
      </c>
      <c r="G3381" s="2">
        <v>47238</v>
      </c>
      <c r="H3381" t="s">
        <v>627</v>
      </c>
      <c r="I3381" t="s">
        <v>713</v>
      </c>
      <c r="J3381">
        <v>92.573999999999998</v>
      </c>
      <c r="K3381">
        <v>92.825999999999993</v>
      </c>
      <c r="L3381">
        <v>4.9020000000000001</v>
      </c>
      <c r="M3381">
        <v>4.835</v>
      </c>
      <c r="N3381">
        <v>4.835</v>
      </c>
      <c r="O3381" t="s">
        <v>101</v>
      </c>
      <c r="P3381" t="s">
        <v>2527</v>
      </c>
      <c r="Q3381" t="s">
        <v>554</v>
      </c>
      <c r="R3381" t="s">
        <v>2436</v>
      </c>
    </row>
    <row r="3382" spans="1:18" x14ac:dyDescent="0.5">
      <c r="A3382" t="str">
        <f>"29379VBV4"</f>
        <v>29379VBV4</v>
      </c>
      <c r="B3382" t="s">
        <v>101</v>
      </c>
      <c r="C3382" t="s">
        <v>4226</v>
      </c>
      <c r="D3382" t="s">
        <v>2433</v>
      </c>
      <c r="E3382">
        <v>3.125</v>
      </c>
      <c r="F3382" s="2">
        <v>47330</v>
      </c>
      <c r="G3382" s="2">
        <v>47238</v>
      </c>
      <c r="H3382" t="s">
        <v>627</v>
      </c>
      <c r="I3382" t="s">
        <v>713</v>
      </c>
      <c r="J3382">
        <v>93.843000000000004</v>
      </c>
      <c r="K3382">
        <v>94.061000000000007</v>
      </c>
      <c r="L3382">
        <v>4.6909999999999998</v>
      </c>
      <c r="M3382">
        <v>4.6369999999999996</v>
      </c>
      <c r="N3382">
        <v>4.6369999999999996</v>
      </c>
      <c r="O3382" t="s">
        <v>101</v>
      </c>
      <c r="P3382" t="s">
        <v>3939</v>
      </c>
      <c r="Q3382" t="s">
        <v>2527</v>
      </c>
      <c r="R3382" t="s">
        <v>2436</v>
      </c>
    </row>
    <row r="3383" spans="1:18" x14ac:dyDescent="0.5">
      <c r="A3383" t="str">
        <f>"06418GAK3"</f>
        <v>06418GAK3</v>
      </c>
      <c r="B3383" t="s">
        <v>101</v>
      </c>
      <c r="C3383" t="s">
        <v>4227</v>
      </c>
      <c r="D3383" t="s">
        <v>2433</v>
      </c>
      <c r="E3383">
        <v>5.45</v>
      </c>
      <c r="F3383" s="2">
        <v>47331</v>
      </c>
      <c r="G3383" s="2" t="s">
        <v>101</v>
      </c>
      <c r="H3383" t="s">
        <v>610</v>
      </c>
      <c r="I3383" t="s">
        <v>713</v>
      </c>
      <c r="J3383">
        <v>102.21899999999999</v>
      </c>
      <c r="K3383">
        <v>102.467</v>
      </c>
      <c r="L3383">
        <v>4.88</v>
      </c>
      <c r="M3383">
        <v>4.8179999999999996</v>
      </c>
      <c r="N3383">
        <v>4.8179999999999996</v>
      </c>
      <c r="O3383" t="s">
        <v>101</v>
      </c>
      <c r="P3383" t="s">
        <v>3920</v>
      </c>
      <c r="Q3383" t="s">
        <v>2454</v>
      </c>
      <c r="R3383" t="s">
        <v>2436</v>
      </c>
    </row>
    <row r="3384" spans="1:18" x14ac:dyDescent="0.5">
      <c r="A3384" t="str">
        <f>"842400GS6"</f>
        <v>842400GS6</v>
      </c>
      <c r="B3384" t="s">
        <v>101</v>
      </c>
      <c r="C3384" t="s">
        <v>4228</v>
      </c>
      <c r="D3384" t="s">
        <v>2433</v>
      </c>
      <c r="E3384">
        <v>2.85</v>
      </c>
      <c r="F3384" s="2">
        <v>47331</v>
      </c>
      <c r="G3384" s="2">
        <v>47239</v>
      </c>
      <c r="H3384" t="s">
        <v>610</v>
      </c>
      <c r="I3384" t="s">
        <v>713</v>
      </c>
      <c r="J3384">
        <v>90.897000000000006</v>
      </c>
      <c r="K3384">
        <v>91.299000000000007</v>
      </c>
      <c r="L3384">
        <v>5.1970000000000001</v>
      </c>
      <c r="M3384">
        <v>5.0880000000000001</v>
      </c>
      <c r="N3384">
        <v>5.0880000000000001</v>
      </c>
      <c r="O3384" t="s">
        <v>101</v>
      </c>
      <c r="P3384" t="s">
        <v>4229</v>
      </c>
      <c r="Q3384" t="s">
        <v>2507</v>
      </c>
      <c r="R3384" t="s">
        <v>2436</v>
      </c>
    </row>
    <row r="3385" spans="1:18" x14ac:dyDescent="0.5">
      <c r="A3385" t="str">
        <f>"17325FBK3"</f>
        <v>17325FBK3</v>
      </c>
      <c r="B3385" t="s">
        <v>101</v>
      </c>
      <c r="C3385" t="s">
        <v>4230</v>
      </c>
      <c r="D3385" t="s">
        <v>2433</v>
      </c>
      <c r="E3385">
        <v>4.8380000000000001</v>
      </c>
      <c r="F3385" s="2">
        <v>47336</v>
      </c>
      <c r="G3385" s="2">
        <v>47305</v>
      </c>
      <c r="H3385" t="s">
        <v>624</v>
      </c>
      <c r="I3385" t="s">
        <v>658</v>
      </c>
      <c r="J3385">
        <v>100.503</v>
      </c>
      <c r="K3385">
        <v>100.65900000000001</v>
      </c>
      <c r="L3385">
        <v>4.7080000000000002</v>
      </c>
      <c r="M3385">
        <v>4.6669999999999998</v>
      </c>
      <c r="N3385">
        <v>4.6689999999999996</v>
      </c>
      <c r="O3385" t="s">
        <v>101</v>
      </c>
      <c r="P3385" t="s">
        <v>2434</v>
      </c>
      <c r="Q3385" t="s">
        <v>3250</v>
      </c>
      <c r="R3385" t="s">
        <v>2436</v>
      </c>
    </row>
    <row r="3386" spans="1:18" x14ac:dyDescent="0.5">
      <c r="A3386" t="str">
        <f>"037833EN6"</f>
        <v>037833EN6</v>
      </c>
      <c r="B3386" t="s">
        <v>101</v>
      </c>
      <c r="C3386" t="s">
        <v>4231</v>
      </c>
      <c r="D3386" t="s">
        <v>2433</v>
      </c>
      <c r="E3386">
        <v>3.25</v>
      </c>
      <c r="F3386" s="2">
        <v>47338</v>
      </c>
      <c r="G3386" s="2">
        <v>47277</v>
      </c>
      <c r="H3386" t="s">
        <v>104</v>
      </c>
      <c r="I3386" t="s">
        <v>509</v>
      </c>
      <c r="J3386">
        <v>95.581000000000003</v>
      </c>
      <c r="K3386">
        <v>95.908000000000001</v>
      </c>
      <c r="L3386">
        <v>4.3630000000000004</v>
      </c>
      <c r="M3386">
        <v>4.2779999999999996</v>
      </c>
      <c r="N3386">
        <v>4.2779999999999996</v>
      </c>
      <c r="O3386" t="s">
        <v>101</v>
      </c>
      <c r="P3386" t="s">
        <v>4232</v>
      </c>
      <c r="Q3386" t="s">
        <v>2454</v>
      </c>
      <c r="R3386" t="s">
        <v>2436</v>
      </c>
    </row>
    <row r="3387" spans="1:18" x14ac:dyDescent="0.5">
      <c r="A3387" t="str">
        <f>"89236TMK8"</f>
        <v>89236TMK8</v>
      </c>
      <c r="B3387" t="s">
        <v>101</v>
      </c>
      <c r="C3387" t="s">
        <v>4233</v>
      </c>
      <c r="D3387" t="s">
        <v>2433</v>
      </c>
      <c r="E3387">
        <v>4.55</v>
      </c>
      <c r="F3387" s="2">
        <v>47339</v>
      </c>
      <c r="G3387" s="2" t="s">
        <v>101</v>
      </c>
      <c r="H3387" t="s">
        <v>641</v>
      </c>
      <c r="I3387" t="s">
        <v>658</v>
      </c>
      <c r="J3387">
        <v>99.484999999999999</v>
      </c>
      <c r="K3387">
        <v>99.820999999999998</v>
      </c>
      <c r="L3387">
        <v>4.68</v>
      </c>
      <c r="M3387">
        <v>4.5940000000000003</v>
      </c>
      <c r="N3387">
        <v>4.5940000000000003</v>
      </c>
      <c r="O3387" t="s">
        <v>101</v>
      </c>
      <c r="P3387" t="s">
        <v>3386</v>
      </c>
      <c r="Q3387" t="s">
        <v>2454</v>
      </c>
      <c r="R3387" t="s">
        <v>2436</v>
      </c>
    </row>
    <row r="3388" spans="1:18" x14ac:dyDescent="0.5">
      <c r="A3388" t="str">
        <f>"532457CQ9"</f>
        <v>532457CQ9</v>
      </c>
      <c r="B3388" t="s">
        <v>101</v>
      </c>
      <c r="C3388" t="s">
        <v>4234</v>
      </c>
      <c r="D3388" t="s">
        <v>2433</v>
      </c>
      <c r="E3388">
        <v>4.2</v>
      </c>
      <c r="F3388" s="2">
        <v>47344</v>
      </c>
      <c r="G3388" s="2">
        <v>47313</v>
      </c>
      <c r="H3388" t="s">
        <v>624</v>
      </c>
      <c r="I3388" t="s">
        <v>658</v>
      </c>
      <c r="J3388">
        <v>98.825000000000003</v>
      </c>
      <c r="K3388">
        <v>98.977000000000004</v>
      </c>
      <c r="L3388">
        <v>4.4950000000000001</v>
      </c>
      <c r="M3388">
        <v>4.4569999999999999</v>
      </c>
      <c r="N3388">
        <v>4.4569999999999999</v>
      </c>
      <c r="O3388" t="s">
        <v>101</v>
      </c>
      <c r="P3388" t="s">
        <v>1391</v>
      </c>
      <c r="Q3388" t="s">
        <v>2454</v>
      </c>
      <c r="R3388" t="s">
        <v>2436</v>
      </c>
    </row>
    <row r="3389" spans="1:18" x14ac:dyDescent="0.5">
      <c r="A3389" t="str">
        <f>"171239AL0"</f>
        <v>171239AL0</v>
      </c>
      <c r="B3389" t="s">
        <v>101</v>
      </c>
      <c r="C3389" t="s">
        <v>4235</v>
      </c>
      <c r="D3389" t="s">
        <v>2433</v>
      </c>
      <c r="E3389">
        <v>4.6500000000000004</v>
      </c>
      <c r="F3389" s="2">
        <v>47345</v>
      </c>
      <c r="G3389" s="2">
        <v>47314</v>
      </c>
      <c r="H3389" t="s">
        <v>610</v>
      </c>
      <c r="I3389" t="s">
        <v>611</v>
      </c>
      <c r="J3389">
        <v>100.136</v>
      </c>
      <c r="K3389">
        <v>100.498</v>
      </c>
      <c r="L3389">
        <v>4.6150000000000002</v>
      </c>
      <c r="M3389">
        <v>4.5220000000000002</v>
      </c>
      <c r="N3389">
        <v>4.524</v>
      </c>
      <c r="O3389" t="s">
        <v>101</v>
      </c>
      <c r="P3389" t="s">
        <v>2472</v>
      </c>
      <c r="Q3389" t="s">
        <v>2786</v>
      </c>
      <c r="R3389" t="s">
        <v>2436</v>
      </c>
    </row>
    <row r="3390" spans="1:18" x14ac:dyDescent="0.5">
      <c r="A3390" t="str">
        <f>"26442CAY0"</f>
        <v>26442CAY0</v>
      </c>
      <c r="B3390" t="s">
        <v>101</v>
      </c>
      <c r="C3390" t="s">
        <v>4236</v>
      </c>
      <c r="D3390" t="s">
        <v>2433</v>
      </c>
      <c r="E3390">
        <v>2.4500000000000002</v>
      </c>
      <c r="F3390" s="2">
        <v>47345</v>
      </c>
      <c r="G3390" s="2">
        <v>47253</v>
      </c>
      <c r="H3390" t="s">
        <v>624</v>
      </c>
      <c r="I3390" t="s">
        <v>611</v>
      </c>
      <c r="J3390">
        <v>91.215999999999994</v>
      </c>
      <c r="K3390">
        <v>91.525000000000006</v>
      </c>
      <c r="L3390">
        <v>4.67</v>
      </c>
      <c r="M3390">
        <v>4.5880000000000001</v>
      </c>
      <c r="N3390">
        <v>4.5880000000000001</v>
      </c>
      <c r="O3390" t="s">
        <v>101</v>
      </c>
      <c r="P3390" t="s">
        <v>3884</v>
      </c>
      <c r="Q3390" t="s">
        <v>2454</v>
      </c>
      <c r="R3390" t="s">
        <v>2436</v>
      </c>
    </row>
    <row r="3391" spans="1:18" x14ac:dyDescent="0.5">
      <c r="A3391" t="str">
        <f>"438516BU9"</f>
        <v>438516BU9</v>
      </c>
      <c r="B3391" t="s">
        <v>101</v>
      </c>
      <c r="C3391" t="s">
        <v>4237</v>
      </c>
      <c r="D3391" t="s">
        <v>2433</v>
      </c>
      <c r="E3391">
        <v>2.7</v>
      </c>
      <c r="F3391" s="2">
        <v>47345</v>
      </c>
      <c r="G3391" s="2">
        <v>47253</v>
      </c>
      <c r="H3391" t="s">
        <v>610</v>
      </c>
      <c r="I3391" t="s">
        <v>611</v>
      </c>
      <c r="J3391">
        <v>92.61</v>
      </c>
      <c r="K3391">
        <v>92.856999999999999</v>
      </c>
      <c r="L3391">
        <v>4.5629999999999997</v>
      </c>
      <c r="M3391">
        <v>4.4980000000000002</v>
      </c>
      <c r="N3391">
        <v>4.4980000000000002</v>
      </c>
      <c r="O3391" t="s">
        <v>101</v>
      </c>
      <c r="P3391" t="s">
        <v>2581</v>
      </c>
      <c r="Q3391" t="s">
        <v>2454</v>
      </c>
      <c r="R3391" t="s">
        <v>2436</v>
      </c>
    </row>
    <row r="3392" spans="1:18" x14ac:dyDescent="0.5">
      <c r="A3392" t="str">
        <f>"30303M8S4"</f>
        <v>30303M8S4</v>
      </c>
      <c r="B3392" t="s">
        <v>101</v>
      </c>
      <c r="C3392" t="s">
        <v>4238</v>
      </c>
      <c r="D3392" t="s">
        <v>2433</v>
      </c>
      <c r="E3392">
        <v>4.3</v>
      </c>
      <c r="F3392" s="2">
        <v>47345</v>
      </c>
      <c r="G3392" s="2">
        <v>47314</v>
      </c>
      <c r="H3392" t="s">
        <v>624</v>
      </c>
      <c r="I3392" t="s">
        <v>616</v>
      </c>
      <c r="J3392">
        <v>99.27</v>
      </c>
      <c r="K3392">
        <v>99.509</v>
      </c>
      <c r="L3392">
        <v>4.4829999999999997</v>
      </c>
      <c r="M3392">
        <v>4.423</v>
      </c>
      <c r="N3392">
        <v>4.423</v>
      </c>
      <c r="O3392" t="s">
        <v>101</v>
      </c>
      <c r="P3392" t="s">
        <v>2786</v>
      </c>
      <c r="Q3392" t="s">
        <v>2454</v>
      </c>
      <c r="R3392" t="s">
        <v>2436</v>
      </c>
    </row>
    <row r="3393" spans="1:18" x14ac:dyDescent="0.5">
      <c r="A3393" t="str">
        <f>"63743FA63"</f>
        <v>63743FA63</v>
      </c>
      <c r="B3393" t="s">
        <v>101</v>
      </c>
      <c r="C3393" t="s">
        <v>4239</v>
      </c>
      <c r="D3393" t="s">
        <v>2433</v>
      </c>
      <c r="E3393">
        <v>3</v>
      </c>
      <c r="F3393" s="2">
        <v>47345</v>
      </c>
      <c r="G3393" s="2" t="s">
        <v>105</v>
      </c>
      <c r="H3393" t="s">
        <v>610</v>
      </c>
      <c r="I3393" t="s">
        <v>713</v>
      </c>
      <c r="J3393">
        <v>92.331999999999994</v>
      </c>
      <c r="K3393">
        <v>93.932000000000002</v>
      </c>
      <c r="L3393">
        <v>4.9320000000000004</v>
      </c>
      <c r="M3393">
        <v>4.5149999999999997</v>
      </c>
      <c r="N3393">
        <v>4.5149999999999997</v>
      </c>
      <c r="O3393" t="s">
        <v>101</v>
      </c>
      <c r="P3393" t="s">
        <v>1391</v>
      </c>
      <c r="Q3393" t="s">
        <v>2739</v>
      </c>
      <c r="R3393" t="s">
        <v>2610</v>
      </c>
    </row>
    <row r="3394" spans="1:18" x14ac:dyDescent="0.5">
      <c r="A3394" t="str">
        <f>"63743FF92"</f>
        <v>63743FF92</v>
      </c>
      <c r="B3394" t="s">
        <v>101</v>
      </c>
      <c r="C3394" t="s">
        <v>4240</v>
      </c>
      <c r="D3394" t="s">
        <v>2433</v>
      </c>
      <c r="E3394">
        <v>3.65</v>
      </c>
      <c r="F3394" s="2">
        <v>47345</v>
      </c>
      <c r="G3394" s="2" t="s">
        <v>105</v>
      </c>
      <c r="H3394" t="s">
        <v>610</v>
      </c>
      <c r="I3394" t="s">
        <v>713</v>
      </c>
      <c r="J3394">
        <v>95.102999999999994</v>
      </c>
      <c r="K3394">
        <v>97.111999999999995</v>
      </c>
      <c r="L3394">
        <v>4.883</v>
      </c>
      <c r="M3394">
        <v>4.3689999999999998</v>
      </c>
      <c r="N3394">
        <v>4.3689999999999998</v>
      </c>
      <c r="O3394" t="s">
        <v>101</v>
      </c>
      <c r="P3394" t="s">
        <v>1391</v>
      </c>
      <c r="Q3394" t="s">
        <v>2489</v>
      </c>
      <c r="R3394" t="s">
        <v>2610</v>
      </c>
    </row>
    <row r="3395" spans="1:18" x14ac:dyDescent="0.5">
      <c r="A3395" t="str">
        <f>"63743FVP8"</f>
        <v>63743FVP8</v>
      </c>
      <c r="B3395" t="s">
        <v>101</v>
      </c>
      <c r="C3395" t="s">
        <v>4241</v>
      </c>
      <c r="D3395" t="s">
        <v>2433</v>
      </c>
      <c r="E3395">
        <v>3.5</v>
      </c>
      <c r="F3395" s="2">
        <v>47345</v>
      </c>
      <c r="G3395" s="2" t="s">
        <v>105</v>
      </c>
      <c r="H3395" t="s">
        <v>610</v>
      </c>
      <c r="I3395" t="s">
        <v>713</v>
      </c>
      <c r="J3395">
        <v>94.456000000000003</v>
      </c>
      <c r="K3395">
        <v>96.677999999999997</v>
      </c>
      <c r="L3395">
        <v>4.8959999999999999</v>
      </c>
      <c r="M3395">
        <v>4.3259999999999996</v>
      </c>
      <c r="N3395">
        <v>4.3259999999999996</v>
      </c>
      <c r="O3395" t="s">
        <v>101</v>
      </c>
      <c r="P3395" t="s">
        <v>858</v>
      </c>
      <c r="Q3395" t="s">
        <v>488</v>
      </c>
      <c r="R3395" t="s">
        <v>2610</v>
      </c>
    </row>
    <row r="3396" spans="1:18" x14ac:dyDescent="0.5">
      <c r="A3396" t="str">
        <f>"63743FYV2"</f>
        <v>63743FYV2</v>
      </c>
      <c r="B3396" t="s">
        <v>101</v>
      </c>
      <c r="C3396" t="s">
        <v>4242</v>
      </c>
      <c r="D3396" t="s">
        <v>2433</v>
      </c>
      <c r="E3396">
        <v>3.5</v>
      </c>
      <c r="F3396" s="2">
        <v>47345</v>
      </c>
      <c r="G3396" s="2" t="s">
        <v>105</v>
      </c>
      <c r="H3396" t="s">
        <v>610</v>
      </c>
      <c r="I3396" t="s">
        <v>713</v>
      </c>
      <c r="J3396">
        <v>95.097999999999999</v>
      </c>
      <c r="K3396">
        <v>95.644999999999996</v>
      </c>
      <c r="L3396">
        <v>4.7300000000000004</v>
      </c>
      <c r="M3396">
        <v>4.5890000000000004</v>
      </c>
      <c r="N3396">
        <v>4.5890000000000004</v>
      </c>
      <c r="O3396" t="s">
        <v>101</v>
      </c>
      <c r="P3396" t="s">
        <v>2790</v>
      </c>
      <c r="Q3396" t="s">
        <v>503</v>
      </c>
      <c r="R3396" t="s">
        <v>2610</v>
      </c>
    </row>
    <row r="3397" spans="1:18" x14ac:dyDescent="0.5">
      <c r="A3397" t="str">
        <f>"718172CJ6"</f>
        <v>718172CJ6</v>
      </c>
      <c r="B3397" t="s">
        <v>101</v>
      </c>
      <c r="C3397" t="s">
        <v>4243</v>
      </c>
      <c r="D3397" t="s">
        <v>2433</v>
      </c>
      <c r="E3397">
        <v>3.375</v>
      </c>
      <c r="F3397" s="2">
        <v>47345</v>
      </c>
      <c r="G3397" s="2">
        <v>47253</v>
      </c>
      <c r="H3397" t="s">
        <v>610</v>
      </c>
      <c r="I3397" t="s">
        <v>713</v>
      </c>
      <c r="J3397">
        <v>94.882999999999996</v>
      </c>
      <c r="K3397">
        <v>94.944999999999993</v>
      </c>
      <c r="L3397">
        <v>4.6680000000000001</v>
      </c>
      <c r="M3397">
        <v>4.6520000000000001</v>
      </c>
      <c r="N3397">
        <v>4.6520000000000001</v>
      </c>
      <c r="O3397" t="s">
        <v>101</v>
      </c>
      <c r="P3397" t="s">
        <v>1702</v>
      </c>
      <c r="Q3397" t="s">
        <v>2454</v>
      </c>
      <c r="R3397" t="s">
        <v>2436</v>
      </c>
    </row>
    <row r="3398" spans="1:18" x14ac:dyDescent="0.5">
      <c r="A3398" t="str">
        <f>"74432BAD0"</f>
        <v>74432BAD0</v>
      </c>
      <c r="B3398" t="s">
        <v>101</v>
      </c>
      <c r="C3398" t="s">
        <v>4244</v>
      </c>
      <c r="D3398" t="s">
        <v>2433</v>
      </c>
      <c r="E3398">
        <v>4.2</v>
      </c>
      <c r="F3398" s="2">
        <v>47345</v>
      </c>
      <c r="G3398" s="2" t="s">
        <v>105</v>
      </c>
      <c r="H3398" t="s">
        <v>627</v>
      </c>
      <c r="I3398" t="s">
        <v>611</v>
      </c>
      <c r="J3398">
        <v>97.418999999999997</v>
      </c>
      <c r="K3398">
        <v>99.388999999999996</v>
      </c>
      <c r="L3398">
        <v>4.8540000000000001</v>
      </c>
      <c r="M3398">
        <v>4.3529999999999998</v>
      </c>
      <c r="N3398">
        <v>4.3529999999999998</v>
      </c>
      <c r="O3398" t="s">
        <v>101</v>
      </c>
      <c r="P3398" t="s">
        <v>1391</v>
      </c>
      <c r="Q3398" t="s">
        <v>2549</v>
      </c>
      <c r="R3398" t="s">
        <v>4245</v>
      </c>
    </row>
    <row r="3399" spans="1:18" x14ac:dyDescent="0.5">
      <c r="A3399" t="str">
        <f>"91324PDS8"</f>
        <v>91324PDS8</v>
      </c>
      <c r="B3399" t="s">
        <v>101</v>
      </c>
      <c r="C3399" t="s">
        <v>4246</v>
      </c>
      <c r="D3399" t="s">
        <v>2433</v>
      </c>
      <c r="E3399">
        <v>2.875</v>
      </c>
      <c r="F3399" s="2">
        <v>47345</v>
      </c>
      <c r="G3399" s="2" t="s">
        <v>101</v>
      </c>
      <c r="H3399" t="s">
        <v>610</v>
      </c>
      <c r="I3399" t="s">
        <v>658</v>
      </c>
      <c r="J3399">
        <v>93.147000000000006</v>
      </c>
      <c r="K3399">
        <v>93.332999999999998</v>
      </c>
      <c r="L3399">
        <v>4.6040000000000001</v>
      </c>
      <c r="M3399">
        <v>4.5549999999999997</v>
      </c>
      <c r="N3399">
        <v>4.5549999999999997</v>
      </c>
      <c r="O3399" t="s">
        <v>101</v>
      </c>
      <c r="P3399" t="s">
        <v>1702</v>
      </c>
      <c r="Q3399" t="s">
        <v>2454</v>
      </c>
      <c r="R3399" t="s">
        <v>2436</v>
      </c>
    </row>
    <row r="3400" spans="1:18" x14ac:dyDescent="0.5">
      <c r="A3400" t="str">
        <f>"14913UAQ3"</f>
        <v>14913UAQ3</v>
      </c>
      <c r="B3400" t="s">
        <v>101</v>
      </c>
      <c r="C3400" t="s">
        <v>4247</v>
      </c>
      <c r="D3400" t="s">
        <v>2433</v>
      </c>
      <c r="E3400">
        <v>4.375</v>
      </c>
      <c r="F3400" s="2">
        <v>47346</v>
      </c>
      <c r="G3400" s="2" t="s">
        <v>101</v>
      </c>
      <c r="H3400" t="s">
        <v>610</v>
      </c>
      <c r="I3400" t="s">
        <v>611</v>
      </c>
      <c r="J3400">
        <v>99.004000000000005</v>
      </c>
      <c r="K3400">
        <v>99.2</v>
      </c>
      <c r="L3400">
        <v>4.6260000000000003</v>
      </c>
      <c r="M3400">
        <v>4.5759999999999996</v>
      </c>
      <c r="N3400">
        <v>4.5759999999999996</v>
      </c>
      <c r="O3400" t="s">
        <v>101</v>
      </c>
      <c r="P3400" t="s">
        <v>1391</v>
      </c>
      <c r="Q3400" t="s">
        <v>2940</v>
      </c>
      <c r="R3400" t="s">
        <v>2436</v>
      </c>
    </row>
    <row r="3401" spans="1:18" x14ac:dyDescent="0.5">
      <c r="A3401" t="str">
        <f>"25161FA99"</f>
        <v>25161FA99</v>
      </c>
      <c r="B3401" t="s">
        <v>101</v>
      </c>
      <c r="C3401" t="s">
        <v>4248</v>
      </c>
      <c r="D3401" t="s">
        <v>2433</v>
      </c>
      <c r="E3401">
        <v>5.05</v>
      </c>
      <c r="F3401" s="2">
        <v>47346</v>
      </c>
      <c r="G3401" s="2">
        <v>45885</v>
      </c>
      <c r="H3401" t="s">
        <v>641</v>
      </c>
      <c r="I3401" t="s">
        <v>611</v>
      </c>
      <c r="J3401">
        <v>96.537999999999997</v>
      </c>
      <c r="K3401">
        <v>99.992000000000004</v>
      </c>
      <c r="L3401">
        <v>5.95</v>
      </c>
      <c r="M3401">
        <v>5.0510000000000002</v>
      </c>
      <c r="N3401">
        <v>5.0510000000000002</v>
      </c>
      <c r="O3401" t="s">
        <v>101</v>
      </c>
      <c r="P3401" t="s">
        <v>554</v>
      </c>
      <c r="Q3401" t="s">
        <v>556</v>
      </c>
      <c r="R3401" t="s">
        <v>2726</v>
      </c>
    </row>
    <row r="3402" spans="1:18" x14ac:dyDescent="0.5">
      <c r="A3402" t="str">
        <f>"30231GBE1"</f>
        <v>30231GBE1</v>
      </c>
      <c r="B3402" t="s">
        <v>101</v>
      </c>
      <c r="C3402" t="s">
        <v>4249</v>
      </c>
      <c r="D3402" t="s">
        <v>2433</v>
      </c>
      <c r="E3402">
        <v>2.44</v>
      </c>
      <c r="F3402" s="2">
        <v>47346</v>
      </c>
      <c r="G3402" s="2">
        <v>47254</v>
      </c>
      <c r="H3402" t="s">
        <v>613</v>
      </c>
      <c r="I3402" t="s">
        <v>616</v>
      </c>
      <c r="J3402">
        <v>92.326999999999998</v>
      </c>
      <c r="K3402">
        <v>92.459000000000003</v>
      </c>
      <c r="L3402">
        <v>4.3639999999999999</v>
      </c>
      <c r="M3402">
        <v>4.3289999999999997</v>
      </c>
      <c r="N3402">
        <v>4.3289999999999997</v>
      </c>
      <c r="O3402" t="s">
        <v>101</v>
      </c>
      <c r="P3402" t="s">
        <v>3493</v>
      </c>
      <c r="Q3402" t="s">
        <v>2472</v>
      </c>
      <c r="R3402" t="s">
        <v>2436</v>
      </c>
    </row>
    <row r="3403" spans="1:18" x14ac:dyDescent="0.5">
      <c r="A3403" t="str">
        <f>"06406YAA0"</f>
        <v>06406YAA0</v>
      </c>
      <c r="B3403" t="s">
        <v>101</v>
      </c>
      <c r="C3403" t="s">
        <v>4250</v>
      </c>
      <c r="D3403" t="s">
        <v>2433</v>
      </c>
      <c r="E3403">
        <v>3.3</v>
      </c>
      <c r="F3403" s="2">
        <v>47353</v>
      </c>
      <c r="G3403" s="2">
        <v>47261</v>
      </c>
      <c r="H3403" t="s">
        <v>610</v>
      </c>
      <c r="I3403" t="s">
        <v>713</v>
      </c>
      <c r="J3403">
        <v>93.992000000000004</v>
      </c>
      <c r="K3403">
        <v>94.144999999999996</v>
      </c>
      <c r="L3403">
        <v>4.8159999999999998</v>
      </c>
      <c r="M3403">
        <v>4.7759999999999998</v>
      </c>
      <c r="N3403">
        <v>4.7759999999999998</v>
      </c>
      <c r="O3403" t="s">
        <v>101</v>
      </c>
      <c r="P3403" t="s">
        <v>2507</v>
      </c>
      <c r="Q3403" t="s">
        <v>3075</v>
      </c>
      <c r="R3403" t="s">
        <v>2436</v>
      </c>
    </row>
    <row r="3404" spans="1:18" x14ac:dyDescent="0.5">
      <c r="A3404" t="str">
        <f>"17330R4N2"</f>
        <v>17330R4N2</v>
      </c>
      <c r="B3404" t="s">
        <v>101</v>
      </c>
      <c r="C3404" t="s">
        <v>4251</v>
      </c>
      <c r="D3404" t="s">
        <v>2433</v>
      </c>
      <c r="E3404">
        <v>4.7</v>
      </c>
      <c r="F3404" s="2">
        <v>47360</v>
      </c>
      <c r="G3404" s="2">
        <v>45807</v>
      </c>
      <c r="H3404" t="s">
        <v>610</v>
      </c>
      <c r="I3404" t="s">
        <v>611</v>
      </c>
      <c r="J3404">
        <v>99.084000000000003</v>
      </c>
      <c r="K3404">
        <v>99.917000000000002</v>
      </c>
      <c r="L3404">
        <v>4.93</v>
      </c>
      <c r="M3404">
        <v>4.72</v>
      </c>
      <c r="N3404">
        <v>4.72</v>
      </c>
      <c r="O3404" t="s">
        <v>101</v>
      </c>
      <c r="P3404" t="s">
        <v>2595</v>
      </c>
      <c r="Q3404" t="s">
        <v>488</v>
      </c>
      <c r="R3404" t="s">
        <v>2726</v>
      </c>
    </row>
    <row r="3405" spans="1:18" x14ac:dyDescent="0.5">
      <c r="A3405" t="str">
        <f>"254687FL5"</f>
        <v>254687FL5</v>
      </c>
      <c r="B3405" t="s">
        <v>101</v>
      </c>
      <c r="C3405" t="s">
        <v>4252</v>
      </c>
      <c r="D3405" t="s">
        <v>2433</v>
      </c>
      <c r="E3405">
        <v>2</v>
      </c>
      <c r="F3405" s="2">
        <v>47362</v>
      </c>
      <c r="G3405" s="2">
        <v>47270</v>
      </c>
      <c r="H3405" t="s">
        <v>610</v>
      </c>
      <c r="I3405" t="s">
        <v>611</v>
      </c>
      <c r="J3405">
        <v>89.753</v>
      </c>
      <c r="K3405">
        <v>89.93</v>
      </c>
      <c r="L3405">
        <v>4.5599999999999996</v>
      </c>
      <c r="M3405">
        <v>4.5129999999999999</v>
      </c>
      <c r="N3405">
        <v>4.5129999999999999</v>
      </c>
      <c r="O3405" t="s">
        <v>101</v>
      </c>
      <c r="P3405" t="s">
        <v>2447</v>
      </c>
      <c r="Q3405" t="s">
        <v>1702</v>
      </c>
      <c r="R3405" t="s">
        <v>2436</v>
      </c>
    </row>
    <row r="3406" spans="1:18" x14ac:dyDescent="0.5">
      <c r="A3406" t="str">
        <f>"438516CQ7"</f>
        <v>438516CQ7</v>
      </c>
      <c r="B3406" t="s">
        <v>101</v>
      </c>
      <c r="C3406" t="s">
        <v>4253</v>
      </c>
      <c r="D3406" t="s">
        <v>2433</v>
      </c>
      <c r="E3406">
        <v>4.875</v>
      </c>
      <c r="F3406" s="2">
        <v>47362</v>
      </c>
      <c r="G3406" s="2">
        <v>47331</v>
      </c>
      <c r="H3406" t="s">
        <v>610</v>
      </c>
      <c r="I3406" t="s">
        <v>611</v>
      </c>
      <c r="J3406">
        <v>101.44499999999999</v>
      </c>
      <c r="K3406">
        <v>101.524</v>
      </c>
      <c r="L3406">
        <v>4.5090000000000003</v>
      </c>
      <c r="M3406">
        <v>4.4889999999999999</v>
      </c>
      <c r="N3406">
        <v>4.4939999999999998</v>
      </c>
      <c r="O3406" t="s">
        <v>101</v>
      </c>
      <c r="P3406" t="s">
        <v>1702</v>
      </c>
      <c r="Q3406" t="s">
        <v>2454</v>
      </c>
      <c r="R3406" t="s">
        <v>2436</v>
      </c>
    </row>
    <row r="3407" spans="1:18" x14ac:dyDescent="0.5">
      <c r="A3407" t="str">
        <f>"478160AJ3"</f>
        <v>478160AJ3</v>
      </c>
      <c r="B3407" t="s">
        <v>101</v>
      </c>
      <c r="C3407" t="s">
        <v>4254</v>
      </c>
      <c r="D3407" t="s">
        <v>2433</v>
      </c>
      <c r="E3407">
        <v>6.95</v>
      </c>
      <c r="F3407" s="2">
        <v>47362</v>
      </c>
      <c r="G3407" s="2" t="s">
        <v>105</v>
      </c>
      <c r="H3407" t="s">
        <v>104</v>
      </c>
      <c r="I3407" t="s">
        <v>104</v>
      </c>
      <c r="J3407">
        <v>110.54600000000001</v>
      </c>
      <c r="K3407">
        <v>111</v>
      </c>
      <c r="L3407">
        <v>4.3289999999999997</v>
      </c>
      <c r="M3407">
        <v>4.2229999999999999</v>
      </c>
      <c r="N3407">
        <v>4.2229999999999999</v>
      </c>
      <c r="O3407" t="s">
        <v>101</v>
      </c>
      <c r="P3407" t="s">
        <v>1702</v>
      </c>
      <c r="Q3407" t="s">
        <v>2774</v>
      </c>
      <c r="R3407" t="s">
        <v>2465</v>
      </c>
    </row>
    <row r="3408" spans="1:18" x14ac:dyDescent="0.5">
      <c r="A3408" t="str">
        <f>"911312BU9"</f>
        <v>911312BU9</v>
      </c>
      <c r="B3408" t="s">
        <v>101</v>
      </c>
      <c r="C3408" t="s">
        <v>4255</v>
      </c>
      <c r="D3408" t="s">
        <v>2433</v>
      </c>
      <c r="E3408">
        <v>2.5</v>
      </c>
      <c r="F3408" s="2">
        <v>47362</v>
      </c>
      <c r="G3408" s="2">
        <v>47270</v>
      </c>
      <c r="H3408" t="s">
        <v>610</v>
      </c>
      <c r="I3408" t="s">
        <v>611</v>
      </c>
      <c r="J3408">
        <v>91.754000000000005</v>
      </c>
      <c r="K3408">
        <v>91.991</v>
      </c>
      <c r="L3408">
        <v>4.5599999999999996</v>
      </c>
      <c r="M3408">
        <v>4.4980000000000002</v>
      </c>
      <c r="N3408">
        <v>4.4980000000000002</v>
      </c>
      <c r="O3408" t="s">
        <v>101</v>
      </c>
      <c r="P3408" t="s">
        <v>2447</v>
      </c>
      <c r="Q3408" t="s">
        <v>2454</v>
      </c>
      <c r="R3408" t="s">
        <v>2436</v>
      </c>
    </row>
    <row r="3409" spans="1:18" x14ac:dyDescent="0.5">
      <c r="A3409" t="str">
        <f>"882508BG8"</f>
        <v>882508BG8</v>
      </c>
      <c r="B3409" t="s">
        <v>101</v>
      </c>
      <c r="C3409" t="s">
        <v>4256</v>
      </c>
      <c r="D3409" t="s">
        <v>2433</v>
      </c>
      <c r="E3409">
        <v>2.25</v>
      </c>
      <c r="F3409" s="2">
        <v>47365</v>
      </c>
      <c r="G3409" s="2">
        <v>47273</v>
      </c>
      <c r="H3409" t="s">
        <v>624</v>
      </c>
      <c r="I3409" t="s">
        <v>658</v>
      </c>
      <c r="J3409">
        <v>90.891999999999996</v>
      </c>
      <c r="K3409">
        <v>91.122</v>
      </c>
      <c r="L3409">
        <v>4.5190000000000001</v>
      </c>
      <c r="M3409">
        <v>4.4589999999999996</v>
      </c>
      <c r="N3409">
        <v>4.4589999999999996</v>
      </c>
      <c r="O3409" t="s">
        <v>101</v>
      </c>
      <c r="P3409" t="s">
        <v>3920</v>
      </c>
      <c r="Q3409" t="s">
        <v>1391</v>
      </c>
      <c r="R3409" t="s">
        <v>2436</v>
      </c>
    </row>
    <row r="3410" spans="1:18" x14ac:dyDescent="0.5">
      <c r="A3410" t="str">
        <f>"02665WFQ9"</f>
        <v>02665WFQ9</v>
      </c>
      <c r="B3410" t="s">
        <v>101</v>
      </c>
      <c r="C3410" t="s">
        <v>4257</v>
      </c>
      <c r="D3410" t="s">
        <v>2433</v>
      </c>
      <c r="E3410">
        <v>4.4000000000000004</v>
      </c>
      <c r="F3410" s="2">
        <v>47366</v>
      </c>
      <c r="G3410" s="2" t="s">
        <v>101</v>
      </c>
      <c r="H3410" t="s">
        <v>627</v>
      </c>
      <c r="I3410" t="s">
        <v>713</v>
      </c>
      <c r="J3410">
        <v>98.149000000000001</v>
      </c>
      <c r="K3410">
        <v>98.69</v>
      </c>
      <c r="L3410">
        <v>4.8650000000000002</v>
      </c>
      <c r="M3410">
        <v>4.7279999999999998</v>
      </c>
      <c r="N3410">
        <v>4.7279999999999998</v>
      </c>
      <c r="O3410" t="s">
        <v>101</v>
      </c>
      <c r="P3410" t="s">
        <v>1391</v>
      </c>
      <c r="Q3410" t="s">
        <v>2454</v>
      </c>
      <c r="R3410" t="s">
        <v>2726</v>
      </c>
    </row>
    <row r="3411" spans="1:18" x14ac:dyDescent="0.5">
      <c r="A3411" t="str">
        <f>"191216CM0"</f>
        <v>191216CM0</v>
      </c>
      <c r="B3411" t="s">
        <v>101</v>
      </c>
      <c r="C3411" t="s">
        <v>4258</v>
      </c>
      <c r="D3411" t="s">
        <v>2433</v>
      </c>
      <c r="E3411">
        <v>2.125</v>
      </c>
      <c r="F3411" s="2">
        <v>47367</v>
      </c>
      <c r="G3411" s="2">
        <v>47275</v>
      </c>
      <c r="H3411" t="s">
        <v>641</v>
      </c>
      <c r="I3411" t="s">
        <v>658</v>
      </c>
      <c r="J3411">
        <v>90.531000000000006</v>
      </c>
      <c r="K3411">
        <v>90.869</v>
      </c>
      <c r="L3411">
        <v>4.4800000000000004</v>
      </c>
      <c r="M3411">
        <v>4.391</v>
      </c>
      <c r="N3411">
        <v>4.391</v>
      </c>
      <c r="O3411" t="s">
        <v>101</v>
      </c>
      <c r="P3411" t="s">
        <v>4111</v>
      </c>
      <c r="Q3411" t="s">
        <v>2454</v>
      </c>
      <c r="R3411" t="s">
        <v>2436</v>
      </c>
    </row>
    <row r="3412" spans="1:18" x14ac:dyDescent="0.5">
      <c r="A3412" t="str">
        <f>"904764BH9"</f>
        <v>904764BH9</v>
      </c>
      <c r="B3412" t="s">
        <v>101</v>
      </c>
      <c r="C3412" t="s">
        <v>4259</v>
      </c>
      <c r="D3412" t="s">
        <v>2433</v>
      </c>
      <c r="E3412">
        <v>2.125</v>
      </c>
      <c r="F3412" s="2">
        <v>47367</v>
      </c>
      <c r="G3412" s="2">
        <v>47275</v>
      </c>
      <c r="H3412" t="s">
        <v>641</v>
      </c>
      <c r="I3412" t="s">
        <v>658</v>
      </c>
      <c r="J3412">
        <v>90.302999999999997</v>
      </c>
      <c r="K3412">
        <v>90.656999999999996</v>
      </c>
      <c r="L3412">
        <v>4.54</v>
      </c>
      <c r="M3412">
        <v>4.4459999999999997</v>
      </c>
      <c r="N3412">
        <v>4.4459999999999997</v>
      </c>
      <c r="O3412" t="s">
        <v>101</v>
      </c>
      <c r="P3412" t="s">
        <v>4260</v>
      </c>
      <c r="Q3412" t="s">
        <v>1797</v>
      </c>
      <c r="R3412" t="s">
        <v>2436</v>
      </c>
    </row>
    <row r="3413" spans="1:18" x14ac:dyDescent="0.5">
      <c r="A3413" t="str">
        <f>"037833DP2"</f>
        <v>037833DP2</v>
      </c>
      <c r="B3413" t="s">
        <v>101</v>
      </c>
      <c r="C3413" t="s">
        <v>4261</v>
      </c>
      <c r="D3413" t="s">
        <v>2433</v>
      </c>
      <c r="E3413">
        <v>2.2000000000000002</v>
      </c>
      <c r="F3413" s="2">
        <v>47372</v>
      </c>
      <c r="G3413" s="2">
        <v>47280</v>
      </c>
      <c r="H3413" t="s">
        <v>104</v>
      </c>
      <c r="I3413" t="s">
        <v>509</v>
      </c>
      <c r="J3413">
        <v>91.177000000000007</v>
      </c>
      <c r="K3413">
        <v>91.335999999999999</v>
      </c>
      <c r="L3413">
        <v>4.383</v>
      </c>
      <c r="M3413">
        <v>4.3410000000000002</v>
      </c>
      <c r="N3413">
        <v>4.3410000000000002</v>
      </c>
      <c r="O3413" t="s">
        <v>101</v>
      </c>
      <c r="P3413" t="s">
        <v>2438</v>
      </c>
      <c r="Q3413" t="s">
        <v>2454</v>
      </c>
      <c r="R3413" t="s">
        <v>2436</v>
      </c>
    </row>
    <row r="3414" spans="1:18" x14ac:dyDescent="0.5">
      <c r="A3414" t="str">
        <f>"828807DF1"</f>
        <v>828807DF1</v>
      </c>
      <c r="B3414" t="s">
        <v>101</v>
      </c>
      <c r="C3414" t="s">
        <v>4262</v>
      </c>
      <c r="D3414" t="s">
        <v>2433</v>
      </c>
      <c r="E3414">
        <v>2.4500000000000002</v>
      </c>
      <c r="F3414" s="2">
        <v>47374</v>
      </c>
      <c r="G3414" s="2">
        <v>47282</v>
      </c>
      <c r="H3414" t="s">
        <v>627</v>
      </c>
      <c r="I3414" t="s">
        <v>713</v>
      </c>
      <c r="J3414">
        <v>90.811999999999998</v>
      </c>
      <c r="K3414">
        <v>90.888999999999996</v>
      </c>
      <c r="L3414">
        <v>4.74</v>
      </c>
      <c r="M3414">
        <v>4.72</v>
      </c>
      <c r="N3414">
        <v>4.72</v>
      </c>
      <c r="O3414" t="s">
        <v>101</v>
      </c>
      <c r="P3414" t="s">
        <v>2447</v>
      </c>
      <c r="Q3414" t="s">
        <v>1999</v>
      </c>
      <c r="R3414" t="s">
        <v>2436</v>
      </c>
    </row>
    <row r="3415" spans="1:18" x14ac:dyDescent="0.5">
      <c r="A3415" t="str">
        <f>"049560AR6"</f>
        <v>049560AR6</v>
      </c>
      <c r="B3415" t="s">
        <v>101</v>
      </c>
      <c r="C3415" t="s">
        <v>4263</v>
      </c>
      <c r="D3415" t="s">
        <v>2433</v>
      </c>
      <c r="E3415">
        <v>2.625</v>
      </c>
      <c r="F3415" s="2">
        <v>47376</v>
      </c>
      <c r="G3415" s="2">
        <v>47284</v>
      </c>
      <c r="H3415" t="s">
        <v>641</v>
      </c>
      <c r="I3415" t="s">
        <v>713</v>
      </c>
      <c r="J3415">
        <v>92.040999999999997</v>
      </c>
      <c r="K3415">
        <v>92.367000000000004</v>
      </c>
      <c r="L3415">
        <v>4.5999999999999996</v>
      </c>
      <c r="M3415">
        <v>4.5149999999999997</v>
      </c>
      <c r="N3415">
        <v>4.5149999999999997</v>
      </c>
      <c r="O3415" t="s">
        <v>101</v>
      </c>
      <c r="P3415" t="s">
        <v>3884</v>
      </c>
      <c r="Q3415" t="s">
        <v>1702</v>
      </c>
      <c r="R3415" t="s">
        <v>2436</v>
      </c>
    </row>
    <row r="3416" spans="1:18" x14ac:dyDescent="0.5">
      <c r="A3416" t="str">
        <f>"036752AL7"</f>
        <v>036752AL7</v>
      </c>
      <c r="B3416" t="s">
        <v>101</v>
      </c>
      <c r="C3416" t="s">
        <v>4264</v>
      </c>
      <c r="D3416" t="s">
        <v>2433</v>
      </c>
      <c r="E3416">
        <v>2.875</v>
      </c>
      <c r="F3416" s="2">
        <v>47376</v>
      </c>
      <c r="G3416" s="2">
        <v>47284</v>
      </c>
      <c r="H3416" t="s">
        <v>677</v>
      </c>
      <c r="I3416" t="s">
        <v>611</v>
      </c>
      <c r="J3416">
        <v>92.460999999999999</v>
      </c>
      <c r="K3416">
        <v>92.608999999999995</v>
      </c>
      <c r="L3416">
        <v>4.7519999999999998</v>
      </c>
      <c r="M3416">
        <v>4.7140000000000004</v>
      </c>
      <c r="N3416">
        <v>4.7140000000000004</v>
      </c>
      <c r="O3416" t="s">
        <v>101</v>
      </c>
      <c r="P3416" t="s">
        <v>2795</v>
      </c>
      <c r="Q3416" t="s">
        <v>2507</v>
      </c>
      <c r="R3416" t="s">
        <v>2436</v>
      </c>
    </row>
    <row r="3417" spans="1:18" x14ac:dyDescent="0.5">
      <c r="A3417" t="str">
        <f>"373334KL4"</f>
        <v>373334KL4</v>
      </c>
      <c r="B3417" t="s">
        <v>101</v>
      </c>
      <c r="C3417" t="s">
        <v>4265</v>
      </c>
      <c r="D3417" t="s">
        <v>2433</v>
      </c>
      <c r="E3417">
        <v>2.65</v>
      </c>
      <c r="F3417" s="2">
        <v>47376</v>
      </c>
      <c r="G3417" s="2">
        <v>47284</v>
      </c>
      <c r="H3417" t="s">
        <v>627</v>
      </c>
      <c r="I3417" t="s">
        <v>611</v>
      </c>
      <c r="J3417">
        <v>91.587000000000003</v>
      </c>
      <c r="K3417">
        <v>91.951999999999998</v>
      </c>
      <c r="L3417">
        <v>4.7450000000000001</v>
      </c>
      <c r="M3417">
        <v>4.649</v>
      </c>
      <c r="N3417">
        <v>4.649</v>
      </c>
      <c r="O3417" t="s">
        <v>101</v>
      </c>
      <c r="P3417" t="s">
        <v>858</v>
      </c>
      <c r="Q3417" t="s">
        <v>2454</v>
      </c>
      <c r="R3417" t="s">
        <v>2436</v>
      </c>
    </row>
    <row r="3418" spans="1:18" x14ac:dyDescent="0.5">
      <c r="A3418" t="str">
        <f>"63743FA89"</f>
        <v>63743FA89</v>
      </c>
      <c r="B3418" t="s">
        <v>101</v>
      </c>
      <c r="C3418" t="s">
        <v>4266</v>
      </c>
      <c r="D3418" t="s">
        <v>2433</v>
      </c>
      <c r="E3418">
        <v>3</v>
      </c>
      <c r="F3418" s="2">
        <v>47376</v>
      </c>
      <c r="G3418" s="2" t="s">
        <v>105</v>
      </c>
      <c r="H3418" t="s">
        <v>610</v>
      </c>
      <c r="I3418" t="s">
        <v>713</v>
      </c>
      <c r="J3418">
        <v>92.363</v>
      </c>
      <c r="K3418">
        <v>94.218999999999994</v>
      </c>
      <c r="L3418">
        <v>4.891</v>
      </c>
      <c r="M3418">
        <v>4.4169999999999998</v>
      </c>
      <c r="N3418">
        <v>4.4169999999999998</v>
      </c>
      <c r="O3418" t="s">
        <v>101</v>
      </c>
      <c r="P3418" t="s">
        <v>1391</v>
      </c>
      <c r="Q3418" t="s">
        <v>3005</v>
      </c>
      <c r="R3418" t="s">
        <v>2610</v>
      </c>
    </row>
    <row r="3419" spans="1:18" x14ac:dyDescent="0.5">
      <c r="A3419" t="str">
        <f>"63743FP26"</f>
        <v>63743FP26</v>
      </c>
      <c r="B3419" t="s">
        <v>101</v>
      </c>
      <c r="C3419" t="s">
        <v>4267</v>
      </c>
      <c r="D3419" t="s">
        <v>2433</v>
      </c>
      <c r="E3419">
        <v>1.75</v>
      </c>
      <c r="F3419" s="2">
        <v>47376</v>
      </c>
      <c r="G3419" s="2">
        <v>45731</v>
      </c>
      <c r="H3419" t="s">
        <v>610</v>
      </c>
      <c r="I3419" t="s">
        <v>713</v>
      </c>
      <c r="J3419">
        <v>86.725999999999999</v>
      </c>
      <c r="K3419">
        <v>89.106999999999999</v>
      </c>
      <c r="L3419">
        <v>5.048</v>
      </c>
      <c r="M3419">
        <v>4.4189999999999996</v>
      </c>
      <c r="N3419">
        <v>4.4189999999999996</v>
      </c>
      <c r="O3419" t="s">
        <v>101</v>
      </c>
      <c r="P3419" t="s">
        <v>1391</v>
      </c>
      <c r="Q3419" t="s">
        <v>3296</v>
      </c>
      <c r="R3419" t="s">
        <v>3643</v>
      </c>
    </row>
    <row r="3420" spans="1:18" x14ac:dyDescent="0.5">
      <c r="A3420" t="str">
        <f>"63743FYX8"</f>
        <v>63743FYX8</v>
      </c>
      <c r="B3420" t="s">
        <v>101</v>
      </c>
      <c r="C3420" t="s">
        <v>4268</v>
      </c>
      <c r="D3420" t="s">
        <v>2433</v>
      </c>
      <c r="E3420">
        <v>3.5</v>
      </c>
      <c r="F3420" s="2">
        <v>47376</v>
      </c>
      <c r="G3420" s="2" t="s">
        <v>105</v>
      </c>
      <c r="H3420" t="s">
        <v>610</v>
      </c>
      <c r="I3420" t="s">
        <v>713</v>
      </c>
      <c r="J3420">
        <v>94.35</v>
      </c>
      <c r="K3420">
        <v>95.528000000000006</v>
      </c>
      <c r="L3420">
        <v>4.899</v>
      </c>
      <c r="M3420">
        <v>4.5999999999999996</v>
      </c>
      <c r="N3420">
        <v>4.5999999999999996</v>
      </c>
      <c r="O3420" t="s">
        <v>101</v>
      </c>
      <c r="P3420" t="s">
        <v>1702</v>
      </c>
      <c r="Q3420" t="s">
        <v>4269</v>
      </c>
      <c r="R3420" t="s">
        <v>2610</v>
      </c>
    </row>
    <row r="3421" spans="1:18" x14ac:dyDescent="0.5">
      <c r="A3421" t="str">
        <f>"75884RAZ6"</f>
        <v>75884RAZ6</v>
      </c>
      <c r="B3421" t="s">
        <v>101</v>
      </c>
      <c r="C3421" t="s">
        <v>4270</v>
      </c>
      <c r="D3421" t="s">
        <v>2433</v>
      </c>
      <c r="E3421">
        <v>2.95</v>
      </c>
      <c r="F3421" s="2">
        <v>47376</v>
      </c>
      <c r="G3421" s="2">
        <v>47284</v>
      </c>
      <c r="H3421" t="s">
        <v>627</v>
      </c>
      <c r="I3421" t="s">
        <v>713</v>
      </c>
      <c r="J3421">
        <v>92.742000000000004</v>
      </c>
      <c r="K3421">
        <v>92.956000000000003</v>
      </c>
      <c r="L3421">
        <v>4.758</v>
      </c>
      <c r="M3421">
        <v>4.702</v>
      </c>
      <c r="N3421">
        <v>4.702</v>
      </c>
      <c r="O3421" t="s">
        <v>101</v>
      </c>
      <c r="P3421" t="s">
        <v>1999</v>
      </c>
      <c r="Q3421" t="s">
        <v>1702</v>
      </c>
      <c r="R3421" t="s">
        <v>2436</v>
      </c>
    </row>
    <row r="3422" spans="1:18" x14ac:dyDescent="0.5">
      <c r="A3422" t="str">
        <f>"66989HAT5"</f>
        <v>66989HAT5</v>
      </c>
      <c r="B3422" t="s">
        <v>101</v>
      </c>
      <c r="C3422" t="s">
        <v>4271</v>
      </c>
      <c r="D3422" t="s">
        <v>2433</v>
      </c>
      <c r="E3422">
        <v>3.8</v>
      </c>
      <c r="F3422" s="2">
        <v>47379</v>
      </c>
      <c r="G3422" s="2">
        <v>47348</v>
      </c>
      <c r="H3422" t="s">
        <v>624</v>
      </c>
      <c r="I3422" t="s">
        <v>616</v>
      </c>
      <c r="J3422">
        <v>97.182000000000002</v>
      </c>
      <c r="K3422">
        <v>97.43</v>
      </c>
      <c r="L3422">
        <v>4.4939999999999998</v>
      </c>
      <c r="M3422">
        <v>4.4340000000000002</v>
      </c>
      <c r="N3422">
        <v>4.4340000000000002</v>
      </c>
      <c r="O3422" t="s">
        <v>101</v>
      </c>
      <c r="P3422" t="s">
        <v>3239</v>
      </c>
      <c r="Q3422" t="s">
        <v>1702</v>
      </c>
      <c r="R3422" t="s">
        <v>2726</v>
      </c>
    </row>
    <row r="3423" spans="1:18" x14ac:dyDescent="0.5">
      <c r="A3423" t="str">
        <f>"149123CG4"</f>
        <v>149123CG4</v>
      </c>
      <c r="B3423" t="s">
        <v>101</v>
      </c>
      <c r="C3423" t="s">
        <v>4272</v>
      </c>
      <c r="D3423" t="s">
        <v>2433</v>
      </c>
      <c r="E3423">
        <v>2.6</v>
      </c>
      <c r="F3423" s="2">
        <v>47380</v>
      </c>
      <c r="G3423" s="2">
        <v>47288</v>
      </c>
      <c r="H3423" t="s">
        <v>610</v>
      </c>
      <c r="I3423" t="s">
        <v>611</v>
      </c>
      <c r="J3423">
        <v>92.185000000000002</v>
      </c>
      <c r="K3423">
        <v>92.504000000000005</v>
      </c>
      <c r="L3423">
        <v>4.532</v>
      </c>
      <c r="M3423">
        <v>4.4489999999999998</v>
      </c>
      <c r="N3423">
        <v>4.4489999999999998</v>
      </c>
      <c r="O3423" t="s">
        <v>101</v>
      </c>
      <c r="P3423" t="s">
        <v>858</v>
      </c>
      <c r="Q3423" t="s">
        <v>4273</v>
      </c>
      <c r="R3423" t="s">
        <v>2436</v>
      </c>
    </row>
    <row r="3424" spans="1:18" x14ac:dyDescent="0.5">
      <c r="A3424" t="str">
        <f>"459058KL6"</f>
        <v>459058KL6</v>
      </c>
      <c r="B3424" t="s">
        <v>101</v>
      </c>
      <c r="C3424" t="s">
        <v>4274</v>
      </c>
      <c r="D3424" t="s">
        <v>2433</v>
      </c>
      <c r="E3424">
        <v>3.625</v>
      </c>
      <c r="F3424" s="2">
        <v>47382</v>
      </c>
      <c r="G3424" s="2" t="s">
        <v>105</v>
      </c>
      <c r="H3424" t="s">
        <v>104</v>
      </c>
      <c r="I3424" t="s">
        <v>104</v>
      </c>
      <c r="J3424">
        <v>97.387</v>
      </c>
      <c r="K3424">
        <v>98.36</v>
      </c>
      <c r="L3424">
        <v>4.266</v>
      </c>
      <c r="M3424">
        <v>4.0250000000000004</v>
      </c>
      <c r="N3424">
        <v>4.0250000000000004</v>
      </c>
      <c r="O3424" t="s">
        <v>101</v>
      </c>
      <c r="P3424" t="s">
        <v>2618</v>
      </c>
      <c r="Q3424" t="s">
        <v>4275</v>
      </c>
      <c r="R3424" t="s">
        <v>2713</v>
      </c>
    </row>
    <row r="3425" spans="1:18" x14ac:dyDescent="0.5">
      <c r="A3425" t="str">
        <f>"931142EQ2"</f>
        <v>931142EQ2</v>
      </c>
      <c r="B3425" t="s">
        <v>101</v>
      </c>
      <c r="C3425" t="s">
        <v>4276</v>
      </c>
      <c r="D3425" t="s">
        <v>2433</v>
      </c>
      <c r="E3425">
        <v>2.375</v>
      </c>
      <c r="F3425" s="2">
        <v>47385</v>
      </c>
      <c r="G3425" s="2">
        <v>47293</v>
      </c>
      <c r="H3425" t="s">
        <v>613</v>
      </c>
      <c r="I3425" t="s">
        <v>628</v>
      </c>
      <c r="J3425">
        <v>92.063999999999993</v>
      </c>
      <c r="K3425">
        <v>92.534000000000006</v>
      </c>
      <c r="L3425">
        <v>4.3209999999999997</v>
      </c>
      <c r="M3425">
        <v>4.2009999999999996</v>
      </c>
      <c r="N3425">
        <v>4.2009999999999996</v>
      </c>
      <c r="O3425" t="s">
        <v>101</v>
      </c>
      <c r="P3425" t="s">
        <v>2438</v>
      </c>
      <c r="Q3425" t="s">
        <v>2454</v>
      </c>
      <c r="R3425" t="s">
        <v>2436</v>
      </c>
    </row>
    <row r="3426" spans="1:18" x14ac:dyDescent="0.5">
      <c r="A3426" t="str">
        <f>"69371RT48"</f>
        <v>69371RT48</v>
      </c>
      <c r="B3426" t="s">
        <v>101</v>
      </c>
      <c r="C3426" t="s">
        <v>4277</v>
      </c>
      <c r="D3426" t="s">
        <v>2433</v>
      </c>
      <c r="E3426">
        <v>4</v>
      </c>
      <c r="F3426" s="2">
        <v>47387</v>
      </c>
      <c r="G3426" s="2" t="s">
        <v>105</v>
      </c>
      <c r="H3426" t="s">
        <v>641</v>
      </c>
      <c r="I3426" t="s">
        <v>658</v>
      </c>
      <c r="J3426">
        <v>97.557000000000002</v>
      </c>
      <c r="K3426">
        <v>98.02</v>
      </c>
      <c r="L3426">
        <v>4.5999999999999996</v>
      </c>
      <c r="M3426">
        <v>4.4870000000000001</v>
      </c>
      <c r="N3426">
        <v>4.4870000000000001</v>
      </c>
      <c r="O3426" t="s">
        <v>101</v>
      </c>
      <c r="P3426" t="s">
        <v>2507</v>
      </c>
      <c r="Q3426" t="s">
        <v>3278</v>
      </c>
      <c r="R3426" t="s">
        <v>2713</v>
      </c>
    </row>
    <row r="3427" spans="1:18" x14ac:dyDescent="0.5">
      <c r="A3427" t="str">
        <f>"86562MBU3"</f>
        <v>86562MBU3</v>
      </c>
      <c r="B3427" t="s">
        <v>101</v>
      </c>
      <c r="C3427" t="s">
        <v>4278</v>
      </c>
      <c r="D3427" t="s">
        <v>2433</v>
      </c>
      <c r="E3427">
        <v>2.7240000000000002</v>
      </c>
      <c r="F3427" s="2">
        <v>47388</v>
      </c>
      <c r="G3427" s="2" t="s">
        <v>101</v>
      </c>
      <c r="H3427" t="s">
        <v>641</v>
      </c>
      <c r="I3427" t="s">
        <v>713</v>
      </c>
      <c r="J3427">
        <v>91.408000000000001</v>
      </c>
      <c r="K3427">
        <v>91.766999999999996</v>
      </c>
      <c r="L3427">
        <v>4.8540000000000001</v>
      </c>
      <c r="M3427">
        <v>4.7610000000000001</v>
      </c>
      <c r="N3427">
        <v>4.7610000000000001</v>
      </c>
      <c r="O3427" t="s">
        <v>101</v>
      </c>
      <c r="P3427" t="s">
        <v>3945</v>
      </c>
      <c r="Q3427" t="s">
        <v>2687</v>
      </c>
      <c r="R3427" t="s">
        <v>2436</v>
      </c>
    </row>
    <row r="3428" spans="1:18" x14ac:dyDescent="0.5">
      <c r="A3428" t="str">
        <f>"70450YAE3"</f>
        <v>70450YAE3</v>
      </c>
      <c r="B3428" t="s">
        <v>101</v>
      </c>
      <c r="C3428" t="s">
        <v>4279</v>
      </c>
      <c r="D3428" t="s">
        <v>2433</v>
      </c>
      <c r="E3428">
        <v>2.85</v>
      </c>
      <c r="F3428" s="2">
        <v>47392</v>
      </c>
      <c r="G3428" s="2">
        <v>47300</v>
      </c>
      <c r="H3428" t="s">
        <v>627</v>
      </c>
      <c r="I3428" t="s">
        <v>713</v>
      </c>
      <c r="J3428">
        <v>92.587000000000003</v>
      </c>
      <c r="K3428">
        <v>92.728999999999999</v>
      </c>
      <c r="L3428">
        <v>4.6760000000000002</v>
      </c>
      <c r="M3428">
        <v>4.6399999999999997</v>
      </c>
      <c r="N3428">
        <v>4.6399999999999997</v>
      </c>
      <c r="O3428" t="s">
        <v>101</v>
      </c>
      <c r="P3428" t="s">
        <v>4280</v>
      </c>
      <c r="Q3428" t="s">
        <v>2454</v>
      </c>
      <c r="R3428" t="s">
        <v>2436</v>
      </c>
    </row>
    <row r="3429" spans="1:18" x14ac:dyDescent="0.5">
      <c r="A3429" t="str">
        <f>"808513BX2"</f>
        <v>808513BX2</v>
      </c>
      <c r="B3429" t="s">
        <v>101</v>
      </c>
      <c r="C3429" t="s">
        <v>4281</v>
      </c>
      <c r="D3429" t="s">
        <v>2433</v>
      </c>
      <c r="E3429">
        <v>2.75</v>
      </c>
      <c r="F3429" s="2">
        <v>47392</v>
      </c>
      <c r="G3429" s="2">
        <v>47300</v>
      </c>
      <c r="H3429" t="s">
        <v>610</v>
      </c>
      <c r="I3429" t="s">
        <v>713</v>
      </c>
      <c r="J3429">
        <v>91.953000000000003</v>
      </c>
      <c r="K3429">
        <v>92.272999999999996</v>
      </c>
      <c r="L3429">
        <v>4.7350000000000003</v>
      </c>
      <c r="M3429">
        <v>4.6529999999999996</v>
      </c>
      <c r="N3429">
        <v>4.6529999999999996</v>
      </c>
      <c r="O3429" t="s">
        <v>101</v>
      </c>
      <c r="P3429" t="s">
        <v>1702</v>
      </c>
      <c r="Q3429" t="s">
        <v>485</v>
      </c>
      <c r="R3429" t="s">
        <v>2436</v>
      </c>
    </row>
    <row r="3430" spans="1:18" x14ac:dyDescent="0.5">
      <c r="A3430" t="str">
        <f>"883556BZ4"</f>
        <v>883556BZ4</v>
      </c>
      <c r="B3430" t="s">
        <v>101</v>
      </c>
      <c r="C3430" t="s">
        <v>4282</v>
      </c>
      <c r="D3430" t="s">
        <v>2433</v>
      </c>
      <c r="E3430">
        <v>2.6</v>
      </c>
      <c r="F3430" s="2">
        <v>47392</v>
      </c>
      <c r="G3430" s="2">
        <v>47300</v>
      </c>
      <c r="H3430" t="s">
        <v>627</v>
      </c>
      <c r="I3430" t="s">
        <v>713</v>
      </c>
      <c r="J3430">
        <v>91.840999999999994</v>
      </c>
      <c r="K3430">
        <v>92.082999999999998</v>
      </c>
      <c r="L3430">
        <v>4.6070000000000002</v>
      </c>
      <c r="M3430">
        <v>4.5419999999999998</v>
      </c>
      <c r="N3430">
        <v>4.5439999999999996</v>
      </c>
      <c r="O3430" t="s">
        <v>101</v>
      </c>
      <c r="P3430" t="s">
        <v>3878</v>
      </c>
      <c r="Q3430" t="s">
        <v>2454</v>
      </c>
      <c r="R3430" t="s">
        <v>2436</v>
      </c>
    </row>
    <row r="3431" spans="1:18" x14ac:dyDescent="0.5">
      <c r="A3431" t="str">
        <f>"00440KAB9"</f>
        <v>00440KAB9</v>
      </c>
      <c r="B3431" t="s">
        <v>101</v>
      </c>
      <c r="C3431" t="s">
        <v>4283</v>
      </c>
      <c r="D3431" t="s">
        <v>2433</v>
      </c>
      <c r="E3431">
        <v>4.05</v>
      </c>
      <c r="F3431" s="2">
        <v>47395</v>
      </c>
      <c r="G3431" s="2">
        <v>47365</v>
      </c>
      <c r="H3431" t="s">
        <v>624</v>
      </c>
      <c r="I3431" t="s">
        <v>616</v>
      </c>
      <c r="J3431">
        <v>97.742000000000004</v>
      </c>
      <c r="K3431">
        <v>98.147999999999996</v>
      </c>
      <c r="L3431">
        <v>4.6040000000000001</v>
      </c>
      <c r="M3431">
        <v>4.5030000000000001</v>
      </c>
      <c r="N3431">
        <v>4.5030000000000001</v>
      </c>
      <c r="O3431" t="s">
        <v>101</v>
      </c>
      <c r="P3431" t="s">
        <v>2454</v>
      </c>
      <c r="Q3431" t="s">
        <v>2454</v>
      </c>
      <c r="R3431" t="s">
        <v>2726</v>
      </c>
    </row>
    <row r="3432" spans="1:18" x14ac:dyDescent="0.5">
      <c r="A3432" t="str">
        <f>"24422EWN5"</f>
        <v>24422EWN5</v>
      </c>
      <c r="B3432" t="s">
        <v>101</v>
      </c>
      <c r="C3432" t="s">
        <v>4284</v>
      </c>
      <c r="D3432" t="s">
        <v>2433</v>
      </c>
      <c r="E3432">
        <v>4.8499999999999996</v>
      </c>
      <c r="F3432" s="2">
        <v>47402</v>
      </c>
      <c r="G3432" s="2" t="s">
        <v>105</v>
      </c>
      <c r="H3432" t="s">
        <v>641</v>
      </c>
      <c r="I3432" t="s">
        <v>611</v>
      </c>
      <c r="J3432">
        <v>101.34699999999999</v>
      </c>
      <c r="K3432">
        <v>101.69</v>
      </c>
      <c r="L3432">
        <v>4.5199999999999996</v>
      </c>
      <c r="M3432">
        <v>4.4370000000000003</v>
      </c>
      <c r="N3432">
        <v>4.4370000000000003</v>
      </c>
      <c r="O3432" t="s">
        <v>101</v>
      </c>
      <c r="P3432" t="s">
        <v>858</v>
      </c>
      <c r="Q3432" t="s">
        <v>2940</v>
      </c>
      <c r="R3432" t="s">
        <v>2465</v>
      </c>
    </row>
    <row r="3433" spans="1:18" x14ac:dyDescent="0.5">
      <c r="A3433" t="str">
        <f>"166756AS5"</f>
        <v>166756AS5</v>
      </c>
      <c r="B3433" t="s">
        <v>101</v>
      </c>
      <c r="C3433" t="s">
        <v>4285</v>
      </c>
      <c r="D3433" t="s">
        <v>2433</v>
      </c>
      <c r="E3433">
        <v>3.25</v>
      </c>
      <c r="F3433" s="2">
        <v>47406</v>
      </c>
      <c r="G3433" s="2">
        <v>47314</v>
      </c>
      <c r="H3433" t="s">
        <v>613</v>
      </c>
      <c r="I3433" t="s">
        <v>616</v>
      </c>
      <c r="J3433">
        <v>94.784000000000006</v>
      </c>
      <c r="K3433">
        <v>94.966999999999999</v>
      </c>
      <c r="L3433">
        <v>4.5199999999999996</v>
      </c>
      <c r="M3433">
        <v>4.4740000000000002</v>
      </c>
      <c r="N3433">
        <v>4.4740000000000002</v>
      </c>
      <c r="O3433" t="s">
        <v>101</v>
      </c>
      <c r="P3433" t="s">
        <v>554</v>
      </c>
      <c r="Q3433" t="s">
        <v>2454</v>
      </c>
      <c r="R3433" t="s">
        <v>2436</v>
      </c>
    </row>
    <row r="3434" spans="1:18" x14ac:dyDescent="0.5">
      <c r="A3434" t="str">
        <f>"63743FL79"</f>
        <v>63743FL79</v>
      </c>
      <c r="B3434" t="s">
        <v>101</v>
      </c>
      <c r="C3434" t="s">
        <v>4286</v>
      </c>
      <c r="D3434" t="s">
        <v>2433</v>
      </c>
      <c r="E3434">
        <v>1.95</v>
      </c>
      <c r="F3434" s="2">
        <v>47406</v>
      </c>
      <c r="G3434" s="2">
        <v>45731</v>
      </c>
      <c r="H3434" t="s">
        <v>610</v>
      </c>
      <c r="I3434" t="s">
        <v>713</v>
      </c>
      <c r="J3434">
        <v>87.86</v>
      </c>
      <c r="K3434">
        <v>89.63</v>
      </c>
      <c r="L3434">
        <v>4.9080000000000004</v>
      </c>
      <c r="M3434">
        <v>4.4509999999999996</v>
      </c>
      <c r="N3434">
        <v>4.4509999999999996</v>
      </c>
      <c r="O3434" t="s">
        <v>101</v>
      </c>
      <c r="P3434" t="s">
        <v>1391</v>
      </c>
      <c r="Q3434" t="s">
        <v>485</v>
      </c>
      <c r="R3434" t="s">
        <v>4287</v>
      </c>
    </row>
    <row r="3435" spans="1:18" x14ac:dyDescent="0.5">
      <c r="A3435" t="str">
        <f>"63743FL95"</f>
        <v>63743FL95</v>
      </c>
      <c r="B3435" t="s">
        <v>101</v>
      </c>
      <c r="C3435" t="s">
        <v>4286</v>
      </c>
      <c r="D3435" t="s">
        <v>2433</v>
      </c>
      <c r="E3435">
        <v>1.95</v>
      </c>
      <c r="F3435" s="2">
        <v>47406</v>
      </c>
      <c r="G3435" s="2">
        <v>45731</v>
      </c>
      <c r="H3435" t="s">
        <v>610</v>
      </c>
      <c r="I3435" t="s">
        <v>713</v>
      </c>
      <c r="J3435">
        <v>87.960999999999999</v>
      </c>
      <c r="K3435">
        <v>89.555000000000007</v>
      </c>
      <c r="L3435">
        <v>4.8819999999999997</v>
      </c>
      <c r="M3435">
        <v>4.47</v>
      </c>
      <c r="N3435">
        <v>4.47</v>
      </c>
      <c r="O3435" t="s">
        <v>101</v>
      </c>
      <c r="P3435" t="s">
        <v>1391</v>
      </c>
      <c r="Q3435" t="s">
        <v>464</v>
      </c>
      <c r="R3435" t="s">
        <v>4287</v>
      </c>
    </row>
    <row r="3436" spans="1:18" x14ac:dyDescent="0.5">
      <c r="A3436" t="str">
        <f>"63743FZD1"</f>
        <v>63743FZD1</v>
      </c>
      <c r="B3436" t="s">
        <v>101</v>
      </c>
      <c r="C3436" t="s">
        <v>4288</v>
      </c>
      <c r="D3436" t="s">
        <v>2433</v>
      </c>
      <c r="E3436">
        <v>3.5</v>
      </c>
      <c r="F3436" s="2">
        <v>47406</v>
      </c>
      <c r="G3436" s="2" t="s">
        <v>105</v>
      </c>
      <c r="H3436" t="s">
        <v>610</v>
      </c>
      <c r="I3436" t="s">
        <v>713</v>
      </c>
      <c r="J3436">
        <v>94.238</v>
      </c>
      <c r="K3436">
        <v>96.478999999999999</v>
      </c>
      <c r="L3436">
        <v>4.9039999999999999</v>
      </c>
      <c r="M3436">
        <v>4.3470000000000004</v>
      </c>
      <c r="N3436">
        <v>4.3470000000000004</v>
      </c>
      <c r="O3436" t="s">
        <v>101</v>
      </c>
      <c r="P3436" t="s">
        <v>858</v>
      </c>
      <c r="Q3436" t="s">
        <v>3141</v>
      </c>
      <c r="R3436" t="s">
        <v>2610</v>
      </c>
    </row>
    <row r="3437" spans="1:18" x14ac:dyDescent="0.5">
      <c r="A3437" t="str">
        <f>"63743FZJ8"</f>
        <v>63743FZJ8</v>
      </c>
      <c r="B3437" t="s">
        <v>101</v>
      </c>
      <c r="C3437" t="s">
        <v>4289</v>
      </c>
      <c r="D3437" t="s">
        <v>2433</v>
      </c>
      <c r="E3437">
        <v>3.25</v>
      </c>
      <c r="F3437" s="2">
        <v>47406</v>
      </c>
      <c r="G3437" s="2" t="s">
        <v>105</v>
      </c>
      <c r="H3437" t="s">
        <v>610</v>
      </c>
      <c r="I3437" t="s">
        <v>713</v>
      </c>
      <c r="J3437">
        <v>93.31</v>
      </c>
      <c r="K3437">
        <v>95.206999999999994</v>
      </c>
      <c r="L3437">
        <v>4.8789999999999996</v>
      </c>
      <c r="M3437">
        <v>4.4050000000000002</v>
      </c>
      <c r="N3437">
        <v>4.4050000000000002</v>
      </c>
      <c r="O3437" t="s">
        <v>101</v>
      </c>
      <c r="P3437" t="s">
        <v>858</v>
      </c>
      <c r="Q3437" t="s">
        <v>485</v>
      </c>
      <c r="R3437" t="s">
        <v>2610</v>
      </c>
    </row>
    <row r="3438" spans="1:18" x14ac:dyDescent="0.5">
      <c r="A3438" t="str">
        <f>"244199BD6"</f>
        <v>244199BD6</v>
      </c>
      <c r="B3438" t="s">
        <v>101</v>
      </c>
      <c r="C3438" t="s">
        <v>4290</v>
      </c>
      <c r="D3438" t="s">
        <v>2433</v>
      </c>
      <c r="E3438">
        <v>5.375</v>
      </c>
      <c r="F3438" s="2">
        <v>47407</v>
      </c>
      <c r="G3438" s="2" t="s">
        <v>105</v>
      </c>
      <c r="H3438" t="s">
        <v>641</v>
      </c>
      <c r="I3438" t="s">
        <v>611</v>
      </c>
      <c r="J3438">
        <v>103.572</v>
      </c>
      <c r="K3438">
        <v>103.84699999999999</v>
      </c>
      <c r="L3438">
        <v>4.5049999999999999</v>
      </c>
      <c r="M3438">
        <v>4.4390000000000001</v>
      </c>
      <c r="N3438">
        <v>4.4390000000000001</v>
      </c>
      <c r="O3438" t="s">
        <v>101</v>
      </c>
      <c r="P3438" t="s">
        <v>3884</v>
      </c>
      <c r="Q3438" t="s">
        <v>2581</v>
      </c>
      <c r="R3438" t="s">
        <v>2465</v>
      </c>
    </row>
    <row r="3439" spans="1:18" x14ac:dyDescent="0.5">
      <c r="A3439" t="str">
        <f>"459058LN1"</f>
        <v>459058LN1</v>
      </c>
      <c r="B3439" t="s">
        <v>101</v>
      </c>
      <c r="C3439" t="s">
        <v>4291</v>
      </c>
      <c r="D3439" t="s">
        <v>2433</v>
      </c>
      <c r="E3439">
        <v>3.875</v>
      </c>
      <c r="F3439" s="2">
        <v>47407</v>
      </c>
      <c r="G3439" s="2" t="s">
        <v>105</v>
      </c>
      <c r="H3439" t="s">
        <v>104</v>
      </c>
      <c r="I3439" t="s">
        <v>104</v>
      </c>
      <c r="J3439">
        <v>98.372</v>
      </c>
      <c r="K3439">
        <v>99.290999999999997</v>
      </c>
      <c r="L3439">
        <v>4.2679999999999998</v>
      </c>
      <c r="M3439">
        <v>4.0449999999999999</v>
      </c>
      <c r="N3439">
        <v>4.0449999999999999</v>
      </c>
      <c r="O3439" t="s">
        <v>101</v>
      </c>
      <c r="P3439" t="s">
        <v>2618</v>
      </c>
      <c r="Q3439" t="s">
        <v>4275</v>
      </c>
      <c r="R3439" t="s">
        <v>2713</v>
      </c>
    </row>
    <row r="3440" spans="1:18" x14ac:dyDescent="0.5">
      <c r="A3440" t="str">
        <f>"10373QBZ2"</f>
        <v>10373QBZ2</v>
      </c>
      <c r="B3440" t="s">
        <v>101</v>
      </c>
      <c r="C3440" t="s">
        <v>4292</v>
      </c>
      <c r="D3440" t="s">
        <v>2433</v>
      </c>
      <c r="E3440">
        <v>4.97</v>
      </c>
      <c r="F3440" s="2">
        <v>47408</v>
      </c>
      <c r="G3440" s="2">
        <v>47378</v>
      </c>
      <c r="H3440" t="s">
        <v>641</v>
      </c>
      <c r="I3440" t="s">
        <v>713</v>
      </c>
      <c r="J3440">
        <v>101.045</v>
      </c>
      <c r="K3440">
        <v>101.236</v>
      </c>
      <c r="L3440">
        <v>4.71</v>
      </c>
      <c r="M3440">
        <v>4.6630000000000003</v>
      </c>
      <c r="N3440">
        <v>4.6669999999999998</v>
      </c>
      <c r="O3440" t="s">
        <v>101</v>
      </c>
      <c r="P3440" t="s">
        <v>2527</v>
      </c>
      <c r="Q3440" t="s">
        <v>4293</v>
      </c>
      <c r="R3440" t="s">
        <v>2436</v>
      </c>
    </row>
    <row r="3441" spans="1:18" x14ac:dyDescent="0.5">
      <c r="A3441" t="str">
        <f>"25243YBB4"</f>
        <v>25243YBB4</v>
      </c>
      <c r="B3441" t="s">
        <v>101</v>
      </c>
      <c r="C3441" t="s">
        <v>4294</v>
      </c>
      <c r="D3441" t="s">
        <v>2433</v>
      </c>
      <c r="E3441">
        <v>2.375</v>
      </c>
      <c r="F3441" s="2">
        <v>47415</v>
      </c>
      <c r="G3441" s="2">
        <v>47323</v>
      </c>
      <c r="H3441" t="s">
        <v>627</v>
      </c>
      <c r="I3441" t="s">
        <v>713</v>
      </c>
      <c r="J3441">
        <v>90.680999999999997</v>
      </c>
      <c r="K3441">
        <v>90.930999999999997</v>
      </c>
      <c r="L3441">
        <v>4.6399999999999997</v>
      </c>
      <c r="M3441">
        <v>4.5759999999999996</v>
      </c>
      <c r="N3441">
        <v>4.5759999999999996</v>
      </c>
      <c r="O3441" t="s">
        <v>101</v>
      </c>
      <c r="P3441" t="s">
        <v>3945</v>
      </c>
      <c r="Q3441" t="s">
        <v>542</v>
      </c>
      <c r="R3441" t="s">
        <v>2436</v>
      </c>
    </row>
    <row r="3442" spans="1:18" x14ac:dyDescent="0.5">
      <c r="A3442" t="str">
        <f>"742718GK9"</f>
        <v>742718GK9</v>
      </c>
      <c r="B3442" t="s">
        <v>101</v>
      </c>
      <c r="C3442" t="s">
        <v>4295</v>
      </c>
      <c r="D3442" t="s">
        <v>2433</v>
      </c>
      <c r="E3442">
        <v>4.1500000000000004</v>
      </c>
      <c r="F3442" s="2">
        <v>47415</v>
      </c>
      <c r="G3442" s="2" t="s">
        <v>101</v>
      </c>
      <c r="H3442" t="s">
        <v>624</v>
      </c>
      <c r="I3442" t="s">
        <v>616</v>
      </c>
      <c r="J3442">
        <v>99.316999999999993</v>
      </c>
      <c r="K3442">
        <v>99.445999999999998</v>
      </c>
      <c r="L3442">
        <v>4.3140000000000001</v>
      </c>
      <c r="M3442">
        <v>4.2830000000000004</v>
      </c>
      <c r="N3442">
        <v>4.2830000000000004</v>
      </c>
      <c r="O3442" t="s">
        <v>101</v>
      </c>
      <c r="P3442" t="s">
        <v>2786</v>
      </c>
      <c r="Q3442" t="s">
        <v>2581</v>
      </c>
      <c r="R3442" t="s">
        <v>2726</v>
      </c>
    </row>
    <row r="3443" spans="1:18" x14ac:dyDescent="0.5">
      <c r="A3443" t="str">
        <f>"742718AV1"</f>
        <v>742718AV1</v>
      </c>
      <c r="B3443" t="s">
        <v>101</v>
      </c>
      <c r="C3443" t="s">
        <v>4296</v>
      </c>
      <c r="D3443" t="s">
        <v>2433</v>
      </c>
      <c r="E3443">
        <v>8</v>
      </c>
      <c r="F3443" s="2">
        <v>47417</v>
      </c>
      <c r="G3443" s="2" t="s">
        <v>101</v>
      </c>
      <c r="H3443" t="s">
        <v>624</v>
      </c>
      <c r="I3443" t="s">
        <v>616</v>
      </c>
      <c r="J3443">
        <v>114.804</v>
      </c>
      <c r="K3443">
        <v>115.64100000000001</v>
      </c>
      <c r="L3443">
        <v>4.4219999999999997</v>
      </c>
      <c r="M3443">
        <v>4.2370000000000001</v>
      </c>
      <c r="N3443">
        <v>4.2370000000000001</v>
      </c>
      <c r="O3443" t="s">
        <v>101</v>
      </c>
      <c r="P3443" t="s">
        <v>1391</v>
      </c>
      <c r="Q3443" t="s">
        <v>4297</v>
      </c>
      <c r="R3443" t="s">
        <v>2436</v>
      </c>
    </row>
    <row r="3444" spans="1:18" x14ac:dyDescent="0.5">
      <c r="A3444" t="str">
        <f>"22552XXR9"</f>
        <v>22552XXR9</v>
      </c>
      <c r="B3444" t="s">
        <v>101</v>
      </c>
      <c r="C3444" t="s">
        <v>4298</v>
      </c>
      <c r="D3444" t="s">
        <v>2433</v>
      </c>
      <c r="E3444">
        <v>2</v>
      </c>
      <c r="F3444" s="2">
        <v>47420</v>
      </c>
      <c r="G3444" s="2">
        <v>45776</v>
      </c>
      <c r="H3444" t="s">
        <v>613</v>
      </c>
      <c r="I3444" t="s">
        <v>105</v>
      </c>
      <c r="J3444">
        <v>85.411000000000001</v>
      </c>
      <c r="K3444">
        <v>86.968000000000004</v>
      </c>
      <c r="L3444">
        <v>5.6219999999999999</v>
      </c>
      <c r="M3444">
        <v>5.2030000000000003</v>
      </c>
      <c r="N3444">
        <v>5.2030000000000003</v>
      </c>
      <c r="O3444" t="s">
        <v>101</v>
      </c>
      <c r="P3444" t="s">
        <v>2595</v>
      </c>
      <c r="Q3444" t="s">
        <v>565</v>
      </c>
      <c r="R3444" t="s">
        <v>2436</v>
      </c>
    </row>
    <row r="3445" spans="1:18" x14ac:dyDescent="0.5">
      <c r="A3445" t="str">
        <f>"68233JCW2"</f>
        <v>68233JCW2</v>
      </c>
      <c r="B3445" t="s">
        <v>101</v>
      </c>
      <c r="C3445" t="s">
        <v>4299</v>
      </c>
      <c r="D3445" t="s">
        <v>2433</v>
      </c>
      <c r="E3445">
        <v>4.6500000000000004</v>
      </c>
      <c r="F3445" s="2">
        <v>47423</v>
      </c>
      <c r="G3445" s="2">
        <v>47392</v>
      </c>
      <c r="H3445" t="s">
        <v>610</v>
      </c>
      <c r="I3445" t="s">
        <v>658</v>
      </c>
      <c r="J3445">
        <v>99.622</v>
      </c>
      <c r="K3445">
        <v>99.936999999999998</v>
      </c>
      <c r="L3445">
        <v>4.7409999999999997</v>
      </c>
      <c r="M3445">
        <v>4.6639999999999997</v>
      </c>
      <c r="N3445">
        <v>4.6639999999999997</v>
      </c>
      <c r="O3445" t="s">
        <v>101</v>
      </c>
      <c r="P3445" t="s">
        <v>663</v>
      </c>
      <c r="Q3445" t="s">
        <v>663</v>
      </c>
      <c r="R3445" t="s">
        <v>2436</v>
      </c>
    </row>
    <row r="3446" spans="1:18" x14ac:dyDescent="0.5">
      <c r="A3446" t="str">
        <f>"718172DN6"</f>
        <v>718172DN6</v>
      </c>
      <c r="B3446" t="s">
        <v>101</v>
      </c>
      <c r="C3446" t="s">
        <v>4300</v>
      </c>
      <c r="D3446" t="s">
        <v>2433</v>
      </c>
      <c r="E3446">
        <v>4.625</v>
      </c>
      <c r="F3446" s="2">
        <v>47423</v>
      </c>
      <c r="G3446" s="2">
        <v>47392</v>
      </c>
      <c r="H3446" t="s">
        <v>610</v>
      </c>
      <c r="I3446" t="s">
        <v>713</v>
      </c>
      <c r="J3446">
        <v>99.774000000000001</v>
      </c>
      <c r="K3446">
        <v>99.94</v>
      </c>
      <c r="L3446">
        <v>4.6790000000000003</v>
      </c>
      <c r="M3446">
        <v>4.6379999999999999</v>
      </c>
      <c r="N3446">
        <v>4.6379999999999999</v>
      </c>
      <c r="O3446" t="s">
        <v>101</v>
      </c>
      <c r="P3446" t="s">
        <v>2581</v>
      </c>
      <c r="Q3446" t="s">
        <v>2454</v>
      </c>
      <c r="R3446" t="s">
        <v>2436</v>
      </c>
    </row>
    <row r="3447" spans="1:18" x14ac:dyDescent="0.5">
      <c r="A3447" t="str">
        <f>"05723KAG5"</f>
        <v>05723KAG5</v>
      </c>
      <c r="B3447" t="s">
        <v>101</v>
      </c>
      <c r="C3447" t="s">
        <v>4301</v>
      </c>
      <c r="D3447" t="s">
        <v>2433</v>
      </c>
      <c r="E3447">
        <v>3.1379999999999999</v>
      </c>
      <c r="F3447" s="2">
        <v>47429</v>
      </c>
      <c r="G3447" s="2">
        <v>47337</v>
      </c>
      <c r="H3447" t="s">
        <v>627</v>
      </c>
      <c r="I3447" t="s">
        <v>713</v>
      </c>
      <c r="J3447">
        <v>93.600999999999999</v>
      </c>
      <c r="K3447">
        <v>93.888000000000005</v>
      </c>
      <c r="L3447">
        <v>4.6840000000000002</v>
      </c>
      <c r="M3447">
        <v>4.6120000000000001</v>
      </c>
      <c r="N3447">
        <v>4.6120000000000001</v>
      </c>
      <c r="O3447" t="s">
        <v>101</v>
      </c>
      <c r="P3447" t="s">
        <v>3884</v>
      </c>
      <c r="Q3447" t="s">
        <v>2581</v>
      </c>
      <c r="R3447" t="s">
        <v>2436</v>
      </c>
    </row>
    <row r="3448" spans="1:18" x14ac:dyDescent="0.5">
      <c r="A3448" t="str">
        <f>"822905AF2"</f>
        <v>822905AF2</v>
      </c>
      <c r="B3448" t="s">
        <v>101</v>
      </c>
      <c r="C3448" t="s">
        <v>4302</v>
      </c>
      <c r="D3448" t="s">
        <v>2433</v>
      </c>
      <c r="E3448">
        <v>2.375</v>
      </c>
      <c r="F3448" s="2">
        <v>47429</v>
      </c>
      <c r="G3448" s="2">
        <v>47337</v>
      </c>
      <c r="H3448" t="s">
        <v>613</v>
      </c>
      <c r="I3448" t="s">
        <v>658</v>
      </c>
      <c r="J3448">
        <v>90.850999999999999</v>
      </c>
      <c r="K3448">
        <v>90.915999999999997</v>
      </c>
      <c r="L3448">
        <v>4.58</v>
      </c>
      <c r="M3448">
        <v>4.5629999999999997</v>
      </c>
      <c r="N3448">
        <v>4.5629999999999997</v>
      </c>
      <c r="O3448" t="s">
        <v>101</v>
      </c>
      <c r="P3448" t="s">
        <v>2527</v>
      </c>
      <c r="Q3448" t="s">
        <v>2507</v>
      </c>
      <c r="R3448" t="s">
        <v>2726</v>
      </c>
    </row>
    <row r="3449" spans="1:18" x14ac:dyDescent="0.5">
      <c r="A3449" t="str">
        <f>"822582CD2"</f>
        <v>822582CD2</v>
      </c>
      <c r="B3449" t="s">
        <v>101</v>
      </c>
      <c r="C3449" t="s">
        <v>4303</v>
      </c>
      <c r="D3449" t="s">
        <v>2433</v>
      </c>
      <c r="E3449">
        <v>2.375</v>
      </c>
      <c r="F3449" s="2">
        <v>47429</v>
      </c>
      <c r="G3449" s="2">
        <v>47337</v>
      </c>
      <c r="H3449" t="s">
        <v>613</v>
      </c>
      <c r="I3449" t="s">
        <v>658</v>
      </c>
      <c r="J3449">
        <v>91.353999999999999</v>
      </c>
      <c r="K3449">
        <v>91.605999999999995</v>
      </c>
      <c r="L3449">
        <v>4.452</v>
      </c>
      <c r="M3449">
        <v>4.3890000000000002</v>
      </c>
      <c r="N3449">
        <v>4.3890000000000002</v>
      </c>
      <c r="O3449" t="s">
        <v>101</v>
      </c>
      <c r="P3449" t="s">
        <v>554</v>
      </c>
      <c r="Q3449" t="s">
        <v>554</v>
      </c>
      <c r="R3449" t="s">
        <v>2436</v>
      </c>
    </row>
    <row r="3450" spans="1:18" x14ac:dyDescent="0.5">
      <c r="A3450" t="str">
        <f>"14913UAU4"</f>
        <v>14913UAU4</v>
      </c>
      <c r="B3450" t="s">
        <v>101</v>
      </c>
      <c r="C3450" t="s">
        <v>4304</v>
      </c>
      <c r="D3450" t="s">
        <v>2433</v>
      </c>
      <c r="E3450">
        <v>4.7</v>
      </c>
      <c r="F3450" s="2">
        <v>47437</v>
      </c>
      <c r="G3450" s="2" t="s">
        <v>101</v>
      </c>
      <c r="H3450" t="s">
        <v>610</v>
      </c>
      <c r="I3450" t="s">
        <v>611</v>
      </c>
      <c r="J3450">
        <v>100.36499999999999</v>
      </c>
      <c r="K3450">
        <v>100.592</v>
      </c>
      <c r="L3450">
        <v>4.6109999999999998</v>
      </c>
      <c r="M3450">
        <v>4.5570000000000004</v>
      </c>
      <c r="N3450">
        <v>4.5570000000000004</v>
      </c>
      <c r="O3450" t="s">
        <v>101</v>
      </c>
      <c r="P3450" t="s">
        <v>2506</v>
      </c>
      <c r="Q3450" t="s">
        <v>2507</v>
      </c>
      <c r="R3450" t="s">
        <v>2436</v>
      </c>
    </row>
    <row r="3451" spans="1:18" x14ac:dyDescent="0.5">
      <c r="A3451" t="str">
        <f>"23291KAH8"</f>
        <v>23291KAH8</v>
      </c>
      <c r="B3451" t="s">
        <v>101</v>
      </c>
      <c r="C3451" t="s">
        <v>4305</v>
      </c>
      <c r="D3451" t="s">
        <v>2433</v>
      </c>
      <c r="E3451">
        <v>2.6</v>
      </c>
      <c r="F3451" s="2">
        <v>47437</v>
      </c>
      <c r="G3451" s="2">
        <v>47345</v>
      </c>
      <c r="H3451" t="s">
        <v>627</v>
      </c>
      <c r="I3451" t="s">
        <v>713</v>
      </c>
      <c r="J3451">
        <v>91.334000000000003</v>
      </c>
      <c r="K3451">
        <v>91.585999999999999</v>
      </c>
      <c r="L3451">
        <v>4.6849999999999996</v>
      </c>
      <c r="M3451">
        <v>4.6210000000000004</v>
      </c>
      <c r="N3451">
        <v>4.6210000000000004</v>
      </c>
      <c r="O3451" t="s">
        <v>101</v>
      </c>
      <c r="P3451" t="s">
        <v>4306</v>
      </c>
      <c r="Q3451" t="s">
        <v>2454</v>
      </c>
      <c r="R3451" t="s">
        <v>2436</v>
      </c>
    </row>
    <row r="3452" spans="1:18" x14ac:dyDescent="0.5">
      <c r="A3452" t="str">
        <f>"257375AP0"</f>
        <v>257375AP0</v>
      </c>
      <c r="B3452" t="s">
        <v>101</v>
      </c>
      <c r="C3452" t="s">
        <v>4307</v>
      </c>
      <c r="D3452" t="s">
        <v>2433</v>
      </c>
      <c r="E3452">
        <v>3</v>
      </c>
      <c r="F3452" s="2">
        <v>47437</v>
      </c>
      <c r="G3452" s="2">
        <v>47345</v>
      </c>
      <c r="H3452" t="s">
        <v>670</v>
      </c>
      <c r="I3452" t="s">
        <v>713</v>
      </c>
      <c r="J3452">
        <v>91.924000000000007</v>
      </c>
      <c r="K3452">
        <v>92.685000000000002</v>
      </c>
      <c r="L3452">
        <v>4.9560000000000004</v>
      </c>
      <c r="M3452">
        <v>4.7629999999999999</v>
      </c>
      <c r="N3452">
        <v>4.7629999999999999</v>
      </c>
      <c r="O3452" t="s">
        <v>101</v>
      </c>
      <c r="P3452" t="s">
        <v>858</v>
      </c>
      <c r="Q3452" t="s">
        <v>4308</v>
      </c>
      <c r="R3452" t="s">
        <v>2436</v>
      </c>
    </row>
    <row r="3453" spans="1:18" x14ac:dyDescent="0.5">
      <c r="A3453" t="str">
        <f>"276480AH3"</f>
        <v>276480AH3</v>
      </c>
      <c r="B3453" t="s">
        <v>101</v>
      </c>
      <c r="C3453" t="s">
        <v>4309</v>
      </c>
      <c r="D3453" t="s">
        <v>2433</v>
      </c>
      <c r="E3453">
        <v>3</v>
      </c>
      <c r="F3453" s="2">
        <v>47437</v>
      </c>
      <c r="G3453" s="2">
        <v>47345</v>
      </c>
      <c r="H3453" t="s">
        <v>627</v>
      </c>
      <c r="I3453" t="s">
        <v>713</v>
      </c>
      <c r="J3453">
        <v>92.563999999999993</v>
      </c>
      <c r="K3453">
        <v>93.004999999999995</v>
      </c>
      <c r="L3453">
        <v>4.7930000000000001</v>
      </c>
      <c r="M3453">
        <v>4.6820000000000004</v>
      </c>
      <c r="N3453">
        <v>4.6820000000000004</v>
      </c>
      <c r="O3453" t="s">
        <v>101</v>
      </c>
      <c r="P3453" t="s">
        <v>3884</v>
      </c>
      <c r="Q3453" t="s">
        <v>2774</v>
      </c>
      <c r="R3453" t="s">
        <v>2436</v>
      </c>
    </row>
    <row r="3454" spans="1:18" x14ac:dyDescent="0.5">
      <c r="A3454" t="str">
        <f>"278058AW2"</f>
        <v>278058AW2</v>
      </c>
      <c r="B3454" t="s">
        <v>101</v>
      </c>
      <c r="C3454" t="s">
        <v>4310</v>
      </c>
      <c r="D3454" t="s">
        <v>2433</v>
      </c>
      <c r="E3454">
        <v>7.65</v>
      </c>
      <c r="F3454" s="2">
        <v>47437</v>
      </c>
      <c r="G3454" s="2" t="s">
        <v>105</v>
      </c>
      <c r="H3454" t="s">
        <v>627</v>
      </c>
      <c r="I3454" t="s">
        <v>713</v>
      </c>
      <c r="J3454">
        <v>113.404</v>
      </c>
      <c r="K3454">
        <v>113.786</v>
      </c>
      <c r="L3454">
        <v>4.4409999999999998</v>
      </c>
      <c r="M3454">
        <v>4.3570000000000002</v>
      </c>
      <c r="N3454">
        <v>4.3570000000000002</v>
      </c>
      <c r="O3454" t="s">
        <v>101</v>
      </c>
      <c r="P3454" t="s">
        <v>858</v>
      </c>
      <c r="Q3454" t="s">
        <v>4311</v>
      </c>
      <c r="R3454" t="s">
        <v>2465</v>
      </c>
    </row>
    <row r="3455" spans="1:18" x14ac:dyDescent="0.5">
      <c r="A3455" t="str">
        <f>"298785KF2"</f>
        <v>298785KF2</v>
      </c>
      <c r="B3455" t="s">
        <v>101</v>
      </c>
      <c r="C3455" t="s">
        <v>4312</v>
      </c>
      <c r="D3455" t="s">
        <v>2433</v>
      </c>
      <c r="E3455">
        <v>3.75</v>
      </c>
      <c r="F3455" s="2">
        <v>47437</v>
      </c>
      <c r="G3455" s="2" t="s">
        <v>105</v>
      </c>
      <c r="H3455" t="s">
        <v>104</v>
      </c>
      <c r="I3455" t="s">
        <v>104</v>
      </c>
      <c r="J3455">
        <v>98.111999999999995</v>
      </c>
      <c r="K3455">
        <v>98.876999999999995</v>
      </c>
      <c r="L3455">
        <v>4.1980000000000004</v>
      </c>
      <c r="M3455">
        <v>4.0149999999999997</v>
      </c>
      <c r="N3455">
        <v>4.0149999999999997</v>
      </c>
      <c r="O3455" t="s">
        <v>101</v>
      </c>
      <c r="P3455" t="s">
        <v>4313</v>
      </c>
      <c r="Q3455" t="s">
        <v>4314</v>
      </c>
      <c r="R3455" t="s">
        <v>2885</v>
      </c>
    </row>
    <row r="3456" spans="1:18" x14ac:dyDescent="0.5">
      <c r="A3456" t="str">
        <f>"427866BD9"</f>
        <v>427866BD9</v>
      </c>
      <c r="B3456" t="s">
        <v>101</v>
      </c>
      <c r="C3456" t="s">
        <v>4315</v>
      </c>
      <c r="D3456" t="s">
        <v>2433</v>
      </c>
      <c r="E3456">
        <v>2.4500000000000002</v>
      </c>
      <c r="F3456" s="2">
        <v>47437</v>
      </c>
      <c r="G3456" s="2">
        <v>47345</v>
      </c>
      <c r="H3456" t="s">
        <v>641</v>
      </c>
      <c r="I3456" t="s">
        <v>611</v>
      </c>
      <c r="J3456">
        <v>91.343999999999994</v>
      </c>
      <c r="K3456">
        <v>91.757000000000005</v>
      </c>
      <c r="L3456">
        <v>4.524</v>
      </c>
      <c r="M3456">
        <v>4.42</v>
      </c>
      <c r="N3456">
        <v>4.42</v>
      </c>
      <c r="O3456" t="s">
        <v>101</v>
      </c>
      <c r="P3456" t="s">
        <v>3878</v>
      </c>
      <c r="Q3456" t="s">
        <v>4316</v>
      </c>
      <c r="R3456" t="s">
        <v>2436</v>
      </c>
    </row>
    <row r="3457" spans="1:18" x14ac:dyDescent="0.5">
      <c r="A3457" t="str">
        <f>"74340XBY6"</f>
        <v>74340XBY6</v>
      </c>
      <c r="B3457" t="s">
        <v>101</v>
      </c>
      <c r="C3457" t="s">
        <v>4317</v>
      </c>
      <c r="D3457" t="s">
        <v>2433</v>
      </c>
      <c r="E3457">
        <v>2.875</v>
      </c>
      <c r="F3457" s="2">
        <v>47437</v>
      </c>
      <c r="G3457" s="2">
        <v>47345</v>
      </c>
      <c r="H3457" t="s">
        <v>610</v>
      </c>
      <c r="I3457" t="s">
        <v>611</v>
      </c>
      <c r="J3457">
        <v>92.457999999999998</v>
      </c>
      <c r="K3457">
        <v>92.811000000000007</v>
      </c>
      <c r="L3457">
        <v>4.6890000000000001</v>
      </c>
      <c r="M3457">
        <v>4.601</v>
      </c>
      <c r="N3457">
        <v>4.601</v>
      </c>
      <c r="O3457" t="s">
        <v>101</v>
      </c>
      <c r="P3457" t="s">
        <v>1702</v>
      </c>
      <c r="Q3457" t="s">
        <v>4318</v>
      </c>
      <c r="R3457" t="s">
        <v>2436</v>
      </c>
    </row>
    <row r="3458" spans="1:18" x14ac:dyDescent="0.5">
      <c r="A3458" t="str">
        <f>"718172CW7"</f>
        <v>718172CW7</v>
      </c>
      <c r="B3458" t="s">
        <v>101</v>
      </c>
      <c r="C3458" t="s">
        <v>4319</v>
      </c>
      <c r="D3458" t="s">
        <v>2433</v>
      </c>
      <c r="E3458">
        <v>5.625</v>
      </c>
      <c r="F3458" s="2">
        <v>47439</v>
      </c>
      <c r="G3458" s="2">
        <v>47378</v>
      </c>
      <c r="H3458" t="s">
        <v>610</v>
      </c>
      <c r="I3458" t="s">
        <v>713</v>
      </c>
      <c r="J3458">
        <v>103.669</v>
      </c>
      <c r="K3458">
        <v>103.768</v>
      </c>
      <c r="L3458">
        <v>4.7130000000000001</v>
      </c>
      <c r="M3458">
        <v>4.6890000000000001</v>
      </c>
      <c r="N3458">
        <v>4.7169999999999996</v>
      </c>
      <c r="O3458" t="s">
        <v>101</v>
      </c>
      <c r="P3458" t="s">
        <v>1702</v>
      </c>
      <c r="Q3458" t="s">
        <v>2454</v>
      </c>
      <c r="R3458" t="s">
        <v>2436</v>
      </c>
    </row>
    <row r="3459" spans="1:18" x14ac:dyDescent="0.5">
      <c r="A3459" t="str">
        <f>"00287YBX6"</f>
        <v>00287YBX6</v>
      </c>
      <c r="B3459" t="s">
        <v>101</v>
      </c>
      <c r="C3459" t="s">
        <v>4320</v>
      </c>
      <c r="D3459" t="s">
        <v>2433</v>
      </c>
      <c r="E3459">
        <v>3.2</v>
      </c>
      <c r="F3459" s="2">
        <v>47443</v>
      </c>
      <c r="G3459" s="2">
        <v>47351</v>
      </c>
      <c r="H3459" t="s">
        <v>627</v>
      </c>
      <c r="I3459" t="s">
        <v>713</v>
      </c>
      <c r="J3459">
        <v>93.811000000000007</v>
      </c>
      <c r="K3459">
        <v>93.957999999999998</v>
      </c>
      <c r="L3459">
        <v>4.6840000000000002</v>
      </c>
      <c r="M3459">
        <v>4.6470000000000002</v>
      </c>
      <c r="N3459">
        <v>4.6470000000000002</v>
      </c>
      <c r="O3459" t="s">
        <v>101</v>
      </c>
      <c r="P3459" t="s">
        <v>2255</v>
      </c>
      <c r="Q3459" t="s">
        <v>2454</v>
      </c>
      <c r="R3459" t="s">
        <v>2436</v>
      </c>
    </row>
    <row r="3460" spans="1:18" x14ac:dyDescent="0.5">
      <c r="A3460" t="str">
        <f>"857449AE2"</f>
        <v>857449AE2</v>
      </c>
      <c r="B3460" t="s">
        <v>101</v>
      </c>
      <c r="C3460" t="s">
        <v>4321</v>
      </c>
      <c r="D3460" t="s">
        <v>2433</v>
      </c>
      <c r="E3460">
        <v>4.782</v>
      </c>
      <c r="F3460" s="2">
        <v>47445</v>
      </c>
      <c r="G3460" s="2" t="s">
        <v>105</v>
      </c>
      <c r="H3460" t="s">
        <v>613</v>
      </c>
      <c r="I3460" t="s">
        <v>616</v>
      </c>
      <c r="J3460">
        <v>100.467</v>
      </c>
      <c r="K3460">
        <v>100.586</v>
      </c>
      <c r="L3460">
        <v>4.6689999999999996</v>
      </c>
      <c r="M3460">
        <v>4.6399999999999997</v>
      </c>
      <c r="N3460">
        <v>4.6399999999999997</v>
      </c>
      <c r="O3460" t="s">
        <v>101</v>
      </c>
      <c r="P3460" t="s">
        <v>2564</v>
      </c>
      <c r="Q3460" t="s">
        <v>4322</v>
      </c>
      <c r="R3460" t="s">
        <v>2465</v>
      </c>
    </row>
    <row r="3461" spans="1:18" x14ac:dyDescent="0.5">
      <c r="A3461" t="str">
        <f>"10373QCB4"</f>
        <v>10373QCB4</v>
      </c>
      <c r="B3461" t="s">
        <v>101</v>
      </c>
      <c r="C3461" t="s">
        <v>4323</v>
      </c>
      <c r="D3461" t="s">
        <v>2433</v>
      </c>
      <c r="E3461">
        <v>4.8680000000000003</v>
      </c>
      <c r="F3461" s="2">
        <v>47447</v>
      </c>
      <c r="G3461" s="2">
        <v>47416</v>
      </c>
      <c r="H3461" t="s">
        <v>641</v>
      </c>
      <c r="I3461" t="s">
        <v>713</v>
      </c>
      <c r="J3461">
        <v>100.553</v>
      </c>
      <c r="K3461">
        <v>100.956</v>
      </c>
      <c r="L3461">
        <v>4.7320000000000002</v>
      </c>
      <c r="M3461">
        <v>4.6349999999999998</v>
      </c>
      <c r="N3461">
        <v>4.6379999999999999</v>
      </c>
      <c r="O3461" t="s">
        <v>101</v>
      </c>
      <c r="P3461" t="s">
        <v>2507</v>
      </c>
      <c r="Q3461" t="s">
        <v>2527</v>
      </c>
      <c r="R3461" t="s">
        <v>2436</v>
      </c>
    </row>
    <row r="3462" spans="1:18" x14ac:dyDescent="0.5">
      <c r="A3462" t="str">
        <f>"023135CQ7"</f>
        <v>023135CQ7</v>
      </c>
      <c r="B3462" t="s">
        <v>101</v>
      </c>
      <c r="C3462" t="s">
        <v>4324</v>
      </c>
      <c r="D3462" t="s">
        <v>2433</v>
      </c>
      <c r="E3462">
        <v>4.6500000000000004</v>
      </c>
      <c r="F3462" s="2">
        <v>47453</v>
      </c>
      <c r="G3462" s="2">
        <v>47392</v>
      </c>
      <c r="H3462" t="s">
        <v>641</v>
      </c>
      <c r="I3462" t="s">
        <v>628</v>
      </c>
      <c r="J3462">
        <v>101.39400000000001</v>
      </c>
      <c r="K3462">
        <v>101.587</v>
      </c>
      <c r="L3462">
        <v>4.3090000000000002</v>
      </c>
      <c r="M3462">
        <v>4.2619999999999996</v>
      </c>
      <c r="N3462">
        <v>4.274</v>
      </c>
      <c r="O3462" t="s">
        <v>101</v>
      </c>
      <c r="P3462" t="s">
        <v>2255</v>
      </c>
      <c r="Q3462" t="s">
        <v>2774</v>
      </c>
      <c r="R3462" t="s">
        <v>2436</v>
      </c>
    </row>
    <row r="3463" spans="1:18" x14ac:dyDescent="0.5">
      <c r="A3463" t="str">
        <f>"26444HAH4"</f>
        <v>26444HAH4</v>
      </c>
      <c r="B3463" t="s">
        <v>101</v>
      </c>
      <c r="C3463" t="s">
        <v>4325</v>
      </c>
      <c r="D3463" t="s">
        <v>2433</v>
      </c>
      <c r="E3463">
        <v>2.5</v>
      </c>
      <c r="F3463" s="2">
        <v>47453</v>
      </c>
      <c r="G3463" s="2">
        <v>47362</v>
      </c>
      <c r="H3463" t="s">
        <v>641</v>
      </c>
      <c r="I3463" t="s">
        <v>611</v>
      </c>
      <c r="J3463">
        <v>90.772000000000006</v>
      </c>
      <c r="K3463">
        <v>91.046000000000006</v>
      </c>
      <c r="L3463">
        <v>4.702</v>
      </c>
      <c r="M3463">
        <v>4.633</v>
      </c>
      <c r="N3463">
        <v>4.633</v>
      </c>
      <c r="O3463" t="s">
        <v>101</v>
      </c>
      <c r="P3463" t="s">
        <v>3920</v>
      </c>
      <c r="Q3463" t="s">
        <v>2581</v>
      </c>
      <c r="R3463" t="s">
        <v>2436</v>
      </c>
    </row>
    <row r="3464" spans="1:18" x14ac:dyDescent="0.5">
      <c r="A3464" t="str">
        <f>"448814DC4"</f>
        <v>448814DC4</v>
      </c>
      <c r="B3464" t="s">
        <v>101</v>
      </c>
      <c r="C3464" t="s">
        <v>4326</v>
      </c>
      <c r="D3464" t="s">
        <v>2433</v>
      </c>
      <c r="E3464">
        <v>8.5</v>
      </c>
      <c r="F3464" s="2">
        <v>47453</v>
      </c>
      <c r="G3464" s="2" t="s">
        <v>105</v>
      </c>
      <c r="H3464" t="s">
        <v>613</v>
      </c>
      <c r="I3464" t="s">
        <v>616</v>
      </c>
      <c r="J3464">
        <v>115.696</v>
      </c>
      <c r="K3464">
        <v>118.437</v>
      </c>
      <c r="L3464">
        <v>4.7460000000000004</v>
      </c>
      <c r="M3464">
        <v>4.1550000000000002</v>
      </c>
      <c r="N3464">
        <v>4.1550000000000002</v>
      </c>
      <c r="O3464" t="s">
        <v>101</v>
      </c>
      <c r="P3464" t="s">
        <v>858</v>
      </c>
      <c r="Q3464" t="s">
        <v>4327</v>
      </c>
      <c r="R3464" t="s">
        <v>2465</v>
      </c>
    </row>
    <row r="3465" spans="1:18" x14ac:dyDescent="0.5">
      <c r="A3465" t="str">
        <f>"448814ET6"</f>
        <v>448814ET6</v>
      </c>
      <c r="B3465" t="s">
        <v>101</v>
      </c>
      <c r="C3465" t="s">
        <v>4328</v>
      </c>
      <c r="D3465" t="s">
        <v>2433</v>
      </c>
      <c r="E3465">
        <v>8.5</v>
      </c>
      <c r="F3465" s="2">
        <v>47453</v>
      </c>
      <c r="G3465" s="2" t="s">
        <v>105</v>
      </c>
      <c r="H3465" t="s">
        <v>613</v>
      </c>
      <c r="I3465" t="s">
        <v>628</v>
      </c>
      <c r="J3465">
        <v>115.51300000000001</v>
      </c>
      <c r="K3465">
        <v>118.806</v>
      </c>
      <c r="L3465">
        <v>4.7859999999999996</v>
      </c>
      <c r="M3465">
        <v>4.077</v>
      </c>
      <c r="N3465">
        <v>4.077</v>
      </c>
      <c r="O3465" t="s">
        <v>101</v>
      </c>
      <c r="P3465" t="s">
        <v>858</v>
      </c>
      <c r="Q3465" t="s">
        <v>4329</v>
      </c>
      <c r="R3465" t="s">
        <v>2839</v>
      </c>
    </row>
    <row r="3466" spans="1:18" x14ac:dyDescent="0.5">
      <c r="A3466" t="str">
        <f>"29736RAP5"</f>
        <v>29736RAP5</v>
      </c>
      <c r="B3466" t="s">
        <v>101</v>
      </c>
      <c r="C3466" t="s">
        <v>4330</v>
      </c>
      <c r="D3466" t="s">
        <v>2433</v>
      </c>
      <c r="E3466">
        <v>2.375</v>
      </c>
      <c r="F3466" s="2">
        <v>47453</v>
      </c>
      <c r="G3466" s="2">
        <v>47362</v>
      </c>
      <c r="H3466" t="s">
        <v>610</v>
      </c>
      <c r="I3466" t="s">
        <v>713</v>
      </c>
      <c r="J3466">
        <v>89.861000000000004</v>
      </c>
      <c r="K3466">
        <v>90.036000000000001</v>
      </c>
      <c r="L3466">
        <v>4.8010000000000002</v>
      </c>
      <c r="M3466">
        <v>4.7560000000000002</v>
      </c>
      <c r="N3466">
        <v>4.7560000000000002</v>
      </c>
      <c r="O3466" t="s">
        <v>101</v>
      </c>
      <c r="P3466" t="s">
        <v>2581</v>
      </c>
      <c r="Q3466" t="s">
        <v>2454</v>
      </c>
      <c r="R3466" t="s">
        <v>2436</v>
      </c>
    </row>
    <row r="3467" spans="1:18" x14ac:dyDescent="0.5">
      <c r="A3467" t="str">
        <f>"539830AK5"</f>
        <v>539830AK5</v>
      </c>
      <c r="B3467" t="s">
        <v>101</v>
      </c>
      <c r="C3467" t="s">
        <v>4331</v>
      </c>
      <c r="D3467" t="s">
        <v>2433</v>
      </c>
      <c r="E3467">
        <v>8.5</v>
      </c>
      <c r="F3467" s="2">
        <v>47453</v>
      </c>
      <c r="G3467" s="2" t="s">
        <v>101</v>
      </c>
      <c r="H3467" t="s">
        <v>610</v>
      </c>
      <c r="I3467" t="s">
        <v>713</v>
      </c>
      <c r="J3467">
        <v>116.319</v>
      </c>
      <c r="K3467">
        <v>117.949</v>
      </c>
      <c r="L3467">
        <v>4.6100000000000003</v>
      </c>
      <c r="M3467">
        <v>4.2590000000000003</v>
      </c>
      <c r="N3467">
        <v>4.2590000000000003</v>
      </c>
      <c r="O3467" t="s">
        <v>101</v>
      </c>
      <c r="P3467" t="s">
        <v>2507</v>
      </c>
      <c r="Q3467" t="s">
        <v>1550</v>
      </c>
      <c r="R3467" t="s">
        <v>2436</v>
      </c>
    </row>
    <row r="3468" spans="1:18" x14ac:dyDescent="0.5">
      <c r="A3468" t="str">
        <f>"976843BQ4"</f>
        <v>976843BQ4</v>
      </c>
      <c r="B3468" t="s">
        <v>101</v>
      </c>
      <c r="C3468" t="s">
        <v>4332</v>
      </c>
      <c r="D3468" t="s">
        <v>2433</v>
      </c>
      <c r="E3468">
        <v>4.55</v>
      </c>
      <c r="F3468" s="2">
        <v>47453</v>
      </c>
      <c r="G3468" s="2">
        <v>47423</v>
      </c>
      <c r="H3468" t="s">
        <v>610</v>
      </c>
      <c r="I3468" t="s">
        <v>713</v>
      </c>
      <c r="J3468">
        <v>99.438000000000002</v>
      </c>
      <c r="K3468">
        <v>99.932000000000002</v>
      </c>
      <c r="L3468">
        <v>4.6829999999999998</v>
      </c>
      <c r="M3468">
        <v>4.5650000000000004</v>
      </c>
      <c r="N3468">
        <v>4.5650000000000004</v>
      </c>
      <c r="O3468" t="s">
        <v>101</v>
      </c>
      <c r="P3468" t="s">
        <v>4229</v>
      </c>
      <c r="Q3468" t="s">
        <v>2507</v>
      </c>
      <c r="R3468" t="s">
        <v>2436</v>
      </c>
    </row>
    <row r="3469" spans="1:18" x14ac:dyDescent="0.5">
      <c r="A3469" t="str">
        <f>"756109BK9"</f>
        <v>756109BK9</v>
      </c>
      <c r="B3469" t="s">
        <v>101</v>
      </c>
      <c r="C3469" t="s">
        <v>4333</v>
      </c>
      <c r="D3469" t="s">
        <v>2433</v>
      </c>
      <c r="E3469">
        <v>3.1</v>
      </c>
      <c r="F3469" s="2">
        <v>47467</v>
      </c>
      <c r="G3469" s="2">
        <v>47376</v>
      </c>
      <c r="H3469" t="s">
        <v>627</v>
      </c>
      <c r="I3469" t="s">
        <v>713</v>
      </c>
      <c r="J3469">
        <v>92.784000000000006</v>
      </c>
      <c r="K3469">
        <v>92.972999999999999</v>
      </c>
      <c r="L3469">
        <v>4.8140000000000001</v>
      </c>
      <c r="M3469">
        <v>4.7670000000000003</v>
      </c>
      <c r="N3469">
        <v>4.7670000000000003</v>
      </c>
      <c r="O3469" t="s">
        <v>101</v>
      </c>
      <c r="P3469" t="s">
        <v>2447</v>
      </c>
      <c r="Q3469" t="s">
        <v>2441</v>
      </c>
      <c r="R3469" t="s">
        <v>2436</v>
      </c>
    </row>
    <row r="3470" spans="1:18" x14ac:dyDescent="0.5">
      <c r="A3470" t="str">
        <f>"89115A3C4"</f>
        <v>89115A3C4</v>
      </c>
      <c r="B3470" t="s">
        <v>101</v>
      </c>
      <c r="C3470" t="s">
        <v>4334</v>
      </c>
      <c r="D3470" t="s">
        <v>2433</v>
      </c>
      <c r="E3470">
        <v>4.7830000000000004</v>
      </c>
      <c r="F3470" s="2">
        <v>47469</v>
      </c>
      <c r="G3470" s="2" t="s">
        <v>101</v>
      </c>
      <c r="H3470" t="s">
        <v>610</v>
      </c>
      <c r="I3470" t="s">
        <v>713</v>
      </c>
      <c r="J3470">
        <v>99.632000000000005</v>
      </c>
      <c r="K3470">
        <v>99.843000000000004</v>
      </c>
      <c r="L3470">
        <v>4.8689999999999998</v>
      </c>
      <c r="M3470">
        <v>4.819</v>
      </c>
      <c r="N3470">
        <v>4.819</v>
      </c>
      <c r="O3470" t="s">
        <v>101</v>
      </c>
      <c r="P3470" t="s">
        <v>1702</v>
      </c>
      <c r="Q3470" t="s">
        <v>2454</v>
      </c>
      <c r="R3470" t="s">
        <v>2436</v>
      </c>
    </row>
    <row r="3471" spans="1:18" x14ac:dyDescent="0.5">
      <c r="A3471" t="str">
        <f>"91159XBG9"</f>
        <v>91159XBG9</v>
      </c>
      <c r="B3471" t="s">
        <v>101</v>
      </c>
      <c r="C3471" t="s">
        <v>4335</v>
      </c>
      <c r="D3471" t="s">
        <v>2433</v>
      </c>
      <c r="E3471">
        <v>5.2</v>
      </c>
      <c r="F3471" s="2">
        <v>47478</v>
      </c>
      <c r="G3471" s="2">
        <v>46078</v>
      </c>
      <c r="H3471" t="s">
        <v>627</v>
      </c>
      <c r="I3471" t="s">
        <v>611</v>
      </c>
      <c r="J3471">
        <v>99.986999999999995</v>
      </c>
      <c r="K3471">
        <v>100.33199999999999</v>
      </c>
      <c r="L3471">
        <v>5.2030000000000003</v>
      </c>
      <c r="M3471">
        <v>4.8360000000000003</v>
      </c>
      <c r="N3471">
        <v>5.1219999999999999</v>
      </c>
      <c r="O3471" t="s">
        <v>101</v>
      </c>
      <c r="P3471" t="s">
        <v>2454</v>
      </c>
      <c r="Q3471" t="s">
        <v>2755</v>
      </c>
      <c r="R3471" t="s">
        <v>2726</v>
      </c>
    </row>
    <row r="3472" spans="1:18" x14ac:dyDescent="0.5">
      <c r="A3472" t="str">
        <f>"78014RFM7"</f>
        <v>78014RFM7</v>
      </c>
      <c r="B3472" t="s">
        <v>101</v>
      </c>
      <c r="C3472" t="s">
        <v>4336</v>
      </c>
      <c r="D3472" t="s">
        <v>2433</v>
      </c>
      <c r="E3472">
        <v>4.2699999999999996</v>
      </c>
      <c r="F3472" s="2">
        <v>47480</v>
      </c>
      <c r="G3472" s="2">
        <v>47115</v>
      </c>
      <c r="H3472" t="s">
        <v>641</v>
      </c>
      <c r="I3472" t="s">
        <v>611</v>
      </c>
      <c r="J3472">
        <v>96.641999999999996</v>
      </c>
      <c r="K3472">
        <v>98.25</v>
      </c>
      <c r="L3472">
        <v>5.0659999999999998</v>
      </c>
      <c r="M3472">
        <v>4.68</v>
      </c>
      <c r="N3472">
        <v>4.68</v>
      </c>
      <c r="O3472" t="s">
        <v>101</v>
      </c>
      <c r="P3472" t="s">
        <v>2595</v>
      </c>
      <c r="Q3472" t="s">
        <v>4337</v>
      </c>
      <c r="R3472" t="s">
        <v>2726</v>
      </c>
    </row>
    <row r="3473" spans="1:18" x14ac:dyDescent="0.5">
      <c r="A3473" t="str">
        <f>"14913UAX8"</f>
        <v>14913UAX8</v>
      </c>
      <c r="B3473" t="s">
        <v>101</v>
      </c>
      <c r="C3473" t="s">
        <v>4338</v>
      </c>
      <c r="D3473" t="s">
        <v>2433</v>
      </c>
      <c r="E3473">
        <v>4.8</v>
      </c>
      <c r="F3473" s="2">
        <v>47491</v>
      </c>
      <c r="G3473" s="2" t="s">
        <v>101</v>
      </c>
      <c r="H3473" t="s">
        <v>610</v>
      </c>
      <c r="I3473" t="s">
        <v>611</v>
      </c>
      <c r="J3473">
        <v>100.54600000000001</v>
      </c>
      <c r="K3473">
        <v>100.854</v>
      </c>
      <c r="L3473">
        <v>4.6710000000000003</v>
      </c>
      <c r="M3473">
        <v>4.5990000000000002</v>
      </c>
      <c r="N3473">
        <v>4.5990000000000002</v>
      </c>
      <c r="O3473" t="s">
        <v>101</v>
      </c>
      <c r="P3473" t="s">
        <v>2507</v>
      </c>
      <c r="Q3473" t="s">
        <v>4339</v>
      </c>
      <c r="R3473" t="s">
        <v>2436</v>
      </c>
    </row>
    <row r="3474" spans="1:18" x14ac:dyDescent="0.5">
      <c r="A3474" t="str">
        <f>"24422EVD8"</f>
        <v>24422EVD8</v>
      </c>
      <c r="B3474" t="s">
        <v>101</v>
      </c>
      <c r="C3474" t="s">
        <v>4340</v>
      </c>
      <c r="D3474" t="s">
        <v>2433</v>
      </c>
      <c r="E3474">
        <v>2.4500000000000002</v>
      </c>
      <c r="F3474" s="2">
        <v>47492</v>
      </c>
      <c r="G3474" s="2" t="s">
        <v>105</v>
      </c>
      <c r="H3474" t="s">
        <v>641</v>
      </c>
      <c r="I3474" t="s">
        <v>611</v>
      </c>
      <c r="J3474">
        <v>91.108000000000004</v>
      </c>
      <c r="K3474">
        <v>91.305999999999997</v>
      </c>
      <c r="L3474">
        <v>4.5209999999999999</v>
      </c>
      <c r="M3474">
        <v>4.4729999999999999</v>
      </c>
      <c r="N3474">
        <v>4.4729999999999999</v>
      </c>
      <c r="O3474" t="s">
        <v>101</v>
      </c>
      <c r="P3474" t="s">
        <v>2507</v>
      </c>
      <c r="Q3474" t="s">
        <v>3075</v>
      </c>
      <c r="R3474" t="s">
        <v>2465</v>
      </c>
    </row>
    <row r="3475" spans="1:18" x14ac:dyDescent="0.5">
      <c r="A3475" t="str">
        <f>"89236TNA9"</f>
        <v>89236TNA9</v>
      </c>
      <c r="B3475" t="s">
        <v>101</v>
      </c>
      <c r="C3475" t="s">
        <v>4341</v>
      </c>
      <c r="D3475" t="s">
        <v>2433</v>
      </c>
      <c r="E3475">
        <v>4.95</v>
      </c>
      <c r="F3475" s="2">
        <v>47492</v>
      </c>
      <c r="G3475" s="2" t="s">
        <v>101</v>
      </c>
      <c r="H3475" t="s">
        <v>641</v>
      </c>
      <c r="I3475" t="s">
        <v>658</v>
      </c>
      <c r="J3475">
        <v>101.033</v>
      </c>
      <c r="K3475">
        <v>101.19</v>
      </c>
      <c r="L3475">
        <v>4.7069999999999999</v>
      </c>
      <c r="M3475">
        <v>4.67</v>
      </c>
      <c r="N3475">
        <v>4.67</v>
      </c>
      <c r="O3475" t="s">
        <v>101</v>
      </c>
      <c r="P3475" t="s">
        <v>2776</v>
      </c>
      <c r="Q3475" t="s">
        <v>2581</v>
      </c>
      <c r="R3475" t="s">
        <v>2436</v>
      </c>
    </row>
    <row r="3476" spans="1:18" x14ac:dyDescent="0.5">
      <c r="A3476" t="str">
        <f>"44644MAJ0"</f>
        <v>44644MAJ0</v>
      </c>
      <c r="B3476" t="s">
        <v>101</v>
      </c>
      <c r="C3476" t="s">
        <v>4342</v>
      </c>
      <c r="D3476" t="s">
        <v>2433</v>
      </c>
      <c r="E3476">
        <v>5.65</v>
      </c>
      <c r="F3476" s="2">
        <v>47493</v>
      </c>
      <c r="G3476" s="2">
        <v>47432</v>
      </c>
      <c r="H3476" t="s">
        <v>627</v>
      </c>
      <c r="I3476" t="s">
        <v>713</v>
      </c>
      <c r="J3476">
        <v>102.56399999999999</v>
      </c>
      <c r="K3476">
        <v>102.777</v>
      </c>
      <c r="L3476">
        <v>5.0259999999999998</v>
      </c>
      <c r="M3476">
        <v>4.9749999999999996</v>
      </c>
      <c r="N3476">
        <v>4.9939999999999998</v>
      </c>
      <c r="O3476" t="s">
        <v>101</v>
      </c>
      <c r="P3476" t="s">
        <v>2564</v>
      </c>
      <c r="Q3476" t="s">
        <v>2564</v>
      </c>
      <c r="R3476" t="s">
        <v>2436</v>
      </c>
    </row>
    <row r="3477" spans="1:18" x14ac:dyDescent="0.5">
      <c r="A3477" t="str">
        <f>"89153VAT6"</f>
        <v>89153VAT6</v>
      </c>
      <c r="B3477" t="s">
        <v>101</v>
      </c>
      <c r="C3477" t="s">
        <v>4343</v>
      </c>
      <c r="D3477" t="s">
        <v>2433</v>
      </c>
      <c r="E3477">
        <v>2.8290000000000002</v>
      </c>
      <c r="F3477" s="2">
        <v>47493</v>
      </c>
      <c r="G3477" s="2">
        <v>47401</v>
      </c>
      <c r="H3477" t="s">
        <v>624</v>
      </c>
      <c r="I3477" t="s">
        <v>658</v>
      </c>
      <c r="J3477">
        <v>92.555999999999997</v>
      </c>
      <c r="K3477">
        <v>92.582999999999998</v>
      </c>
      <c r="L3477">
        <v>4.5640000000000001</v>
      </c>
      <c r="M3477">
        <v>4.5570000000000004</v>
      </c>
      <c r="N3477">
        <v>4.5570000000000004</v>
      </c>
      <c r="O3477" t="s">
        <v>101</v>
      </c>
      <c r="P3477" t="s">
        <v>4024</v>
      </c>
      <c r="Q3477" t="s">
        <v>2472</v>
      </c>
      <c r="R3477" t="s">
        <v>2436</v>
      </c>
    </row>
    <row r="3478" spans="1:18" x14ac:dyDescent="0.5">
      <c r="A3478" t="str">
        <f>"86562MCW8"</f>
        <v>86562MCW8</v>
      </c>
      <c r="B3478" t="s">
        <v>101</v>
      </c>
      <c r="C3478" t="s">
        <v>4344</v>
      </c>
      <c r="D3478" t="s">
        <v>2433</v>
      </c>
      <c r="E3478">
        <v>5.71</v>
      </c>
      <c r="F3478" s="2">
        <v>47496</v>
      </c>
      <c r="G3478" s="2" t="s">
        <v>101</v>
      </c>
      <c r="H3478" t="s">
        <v>641</v>
      </c>
      <c r="I3478" t="s">
        <v>713</v>
      </c>
      <c r="J3478">
        <v>103.321</v>
      </c>
      <c r="K3478">
        <v>103.595</v>
      </c>
      <c r="L3478">
        <v>4.9260000000000002</v>
      </c>
      <c r="M3478">
        <v>4.8650000000000002</v>
      </c>
      <c r="N3478">
        <v>4.8650000000000002</v>
      </c>
      <c r="O3478" t="s">
        <v>101</v>
      </c>
      <c r="P3478" t="s">
        <v>2687</v>
      </c>
      <c r="Q3478" t="s">
        <v>542</v>
      </c>
      <c r="R3478" t="s">
        <v>2436</v>
      </c>
    </row>
    <row r="3479" spans="1:18" x14ac:dyDescent="0.5">
      <c r="A3479" t="str">
        <f>"47215PAE6"</f>
        <v>47215PAE6</v>
      </c>
      <c r="B3479" t="s">
        <v>101</v>
      </c>
      <c r="C3479" t="s">
        <v>4345</v>
      </c>
      <c r="D3479" t="s">
        <v>2433</v>
      </c>
      <c r="E3479">
        <v>3.375</v>
      </c>
      <c r="F3479" s="2">
        <v>47497</v>
      </c>
      <c r="G3479" s="2">
        <v>47405</v>
      </c>
      <c r="H3479" t="s">
        <v>627</v>
      </c>
      <c r="I3479" t="s">
        <v>713</v>
      </c>
      <c r="J3479">
        <v>94.174999999999997</v>
      </c>
      <c r="K3479">
        <v>94.436000000000007</v>
      </c>
      <c r="L3479">
        <v>4.7350000000000003</v>
      </c>
      <c r="M3479">
        <v>4.6719999999999997</v>
      </c>
      <c r="N3479">
        <v>4.6719999999999997</v>
      </c>
      <c r="O3479" t="s">
        <v>101</v>
      </c>
      <c r="P3479" t="s">
        <v>542</v>
      </c>
      <c r="Q3479" t="s">
        <v>542</v>
      </c>
      <c r="R3479" t="s">
        <v>2436</v>
      </c>
    </row>
    <row r="3480" spans="1:18" x14ac:dyDescent="0.5">
      <c r="A3480" t="str">
        <f>"207597ET8"</f>
        <v>207597ET8</v>
      </c>
      <c r="B3480" t="s">
        <v>101</v>
      </c>
      <c r="C3480" t="s">
        <v>4346</v>
      </c>
      <c r="D3480" t="s">
        <v>2433</v>
      </c>
      <c r="E3480">
        <v>4.95</v>
      </c>
      <c r="F3480" s="2">
        <v>47498</v>
      </c>
      <c r="G3480" s="2">
        <v>47467</v>
      </c>
      <c r="H3480" t="s">
        <v>641</v>
      </c>
      <c r="I3480" t="s">
        <v>611</v>
      </c>
      <c r="J3480">
        <v>100.64400000000001</v>
      </c>
      <c r="K3480">
        <v>101.029</v>
      </c>
      <c r="L3480">
        <v>4.7960000000000003</v>
      </c>
      <c r="M3480">
        <v>4.7050000000000001</v>
      </c>
      <c r="N3480">
        <v>4.7080000000000002</v>
      </c>
      <c r="O3480" t="s">
        <v>101</v>
      </c>
      <c r="P3480" t="s">
        <v>2454</v>
      </c>
      <c r="Q3480" t="s">
        <v>3241</v>
      </c>
      <c r="R3480" t="s">
        <v>2436</v>
      </c>
    </row>
    <row r="3481" spans="1:18" x14ac:dyDescent="0.5">
      <c r="A3481" t="str">
        <f>"20826FBJ4"</f>
        <v>20826FBJ4</v>
      </c>
      <c r="B3481" t="s">
        <v>101</v>
      </c>
      <c r="C3481" t="s">
        <v>4347</v>
      </c>
      <c r="D3481" t="s">
        <v>2433</v>
      </c>
      <c r="E3481">
        <v>4.7</v>
      </c>
      <c r="F3481" s="2">
        <v>47498</v>
      </c>
      <c r="G3481" s="2">
        <v>47467</v>
      </c>
      <c r="H3481" t="s">
        <v>610</v>
      </c>
      <c r="I3481" t="s">
        <v>713</v>
      </c>
      <c r="J3481">
        <v>100.072</v>
      </c>
      <c r="K3481">
        <v>100.10899999999999</v>
      </c>
      <c r="L3481">
        <v>4.68</v>
      </c>
      <c r="M3481">
        <v>4.6710000000000003</v>
      </c>
      <c r="N3481">
        <v>4.6710000000000003</v>
      </c>
      <c r="O3481" t="s">
        <v>101</v>
      </c>
      <c r="P3481" t="s">
        <v>2447</v>
      </c>
      <c r="Q3481" t="s">
        <v>2454</v>
      </c>
      <c r="R3481" t="s">
        <v>2436</v>
      </c>
    </row>
    <row r="3482" spans="1:18" x14ac:dyDescent="0.5">
      <c r="A3482" t="str">
        <f>"210518DX1"</f>
        <v>210518DX1</v>
      </c>
      <c r="B3482" t="s">
        <v>101</v>
      </c>
      <c r="C3482" t="s">
        <v>4348</v>
      </c>
      <c r="D3482" t="s">
        <v>2433</v>
      </c>
      <c r="E3482">
        <v>4.7</v>
      </c>
      <c r="F3482" s="2">
        <v>47498</v>
      </c>
      <c r="G3482" s="2">
        <v>47437</v>
      </c>
      <c r="H3482" t="s">
        <v>641</v>
      </c>
      <c r="I3482" t="s">
        <v>611</v>
      </c>
      <c r="J3482">
        <v>99.766999999999996</v>
      </c>
      <c r="K3482">
        <v>99.986000000000004</v>
      </c>
      <c r="L3482">
        <v>4.7530000000000001</v>
      </c>
      <c r="M3482">
        <v>4.702</v>
      </c>
      <c r="N3482">
        <v>4.702</v>
      </c>
      <c r="O3482" t="s">
        <v>101</v>
      </c>
      <c r="P3482" t="s">
        <v>2255</v>
      </c>
      <c r="Q3482" t="s">
        <v>2581</v>
      </c>
      <c r="R3482" t="s">
        <v>2436</v>
      </c>
    </row>
    <row r="3483" spans="1:18" x14ac:dyDescent="0.5">
      <c r="A3483" t="str">
        <f>"46513JXM8"</f>
        <v>46513JXM8</v>
      </c>
      <c r="B3483" t="s">
        <v>101</v>
      </c>
      <c r="C3483" t="s">
        <v>4349</v>
      </c>
      <c r="D3483" t="s">
        <v>2433</v>
      </c>
      <c r="E3483">
        <v>2.5</v>
      </c>
      <c r="F3483" s="2">
        <v>47498</v>
      </c>
      <c r="G3483" s="2" t="s">
        <v>105</v>
      </c>
      <c r="H3483" t="s">
        <v>670</v>
      </c>
      <c r="I3483" t="s">
        <v>611</v>
      </c>
      <c r="J3483">
        <v>80.2</v>
      </c>
      <c r="K3483">
        <v>88.938999999999993</v>
      </c>
      <c r="L3483">
        <v>7.444</v>
      </c>
      <c r="M3483">
        <v>5.1070000000000002</v>
      </c>
      <c r="N3483">
        <v>5.1070000000000002</v>
      </c>
      <c r="O3483" t="s">
        <v>101</v>
      </c>
      <c r="P3483" t="s">
        <v>542</v>
      </c>
      <c r="Q3483" t="s">
        <v>2688</v>
      </c>
      <c r="R3483" t="s">
        <v>2465</v>
      </c>
    </row>
    <row r="3484" spans="1:18" x14ac:dyDescent="0.5">
      <c r="A3484" t="str">
        <f>"63743FQ33"</f>
        <v>63743FQ33</v>
      </c>
      <c r="B3484" t="s">
        <v>101</v>
      </c>
      <c r="C3484" t="s">
        <v>4350</v>
      </c>
      <c r="D3484" t="s">
        <v>2433</v>
      </c>
      <c r="E3484">
        <v>2.1</v>
      </c>
      <c r="F3484" s="2">
        <v>47498</v>
      </c>
      <c r="G3484" s="2">
        <v>45731</v>
      </c>
      <c r="H3484" t="s">
        <v>610</v>
      </c>
      <c r="I3484" t="s">
        <v>713</v>
      </c>
      <c r="J3484">
        <v>87.239000000000004</v>
      </c>
      <c r="K3484">
        <v>90.194999999999993</v>
      </c>
      <c r="L3484">
        <v>5.0780000000000003</v>
      </c>
      <c r="M3484">
        <v>4.3490000000000002</v>
      </c>
      <c r="N3484">
        <v>4.3490000000000002</v>
      </c>
      <c r="O3484" t="s">
        <v>101</v>
      </c>
      <c r="P3484" t="s">
        <v>2438</v>
      </c>
      <c r="Q3484" t="s">
        <v>2489</v>
      </c>
      <c r="R3484" t="s">
        <v>3643</v>
      </c>
    </row>
    <row r="3485" spans="1:18" x14ac:dyDescent="0.5">
      <c r="A3485" t="str">
        <f>"63743FVJ2"</f>
        <v>63743FVJ2</v>
      </c>
      <c r="B3485" t="s">
        <v>101</v>
      </c>
      <c r="C3485" t="s">
        <v>4351</v>
      </c>
      <c r="D3485" t="s">
        <v>2433</v>
      </c>
      <c r="E3485">
        <v>3.5</v>
      </c>
      <c r="F3485" s="2">
        <v>47498</v>
      </c>
      <c r="G3485" s="2" t="s">
        <v>105</v>
      </c>
      <c r="H3485" t="s">
        <v>610</v>
      </c>
      <c r="I3485" t="s">
        <v>713</v>
      </c>
      <c r="J3485">
        <v>93.546000000000006</v>
      </c>
      <c r="K3485">
        <v>95.602999999999994</v>
      </c>
      <c r="L3485">
        <v>5.0039999999999996</v>
      </c>
      <c r="M3485">
        <v>4.5129999999999999</v>
      </c>
      <c r="N3485">
        <v>4.5129999999999999</v>
      </c>
      <c r="O3485" t="s">
        <v>101</v>
      </c>
      <c r="P3485" t="s">
        <v>1236</v>
      </c>
      <c r="Q3485" t="s">
        <v>2489</v>
      </c>
      <c r="R3485" t="s">
        <v>2610</v>
      </c>
    </row>
    <row r="3486" spans="1:18" x14ac:dyDescent="0.5">
      <c r="A3486" t="str">
        <f>"74456QCB0"</f>
        <v>74456QCB0</v>
      </c>
      <c r="B3486" t="s">
        <v>101</v>
      </c>
      <c r="C3486" t="s">
        <v>4352</v>
      </c>
      <c r="D3486" t="s">
        <v>2433</v>
      </c>
      <c r="E3486">
        <v>2.4500000000000002</v>
      </c>
      <c r="F3486" s="2">
        <v>47498</v>
      </c>
      <c r="G3486" s="2">
        <v>47406</v>
      </c>
      <c r="H3486" t="s">
        <v>641</v>
      </c>
      <c r="I3486" t="s">
        <v>611</v>
      </c>
      <c r="J3486">
        <v>90.438999999999993</v>
      </c>
      <c r="K3486">
        <v>90.896000000000001</v>
      </c>
      <c r="L3486">
        <v>4.6790000000000003</v>
      </c>
      <c r="M3486">
        <v>4.5659999999999998</v>
      </c>
      <c r="N3486">
        <v>4.5659999999999998</v>
      </c>
      <c r="O3486" t="s">
        <v>101</v>
      </c>
      <c r="P3486" t="s">
        <v>3884</v>
      </c>
      <c r="Q3486" t="s">
        <v>2454</v>
      </c>
      <c r="R3486" t="s">
        <v>2436</v>
      </c>
    </row>
    <row r="3487" spans="1:18" x14ac:dyDescent="0.5">
      <c r="A3487" t="str">
        <f>"756109CC6"</f>
        <v>756109CC6</v>
      </c>
      <c r="B3487" t="s">
        <v>101</v>
      </c>
      <c r="C3487" t="s">
        <v>4353</v>
      </c>
      <c r="D3487" t="s">
        <v>2433</v>
      </c>
      <c r="E3487">
        <v>3.4</v>
      </c>
      <c r="F3487" s="2">
        <v>47498</v>
      </c>
      <c r="G3487" s="2">
        <v>47406</v>
      </c>
      <c r="H3487" t="s">
        <v>627</v>
      </c>
      <c r="I3487" t="s">
        <v>713</v>
      </c>
      <c r="J3487">
        <v>93.573999999999998</v>
      </c>
      <c r="K3487">
        <v>93.841999999999999</v>
      </c>
      <c r="L3487">
        <v>4.9059999999999997</v>
      </c>
      <c r="M3487">
        <v>4.8410000000000002</v>
      </c>
      <c r="N3487">
        <v>4.8410000000000002</v>
      </c>
      <c r="O3487" t="s">
        <v>101</v>
      </c>
      <c r="P3487" t="s">
        <v>1999</v>
      </c>
      <c r="Q3487" t="s">
        <v>2441</v>
      </c>
      <c r="R3487" t="s">
        <v>2436</v>
      </c>
    </row>
    <row r="3488" spans="1:18" x14ac:dyDescent="0.5">
      <c r="A3488" t="str">
        <f>"86562MBW9"</f>
        <v>86562MBW9</v>
      </c>
      <c r="B3488" t="s">
        <v>101</v>
      </c>
      <c r="C3488" t="s">
        <v>4354</v>
      </c>
      <c r="D3488" t="s">
        <v>2433</v>
      </c>
      <c r="E3488">
        <v>2.75</v>
      </c>
      <c r="F3488" s="2">
        <v>47498</v>
      </c>
      <c r="G3488" s="2" t="s">
        <v>101</v>
      </c>
      <c r="H3488" t="s">
        <v>641</v>
      </c>
      <c r="I3488" t="s">
        <v>713</v>
      </c>
      <c r="J3488">
        <v>90.912000000000006</v>
      </c>
      <c r="K3488">
        <v>91.14</v>
      </c>
      <c r="L3488">
        <v>4.8789999999999996</v>
      </c>
      <c r="M3488">
        <v>4.8230000000000004</v>
      </c>
      <c r="N3488">
        <v>4.8230000000000004</v>
      </c>
      <c r="O3488" t="s">
        <v>101</v>
      </c>
      <c r="P3488" t="s">
        <v>2566</v>
      </c>
      <c r="Q3488" t="s">
        <v>542</v>
      </c>
      <c r="R3488" t="s">
        <v>2436</v>
      </c>
    </row>
    <row r="3489" spans="1:18" x14ac:dyDescent="0.5">
      <c r="A3489" t="str">
        <f>"91324PFG2"</f>
        <v>91324PFG2</v>
      </c>
      <c r="B3489" t="s">
        <v>101</v>
      </c>
      <c r="C3489" t="s">
        <v>4355</v>
      </c>
      <c r="D3489" t="s">
        <v>2433</v>
      </c>
      <c r="E3489">
        <v>4.8</v>
      </c>
      <c r="F3489" s="2">
        <v>47498</v>
      </c>
      <c r="G3489" s="2">
        <v>47467</v>
      </c>
      <c r="H3489" t="s">
        <v>610</v>
      </c>
      <c r="I3489" t="s">
        <v>658</v>
      </c>
      <c r="J3489">
        <v>100.458</v>
      </c>
      <c r="K3489">
        <v>100.65</v>
      </c>
      <c r="L3489">
        <v>4.6909999999999998</v>
      </c>
      <c r="M3489">
        <v>4.6449999999999996</v>
      </c>
      <c r="N3489">
        <v>4.6470000000000002</v>
      </c>
      <c r="O3489" t="s">
        <v>101</v>
      </c>
      <c r="P3489" t="s">
        <v>1702</v>
      </c>
      <c r="Q3489" t="s">
        <v>2454</v>
      </c>
      <c r="R3489" t="s">
        <v>2726</v>
      </c>
    </row>
    <row r="3490" spans="1:18" x14ac:dyDescent="0.5">
      <c r="A3490" t="str">
        <f>"961214EL3"</f>
        <v>961214EL3</v>
      </c>
      <c r="B3490" t="s">
        <v>101</v>
      </c>
      <c r="C3490" t="s">
        <v>4356</v>
      </c>
      <c r="D3490" t="s">
        <v>2433</v>
      </c>
      <c r="E3490">
        <v>2.65</v>
      </c>
      <c r="F3490" s="2">
        <v>47499</v>
      </c>
      <c r="G3490" s="2" t="s">
        <v>101</v>
      </c>
      <c r="H3490" t="s">
        <v>613</v>
      </c>
      <c r="I3490" t="s">
        <v>616</v>
      </c>
      <c r="J3490">
        <v>91.584999999999994</v>
      </c>
      <c r="K3490">
        <v>91.98</v>
      </c>
      <c r="L3490">
        <v>4.6070000000000002</v>
      </c>
      <c r="M3490">
        <v>4.5110000000000001</v>
      </c>
      <c r="N3490">
        <v>4.5110000000000001</v>
      </c>
      <c r="O3490" t="s">
        <v>101</v>
      </c>
      <c r="P3490" t="s">
        <v>4357</v>
      </c>
      <c r="Q3490" t="s">
        <v>3241</v>
      </c>
      <c r="R3490" t="s">
        <v>2436</v>
      </c>
    </row>
    <row r="3491" spans="1:18" x14ac:dyDescent="0.5">
      <c r="A3491" t="str">
        <f>"00724PAJ8"</f>
        <v>00724PAJ8</v>
      </c>
      <c r="B3491" t="s">
        <v>101</v>
      </c>
      <c r="C3491" t="s">
        <v>4358</v>
      </c>
      <c r="D3491" t="s">
        <v>2433</v>
      </c>
      <c r="E3491">
        <v>4.95</v>
      </c>
      <c r="F3491" s="2">
        <v>47500</v>
      </c>
      <c r="G3491" s="2">
        <v>47469</v>
      </c>
      <c r="H3491" t="s">
        <v>641</v>
      </c>
      <c r="I3491" t="s">
        <v>658</v>
      </c>
      <c r="J3491">
        <v>101.751</v>
      </c>
      <c r="K3491">
        <v>102.129</v>
      </c>
      <c r="L3491">
        <v>4.5369999999999999</v>
      </c>
      <c r="M3491">
        <v>4.4489999999999998</v>
      </c>
      <c r="N3491">
        <v>4.4550000000000001</v>
      </c>
      <c r="O3491" t="s">
        <v>101</v>
      </c>
      <c r="P3491" t="s">
        <v>2472</v>
      </c>
      <c r="Q3491" t="s">
        <v>2940</v>
      </c>
      <c r="R3491" t="s">
        <v>2436</v>
      </c>
    </row>
    <row r="3492" spans="1:18" x14ac:dyDescent="0.5">
      <c r="A3492" t="str">
        <f>"05964HBJ3"</f>
        <v>05964HBJ3</v>
      </c>
      <c r="B3492" t="s">
        <v>101</v>
      </c>
      <c r="C3492" t="s">
        <v>4359</v>
      </c>
      <c r="D3492" t="s">
        <v>2433</v>
      </c>
      <c r="E3492">
        <v>5.5650000000000004</v>
      </c>
      <c r="F3492" s="2">
        <v>47500</v>
      </c>
      <c r="G3492" s="2" t="s">
        <v>101</v>
      </c>
      <c r="H3492" t="s">
        <v>670</v>
      </c>
      <c r="I3492" t="s">
        <v>713</v>
      </c>
      <c r="J3492">
        <v>102.06100000000001</v>
      </c>
      <c r="K3492">
        <v>102.396</v>
      </c>
      <c r="L3492">
        <v>5.0780000000000003</v>
      </c>
      <c r="M3492">
        <v>5.0010000000000003</v>
      </c>
      <c r="N3492">
        <v>5.0010000000000003</v>
      </c>
      <c r="O3492" t="s">
        <v>101</v>
      </c>
      <c r="P3492" t="s">
        <v>4152</v>
      </c>
      <c r="Q3492" t="s">
        <v>2687</v>
      </c>
      <c r="R3492" t="s">
        <v>2436</v>
      </c>
    </row>
    <row r="3493" spans="1:18" x14ac:dyDescent="0.5">
      <c r="A3493" t="str">
        <f>"693475AZ8"</f>
        <v>693475AZ8</v>
      </c>
      <c r="B3493" t="s">
        <v>101</v>
      </c>
      <c r="C3493" t="s">
        <v>4360</v>
      </c>
      <c r="D3493" t="s">
        <v>2433</v>
      </c>
      <c r="E3493">
        <v>2.5499999999999998</v>
      </c>
      <c r="F3493" s="2">
        <v>47505</v>
      </c>
      <c r="G3493" s="2">
        <v>47415</v>
      </c>
      <c r="H3493" t="s">
        <v>627</v>
      </c>
      <c r="I3493" t="s">
        <v>713</v>
      </c>
      <c r="J3493">
        <v>90.15</v>
      </c>
      <c r="K3493">
        <v>90.18</v>
      </c>
      <c r="L3493">
        <v>4.8479999999999999</v>
      </c>
      <c r="M3493">
        <v>4.8410000000000002</v>
      </c>
      <c r="N3493">
        <v>4.8410000000000002</v>
      </c>
      <c r="O3493" t="s">
        <v>101</v>
      </c>
      <c r="P3493" t="s">
        <v>554</v>
      </c>
      <c r="Q3493" t="s">
        <v>2454</v>
      </c>
      <c r="R3493" t="s">
        <v>2436</v>
      </c>
    </row>
    <row r="3494" spans="1:18" x14ac:dyDescent="0.5">
      <c r="A3494" t="str">
        <f>"045167ER0"</f>
        <v>045167ER0</v>
      </c>
      <c r="B3494" t="s">
        <v>101</v>
      </c>
      <c r="C3494" t="s">
        <v>4361</v>
      </c>
      <c r="D3494" t="s">
        <v>2433</v>
      </c>
      <c r="E3494">
        <v>1.875</v>
      </c>
      <c r="F3494" s="2">
        <v>47507</v>
      </c>
      <c r="G3494" s="2" t="s">
        <v>105</v>
      </c>
      <c r="H3494" t="s">
        <v>104</v>
      </c>
      <c r="I3494" t="s">
        <v>104</v>
      </c>
      <c r="J3494">
        <v>89.575000000000003</v>
      </c>
      <c r="K3494">
        <v>90.668000000000006</v>
      </c>
      <c r="L3494">
        <v>4.2699999999999996</v>
      </c>
      <c r="M3494">
        <v>4.0039999999999996</v>
      </c>
      <c r="N3494">
        <v>4.0039999999999996</v>
      </c>
      <c r="O3494" t="s">
        <v>101</v>
      </c>
      <c r="P3494" t="s">
        <v>2618</v>
      </c>
      <c r="Q3494" t="s">
        <v>2618</v>
      </c>
      <c r="R3494" t="s">
        <v>2713</v>
      </c>
    </row>
    <row r="3495" spans="1:18" x14ac:dyDescent="0.5">
      <c r="A3495" t="str">
        <f>"676167CP2"</f>
        <v>676167CP2</v>
      </c>
      <c r="B3495" t="s">
        <v>101</v>
      </c>
      <c r="C3495" t="s">
        <v>4362</v>
      </c>
      <c r="D3495" t="s">
        <v>2433</v>
      </c>
      <c r="E3495">
        <v>4.5</v>
      </c>
      <c r="F3495" s="2">
        <v>47507</v>
      </c>
      <c r="G3495" s="2" t="s">
        <v>105</v>
      </c>
      <c r="H3495" t="s">
        <v>540</v>
      </c>
      <c r="I3495" t="s">
        <v>509</v>
      </c>
      <c r="J3495">
        <v>101.27</v>
      </c>
      <c r="K3495">
        <v>102.136</v>
      </c>
      <c r="L3495">
        <v>4.2080000000000002</v>
      </c>
      <c r="M3495">
        <v>4.0110000000000001</v>
      </c>
      <c r="N3495">
        <v>4.0110000000000001</v>
      </c>
      <c r="O3495" t="s">
        <v>101</v>
      </c>
      <c r="P3495" t="s">
        <v>4229</v>
      </c>
      <c r="Q3495" t="s">
        <v>2618</v>
      </c>
      <c r="R3495" t="s">
        <v>2713</v>
      </c>
    </row>
    <row r="3496" spans="1:18" x14ac:dyDescent="0.5">
      <c r="A3496" t="str">
        <f>"857477BG7"</f>
        <v>857477BG7</v>
      </c>
      <c r="B3496" t="s">
        <v>101</v>
      </c>
      <c r="C3496" t="s">
        <v>4363</v>
      </c>
      <c r="D3496" t="s">
        <v>2433</v>
      </c>
      <c r="E3496">
        <v>2.4</v>
      </c>
      <c r="F3496" s="2">
        <v>47507</v>
      </c>
      <c r="G3496" s="2" t="s">
        <v>105</v>
      </c>
      <c r="H3496" t="s">
        <v>624</v>
      </c>
      <c r="I3496" t="s">
        <v>611</v>
      </c>
      <c r="J3496">
        <v>90.516999999999996</v>
      </c>
      <c r="K3496">
        <v>90.671999999999997</v>
      </c>
      <c r="L3496">
        <v>4.5960000000000001</v>
      </c>
      <c r="M3496">
        <v>4.5579999999999998</v>
      </c>
      <c r="N3496">
        <v>4.5579999999999998</v>
      </c>
      <c r="O3496" t="s">
        <v>101</v>
      </c>
      <c r="P3496" t="s">
        <v>3920</v>
      </c>
      <c r="Q3496" t="s">
        <v>2454</v>
      </c>
      <c r="R3496" t="s">
        <v>2465</v>
      </c>
    </row>
    <row r="3497" spans="1:18" x14ac:dyDescent="0.5">
      <c r="A3497" t="str">
        <f>"13607XVD6"</f>
        <v>13607XVD6</v>
      </c>
      <c r="B3497" t="s">
        <v>101</v>
      </c>
      <c r="C3497" t="s">
        <v>4364</v>
      </c>
      <c r="D3497" t="s">
        <v>2433</v>
      </c>
      <c r="E3497">
        <v>5.25</v>
      </c>
      <c r="F3497" s="2">
        <v>47513</v>
      </c>
      <c r="G3497" s="2">
        <v>46052</v>
      </c>
      <c r="H3497" t="s">
        <v>610</v>
      </c>
      <c r="I3497" t="s">
        <v>713</v>
      </c>
      <c r="J3497">
        <v>100.032</v>
      </c>
      <c r="K3497">
        <v>100.379</v>
      </c>
      <c r="L3497">
        <v>5.2050000000000001</v>
      </c>
      <c r="M3497">
        <v>4.8</v>
      </c>
      <c r="N3497">
        <v>5.16</v>
      </c>
      <c r="O3497" t="s">
        <v>101</v>
      </c>
      <c r="P3497" t="s">
        <v>663</v>
      </c>
      <c r="Q3497" t="s">
        <v>4365</v>
      </c>
      <c r="R3497" t="s">
        <v>2439</v>
      </c>
    </row>
    <row r="3498" spans="1:18" x14ac:dyDescent="0.5">
      <c r="A3498" t="str">
        <f>"29379VBX0"</f>
        <v>29379VBX0</v>
      </c>
      <c r="B3498" t="s">
        <v>101</v>
      </c>
      <c r="C3498" t="s">
        <v>4366</v>
      </c>
      <c r="D3498" t="s">
        <v>2433</v>
      </c>
      <c r="E3498">
        <v>2.8</v>
      </c>
      <c r="F3498" s="2">
        <v>47514</v>
      </c>
      <c r="G3498" s="2">
        <v>47422</v>
      </c>
      <c r="H3498" t="s">
        <v>627</v>
      </c>
      <c r="I3498" t="s">
        <v>713</v>
      </c>
      <c r="J3498">
        <v>91.668999999999997</v>
      </c>
      <c r="K3498">
        <v>91.748999999999995</v>
      </c>
      <c r="L3498">
        <v>4.7300000000000004</v>
      </c>
      <c r="M3498">
        <v>4.71</v>
      </c>
      <c r="N3498">
        <v>4.71</v>
      </c>
      <c r="O3498" t="s">
        <v>101</v>
      </c>
      <c r="P3498" t="s">
        <v>2506</v>
      </c>
      <c r="Q3498" t="s">
        <v>2507</v>
      </c>
      <c r="R3498" t="s">
        <v>2436</v>
      </c>
    </row>
    <row r="3499" spans="1:18" x14ac:dyDescent="0.5">
      <c r="A3499" t="str">
        <f>"48135NSN7"</f>
        <v>48135NSN7</v>
      </c>
      <c r="B3499" t="s">
        <v>101</v>
      </c>
      <c r="C3499" t="s">
        <v>4367</v>
      </c>
      <c r="D3499" t="s">
        <v>2433</v>
      </c>
      <c r="E3499">
        <v>5.0999999999999996</v>
      </c>
      <c r="F3499" s="2">
        <v>47514</v>
      </c>
      <c r="G3499" s="2">
        <v>46053</v>
      </c>
      <c r="H3499" t="s">
        <v>641</v>
      </c>
      <c r="I3499" t="s">
        <v>611</v>
      </c>
      <c r="J3499">
        <v>99.545000000000002</v>
      </c>
      <c r="K3499">
        <v>100.46599999999999</v>
      </c>
      <c r="L3499">
        <v>5.202</v>
      </c>
      <c r="M3499">
        <v>4.55</v>
      </c>
      <c r="N3499">
        <v>4.99</v>
      </c>
      <c r="O3499" t="s">
        <v>101</v>
      </c>
      <c r="P3499" t="s">
        <v>2438</v>
      </c>
      <c r="Q3499" t="s">
        <v>2736</v>
      </c>
      <c r="R3499" t="s">
        <v>2726</v>
      </c>
    </row>
    <row r="3500" spans="1:18" x14ac:dyDescent="0.5">
      <c r="A3500" t="str">
        <f>"00724PAD1"</f>
        <v>00724PAD1</v>
      </c>
      <c r="B3500" t="s">
        <v>101</v>
      </c>
      <c r="C3500" t="s">
        <v>4368</v>
      </c>
      <c r="D3500" t="s">
        <v>2433</v>
      </c>
      <c r="E3500">
        <v>2.2999999999999998</v>
      </c>
      <c r="F3500" s="2">
        <v>47515</v>
      </c>
      <c r="G3500" s="2">
        <v>47423</v>
      </c>
      <c r="H3500" t="s">
        <v>641</v>
      </c>
      <c r="I3500" t="s">
        <v>658</v>
      </c>
      <c r="J3500">
        <v>90.132000000000005</v>
      </c>
      <c r="K3500">
        <v>90.343999999999994</v>
      </c>
      <c r="L3500">
        <v>4.5759999999999996</v>
      </c>
      <c r="M3500">
        <v>4.524</v>
      </c>
      <c r="N3500">
        <v>4.524</v>
      </c>
      <c r="O3500" t="s">
        <v>101</v>
      </c>
      <c r="P3500" t="s">
        <v>2454</v>
      </c>
      <c r="Q3500" t="s">
        <v>2454</v>
      </c>
      <c r="R3500" t="s">
        <v>2436</v>
      </c>
    </row>
    <row r="3501" spans="1:18" x14ac:dyDescent="0.5">
      <c r="A3501" t="str">
        <f>"06417XAP6"</f>
        <v>06417XAP6</v>
      </c>
      <c r="B3501" t="s">
        <v>101</v>
      </c>
      <c r="C3501" t="s">
        <v>4369</v>
      </c>
      <c r="D3501" t="s">
        <v>2433</v>
      </c>
      <c r="E3501">
        <v>4.8499999999999996</v>
      </c>
      <c r="F3501" s="2">
        <v>47515</v>
      </c>
      <c r="G3501" s="2" t="s">
        <v>101</v>
      </c>
      <c r="H3501" t="s">
        <v>610</v>
      </c>
      <c r="I3501" t="s">
        <v>713</v>
      </c>
      <c r="J3501">
        <v>99.956999999999994</v>
      </c>
      <c r="K3501">
        <v>100.193</v>
      </c>
      <c r="L3501">
        <v>4.859</v>
      </c>
      <c r="M3501">
        <v>4.8040000000000003</v>
      </c>
      <c r="N3501">
        <v>4.8040000000000003</v>
      </c>
      <c r="O3501" t="s">
        <v>101</v>
      </c>
      <c r="P3501" t="s">
        <v>1702</v>
      </c>
      <c r="Q3501" t="s">
        <v>2940</v>
      </c>
      <c r="R3501" t="s">
        <v>2436</v>
      </c>
    </row>
    <row r="3502" spans="1:18" x14ac:dyDescent="0.5">
      <c r="A3502" t="str">
        <f>"20030NDA6"</f>
        <v>20030NDA6</v>
      </c>
      <c r="B3502" t="s">
        <v>101</v>
      </c>
      <c r="C3502" t="s">
        <v>4370</v>
      </c>
      <c r="D3502" t="s">
        <v>2433</v>
      </c>
      <c r="E3502">
        <v>2.65</v>
      </c>
      <c r="F3502" s="2">
        <v>47515</v>
      </c>
      <c r="G3502" s="2">
        <v>47423</v>
      </c>
      <c r="H3502" t="s">
        <v>627</v>
      </c>
      <c r="I3502" t="s">
        <v>713</v>
      </c>
      <c r="J3502">
        <v>90.768000000000001</v>
      </c>
      <c r="K3502">
        <v>90.97</v>
      </c>
      <c r="L3502">
        <v>4.7910000000000004</v>
      </c>
      <c r="M3502">
        <v>4.742</v>
      </c>
      <c r="N3502">
        <v>4.742</v>
      </c>
      <c r="O3502" t="s">
        <v>101</v>
      </c>
      <c r="P3502" t="s">
        <v>1702</v>
      </c>
      <c r="Q3502" t="s">
        <v>2454</v>
      </c>
      <c r="R3502" t="s">
        <v>2436</v>
      </c>
    </row>
    <row r="3503" spans="1:18" x14ac:dyDescent="0.5">
      <c r="A3503" t="str">
        <f>"26442CBA1"</f>
        <v>26442CBA1</v>
      </c>
      <c r="B3503" t="s">
        <v>101</v>
      </c>
      <c r="C3503" t="s">
        <v>4371</v>
      </c>
      <c r="D3503" t="s">
        <v>2433</v>
      </c>
      <c r="E3503">
        <v>2.4500000000000002</v>
      </c>
      <c r="F3503" s="2">
        <v>47515</v>
      </c>
      <c r="G3503" s="2">
        <v>47423</v>
      </c>
      <c r="H3503" t="s">
        <v>624</v>
      </c>
      <c r="I3503" t="s">
        <v>611</v>
      </c>
      <c r="J3503">
        <v>90.308999999999997</v>
      </c>
      <c r="K3503">
        <v>90.549000000000007</v>
      </c>
      <c r="L3503">
        <v>4.6920000000000002</v>
      </c>
      <c r="M3503">
        <v>4.633</v>
      </c>
      <c r="N3503">
        <v>4.633</v>
      </c>
      <c r="O3503" t="s">
        <v>101</v>
      </c>
      <c r="P3503" t="s">
        <v>1702</v>
      </c>
      <c r="Q3503" t="s">
        <v>1702</v>
      </c>
      <c r="R3503" t="s">
        <v>2436</v>
      </c>
    </row>
    <row r="3504" spans="1:18" x14ac:dyDescent="0.5">
      <c r="A3504" t="str">
        <f>"438516CY0"</f>
        <v>438516CY0</v>
      </c>
      <c r="B3504" t="s">
        <v>101</v>
      </c>
      <c r="C3504" t="s">
        <v>4372</v>
      </c>
      <c r="D3504" t="s">
        <v>2433</v>
      </c>
      <c r="E3504">
        <v>4.7</v>
      </c>
      <c r="F3504" s="2">
        <v>47515</v>
      </c>
      <c r="G3504" s="2">
        <v>47484</v>
      </c>
      <c r="H3504" t="s">
        <v>610</v>
      </c>
      <c r="I3504" t="s">
        <v>611</v>
      </c>
      <c r="J3504">
        <v>99.742999999999995</v>
      </c>
      <c r="K3504">
        <v>99.905000000000001</v>
      </c>
      <c r="L3504">
        <v>4.758</v>
      </c>
      <c r="M3504">
        <v>4.7210000000000001</v>
      </c>
      <c r="N3504">
        <v>4.7210000000000001</v>
      </c>
      <c r="O3504" t="s">
        <v>101</v>
      </c>
      <c r="P3504" t="s">
        <v>2581</v>
      </c>
      <c r="Q3504" t="s">
        <v>2454</v>
      </c>
      <c r="R3504" t="s">
        <v>2436</v>
      </c>
    </row>
    <row r="3505" spans="1:18" x14ac:dyDescent="0.5">
      <c r="A3505" t="str">
        <f>"842434CU4"</f>
        <v>842434CU4</v>
      </c>
      <c r="B3505" t="s">
        <v>101</v>
      </c>
      <c r="C3505" t="s">
        <v>4373</v>
      </c>
      <c r="D3505" t="s">
        <v>2433</v>
      </c>
      <c r="E3505">
        <v>2.5499999999999998</v>
      </c>
      <c r="F3505" s="2">
        <v>47515</v>
      </c>
      <c r="G3505" s="2">
        <v>47423</v>
      </c>
      <c r="H3505" t="s">
        <v>624</v>
      </c>
      <c r="I3505" t="s">
        <v>611</v>
      </c>
      <c r="J3505">
        <v>90.06</v>
      </c>
      <c r="K3505">
        <v>90.465999999999994</v>
      </c>
      <c r="L3505">
        <v>4.859</v>
      </c>
      <c r="M3505">
        <v>4.7590000000000003</v>
      </c>
      <c r="N3505">
        <v>4.7590000000000003</v>
      </c>
      <c r="O3505" t="s">
        <v>101</v>
      </c>
      <c r="P3505" t="s">
        <v>3939</v>
      </c>
      <c r="Q3505" t="s">
        <v>3206</v>
      </c>
      <c r="R3505" t="s">
        <v>2436</v>
      </c>
    </row>
    <row r="3506" spans="1:18" x14ac:dyDescent="0.5">
      <c r="A3506" t="str">
        <f>"902133BA4"</f>
        <v>902133BA4</v>
      </c>
      <c r="B3506" t="s">
        <v>101</v>
      </c>
      <c r="C3506" t="s">
        <v>4374</v>
      </c>
      <c r="D3506" t="s">
        <v>2433</v>
      </c>
      <c r="E3506">
        <v>4.625</v>
      </c>
      <c r="F3506" s="2">
        <v>47515</v>
      </c>
      <c r="G3506" s="2">
        <v>47484</v>
      </c>
      <c r="H3506" t="s">
        <v>627</v>
      </c>
      <c r="I3506" t="s">
        <v>713</v>
      </c>
      <c r="J3506">
        <v>99.513999999999996</v>
      </c>
      <c r="K3506">
        <v>99.658000000000001</v>
      </c>
      <c r="L3506">
        <v>4.7359999999999998</v>
      </c>
      <c r="M3506">
        <v>4.7030000000000003</v>
      </c>
      <c r="N3506">
        <v>4.7030000000000003</v>
      </c>
      <c r="O3506" t="s">
        <v>101</v>
      </c>
      <c r="P3506" t="s">
        <v>4375</v>
      </c>
      <c r="Q3506" t="s">
        <v>2438</v>
      </c>
      <c r="R3506" t="s">
        <v>2436</v>
      </c>
    </row>
    <row r="3507" spans="1:18" x14ac:dyDescent="0.5">
      <c r="A3507" t="str">
        <f>"500630EH7"</f>
        <v>500630EH7</v>
      </c>
      <c r="B3507" t="s">
        <v>101</v>
      </c>
      <c r="C3507" t="s">
        <v>4376</v>
      </c>
      <c r="D3507" t="s">
        <v>2433</v>
      </c>
      <c r="E3507">
        <v>4.875</v>
      </c>
      <c r="F3507" s="2">
        <v>47517</v>
      </c>
      <c r="G3507" s="2" t="s">
        <v>105</v>
      </c>
      <c r="H3507" t="s">
        <v>613</v>
      </c>
      <c r="I3507" t="s">
        <v>628</v>
      </c>
      <c r="J3507" t="s">
        <v>101</v>
      </c>
      <c r="K3507">
        <v>101.833</v>
      </c>
      <c r="L3507" t="s">
        <v>101</v>
      </c>
      <c r="M3507">
        <v>4.4530000000000003</v>
      </c>
      <c r="N3507">
        <v>4.4530000000000003</v>
      </c>
      <c r="O3507" t="s">
        <v>101</v>
      </c>
      <c r="P3507" t="s">
        <v>448</v>
      </c>
      <c r="Q3507" t="s">
        <v>542</v>
      </c>
      <c r="R3507" t="s">
        <v>2885</v>
      </c>
    </row>
    <row r="3508" spans="1:18" x14ac:dyDescent="0.5">
      <c r="A3508" t="str">
        <f>"907818FH6"</f>
        <v>907818FH6</v>
      </c>
      <c r="B3508" t="s">
        <v>101</v>
      </c>
      <c r="C3508" t="s">
        <v>4377</v>
      </c>
      <c r="D3508" t="s">
        <v>2433</v>
      </c>
      <c r="E3508">
        <v>2.4</v>
      </c>
      <c r="F3508" s="2">
        <v>47519</v>
      </c>
      <c r="G3508" s="2">
        <v>47427</v>
      </c>
      <c r="H3508" t="s">
        <v>627</v>
      </c>
      <c r="I3508" t="s">
        <v>713</v>
      </c>
      <c r="J3508">
        <v>90.146000000000001</v>
      </c>
      <c r="K3508">
        <v>90.296999999999997</v>
      </c>
      <c r="L3508">
        <v>4.6740000000000004</v>
      </c>
      <c r="M3508">
        <v>4.6369999999999996</v>
      </c>
      <c r="N3508">
        <v>4.6369999999999996</v>
      </c>
      <c r="O3508" t="s">
        <v>101</v>
      </c>
      <c r="P3508" t="s">
        <v>4378</v>
      </c>
      <c r="Q3508" t="s">
        <v>2460</v>
      </c>
      <c r="R3508" t="s">
        <v>2436</v>
      </c>
    </row>
    <row r="3509" spans="1:18" x14ac:dyDescent="0.5">
      <c r="A3509" t="str">
        <f>"06055JJQ3"</f>
        <v>06055JJQ3</v>
      </c>
      <c r="B3509" t="s">
        <v>101</v>
      </c>
      <c r="C3509" t="s">
        <v>4379</v>
      </c>
      <c r="D3509" t="s">
        <v>2433</v>
      </c>
      <c r="E3509">
        <v>5.15</v>
      </c>
      <c r="F3509" s="2">
        <v>47520</v>
      </c>
      <c r="G3509" s="2">
        <v>45875</v>
      </c>
      <c r="H3509" t="s">
        <v>641</v>
      </c>
      <c r="I3509" t="s">
        <v>713</v>
      </c>
      <c r="J3509">
        <v>99.54</v>
      </c>
      <c r="K3509">
        <v>100.25</v>
      </c>
      <c r="L3509">
        <v>5.2569999999999997</v>
      </c>
      <c r="M3509">
        <v>4.5179999999999998</v>
      </c>
      <c r="N3509">
        <v>5.0919999999999996</v>
      </c>
      <c r="O3509" t="s">
        <v>101</v>
      </c>
      <c r="P3509" t="s">
        <v>2595</v>
      </c>
      <c r="Q3509" t="s">
        <v>573</v>
      </c>
      <c r="R3509" t="s">
        <v>2726</v>
      </c>
    </row>
    <row r="3510" spans="1:18" x14ac:dyDescent="0.5">
      <c r="A3510" t="str">
        <f>"713448GB8"</f>
        <v>713448GB8</v>
      </c>
      <c r="B3510" t="s">
        <v>101</v>
      </c>
      <c r="C3510" t="s">
        <v>4380</v>
      </c>
      <c r="D3510" t="s">
        <v>2433</v>
      </c>
      <c r="E3510">
        <v>4.5999999999999996</v>
      </c>
      <c r="F3510" s="2">
        <v>47521</v>
      </c>
      <c r="G3510" s="2">
        <v>47490</v>
      </c>
      <c r="H3510" t="s">
        <v>641</v>
      </c>
      <c r="I3510" t="s">
        <v>658</v>
      </c>
      <c r="J3510">
        <v>100.155</v>
      </c>
      <c r="K3510">
        <v>100.364</v>
      </c>
      <c r="L3510">
        <v>4.5629999999999997</v>
      </c>
      <c r="M3510">
        <v>4.5149999999999997</v>
      </c>
      <c r="N3510">
        <v>4.5149999999999997</v>
      </c>
      <c r="O3510" t="s">
        <v>101</v>
      </c>
      <c r="P3510" t="s">
        <v>4381</v>
      </c>
      <c r="Q3510" t="s">
        <v>1599</v>
      </c>
      <c r="R3510" t="s">
        <v>2436</v>
      </c>
    </row>
    <row r="3511" spans="1:18" x14ac:dyDescent="0.5">
      <c r="A3511" t="str">
        <f>"459200LG4"</f>
        <v>459200LG4</v>
      </c>
      <c r="B3511" t="s">
        <v>101</v>
      </c>
      <c r="C3511" t="s">
        <v>4382</v>
      </c>
      <c r="D3511" t="s">
        <v>2433</v>
      </c>
      <c r="E3511">
        <v>4.8</v>
      </c>
      <c r="F3511" s="2">
        <v>47524</v>
      </c>
      <c r="G3511" s="2">
        <v>47493</v>
      </c>
      <c r="H3511" t="s">
        <v>627</v>
      </c>
      <c r="I3511" t="s">
        <v>713</v>
      </c>
      <c r="J3511">
        <v>99.927000000000007</v>
      </c>
      <c r="K3511">
        <v>100.212</v>
      </c>
      <c r="L3511">
        <v>4.8159999999999998</v>
      </c>
      <c r="M3511">
        <v>4.75</v>
      </c>
      <c r="N3511">
        <v>4.75</v>
      </c>
      <c r="O3511" t="s">
        <v>101</v>
      </c>
      <c r="P3511" t="s">
        <v>2988</v>
      </c>
      <c r="Q3511" t="s">
        <v>4383</v>
      </c>
      <c r="R3511" t="s">
        <v>2436</v>
      </c>
    </row>
    <row r="3512" spans="1:18" x14ac:dyDescent="0.5">
      <c r="A3512" t="str">
        <f>"532457CV8"</f>
        <v>532457CV8</v>
      </c>
      <c r="B3512" t="s">
        <v>101</v>
      </c>
      <c r="C3512" t="s">
        <v>4384</v>
      </c>
      <c r="D3512" t="s">
        <v>2433</v>
      </c>
      <c r="E3512">
        <v>4.75</v>
      </c>
      <c r="F3512" s="2">
        <v>47526</v>
      </c>
      <c r="G3512" s="2">
        <v>47495</v>
      </c>
      <c r="H3512" t="s">
        <v>624</v>
      </c>
      <c r="I3512" t="s">
        <v>658</v>
      </c>
      <c r="J3512">
        <v>100.706</v>
      </c>
      <c r="K3512">
        <v>100.962</v>
      </c>
      <c r="L3512">
        <v>4.585</v>
      </c>
      <c r="M3512">
        <v>4.5259999999999998</v>
      </c>
      <c r="N3512">
        <v>4.5289999999999999</v>
      </c>
      <c r="O3512" t="s">
        <v>101</v>
      </c>
      <c r="P3512" t="s">
        <v>3884</v>
      </c>
      <c r="Q3512" t="s">
        <v>2454</v>
      </c>
      <c r="R3512" t="s">
        <v>2436</v>
      </c>
    </row>
    <row r="3513" spans="1:18" x14ac:dyDescent="0.5">
      <c r="A3513" t="str">
        <f>"857524AF9"</f>
        <v>857524AF9</v>
      </c>
      <c r="B3513" t="s">
        <v>101</v>
      </c>
      <c r="C3513" t="s">
        <v>4385</v>
      </c>
      <c r="D3513" t="s">
        <v>2433</v>
      </c>
      <c r="E3513">
        <v>4.875</v>
      </c>
      <c r="F3513" s="2">
        <v>47526</v>
      </c>
      <c r="G3513" s="2">
        <v>47495</v>
      </c>
      <c r="H3513" t="s">
        <v>610</v>
      </c>
      <c r="I3513" t="s">
        <v>713</v>
      </c>
      <c r="J3513">
        <v>100.401</v>
      </c>
      <c r="K3513">
        <v>100.727</v>
      </c>
      <c r="L3513">
        <v>4.7809999999999997</v>
      </c>
      <c r="M3513">
        <v>4.7050000000000001</v>
      </c>
      <c r="N3513">
        <v>4.7069999999999999</v>
      </c>
      <c r="O3513" t="s">
        <v>101</v>
      </c>
      <c r="P3513" t="s">
        <v>2994</v>
      </c>
      <c r="Q3513" t="s">
        <v>3075</v>
      </c>
      <c r="R3513" t="s">
        <v>2436</v>
      </c>
    </row>
    <row r="3514" spans="1:18" x14ac:dyDescent="0.5">
      <c r="A3514" t="str">
        <f>"89236TGU3"</f>
        <v>89236TGU3</v>
      </c>
      <c r="B3514" t="s">
        <v>101</v>
      </c>
      <c r="C3514" t="s">
        <v>4386</v>
      </c>
      <c r="D3514" t="s">
        <v>2433</v>
      </c>
      <c r="E3514">
        <v>2.15</v>
      </c>
      <c r="F3514" s="2">
        <v>47527</v>
      </c>
      <c r="G3514" s="2" t="s">
        <v>101</v>
      </c>
      <c r="H3514" t="s">
        <v>641</v>
      </c>
      <c r="I3514" t="s">
        <v>658</v>
      </c>
      <c r="J3514">
        <v>88.894000000000005</v>
      </c>
      <c r="K3514">
        <v>89.209000000000003</v>
      </c>
      <c r="L3514">
        <v>4.7050000000000001</v>
      </c>
      <c r="M3514">
        <v>4.6269999999999998</v>
      </c>
      <c r="N3514">
        <v>4.6269999999999998</v>
      </c>
      <c r="O3514" t="s">
        <v>101</v>
      </c>
      <c r="P3514" t="s">
        <v>2595</v>
      </c>
      <c r="Q3514" t="s">
        <v>2454</v>
      </c>
      <c r="R3514" t="s">
        <v>2436</v>
      </c>
    </row>
    <row r="3515" spans="1:18" x14ac:dyDescent="0.5">
      <c r="A3515" t="str">
        <f>"06418VHG2"</f>
        <v>06418VHG2</v>
      </c>
      <c r="B3515" t="s">
        <v>101</v>
      </c>
      <c r="C3515" t="s">
        <v>4387</v>
      </c>
      <c r="D3515" t="s">
        <v>2433</v>
      </c>
      <c r="E3515">
        <v>5.0999999999999996</v>
      </c>
      <c r="F3515" s="2">
        <v>47528</v>
      </c>
      <c r="G3515" s="2">
        <v>46432</v>
      </c>
      <c r="H3515" t="s">
        <v>610</v>
      </c>
      <c r="I3515" t="s">
        <v>713</v>
      </c>
      <c r="J3515">
        <v>95</v>
      </c>
      <c r="K3515">
        <v>100.358</v>
      </c>
      <c r="L3515">
        <v>6.2960000000000003</v>
      </c>
      <c r="M3515">
        <v>4.9000000000000004</v>
      </c>
      <c r="N3515">
        <v>5.016</v>
      </c>
      <c r="O3515" t="s">
        <v>101</v>
      </c>
      <c r="P3515" t="s">
        <v>2438</v>
      </c>
      <c r="Q3515" t="s">
        <v>4388</v>
      </c>
      <c r="R3515" t="s">
        <v>2436</v>
      </c>
    </row>
    <row r="3516" spans="1:18" x14ac:dyDescent="0.5">
      <c r="A3516" t="str">
        <f>"459058KQ5"</f>
        <v>459058KQ5</v>
      </c>
      <c r="B3516" t="s">
        <v>101</v>
      </c>
      <c r="C3516" t="s">
        <v>4389</v>
      </c>
      <c r="D3516" t="s">
        <v>2433</v>
      </c>
      <c r="E3516">
        <v>3.875</v>
      </c>
      <c r="F3516" s="2">
        <v>47528</v>
      </c>
      <c r="G3516" s="2" t="s">
        <v>105</v>
      </c>
      <c r="H3516" t="s">
        <v>104</v>
      </c>
      <c r="I3516" t="s">
        <v>104</v>
      </c>
      <c r="J3516">
        <v>98.248999999999995</v>
      </c>
      <c r="K3516">
        <v>99.268000000000001</v>
      </c>
      <c r="L3516">
        <v>4.2729999999999997</v>
      </c>
      <c r="M3516">
        <v>4.04</v>
      </c>
      <c r="N3516">
        <v>4.04</v>
      </c>
      <c r="O3516" t="s">
        <v>101</v>
      </c>
      <c r="P3516" t="s">
        <v>2618</v>
      </c>
      <c r="Q3516" t="s">
        <v>4275</v>
      </c>
      <c r="R3516" t="s">
        <v>2713</v>
      </c>
    </row>
    <row r="3517" spans="1:18" x14ac:dyDescent="0.5">
      <c r="A3517" t="str">
        <f>"48135NTF3"</f>
        <v>48135NTF3</v>
      </c>
      <c r="B3517" t="s">
        <v>101</v>
      </c>
      <c r="C3517" t="s">
        <v>4390</v>
      </c>
      <c r="D3517" t="s">
        <v>2433</v>
      </c>
      <c r="E3517">
        <v>5</v>
      </c>
      <c r="F3517" s="2">
        <v>47528</v>
      </c>
      <c r="G3517" s="2">
        <v>46067</v>
      </c>
      <c r="H3517" t="s">
        <v>641</v>
      </c>
      <c r="I3517" t="s">
        <v>611</v>
      </c>
      <c r="J3517">
        <v>98.626000000000005</v>
      </c>
      <c r="K3517">
        <v>100.398</v>
      </c>
      <c r="L3517">
        <v>5.32</v>
      </c>
      <c r="M3517">
        <v>4.55</v>
      </c>
      <c r="N3517">
        <v>4.907</v>
      </c>
      <c r="O3517" t="s">
        <v>101</v>
      </c>
      <c r="P3517" t="s">
        <v>2438</v>
      </c>
      <c r="Q3517" t="s">
        <v>4391</v>
      </c>
      <c r="R3517" t="s">
        <v>3443</v>
      </c>
    </row>
    <row r="3518" spans="1:18" x14ac:dyDescent="0.5">
      <c r="A3518" t="str">
        <f>"48135NTG1"</f>
        <v>48135NTG1</v>
      </c>
      <c r="B3518" t="s">
        <v>101</v>
      </c>
      <c r="C3518" t="s">
        <v>4392</v>
      </c>
      <c r="D3518" t="s">
        <v>2433</v>
      </c>
      <c r="E3518">
        <v>5.15</v>
      </c>
      <c r="F3518" s="2">
        <v>47528</v>
      </c>
      <c r="G3518" s="2">
        <v>46067</v>
      </c>
      <c r="H3518" t="s">
        <v>641</v>
      </c>
      <c r="I3518" t="s">
        <v>611</v>
      </c>
      <c r="J3518">
        <v>99.527000000000001</v>
      </c>
      <c r="K3518">
        <v>100.44199999999999</v>
      </c>
      <c r="L3518">
        <v>5.2590000000000003</v>
      </c>
      <c r="M3518">
        <v>4.6500000000000004</v>
      </c>
      <c r="N3518">
        <v>5.0460000000000003</v>
      </c>
      <c r="O3518" t="s">
        <v>101</v>
      </c>
      <c r="P3518" t="s">
        <v>2595</v>
      </c>
      <c r="Q3518" t="s">
        <v>2873</v>
      </c>
      <c r="R3518" t="s">
        <v>2726</v>
      </c>
    </row>
    <row r="3519" spans="1:18" x14ac:dyDescent="0.5">
      <c r="A3519" t="str">
        <f>"032095AJ0"</f>
        <v>032095AJ0</v>
      </c>
      <c r="B3519" t="s">
        <v>101</v>
      </c>
      <c r="C3519" t="s">
        <v>4393</v>
      </c>
      <c r="D3519" t="s">
        <v>2433</v>
      </c>
      <c r="E3519">
        <v>2.8</v>
      </c>
      <c r="F3519" s="2">
        <v>47529</v>
      </c>
      <c r="G3519" s="2">
        <v>47437</v>
      </c>
      <c r="H3519" t="s">
        <v>627</v>
      </c>
      <c r="I3519" t="s">
        <v>713</v>
      </c>
      <c r="J3519">
        <v>91.456999999999994</v>
      </c>
      <c r="K3519">
        <v>91.668999999999997</v>
      </c>
      <c r="L3519">
        <v>4.766</v>
      </c>
      <c r="M3519">
        <v>4.7149999999999999</v>
      </c>
      <c r="N3519">
        <v>4.7149999999999999</v>
      </c>
      <c r="O3519" t="s">
        <v>101</v>
      </c>
      <c r="P3519" t="s">
        <v>2940</v>
      </c>
      <c r="Q3519" t="s">
        <v>2454</v>
      </c>
      <c r="R3519" t="s">
        <v>2436</v>
      </c>
    </row>
    <row r="3520" spans="1:18" x14ac:dyDescent="0.5">
      <c r="A3520" t="str">
        <f>"25161FKM9"</f>
        <v>25161FKM9</v>
      </c>
      <c r="B3520" t="s">
        <v>101</v>
      </c>
      <c r="C3520" t="s">
        <v>4394</v>
      </c>
      <c r="D3520" t="s">
        <v>2433</v>
      </c>
      <c r="E3520">
        <v>5.25</v>
      </c>
      <c r="F3520" s="2">
        <v>47529</v>
      </c>
      <c r="G3520" s="2">
        <v>46071</v>
      </c>
      <c r="H3520" t="s">
        <v>641</v>
      </c>
      <c r="I3520" t="s">
        <v>611</v>
      </c>
      <c r="J3520">
        <v>96</v>
      </c>
      <c r="K3520">
        <v>100.5</v>
      </c>
      <c r="L3520">
        <v>6.2149999999999999</v>
      </c>
      <c r="M3520">
        <v>4.6749999999999998</v>
      </c>
      <c r="N3520">
        <v>5.1310000000000002</v>
      </c>
      <c r="O3520" t="s">
        <v>101</v>
      </c>
      <c r="P3520" t="s">
        <v>2438</v>
      </c>
      <c r="Q3520" t="s">
        <v>4395</v>
      </c>
      <c r="R3520" t="s">
        <v>2439</v>
      </c>
    </row>
    <row r="3521" spans="1:18" x14ac:dyDescent="0.5">
      <c r="A3521" t="str">
        <f>"036752BB8"</f>
        <v>036752BB8</v>
      </c>
      <c r="B3521" t="s">
        <v>101</v>
      </c>
      <c r="C3521" t="s">
        <v>4396</v>
      </c>
      <c r="D3521" t="s">
        <v>2433</v>
      </c>
      <c r="E3521">
        <v>4.75</v>
      </c>
      <c r="F3521" s="2">
        <v>47529</v>
      </c>
      <c r="G3521" s="2">
        <v>47498</v>
      </c>
      <c r="H3521" t="s">
        <v>677</v>
      </c>
      <c r="I3521" t="s">
        <v>611</v>
      </c>
      <c r="J3521">
        <v>99.891000000000005</v>
      </c>
      <c r="K3521">
        <v>100.05</v>
      </c>
      <c r="L3521">
        <v>4.774</v>
      </c>
      <c r="M3521">
        <v>4.7380000000000004</v>
      </c>
      <c r="N3521">
        <v>4.7380000000000004</v>
      </c>
      <c r="O3521" t="s">
        <v>101</v>
      </c>
      <c r="P3521" t="s">
        <v>3075</v>
      </c>
      <c r="Q3521" t="s">
        <v>2507</v>
      </c>
      <c r="R3521" t="s">
        <v>2726</v>
      </c>
    </row>
    <row r="3522" spans="1:18" x14ac:dyDescent="0.5">
      <c r="A3522" t="str">
        <f>"26884ABM4"</f>
        <v>26884ABM4</v>
      </c>
      <c r="B3522" t="s">
        <v>101</v>
      </c>
      <c r="C3522" t="s">
        <v>4397</v>
      </c>
      <c r="D3522" t="s">
        <v>2433</v>
      </c>
      <c r="E3522">
        <v>2.5</v>
      </c>
      <c r="F3522" s="2">
        <v>47529</v>
      </c>
      <c r="G3522" s="2">
        <v>47437</v>
      </c>
      <c r="H3522" t="s">
        <v>627</v>
      </c>
      <c r="I3522" t="s">
        <v>713</v>
      </c>
      <c r="J3522">
        <v>89.906000000000006</v>
      </c>
      <c r="K3522">
        <v>90.149000000000001</v>
      </c>
      <c r="L3522">
        <v>4.827</v>
      </c>
      <c r="M3522">
        <v>4.7670000000000003</v>
      </c>
      <c r="N3522">
        <v>4.7670000000000003</v>
      </c>
      <c r="O3522" t="s">
        <v>101</v>
      </c>
      <c r="P3522" t="s">
        <v>1702</v>
      </c>
      <c r="Q3522" t="s">
        <v>2507</v>
      </c>
      <c r="R3522" t="s">
        <v>2436</v>
      </c>
    </row>
    <row r="3523" spans="1:18" x14ac:dyDescent="0.5">
      <c r="A3523" t="str">
        <f>"718172DA4"</f>
        <v>718172DA4</v>
      </c>
      <c r="B3523" t="s">
        <v>101</v>
      </c>
      <c r="C3523" t="s">
        <v>4398</v>
      </c>
      <c r="D3523" t="s">
        <v>2433</v>
      </c>
      <c r="E3523">
        <v>5.125</v>
      </c>
      <c r="F3523" s="2">
        <v>47529</v>
      </c>
      <c r="G3523" s="2">
        <v>47467</v>
      </c>
      <c r="H3523" t="s">
        <v>610</v>
      </c>
      <c r="I3523" t="s">
        <v>713</v>
      </c>
      <c r="J3523">
        <v>101.306</v>
      </c>
      <c r="K3523">
        <v>101.589</v>
      </c>
      <c r="L3523">
        <v>4.8150000000000004</v>
      </c>
      <c r="M3523">
        <v>4.7480000000000002</v>
      </c>
      <c r="N3523">
        <v>4.758</v>
      </c>
      <c r="O3523" t="s">
        <v>101</v>
      </c>
      <c r="P3523" t="s">
        <v>2438</v>
      </c>
      <c r="Q3523" t="s">
        <v>2454</v>
      </c>
      <c r="R3523" t="s">
        <v>2436</v>
      </c>
    </row>
    <row r="3524" spans="1:18" x14ac:dyDescent="0.5">
      <c r="A3524" t="str">
        <f>"87612EBJ4"</f>
        <v>87612EBJ4</v>
      </c>
      <c r="B3524" t="s">
        <v>101</v>
      </c>
      <c r="C3524" t="s">
        <v>4399</v>
      </c>
      <c r="D3524" t="s">
        <v>2433</v>
      </c>
      <c r="E3524">
        <v>2.35</v>
      </c>
      <c r="F3524" s="2">
        <v>47529</v>
      </c>
      <c r="G3524" s="2">
        <v>47437</v>
      </c>
      <c r="H3524" t="s">
        <v>610</v>
      </c>
      <c r="I3524" t="s">
        <v>611</v>
      </c>
      <c r="J3524">
        <v>90.022000000000006</v>
      </c>
      <c r="K3524">
        <v>90.334999999999994</v>
      </c>
      <c r="L3524">
        <v>4.6390000000000002</v>
      </c>
      <c r="M3524">
        <v>4.5629999999999997</v>
      </c>
      <c r="N3524">
        <v>4.5629999999999997</v>
      </c>
      <c r="O3524" t="s">
        <v>101</v>
      </c>
      <c r="P3524" t="s">
        <v>1702</v>
      </c>
      <c r="Q3524" t="s">
        <v>2454</v>
      </c>
      <c r="R3524" t="s">
        <v>2436</v>
      </c>
    </row>
    <row r="3525" spans="1:18" x14ac:dyDescent="0.5">
      <c r="A3525" t="str">
        <f>"91324PEQ1"</f>
        <v>91324PEQ1</v>
      </c>
      <c r="B3525" t="s">
        <v>101</v>
      </c>
      <c r="C3525" t="s">
        <v>4400</v>
      </c>
      <c r="D3525" t="s">
        <v>2433</v>
      </c>
      <c r="E3525">
        <v>5.3</v>
      </c>
      <c r="F3525" s="2">
        <v>47529</v>
      </c>
      <c r="G3525" s="2">
        <v>47467</v>
      </c>
      <c r="H3525" t="s">
        <v>610</v>
      </c>
      <c r="I3525" t="s">
        <v>658</v>
      </c>
      <c r="J3525">
        <v>102.50700000000001</v>
      </c>
      <c r="K3525">
        <v>102.64700000000001</v>
      </c>
      <c r="L3525">
        <v>4.7060000000000004</v>
      </c>
      <c r="M3525">
        <v>4.673</v>
      </c>
      <c r="N3525">
        <v>4.6909999999999998</v>
      </c>
      <c r="O3525" t="s">
        <v>101</v>
      </c>
      <c r="P3525" t="s">
        <v>1702</v>
      </c>
      <c r="Q3525" t="s">
        <v>2581</v>
      </c>
      <c r="R3525" t="s">
        <v>2436</v>
      </c>
    </row>
    <row r="3526" spans="1:18" x14ac:dyDescent="0.5">
      <c r="A3526" t="str">
        <f>"931142BF9"</f>
        <v>931142BF9</v>
      </c>
      <c r="B3526" t="s">
        <v>101</v>
      </c>
      <c r="C3526" t="s">
        <v>4401</v>
      </c>
      <c r="D3526" t="s">
        <v>2433</v>
      </c>
      <c r="E3526">
        <v>7.55</v>
      </c>
      <c r="F3526" s="2">
        <v>47529</v>
      </c>
      <c r="G3526" s="2" t="s">
        <v>105</v>
      </c>
      <c r="H3526" t="s">
        <v>613</v>
      </c>
      <c r="I3526" t="s">
        <v>628</v>
      </c>
      <c r="J3526">
        <v>113.88</v>
      </c>
      <c r="K3526">
        <v>114.256</v>
      </c>
      <c r="L3526">
        <v>4.3849999999999998</v>
      </c>
      <c r="M3526">
        <v>4.306</v>
      </c>
      <c r="N3526">
        <v>4.306</v>
      </c>
      <c r="O3526" t="s">
        <v>101</v>
      </c>
      <c r="P3526" t="s">
        <v>4402</v>
      </c>
      <c r="Q3526" t="s">
        <v>4403</v>
      </c>
      <c r="R3526" t="s">
        <v>2465</v>
      </c>
    </row>
    <row r="3527" spans="1:18" x14ac:dyDescent="0.5">
      <c r="A3527" t="str">
        <f>"94106LBT5"</f>
        <v>94106LBT5</v>
      </c>
      <c r="B3527" t="s">
        <v>101</v>
      </c>
      <c r="C3527" t="s">
        <v>4404</v>
      </c>
      <c r="D3527" t="s">
        <v>2433</v>
      </c>
      <c r="E3527">
        <v>4.625</v>
      </c>
      <c r="F3527" s="2">
        <v>47529</v>
      </c>
      <c r="G3527" s="2">
        <v>47467</v>
      </c>
      <c r="H3527" t="s">
        <v>627</v>
      </c>
      <c r="I3527" t="s">
        <v>713</v>
      </c>
      <c r="J3527">
        <v>99.891000000000005</v>
      </c>
      <c r="K3527">
        <v>100.053</v>
      </c>
      <c r="L3527">
        <v>4.649</v>
      </c>
      <c r="M3527">
        <v>4.6120000000000001</v>
      </c>
      <c r="N3527">
        <v>4.6120000000000001</v>
      </c>
      <c r="O3527" t="s">
        <v>101</v>
      </c>
      <c r="P3527" t="s">
        <v>858</v>
      </c>
      <c r="Q3527" t="s">
        <v>2454</v>
      </c>
      <c r="R3527" t="s">
        <v>2436</v>
      </c>
    </row>
    <row r="3528" spans="1:18" x14ac:dyDescent="0.5">
      <c r="A3528" t="str">
        <f>"46514Y8A8"</f>
        <v>46514Y8A8</v>
      </c>
      <c r="B3528" t="s">
        <v>101</v>
      </c>
      <c r="C3528" t="s">
        <v>4405</v>
      </c>
      <c r="D3528" t="s">
        <v>2433</v>
      </c>
      <c r="E3528">
        <v>5.375</v>
      </c>
      <c r="F3528" s="2">
        <v>47533</v>
      </c>
      <c r="G3528" s="2" t="s">
        <v>105</v>
      </c>
      <c r="H3528" t="s">
        <v>670</v>
      </c>
      <c r="I3528" t="s">
        <v>611</v>
      </c>
      <c r="J3528">
        <v>100.529</v>
      </c>
      <c r="K3528">
        <v>100.958</v>
      </c>
      <c r="L3528">
        <v>5.2510000000000003</v>
      </c>
      <c r="M3528">
        <v>5.1520000000000001</v>
      </c>
      <c r="N3528">
        <v>5.1520000000000001</v>
      </c>
      <c r="O3528" t="s">
        <v>101</v>
      </c>
      <c r="P3528" t="s">
        <v>228</v>
      </c>
      <c r="Q3528" t="s">
        <v>228</v>
      </c>
      <c r="R3528" t="s">
        <v>2465</v>
      </c>
    </row>
    <row r="3529" spans="1:18" x14ac:dyDescent="0.5">
      <c r="A3529" t="str">
        <f>"17275RBX9"</f>
        <v>17275RBX9</v>
      </c>
      <c r="B3529" t="s">
        <v>101</v>
      </c>
      <c r="C3529" t="s">
        <v>4406</v>
      </c>
      <c r="D3529" t="s">
        <v>2433</v>
      </c>
      <c r="E3529">
        <v>4.75</v>
      </c>
      <c r="F3529" s="2">
        <v>47538</v>
      </c>
      <c r="G3529" s="2">
        <v>47507</v>
      </c>
      <c r="H3529" t="s">
        <v>641</v>
      </c>
      <c r="I3529" t="s">
        <v>616</v>
      </c>
      <c r="J3529">
        <v>100.48399999999999</v>
      </c>
      <c r="K3529">
        <v>100.679</v>
      </c>
      <c r="L3529">
        <v>4.6379999999999999</v>
      </c>
      <c r="M3529">
        <v>4.5860000000000003</v>
      </c>
      <c r="N3529">
        <v>4.5949999999999998</v>
      </c>
      <c r="O3529" t="s">
        <v>101</v>
      </c>
      <c r="P3529" t="s">
        <v>3959</v>
      </c>
      <c r="Q3529" t="s">
        <v>2454</v>
      </c>
      <c r="R3529" t="s">
        <v>2436</v>
      </c>
    </row>
    <row r="3530" spans="1:18" x14ac:dyDescent="0.5">
      <c r="A3530" t="str">
        <f>"427866BL1"</f>
        <v>427866BL1</v>
      </c>
      <c r="B3530" t="s">
        <v>101</v>
      </c>
      <c r="C3530" t="s">
        <v>4407</v>
      </c>
      <c r="D3530" t="s">
        <v>2433</v>
      </c>
      <c r="E3530">
        <v>4.75</v>
      </c>
      <c r="F3530" s="2">
        <v>47538</v>
      </c>
      <c r="G3530" s="2">
        <v>47507</v>
      </c>
      <c r="H3530" t="s">
        <v>641</v>
      </c>
      <c r="I3530" t="s">
        <v>611</v>
      </c>
      <c r="J3530">
        <v>100.387</v>
      </c>
      <c r="K3530">
        <v>100.61</v>
      </c>
      <c r="L3530">
        <v>4.66</v>
      </c>
      <c r="M3530">
        <v>4.609</v>
      </c>
      <c r="N3530">
        <v>4.6100000000000003</v>
      </c>
      <c r="O3530" t="s">
        <v>101</v>
      </c>
      <c r="P3530" t="s">
        <v>3884</v>
      </c>
      <c r="Q3530" t="s">
        <v>2454</v>
      </c>
      <c r="R3530" t="s">
        <v>2436</v>
      </c>
    </row>
    <row r="3531" spans="1:18" x14ac:dyDescent="0.5">
      <c r="A3531" t="str">
        <f>"606822BR4"</f>
        <v>606822BR4</v>
      </c>
      <c r="B3531" t="s">
        <v>101</v>
      </c>
      <c r="C3531" t="s">
        <v>4408</v>
      </c>
      <c r="D3531" t="s">
        <v>2433</v>
      </c>
      <c r="E3531">
        <v>2.5590000000000002</v>
      </c>
      <c r="F3531" s="2">
        <v>47539</v>
      </c>
      <c r="G3531" s="2" t="s">
        <v>101</v>
      </c>
      <c r="H3531" t="s">
        <v>641</v>
      </c>
      <c r="I3531" t="s">
        <v>713</v>
      </c>
      <c r="J3531">
        <v>89.93</v>
      </c>
      <c r="K3531">
        <v>90.24</v>
      </c>
      <c r="L3531">
        <v>4.8719999999999999</v>
      </c>
      <c r="M3531">
        <v>4.7960000000000003</v>
      </c>
      <c r="N3531">
        <v>4.7960000000000003</v>
      </c>
      <c r="O3531" t="s">
        <v>101</v>
      </c>
      <c r="P3531" t="s">
        <v>3891</v>
      </c>
      <c r="Q3531" t="s">
        <v>228</v>
      </c>
      <c r="R3531" t="s">
        <v>2436</v>
      </c>
    </row>
    <row r="3532" spans="1:18" x14ac:dyDescent="0.5">
      <c r="A3532" t="str">
        <f>"06055JJV2"</f>
        <v>06055JJV2</v>
      </c>
      <c r="B3532" t="s">
        <v>101</v>
      </c>
      <c r="C3532" t="s">
        <v>4409</v>
      </c>
      <c r="D3532" t="s">
        <v>2433</v>
      </c>
      <c r="E3532">
        <v>5.2</v>
      </c>
      <c r="F3532" s="2">
        <v>47540</v>
      </c>
      <c r="G3532" s="2">
        <v>46079</v>
      </c>
      <c r="H3532" t="s">
        <v>641</v>
      </c>
      <c r="I3532" t="s">
        <v>713</v>
      </c>
      <c r="J3532">
        <v>99.905000000000001</v>
      </c>
      <c r="K3532">
        <v>100.35</v>
      </c>
      <c r="L3532">
        <v>5.2210000000000001</v>
      </c>
      <c r="M3532">
        <v>4.8179999999999996</v>
      </c>
      <c r="N3532">
        <v>5.1189999999999998</v>
      </c>
      <c r="O3532" t="s">
        <v>101</v>
      </c>
      <c r="P3532" t="s">
        <v>2438</v>
      </c>
      <c r="Q3532" t="s">
        <v>4410</v>
      </c>
      <c r="R3532" t="s">
        <v>2726</v>
      </c>
    </row>
    <row r="3533" spans="1:18" x14ac:dyDescent="0.5">
      <c r="A3533" t="str">
        <f>"48130CZV0"</f>
        <v>48130CZV0</v>
      </c>
      <c r="B3533" t="s">
        <v>101</v>
      </c>
      <c r="C3533" t="s">
        <v>4411</v>
      </c>
      <c r="D3533" t="s">
        <v>2433</v>
      </c>
      <c r="E3533">
        <v>4.9000000000000004</v>
      </c>
      <c r="F3533" s="2">
        <v>47540</v>
      </c>
      <c r="G3533" s="2">
        <v>46444</v>
      </c>
      <c r="H3533" t="s">
        <v>641</v>
      </c>
      <c r="I3533" t="s">
        <v>611</v>
      </c>
      <c r="J3533">
        <v>97.25</v>
      </c>
      <c r="K3533">
        <v>100.636</v>
      </c>
      <c r="L3533">
        <v>5.5490000000000004</v>
      </c>
      <c r="M3533">
        <v>4.55</v>
      </c>
      <c r="N3533">
        <v>4.7519999999999998</v>
      </c>
      <c r="O3533" t="s">
        <v>101</v>
      </c>
      <c r="P3533" t="s">
        <v>2438</v>
      </c>
      <c r="Q3533" t="s">
        <v>4412</v>
      </c>
      <c r="R3533" t="s">
        <v>3443</v>
      </c>
    </row>
    <row r="3534" spans="1:18" x14ac:dyDescent="0.5">
      <c r="A3534" t="str">
        <f>"06418VKL7"</f>
        <v>06418VKL7</v>
      </c>
      <c r="B3534" t="s">
        <v>101</v>
      </c>
      <c r="C3534" t="s">
        <v>4413</v>
      </c>
      <c r="D3534" t="s">
        <v>2433</v>
      </c>
      <c r="E3534">
        <v>5.05</v>
      </c>
      <c r="F3534" s="2">
        <v>47542</v>
      </c>
      <c r="G3534" s="2">
        <v>46081</v>
      </c>
      <c r="H3534" t="s">
        <v>610</v>
      </c>
      <c r="I3534" t="s">
        <v>713</v>
      </c>
      <c r="J3534">
        <v>97</v>
      </c>
      <c r="K3534">
        <v>100.09</v>
      </c>
      <c r="L3534">
        <v>5.7530000000000001</v>
      </c>
      <c r="M3534">
        <v>4.9509999999999996</v>
      </c>
      <c r="N3534">
        <v>5.0289999999999999</v>
      </c>
      <c r="O3534" t="s">
        <v>101</v>
      </c>
      <c r="P3534" t="s">
        <v>2438</v>
      </c>
      <c r="Q3534" t="s">
        <v>4414</v>
      </c>
      <c r="R3534" t="s">
        <v>2436</v>
      </c>
    </row>
    <row r="3535" spans="1:18" x14ac:dyDescent="0.5">
      <c r="A3535" t="str">
        <f>"48135NTQ9"</f>
        <v>48135NTQ9</v>
      </c>
      <c r="B3535" t="s">
        <v>101</v>
      </c>
      <c r="C3535" t="s">
        <v>4415</v>
      </c>
      <c r="D3535" t="s">
        <v>2433</v>
      </c>
      <c r="E3535">
        <v>5.0999999999999996</v>
      </c>
      <c r="F3535" s="2">
        <v>47542</v>
      </c>
      <c r="G3535" s="2">
        <v>46081</v>
      </c>
      <c r="H3535" t="s">
        <v>641</v>
      </c>
      <c r="I3535" t="s">
        <v>611</v>
      </c>
      <c r="J3535">
        <v>97</v>
      </c>
      <c r="K3535">
        <v>100.509</v>
      </c>
      <c r="L3535">
        <v>5.8040000000000003</v>
      </c>
      <c r="M3535">
        <v>4.5510000000000002</v>
      </c>
      <c r="N3535">
        <v>4.9820000000000002</v>
      </c>
      <c r="O3535" t="s">
        <v>101</v>
      </c>
      <c r="P3535" t="s">
        <v>2438</v>
      </c>
      <c r="Q3535" t="s">
        <v>4416</v>
      </c>
      <c r="R3535" t="s">
        <v>3443</v>
      </c>
    </row>
    <row r="3536" spans="1:18" x14ac:dyDescent="0.5">
      <c r="A3536" t="str">
        <f>"48135NTR7"</f>
        <v>48135NTR7</v>
      </c>
      <c r="B3536" t="s">
        <v>101</v>
      </c>
      <c r="C3536" t="s">
        <v>4417</v>
      </c>
      <c r="D3536" t="s">
        <v>2433</v>
      </c>
      <c r="E3536">
        <v>5.25</v>
      </c>
      <c r="F3536" s="2">
        <v>47542</v>
      </c>
      <c r="G3536" s="2">
        <v>46081</v>
      </c>
      <c r="H3536" t="s">
        <v>641</v>
      </c>
      <c r="I3536" t="s">
        <v>611</v>
      </c>
      <c r="J3536">
        <v>99.771000000000001</v>
      </c>
      <c r="K3536">
        <v>100.648</v>
      </c>
      <c r="L3536">
        <v>5.3029999999999999</v>
      </c>
      <c r="M3536">
        <v>4.5510000000000002</v>
      </c>
      <c r="N3536">
        <v>5.0999999999999996</v>
      </c>
      <c r="O3536" t="s">
        <v>101</v>
      </c>
      <c r="P3536" t="s">
        <v>2438</v>
      </c>
      <c r="Q3536" t="s">
        <v>4418</v>
      </c>
      <c r="R3536" t="s">
        <v>3443</v>
      </c>
    </row>
    <row r="3537" spans="1:18" x14ac:dyDescent="0.5">
      <c r="A3537" t="str">
        <f>"48135NTT3"</f>
        <v>48135NTT3</v>
      </c>
      <c r="B3537" t="s">
        <v>101</v>
      </c>
      <c r="C3537" t="s">
        <v>4419</v>
      </c>
      <c r="D3537" t="s">
        <v>2433</v>
      </c>
      <c r="E3537">
        <v>5</v>
      </c>
      <c r="F3537" s="2">
        <v>47542</v>
      </c>
      <c r="G3537" s="2">
        <v>46081</v>
      </c>
      <c r="H3537" t="s">
        <v>641</v>
      </c>
      <c r="I3537" t="s">
        <v>611</v>
      </c>
      <c r="J3537">
        <v>97</v>
      </c>
      <c r="K3537">
        <v>100.417</v>
      </c>
      <c r="L3537">
        <v>5.702</v>
      </c>
      <c r="M3537">
        <v>4.5490000000000004</v>
      </c>
      <c r="N3537">
        <v>4.9039999999999999</v>
      </c>
      <c r="O3537" t="s">
        <v>101</v>
      </c>
      <c r="P3537" t="s">
        <v>2438</v>
      </c>
      <c r="Q3537" t="s">
        <v>4420</v>
      </c>
      <c r="R3537" t="s">
        <v>3443</v>
      </c>
    </row>
    <row r="3538" spans="1:18" x14ac:dyDescent="0.5">
      <c r="A3538" t="str">
        <f>"857477CW1"</f>
        <v>857477CW1</v>
      </c>
      <c r="B3538" t="s">
        <v>101</v>
      </c>
      <c r="C3538" t="s">
        <v>4421</v>
      </c>
      <c r="D3538" t="s">
        <v>2433</v>
      </c>
      <c r="E3538">
        <v>4.7290000000000001</v>
      </c>
      <c r="F3538" s="2">
        <v>47542</v>
      </c>
      <c r="G3538" s="2">
        <v>47511</v>
      </c>
      <c r="H3538" t="s">
        <v>105</v>
      </c>
      <c r="I3538" t="s">
        <v>611</v>
      </c>
      <c r="J3538">
        <v>99.941999999999993</v>
      </c>
      <c r="K3538">
        <v>100.21</v>
      </c>
      <c r="L3538">
        <v>4.742</v>
      </c>
      <c r="M3538">
        <v>4.681</v>
      </c>
      <c r="N3538">
        <v>4.681</v>
      </c>
      <c r="O3538" t="s">
        <v>101</v>
      </c>
      <c r="P3538" t="s">
        <v>2438</v>
      </c>
      <c r="Q3538" t="s">
        <v>2940</v>
      </c>
      <c r="R3538" t="s">
        <v>2436</v>
      </c>
    </row>
    <row r="3539" spans="1:18" x14ac:dyDescent="0.5">
      <c r="A3539" t="str">
        <f>"05348EBG3"</f>
        <v>05348EBG3</v>
      </c>
      <c r="B3539" t="s">
        <v>101</v>
      </c>
      <c r="C3539" t="s">
        <v>4422</v>
      </c>
      <c r="D3539" t="s">
        <v>2433</v>
      </c>
      <c r="E3539">
        <v>2.2999999999999998</v>
      </c>
      <c r="F3539" s="2">
        <v>47543</v>
      </c>
      <c r="G3539" s="2">
        <v>47453</v>
      </c>
      <c r="H3539" t="s">
        <v>627</v>
      </c>
      <c r="I3539" t="s">
        <v>713</v>
      </c>
      <c r="J3539">
        <v>89.147999999999996</v>
      </c>
      <c r="K3539">
        <v>89.346000000000004</v>
      </c>
      <c r="L3539">
        <v>4.7789999999999999</v>
      </c>
      <c r="M3539">
        <v>4.7309999999999999</v>
      </c>
      <c r="N3539">
        <v>4.7309999999999999</v>
      </c>
      <c r="O3539" t="s">
        <v>101</v>
      </c>
      <c r="P3539" t="s">
        <v>3820</v>
      </c>
      <c r="Q3539" t="s">
        <v>4423</v>
      </c>
      <c r="R3539" t="s">
        <v>2436</v>
      </c>
    </row>
    <row r="3540" spans="1:18" x14ac:dyDescent="0.5">
      <c r="A3540" t="str">
        <f>"202795JR2"</f>
        <v>202795JR2</v>
      </c>
      <c r="B3540" t="s">
        <v>101</v>
      </c>
      <c r="C3540" t="s">
        <v>4424</v>
      </c>
      <c r="D3540" t="s">
        <v>2433</v>
      </c>
      <c r="E3540">
        <v>2.2000000000000002</v>
      </c>
      <c r="F3540" s="2">
        <v>47543</v>
      </c>
      <c r="G3540" s="2">
        <v>47453</v>
      </c>
      <c r="H3540" t="s">
        <v>641</v>
      </c>
      <c r="I3540" t="s">
        <v>611</v>
      </c>
      <c r="J3540">
        <v>88.525999999999996</v>
      </c>
      <c r="K3540">
        <v>88.885999999999996</v>
      </c>
      <c r="L3540">
        <v>4.8239999999999998</v>
      </c>
      <c r="M3540">
        <v>4.7359999999999998</v>
      </c>
      <c r="N3540">
        <v>4.7359999999999998</v>
      </c>
      <c r="O3540" t="s">
        <v>101</v>
      </c>
      <c r="P3540" t="s">
        <v>3884</v>
      </c>
      <c r="Q3540" t="s">
        <v>2747</v>
      </c>
      <c r="R3540" t="s">
        <v>2436</v>
      </c>
    </row>
    <row r="3541" spans="1:18" x14ac:dyDescent="0.5">
      <c r="A3541" t="str">
        <f>"23338VAK2"</f>
        <v>23338VAK2</v>
      </c>
      <c r="B3541" t="s">
        <v>101</v>
      </c>
      <c r="C3541" t="s">
        <v>4425</v>
      </c>
      <c r="D3541" t="s">
        <v>2433</v>
      </c>
      <c r="E3541">
        <v>2.25</v>
      </c>
      <c r="F3541" s="2">
        <v>47543</v>
      </c>
      <c r="G3541" s="2">
        <v>47453</v>
      </c>
      <c r="H3541" t="s">
        <v>624</v>
      </c>
      <c r="I3541" t="s">
        <v>611</v>
      </c>
      <c r="J3541">
        <v>88.978999999999999</v>
      </c>
      <c r="K3541">
        <v>89.361000000000004</v>
      </c>
      <c r="L3541">
        <v>4.7670000000000003</v>
      </c>
      <c r="M3541">
        <v>4.6740000000000004</v>
      </c>
      <c r="N3541">
        <v>4.6740000000000004</v>
      </c>
      <c r="O3541" t="s">
        <v>101</v>
      </c>
      <c r="P3541" t="s">
        <v>3386</v>
      </c>
      <c r="Q3541" t="s">
        <v>2454</v>
      </c>
      <c r="R3541" t="s">
        <v>2436</v>
      </c>
    </row>
    <row r="3542" spans="1:18" x14ac:dyDescent="0.5">
      <c r="A3542" t="str">
        <f>"478160DJ0"</f>
        <v>478160DJ0</v>
      </c>
      <c r="B3542" t="s">
        <v>101</v>
      </c>
      <c r="C3542" t="s">
        <v>4426</v>
      </c>
      <c r="D3542" t="s">
        <v>2433</v>
      </c>
      <c r="E3542">
        <v>4.7</v>
      </c>
      <c r="F3542" s="2">
        <v>47543</v>
      </c>
      <c r="G3542" s="2">
        <v>47515</v>
      </c>
      <c r="H3542" t="s">
        <v>104</v>
      </c>
      <c r="I3542" t="s">
        <v>104</v>
      </c>
      <c r="J3542">
        <v>101.11199999999999</v>
      </c>
      <c r="K3542">
        <v>101.20699999999999</v>
      </c>
      <c r="L3542">
        <v>4.444</v>
      </c>
      <c r="M3542">
        <v>4.4219999999999997</v>
      </c>
      <c r="N3542">
        <v>4.4260000000000002</v>
      </c>
      <c r="O3542" t="s">
        <v>101</v>
      </c>
      <c r="P3542" t="s">
        <v>2438</v>
      </c>
      <c r="Q3542" t="s">
        <v>4427</v>
      </c>
      <c r="R3542" t="s">
        <v>2436</v>
      </c>
    </row>
    <row r="3543" spans="1:18" x14ac:dyDescent="0.5">
      <c r="A3543" t="str">
        <f>"67021CAX5"</f>
        <v>67021CAX5</v>
      </c>
      <c r="B3543" t="s">
        <v>101</v>
      </c>
      <c r="C3543" t="s">
        <v>4428</v>
      </c>
      <c r="D3543" t="s">
        <v>2433</v>
      </c>
      <c r="E3543">
        <v>4.8499999999999996</v>
      </c>
      <c r="F3543" s="2">
        <v>47543</v>
      </c>
      <c r="G3543" s="2">
        <v>47515</v>
      </c>
      <c r="H3543" t="s">
        <v>610</v>
      </c>
      <c r="I3543" t="s">
        <v>713</v>
      </c>
      <c r="J3543">
        <v>99.881</v>
      </c>
      <c r="K3543">
        <v>100.304</v>
      </c>
      <c r="L3543">
        <v>4.8769999999999998</v>
      </c>
      <c r="M3543">
        <v>4.78</v>
      </c>
      <c r="N3543">
        <v>4.78</v>
      </c>
      <c r="O3543" t="s">
        <v>101</v>
      </c>
      <c r="P3543" t="s">
        <v>2472</v>
      </c>
      <c r="Q3543" t="s">
        <v>2786</v>
      </c>
      <c r="R3543" t="s">
        <v>2726</v>
      </c>
    </row>
    <row r="3544" spans="1:18" x14ac:dyDescent="0.5">
      <c r="A3544" t="str">
        <f>"04636NAG8"</f>
        <v>04636NAG8</v>
      </c>
      <c r="B3544" t="s">
        <v>101</v>
      </c>
      <c r="C3544" t="s">
        <v>4429</v>
      </c>
      <c r="D3544" t="s">
        <v>2433</v>
      </c>
      <c r="E3544">
        <v>4.9000000000000004</v>
      </c>
      <c r="F3544" s="2">
        <v>47545</v>
      </c>
      <c r="G3544" s="2">
        <v>47486</v>
      </c>
      <c r="H3544" t="s">
        <v>641</v>
      </c>
      <c r="I3544" t="s">
        <v>658</v>
      </c>
      <c r="J3544">
        <v>101.47199999999999</v>
      </c>
      <c r="K3544">
        <v>101.657</v>
      </c>
      <c r="L3544">
        <v>4.556</v>
      </c>
      <c r="M3544">
        <v>4.5140000000000002</v>
      </c>
      <c r="N3544">
        <v>4.524</v>
      </c>
      <c r="O3544" t="s">
        <v>101</v>
      </c>
      <c r="P3544" t="s">
        <v>2581</v>
      </c>
      <c r="Q3544" t="s">
        <v>2454</v>
      </c>
      <c r="R3544" t="s">
        <v>2436</v>
      </c>
    </row>
    <row r="3545" spans="1:18" x14ac:dyDescent="0.5">
      <c r="A3545" t="str">
        <f>"06746AN33"</f>
        <v>06746AN33</v>
      </c>
      <c r="B3545" t="s">
        <v>101</v>
      </c>
      <c r="C3545" t="s">
        <v>4430</v>
      </c>
      <c r="D3545" t="s">
        <v>2433</v>
      </c>
      <c r="E3545">
        <v>5.2</v>
      </c>
      <c r="F3545" s="2">
        <v>47546</v>
      </c>
      <c r="G3545" s="2">
        <v>46085</v>
      </c>
      <c r="H3545" t="s">
        <v>641</v>
      </c>
      <c r="I3545" t="s">
        <v>658</v>
      </c>
      <c r="J3545" t="s">
        <v>101</v>
      </c>
      <c r="K3545">
        <v>100.5</v>
      </c>
      <c r="L3545" t="s">
        <v>101</v>
      </c>
      <c r="M3545">
        <v>4.67</v>
      </c>
      <c r="N3545">
        <v>5.085</v>
      </c>
      <c r="O3545" t="s">
        <v>101</v>
      </c>
      <c r="P3545" t="s">
        <v>448</v>
      </c>
      <c r="Q3545" t="s">
        <v>4431</v>
      </c>
      <c r="R3545" t="s">
        <v>3443</v>
      </c>
    </row>
    <row r="3546" spans="1:18" x14ac:dyDescent="0.5">
      <c r="A3546" t="str">
        <f>"02665WFY2"</f>
        <v>02665WFY2</v>
      </c>
      <c r="B3546" t="s">
        <v>101</v>
      </c>
      <c r="C3546" t="s">
        <v>4432</v>
      </c>
      <c r="D3546" t="s">
        <v>2433</v>
      </c>
      <c r="E3546">
        <v>4.8</v>
      </c>
      <c r="F3546" s="2">
        <v>47547</v>
      </c>
      <c r="G3546" s="2" t="s">
        <v>101</v>
      </c>
      <c r="H3546" t="s">
        <v>627</v>
      </c>
      <c r="I3546" t="s">
        <v>713</v>
      </c>
      <c r="J3546">
        <v>99.373999999999995</v>
      </c>
      <c r="K3546">
        <v>99.757999999999996</v>
      </c>
      <c r="L3546">
        <v>4.9429999999999996</v>
      </c>
      <c r="M3546">
        <v>4.8550000000000004</v>
      </c>
      <c r="N3546">
        <v>4.8550000000000004</v>
      </c>
      <c r="O3546" t="s">
        <v>101</v>
      </c>
      <c r="P3546" t="s">
        <v>4433</v>
      </c>
      <c r="Q3546" t="s">
        <v>2454</v>
      </c>
      <c r="R3546" t="s">
        <v>2726</v>
      </c>
    </row>
    <row r="3547" spans="1:18" x14ac:dyDescent="0.5">
      <c r="A3547" t="str">
        <f>"74432QCG8"</f>
        <v>74432QCG8</v>
      </c>
      <c r="B3547" t="s">
        <v>101</v>
      </c>
      <c r="C3547" t="s">
        <v>4434</v>
      </c>
      <c r="D3547" t="s">
        <v>2433</v>
      </c>
      <c r="E3547">
        <v>2.1</v>
      </c>
      <c r="F3547" s="2">
        <v>47552</v>
      </c>
      <c r="G3547" s="2">
        <v>47462</v>
      </c>
      <c r="H3547" t="s">
        <v>627</v>
      </c>
      <c r="I3547" t="s">
        <v>611</v>
      </c>
      <c r="J3547">
        <v>89.039000000000001</v>
      </c>
      <c r="K3547">
        <v>89.319000000000003</v>
      </c>
      <c r="L3547">
        <v>4.58</v>
      </c>
      <c r="M3547">
        <v>4.5129999999999999</v>
      </c>
      <c r="N3547">
        <v>4.5129999999999999</v>
      </c>
      <c r="O3547" t="s">
        <v>101</v>
      </c>
      <c r="P3547" t="s">
        <v>2460</v>
      </c>
      <c r="Q3547" t="s">
        <v>4435</v>
      </c>
      <c r="R3547" t="s">
        <v>2436</v>
      </c>
    </row>
    <row r="3548" spans="1:18" x14ac:dyDescent="0.5">
      <c r="A3548" t="str">
        <f>"89788KAA4"</f>
        <v>89788KAA4</v>
      </c>
      <c r="B3548" t="s">
        <v>101</v>
      </c>
      <c r="C3548" t="s">
        <v>4436</v>
      </c>
      <c r="D3548" t="s">
        <v>2433</v>
      </c>
      <c r="E3548">
        <v>2.25</v>
      </c>
      <c r="F3548" s="2">
        <v>47553</v>
      </c>
      <c r="G3548" s="2">
        <v>47463</v>
      </c>
      <c r="H3548" t="s">
        <v>627</v>
      </c>
      <c r="I3548" t="s">
        <v>713</v>
      </c>
      <c r="J3548">
        <v>87.087000000000003</v>
      </c>
      <c r="K3548">
        <v>87.492999999999995</v>
      </c>
      <c r="L3548">
        <v>5.2190000000000003</v>
      </c>
      <c r="M3548">
        <v>5.1180000000000003</v>
      </c>
      <c r="N3548">
        <v>5.1180000000000003</v>
      </c>
      <c r="O3548" t="s">
        <v>101</v>
      </c>
      <c r="P3548" t="s">
        <v>2566</v>
      </c>
      <c r="Q3548" t="s">
        <v>2564</v>
      </c>
      <c r="R3548" t="s">
        <v>2436</v>
      </c>
    </row>
    <row r="3549" spans="1:18" x14ac:dyDescent="0.5">
      <c r="A3549" t="str">
        <f>"084664CU3"</f>
        <v>084664CU3</v>
      </c>
      <c r="B3549" t="s">
        <v>101</v>
      </c>
      <c r="C3549" t="s">
        <v>4437</v>
      </c>
      <c r="D3549" t="s">
        <v>2433</v>
      </c>
      <c r="E3549">
        <v>1.85</v>
      </c>
      <c r="F3549" s="2">
        <v>47554</v>
      </c>
      <c r="G3549" s="2">
        <v>47464</v>
      </c>
      <c r="H3549" t="s">
        <v>613</v>
      </c>
      <c r="I3549" t="s">
        <v>628</v>
      </c>
      <c r="J3549">
        <v>88.632999999999996</v>
      </c>
      <c r="K3549">
        <v>88.762</v>
      </c>
      <c r="L3549">
        <v>4.4080000000000004</v>
      </c>
      <c r="M3549">
        <v>4.3769999999999998</v>
      </c>
      <c r="N3549">
        <v>4.3769999999999998</v>
      </c>
      <c r="O3549" t="s">
        <v>101</v>
      </c>
      <c r="P3549" t="s">
        <v>2581</v>
      </c>
      <c r="Q3549" t="s">
        <v>2525</v>
      </c>
      <c r="R3549" t="s">
        <v>2436</v>
      </c>
    </row>
    <row r="3550" spans="1:18" x14ac:dyDescent="0.5">
      <c r="A3550" t="str">
        <f>"00287YDZ9"</f>
        <v>00287YDZ9</v>
      </c>
      <c r="B3550" t="s">
        <v>101</v>
      </c>
      <c r="C3550" t="s">
        <v>4438</v>
      </c>
      <c r="D3550" t="s">
        <v>2433</v>
      </c>
      <c r="E3550">
        <v>4.875</v>
      </c>
      <c r="F3550" s="2">
        <v>47557</v>
      </c>
      <c r="G3550" s="2">
        <v>47529</v>
      </c>
      <c r="H3550" t="s">
        <v>627</v>
      </c>
      <c r="I3550" t="s">
        <v>713</v>
      </c>
      <c r="J3550">
        <v>100.78100000000001</v>
      </c>
      <c r="K3550">
        <v>100.95699999999999</v>
      </c>
      <c r="L3550">
        <v>4.6950000000000003</v>
      </c>
      <c r="M3550">
        <v>4.6550000000000002</v>
      </c>
      <c r="N3550">
        <v>4.657</v>
      </c>
      <c r="O3550" t="s">
        <v>101</v>
      </c>
      <c r="P3550" t="s">
        <v>1702</v>
      </c>
      <c r="Q3550" t="s">
        <v>2454</v>
      </c>
      <c r="R3550" t="s">
        <v>2726</v>
      </c>
    </row>
    <row r="3551" spans="1:18" x14ac:dyDescent="0.5">
      <c r="A3551" t="str">
        <f>"15189XBG2"</f>
        <v>15189XBG2</v>
      </c>
      <c r="B3551" t="s">
        <v>101</v>
      </c>
      <c r="C3551" t="s">
        <v>4439</v>
      </c>
      <c r="D3551" t="s">
        <v>2433</v>
      </c>
      <c r="E3551">
        <v>4.8</v>
      </c>
      <c r="F3551" s="2">
        <v>47557</v>
      </c>
      <c r="G3551" s="2">
        <v>47529</v>
      </c>
      <c r="H3551" t="s">
        <v>610</v>
      </c>
      <c r="I3551" t="s">
        <v>611</v>
      </c>
      <c r="J3551">
        <v>100.108</v>
      </c>
      <c r="K3551">
        <v>100.136</v>
      </c>
      <c r="L3551">
        <v>4.774</v>
      </c>
      <c r="M3551">
        <v>4.7679999999999998</v>
      </c>
      <c r="N3551">
        <v>4.7679999999999998</v>
      </c>
      <c r="O3551" t="s">
        <v>101</v>
      </c>
      <c r="P3551" t="s">
        <v>1391</v>
      </c>
      <c r="Q3551" t="s">
        <v>2454</v>
      </c>
      <c r="R3551" t="s">
        <v>2726</v>
      </c>
    </row>
    <row r="3552" spans="1:18" x14ac:dyDescent="0.5">
      <c r="A3552" t="str">
        <f>"12572QAL9"</f>
        <v>12572QAL9</v>
      </c>
      <c r="B3552" t="s">
        <v>101</v>
      </c>
      <c r="C3552" t="s">
        <v>4440</v>
      </c>
      <c r="D3552" t="s">
        <v>2433</v>
      </c>
      <c r="E3552">
        <v>4.4000000000000004</v>
      </c>
      <c r="F3552" s="2">
        <v>47557</v>
      </c>
      <c r="G3552" s="2">
        <v>47529</v>
      </c>
      <c r="H3552" t="s">
        <v>624</v>
      </c>
      <c r="I3552" t="s">
        <v>616</v>
      </c>
      <c r="J3552">
        <v>98.831999999999994</v>
      </c>
      <c r="K3552">
        <v>99.108999999999995</v>
      </c>
      <c r="L3552">
        <v>4.6639999999999997</v>
      </c>
      <c r="M3552">
        <v>4.601</v>
      </c>
      <c r="N3552">
        <v>4.601</v>
      </c>
      <c r="O3552" t="s">
        <v>101</v>
      </c>
      <c r="P3552" t="s">
        <v>3878</v>
      </c>
      <c r="Q3552" t="s">
        <v>2774</v>
      </c>
      <c r="R3552" t="s">
        <v>2436</v>
      </c>
    </row>
    <row r="3553" spans="1:18" x14ac:dyDescent="0.5">
      <c r="A3553" t="str">
        <f>"26442CBP8"</f>
        <v>26442CBP8</v>
      </c>
      <c r="B3553" t="s">
        <v>101</v>
      </c>
      <c r="C3553" t="s">
        <v>4441</v>
      </c>
      <c r="D3553" t="s">
        <v>2433</v>
      </c>
      <c r="E3553">
        <v>4.8499999999999996</v>
      </c>
      <c r="F3553" s="2">
        <v>47557</v>
      </c>
      <c r="G3553" s="2">
        <v>47529</v>
      </c>
      <c r="H3553" t="s">
        <v>624</v>
      </c>
      <c r="I3553" t="s">
        <v>611</v>
      </c>
      <c r="J3553">
        <v>100.33199999999999</v>
      </c>
      <c r="K3553">
        <v>100.601</v>
      </c>
      <c r="L3553">
        <v>4.7690000000000001</v>
      </c>
      <c r="M3553">
        <v>4.7080000000000002</v>
      </c>
      <c r="N3553">
        <v>4.7089999999999996</v>
      </c>
      <c r="O3553" t="s">
        <v>101</v>
      </c>
      <c r="P3553" t="s">
        <v>2776</v>
      </c>
      <c r="Q3553" t="s">
        <v>3278</v>
      </c>
      <c r="R3553" t="s">
        <v>2436</v>
      </c>
    </row>
    <row r="3554" spans="1:18" x14ac:dyDescent="0.5">
      <c r="A3554" t="str">
        <f>"373334KY6"</f>
        <v>373334KY6</v>
      </c>
      <c r="B3554" t="s">
        <v>101</v>
      </c>
      <c r="C3554" t="s">
        <v>4442</v>
      </c>
      <c r="D3554" t="s">
        <v>2433</v>
      </c>
      <c r="E3554">
        <v>4.55</v>
      </c>
      <c r="F3554" s="2">
        <v>47557</v>
      </c>
      <c r="G3554" s="2">
        <v>47498</v>
      </c>
      <c r="H3554" t="s">
        <v>627</v>
      </c>
      <c r="I3554" t="s">
        <v>611</v>
      </c>
      <c r="J3554">
        <v>99.066999999999993</v>
      </c>
      <c r="K3554">
        <v>99.221000000000004</v>
      </c>
      <c r="L3554">
        <v>4.7549999999999999</v>
      </c>
      <c r="M3554">
        <v>4.72</v>
      </c>
      <c r="N3554">
        <v>4.72</v>
      </c>
      <c r="O3554" t="s">
        <v>101</v>
      </c>
      <c r="P3554" t="s">
        <v>715</v>
      </c>
      <c r="Q3554" t="s">
        <v>2581</v>
      </c>
      <c r="R3554" t="s">
        <v>2436</v>
      </c>
    </row>
    <row r="3555" spans="1:18" x14ac:dyDescent="0.5">
      <c r="A3555" t="str">
        <f>"571748CA8"</f>
        <v>571748CA8</v>
      </c>
      <c r="B3555" t="s">
        <v>101</v>
      </c>
      <c r="C3555" t="s">
        <v>4443</v>
      </c>
      <c r="D3555" t="s">
        <v>2433</v>
      </c>
      <c r="E3555">
        <v>4.6500000000000004</v>
      </c>
      <c r="F3555" s="2">
        <v>47557</v>
      </c>
      <c r="G3555" s="2">
        <v>47529</v>
      </c>
      <c r="H3555" t="s">
        <v>627</v>
      </c>
      <c r="I3555" t="s">
        <v>713</v>
      </c>
      <c r="J3555">
        <v>99.417000000000002</v>
      </c>
      <c r="K3555">
        <v>99.608999999999995</v>
      </c>
      <c r="L3555">
        <v>4.782</v>
      </c>
      <c r="M3555">
        <v>4.7389999999999999</v>
      </c>
      <c r="N3555">
        <v>4.7389999999999999</v>
      </c>
      <c r="O3555" t="s">
        <v>101</v>
      </c>
      <c r="P3555" t="s">
        <v>2472</v>
      </c>
      <c r="Q3555" t="s">
        <v>4444</v>
      </c>
      <c r="R3555" t="s">
        <v>2436</v>
      </c>
    </row>
    <row r="3556" spans="1:18" x14ac:dyDescent="0.5">
      <c r="A3556" t="str">
        <f>"59523UAR8"</f>
        <v>59523UAR8</v>
      </c>
      <c r="B3556" t="s">
        <v>101</v>
      </c>
      <c r="C3556" t="s">
        <v>4445</v>
      </c>
      <c r="D3556" t="s">
        <v>2433</v>
      </c>
      <c r="E3556">
        <v>2.75</v>
      </c>
      <c r="F3556" s="2">
        <v>47557</v>
      </c>
      <c r="G3556" s="2">
        <v>47467</v>
      </c>
      <c r="H3556" t="s">
        <v>627</v>
      </c>
      <c r="I3556" t="s">
        <v>713</v>
      </c>
      <c r="J3556">
        <v>90.718999999999994</v>
      </c>
      <c r="K3556">
        <v>90.927000000000007</v>
      </c>
      <c r="L3556">
        <v>4.8600000000000003</v>
      </c>
      <c r="M3556">
        <v>4.8099999999999996</v>
      </c>
      <c r="N3556">
        <v>4.8099999999999996</v>
      </c>
      <c r="O3556" t="s">
        <v>101</v>
      </c>
      <c r="P3556" t="s">
        <v>2447</v>
      </c>
      <c r="Q3556" t="s">
        <v>2807</v>
      </c>
      <c r="R3556" t="s">
        <v>2436</v>
      </c>
    </row>
    <row r="3557" spans="1:18" x14ac:dyDescent="0.5">
      <c r="A3557" t="str">
        <f>"637432NV3"</f>
        <v>637432NV3</v>
      </c>
      <c r="B3557" t="s">
        <v>101</v>
      </c>
      <c r="C3557" t="s">
        <v>4446</v>
      </c>
      <c r="D3557" t="s">
        <v>2433</v>
      </c>
      <c r="E3557">
        <v>2.4</v>
      </c>
      <c r="F3557" s="2">
        <v>47557</v>
      </c>
      <c r="G3557" s="2">
        <v>47467</v>
      </c>
      <c r="H3557" t="s">
        <v>641</v>
      </c>
      <c r="I3557" t="s">
        <v>713</v>
      </c>
      <c r="J3557">
        <v>89.111999999999995</v>
      </c>
      <c r="K3557">
        <v>90.039000000000001</v>
      </c>
      <c r="L3557">
        <v>4.8760000000000003</v>
      </c>
      <c r="M3557">
        <v>4.6520000000000001</v>
      </c>
      <c r="N3557">
        <v>4.6520000000000001</v>
      </c>
      <c r="O3557" t="s">
        <v>101</v>
      </c>
      <c r="P3557" t="s">
        <v>4447</v>
      </c>
      <c r="Q3557" t="s">
        <v>3845</v>
      </c>
      <c r="R3557" t="s">
        <v>2436</v>
      </c>
    </row>
    <row r="3558" spans="1:18" x14ac:dyDescent="0.5">
      <c r="A3558" t="str">
        <f>"678858BU4"</f>
        <v>678858BU4</v>
      </c>
      <c r="B3558" t="s">
        <v>101</v>
      </c>
      <c r="C3558" t="s">
        <v>4448</v>
      </c>
      <c r="D3558" t="s">
        <v>2433</v>
      </c>
      <c r="E3558">
        <v>3.3</v>
      </c>
      <c r="F3558" s="2">
        <v>47557</v>
      </c>
      <c r="G3558" s="2">
        <v>47376</v>
      </c>
      <c r="H3558" t="s">
        <v>627</v>
      </c>
      <c r="I3558" t="s">
        <v>713</v>
      </c>
      <c r="J3558">
        <v>93.308000000000007</v>
      </c>
      <c r="K3558">
        <v>93.54</v>
      </c>
      <c r="L3558">
        <v>4.82</v>
      </c>
      <c r="M3558">
        <v>4.7649999999999997</v>
      </c>
      <c r="N3558">
        <v>4.7649999999999997</v>
      </c>
      <c r="O3558" t="s">
        <v>101</v>
      </c>
      <c r="P3558" t="s">
        <v>1702</v>
      </c>
      <c r="Q3558" t="s">
        <v>2454</v>
      </c>
      <c r="R3558" t="s">
        <v>2436</v>
      </c>
    </row>
    <row r="3559" spans="1:18" x14ac:dyDescent="0.5">
      <c r="A3559" t="str">
        <f>"756109BR4"</f>
        <v>756109BR4</v>
      </c>
      <c r="B3559" t="s">
        <v>101</v>
      </c>
      <c r="C3559" t="s">
        <v>4449</v>
      </c>
      <c r="D3559" t="s">
        <v>2433</v>
      </c>
      <c r="E3559">
        <v>4.8499999999999996</v>
      </c>
      <c r="F3559" s="2">
        <v>47557</v>
      </c>
      <c r="G3559" s="2">
        <v>47498</v>
      </c>
      <c r="H3559" t="s">
        <v>627</v>
      </c>
      <c r="I3559" t="s">
        <v>713</v>
      </c>
      <c r="J3559">
        <v>99.992000000000004</v>
      </c>
      <c r="K3559">
        <v>99.995000000000005</v>
      </c>
      <c r="L3559">
        <v>4.8520000000000003</v>
      </c>
      <c r="M3559">
        <v>4.843</v>
      </c>
      <c r="N3559">
        <v>4.851</v>
      </c>
      <c r="O3559" t="s">
        <v>101</v>
      </c>
      <c r="P3559" t="s">
        <v>3920</v>
      </c>
      <c r="Q3559" t="s">
        <v>3383</v>
      </c>
      <c r="R3559" t="s">
        <v>2436</v>
      </c>
    </row>
    <row r="3560" spans="1:18" x14ac:dyDescent="0.5">
      <c r="A3560" t="str">
        <f>"854502AL5"</f>
        <v>854502AL5</v>
      </c>
      <c r="B3560" t="s">
        <v>101</v>
      </c>
      <c r="C3560" t="s">
        <v>4450</v>
      </c>
      <c r="D3560" t="s">
        <v>2433</v>
      </c>
      <c r="E3560">
        <v>2.2999999999999998</v>
      </c>
      <c r="F3560" s="2">
        <v>47557</v>
      </c>
      <c r="G3560" s="2">
        <v>47467</v>
      </c>
      <c r="H3560" t="s">
        <v>685</v>
      </c>
      <c r="I3560" t="s">
        <v>713</v>
      </c>
      <c r="J3560">
        <v>87.8</v>
      </c>
      <c r="K3560">
        <v>88.087000000000003</v>
      </c>
      <c r="L3560">
        <v>5.09</v>
      </c>
      <c r="M3560">
        <v>5.0199999999999996</v>
      </c>
      <c r="N3560">
        <v>5.0199999999999996</v>
      </c>
      <c r="O3560" t="s">
        <v>101</v>
      </c>
      <c r="P3560" t="s">
        <v>2454</v>
      </c>
      <c r="Q3560" t="s">
        <v>2454</v>
      </c>
      <c r="R3560" t="s">
        <v>2436</v>
      </c>
    </row>
    <row r="3561" spans="1:18" x14ac:dyDescent="0.5">
      <c r="A3561" t="str">
        <f>"125523CL2"</f>
        <v>125523CL2</v>
      </c>
      <c r="B3561" t="s">
        <v>101</v>
      </c>
      <c r="C3561" t="s">
        <v>4451</v>
      </c>
      <c r="D3561" t="s">
        <v>2433</v>
      </c>
      <c r="E3561">
        <v>2.4</v>
      </c>
      <c r="F3561" s="2">
        <v>47557</v>
      </c>
      <c r="G3561" s="2">
        <v>47467</v>
      </c>
      <c r="H3561" t="s">
        <v>670</v>
      </c>
      <c r="I3561" t="s">
        <v>713</v>
      </c>
      <c r="J3561">
        <v>89.165999999999997</v>
      </c>
      <c r="K3561">
        <v>89.305000000000007</v>
      </c>
      <c r="L3561">
        <v>4.8630000000000004</v>
      </c>
      <c r="M3561">
        <v>4.83</v>
      </c>
      <c r="N3561">
        <v>4.83</v>
      </c>
      <c r="O3561" t="s">
        <v>101</v>
      </c>
      <c r="P3561" t="s">
        <v>2581</v>
      </c>
      <c r="Q3561" t="s">
        <v>1702</v>
      </c>
      <c r="R3561" t="s">
        <v>2436</v>
      </c>
    </row>
    <row r="3562" spans="1:18" x14ac:dyDescent="0.5">
      <c r="A3562" t="str">
        <f>"906548CR1"</f>
        <v>906548CR1</v>
      </c>
      <c r="B3562" t="s">
        <v>101</v>
      </c>
      <c r="C3562" t="s">
        <v>4452</v>
      </c>
      <c r="D3562" t="s">
        <v>2433</v>
      </c>
      <c r="E3562">
        <v>2.95</v>
      </c>
      <c r="F3562" s="2">
        <v>47557</v>
      </c>
      <c r="G3562" s="2">
        <v>47467</v>
      </c>
      <c r="H3562" t="s">
        <v>610</v>
      </c>
      <c r="I3562" t="s">
        <v>611</v>
      </c>
      <c r="J3562">
        <v>91.903999999999996</v>
      </c>
      <c r="K3562">
        <v>92.218999999999994</v>
      </c>
      <c r="L3562">
        <v>4.7869999999999999</v>
      </c>
      <c r="M3562">
        <v>4.7119999999999997</v>
      </c>
      <c r="N3562">
        <v>4.7119999999999997</v>
      </c>
      <c r="O3562" t="s">
        <v>101</v>
      </c>
      <c r="P3562" t="s">
        <v>3884</v>
      </c>
      <c r="Q3562" t="s">
        <v>3241</v>
      </c>
      <c r="R3562" t="s">
        <v>2436</v>
      </c>
    </row>
    <row r="3563" spans="1:18" x14ac:dyDescent="0.5">
      <c r="A3563" t="str">
        <f>"94106LCC1"</f>
        <v>94106LCC1</v>
      </c>
      <c r="B3563" t="s">
        <v>101</v>
      </c>
      <c r="C3563" t="s">
        <v>4453</v>
      </c>
      <c r="D3563" t="s">
        <v>2433</v>
      </c>
      <c r="E3563">
        <v>4.6500000000000004</v>
      </c>
      <c r="F3563" s="2">
        <v>47557</v>
      </c>
      <c r="G3563" s="2">
        <v>47529</v>
      </c>
      <c r="H3563" t="s">
        <v>627</v>
      </c>
      <c r="I3563" t="s">
        <v>713</v>
      </c>
      <c r="J3563">
        <v>99.852999999999994</v>
      </c>
      <c r="K3563">
        <v>100.023</v>
      </c>
      <c r="L3563">
        <v>4.6829999999999998</v>
      </c>
      <c r="M3563">
        <v>4.6449999999999996</v>
      </c>
      <c r="N3563">
        <v>4.6449999999999996</v>
      </c>
      <c r="O3563" t="s">
        <v>101</v>
      </c>
      <c r="P3563" t="s">
        <v>1702</v>
      </c>
      <c r="Q3563" t="s">
        <v>2454</v>
      </c>
      <c r="R3563" t="s">
        <v>2436</v>
      </c>
    </row>
    <row r="3564" spans="1:18" x14ac:dyDescent="0.5">
      <c r="A3564" t="str">
        <f>"30231GBK7"</f>
        <v>30231GBK7</v>
      </c>
      <c r="B3564" t="s">
        <v>101</v>
      </c>
      <c r="C3564" t="s">
        <v>4454</v>
      </c>
      <c r="D3564" t="s">
        <v>2433</v>
      </c>
      <c r="E3564">
        <v>3.4820000000000002</v>
      </c>
      <c r="F3564" s="2">
        <v>47561</v>
      </c>
      <c r="G3564" s="2">
        <v>47471</v>
      </c>
      <c r="H3564" t="s">
        <v>613</v>
      </c>
      <c r="I3564" t="s">
        <v>616</v>
      </c>
      <c r="J3564">
        <v>95.266000000000005</v>
      </c>
      <c r="K3564">
        <v>95.370999999999995</v>
      </c>
      <c r="L3564">
        <v>4.5469999999999997</v>
      </c>
      <c r="M3564">
        <v>4.5229999999999997</v>
      </c>
      <c r="N3564">
        <v>4.5229999999999997</v>
      </c>
      <c r="O3564" t="s">
        <v>101</v>
      </c>
      <c r="P3564" t="s">
        <v>2472</v>
      </c>
      <c r="Q3564" t="s">
        <v>3239</v>
      </c>
      <c r="R3564" t="s">
        <v>2436</v>
      </c>
    </row>
    <row r="3565" spans="1:18" x14ac:dyDescent="0.5">
      <c r="A3565" t="str">
        <f>"713448ES3"</f>
        <v>713448ES3</v>
      </c>
      <c r="B3565" t="s">
        <v>101</v>
      </c>
      <c r="C3565" t="s">
        <v>4455</v>
      </c>
      <c r="D3565" t="s">
        <v>2433</v>
      </c>
      <c r="E3565">
        <v>2.75</v>
      </c>
      <c r="F3565" s="2">
        <v>47561</v>
      </c>
      <c r="G3565" s="2">
        <v>47471</v>
      </c>
      <c r="H3565" t="s">
        <v>641</v>
      </c>
      <c r="I3565" t="s">
        <v>658</v>
      </c>
      <c r="J3565">
        <v>91.748000000000005</v>
      </c>
      <c r="K3565">
        <v>91.975999999999999</v>
      </c>
      <c r="L3565">
        <v>4.6100000000000003</v>
      </c>
      <c r="M3565">
        <v>4.556</v>
      </c>
      <c r="N3565">
        <v>4.556</v>
      </c>
      <c r="O3565" t="s">
        <v>101</v>
      </c>
      <c r="P3565" t="s">
        <v>3884</v>
      </c>
      <c r="Q3565" t="s">
        <v>2454</v>
      </c>
      <c r="R3565" t="s">
        <v>2436</v>
      </c>
    </row>
    <row r="3566" spans="1:18" x14ac:dyDescent="0.5">
      <c r="A3566" t="str">
        <f>"254687FQ4"</f>
        <v>254687FQ4</v>
      </c>
      <c r="B3566" t="s">
        <v>101</v>
      </c>
      <c r="C3566" t="s">
        <v>4456</v>
      </c>
      <c r="D3566" t="s">
        <v>2433</v>
      </c>
      <c r="E3566">
        <v>3.8</v>
      </c>
      <c r="F3566" s="2">
        <v>47564</v>
      </c>
      <c r="G3566" s="2" t="s">
        <v>101</v>
      </c>
      <c r="H3566" t="s">
        <v>610</v>
      </c>
      <c r="I3566" t="s">
        <v>611</v>
      </c>
      <c r="J3566">
        <v>96.400999999999996</v>
      </c>
      <c r="K3566">
        <v>96.456000000000003</v>
      </c>
      <c r="L3566">
        <v>4.6100000000000003</v>
      </c>
      <c r="M3566">
        <v>4.5970000000000004</v>
      </c>
      <c r="N3566">
        <v>4.5970000000000004</v>
      </c>
      <c r="O3566" t="s">
        <v>101</v>
      </c>
      <c r="P3566" t="s">
        <v>2447</v>
      </c>
      <c r="Q3566" t="s">
        <v>2454</v>
      </c>
      <c r="R3566" t="s">
        <v>2436</v>
      </c>
    </row>
    <row r="3567" spans="1:18" x14ac:dyDescent="0.5">
      <c r="A3567" t="str">
        <f>"49177JAH5"</f>
        <v>49177JAH5</v>
      </c>
      <c r="B3567" t="s">
        <v>101</v>
      </c>
      <c r="C3567" t="s">
        <v>4457</v>
      </c>
      <c r="D3567" t="s">
        <v>2433</v>
      </c>
      <c r="E3567">
        <v>5</v>
      </c>
      <c r="F3567" s="2">
        <v>47564</v>
      </c>
      <c r="G3567" s="2">
        <v>47505</v>
      </c>
      <c r="H3567" t="s">
        <v>641</v>
      </c>
      <c r="I3567" t="s">
        <v>611</v>
      </c>
      <c r="J3567">
        <v>101.501</v>
      </c>
      <c r="K3567">
        <v>101.67400000000001</v>
      </c>
      <c r="L3567">
        <v>4.6520000000000001</v>
      </c>
      <c r="M3567">
        <v>4.6120000000000001</v>
      </c>
      <c r="N3567">
        <v>4.6230000000000002</v>
      </c>
      <c r="O3567" t="s">
        <v>101</v>
      </c>
      <c r="P3567" t="s">
        <v>2289</v>
      </c>
      <c r="Q3567" t="s">
        <v>3411</v>
      </c>
      <c r="R3567" t="s">
        <v>2436</v>
      </c>
    </row>
    <row r="3568" spans="1:18" x14ac:dyDescent="0.5">
      <c r="A3568" t="str">
        <f>"808513BC8"</f>
        <v>808513BC8</v>
      </c>
      <c r="B3568" t="s">
        <v>101</v>
      </c>
      <c r="C3568" t="s">
        <v>4458</v>
      </c>
      <c r="D3568" t="s">
        <v>2433</v>
      </c>
      <c r="E3568">
        <v>4.625</v>
      </c>
      <c r="F3568" s="2">
        <v>47564</v>
      </c>
      <c r="G3568" s="2">
        <v>47474</v>
      </c>
      <c r="H3568" t="s">
        <v>610</v>
      </c>
      <c r="I3568" t="s">
        <v>713</v>
      </c>
      <c r="J3568">
        <v>100.185</v>
      </c>
      <c r="K3568">
        <v>100.354</v>
      </c>
      <c r="L3568">
        <v>4.5819999999999999</v>
      </c>
      <c r="M3568">
        <v>4.5430000000000001</v>
      </c>
      <c r="N3568">
        <v>4.5449999999999999</v>
      </c>
      <c r="O3568" t="s">
        <v>101</v>
      </c>
      <c r="P3568" t="s">
        <v>1391</v>
      </c>
      <c r="Q3568" t="s">
        <v>2454</v>
      </c>
      <c r="R3568" t="s">
        <v>2436</v>
      </c>
    </row>
    <row r="3569" spans="1:18" x14ac:dyDescent="0.5">
      <c r="A3569" t="str">
        <f>"59156RBZ0"</f>
        <v>59156RBZ0</v>
      </c>
      <c r="B3569" t="s">
        <v>101</v>
      </c>
      <c r="C3569" t="s">
        <v>4459</v>
      </c>
      <c r="D3569" t="s">
        <v>2433</v>
      </c>
      <c r="E3569">
        <v>4.55</v>
      </c>
      <c r="F3569" s="2">
        <v>47565</v>
      </c>
      <c r="G3569" s="2">
        <v>47475</v>
      </c>
      <c r="H3569" t="s">
        <v>627</v>
      </c>
      <c r="I3569" t="s">
        <v>713</v>
      </c>
      <c r="J3569">
        <v>99.332999999999998</v>
      </c>
      <c r="K3569">
        <v>99.587999999999994</v>
      </c>
      <c r="L3569">
        <v>4.7</v>
      </c>
      <c r="M3569">
        <v>4.6420000000000003</v>
      </c>
      <c r="N3569">
        <v>4.6420000000000003</v>
      </c>
      <c r="O3569" t="s">
        <v>101</v>
      </c>
      <c r="P3569" t="s">
        <v>2472</v>
      </c>
      <c r="Q3569" t="s">
        <v>2454</v>
      </c>
      <c r="R3569" t="s">
        <v>2436</v>
      </c>
    </row>
    <row r="3570" spans="1:18" x14ac:dyDescent="0.5">
      <c r="A3570" t="str">
        <f>"278865BE9"</f>
        <v>278865BE9</v>
      </c>
      <c r="B3570" t="s">
        <v>101</v>
      </c>
      <c r="C3570" t="s">
        <v>4460</v>
      </c>
      <c r="D3570" t="s">
        <v>2433</v>
      </c>
      <c r="E3570">
        <v>4.8</v>
      </c>
      <c r="F3570" s="2">
        <v>47566</v>
      </c>
      <c r="G3570" s="2">
        <v>47476</v>
      </c>
      <c r="H3570" t="s">
        <v>627</v>
      </c>
      <c r="I3570" t="s">
        <v>713</v>
      </c>
      <c r="J3570">
        <v>100.8</v>
      </c>
      <c r="K3570">
        <v>101.1</v>
      </c>
      <c r="L3570">
        <v>4.6109999999999998</v>
      </c>
      <c r="M3570">
        <v>4.5419999999999998</v>
      </c>
      <c r="N3570">
        <v>4.5529999999999999</v>
      </c>
      <c r="O3570" t="s">
        <v>101</v>
      </c>
      <c r="P3570" t="s">
        <v>3239</v>
      </c>
      <c r="Q3570" t="s">
        <v>2454</v>
      </c>
      <c r="R3570" t="s">
        <v>2436</v>
      </c>
    </row>
    <row r="3571" spans="1:18" x14ac:dyDescent="0.5">
      <c r="A3571" t="str">
        <f>"191216CT5"</f>
        <v>191216CT5</v>
      </c>
      <c r="B3571" t="s">
        <v>101</v>
      </c>
      <c r="C3571" t="s">
        <v>4461</v>
      </c>
      <c r="D3571" t="s">
        <v>2433</v>
      </c>
      <c r="E3571">
        <v>3.45</v>
      </c>
      <c r="F3571" s="2">
        <v>47567</v>
      </c>
      <c r="G3571" s="2" t="s">
        <v>101</v>
      </c>
      <c r="H3571" t="s">
        <v>641</v>
      </c>
      <c r="I3571" t="s">
        <v>658</v>
      </c>
      <c r="J3571">
        <v>95.156999999999996</v>
      </c>
      <c r="K3571">
        <v>95.364000000000004</v>
      </c>
      <c r="L3571">
        <v>4.5359999999999996</v>
      </c>
      <c r="M3571">
        <v>4.4880000000000004</v>
      </c>
      <c r="N3571">
        <v>4.4880000000000004</v>
      </c>
      <c r="O3571" t="s">
        <v>101</v>
      </c>
      <c r="P3571" t="s">
        <v>2786</v>
      </c>
      <c r="Q3571" t="s">
        <v>2454</v>
      </c>
      <c r="R3571" t="s">
        <v>2436</v>
      </c>
    </row>
    <row r="3572" spans="1:18" x14ac:dyDescent="0.5">
      <c r="A3572" t="str">
        <f>"742718FH7"</f>
        <v>742718FH7</v>
      </c>
      <c r="B3572" t="s">
        <v>101</v>
      </c>
      <c r="C3572" t="s">
        <v>4462</v>
      </c>
      <c r="D3572" t="s">
        <v>2433</v>
      </c>
      <c r="E3572">
        <v>3</v>
      </c>
      <c r="F3572" s="2">
        <v>47567</v>
      </c>
      <c r="G3572" s="2" t="s">
        <v>101</v>
      </c>
      <c r="H3572" t="s">
        <v>624</v>
      </c>
      <c r="I3572" t="s">
        <v>616</v>
      </c>
      <c r="J3572">
        <v>93.45</v>
      </c>
      <c r="K3572">
        <v>93.63</v>
      </c>
      <c r="L3572">
        <v>4.4669999999999996</v>
      </c>
      <c r="M3572">
        <v>4.4249999999999998</v>
      </c>
      <c r="N3572">
        <v>4.4249999999999998</v>
      </c>
      <c r="O3572" t="s">
        <v>101</v>
      </c>
      <c r="P3572" t="s">
        <v>2581</v>
      </c>
      <c r="Q3572" t="s">
        <v>2746</v>
      </c>
      <c r="R3572" t="s">
        <v>2436</v>
      </c>
    </row>
    <row r="3573" spans="1:18" x14ac:dyDescent="0.5">
      <c r="A3573" t="str">
        <f>"494368CB7"</f>
        <v>494368CB7</v>
      </c>
      <c r="B3573" t="s">
        <v>101</v>
      </c>
      <c r="C3573" t="s">
        <v>4463</v>
      </c>
      <c r="D3573" t="s">
        <v>2433</v>
      </c>
      <c r="E3573">
        <v>3.1</v>
      </c>
      <c r="F3573" s="2">
        <v>47568</v>
      </c>
      <c r="G3573" s="2">
        <v>47478</v>
      </c>
      <c r="H3573" t="s">
        <v>610</v>
      </c>
      <c r="I3573" t="s">
        <v>611</v>
      </c>
      <c r="J3573">
        <v>93.183999999999997</v>
      </c>
      <c r="K3573">
        <v>93.424999999999997</v>
      </c>
      <c r="L3573">
        <v>4.6319999999999997</v>
      </c>
      <c r="M3573">
        <v>4.5759999999999996</v>
      </c>
      <c r="N3573">
        <v>4.5759999999999996</v>
      </c>
      <c r="O3573" t="s">
        <v>101</v>
      </c>
      <c r="P3573" t="s">
        <v>3884</v>
      </c>
      <c r="Q3573" t="s">
        <v>2454</v>
      </c>
      <c r="R3573" t="s">
        <v>2436</v>
      </c>
    </row>
    <row r="3574" spans="1:18" x14ac:dyDescent="0.5">
      <c r="A3574" t="str">
        <f>"57636QAP9"</f>
        <v>57636QAP9</v>
      </c>
      <c r="B3574" t="s">
        <v>101</v>
      </c>
      <c r="C3574" t="s">
        <v>4464</v>
      </c>
      <c r="D3574" t="s">
        <v>2433</v>
      </c>
      <c r="E3574">
        <v>3.35</v>
      </c>
      <c r="F3574" s="2">
        <v>47568</v>
      </c>
      <c r="G3574" s="2">
        <v>47478</v>
      </c>
      <c r="H3574" t="s">
        <v>624</v>
      </c>
      <c r="I3574" t="s">
        <v>658</v>
      </c>
      <c r="J3574">
        <v>94.254000000000005</v>
      </c>
      <c r="K3574">
        <v>94.444999999999993</v>
      </c>
      <c r="L3574">
        <v>4.6420000000000003</v>
      </c>
      <c r="M3574">
        <v>4.5970000000000004</v>
      </c>
      <c r="N3574">
        <v>4.5970000000000004</v>
      </c>
      <c r="O3574" t="s">
        <v>101</v>
      </c>
      <c r="P3574" t="s">
        <v>3920</v>
      </c>
      <c r="Q3574" t="s">
        <v>1702</v>
      </c>
      <c r="R3574" t="s">
        <v>2436</v>
      </c>
    </row>
    <row r="3575" spans="1:18" x14ac:dyDescent="0.5">
      <c r="A3575" t="str">
        <f>"743315AW3"</f>
        <v>743315AW3</v>
      </c>
      <c r="B3575" t="s">
        <v>101</v>
      </c>
      <c r="C3575" t="s">
        <v>4465</v>
      </c>
      <c r="D3575" t="s">
        <v>2433</v>
      </c>
      <c r="E3575">
        <v>3.2</v>
      </c>
      <c r="F3575" s="2">
        <v>47568</v>
      </c>
      <c r="G3575" s="2">
        <v>47478</v>
      </c>
      <c r="H3575" t="s">
        <v>610</v>
      </c>
      <c r="I3575" t="s">
        <v>611</v>
      </c>
      <c r="J3575">
        <v>93.53</v>
      </c>
      <c r="K3575">
        <v>93.692999999999998</v>
      </c>
      <c r="L3575">
        <v>4.6550000000000002</v>
      </c>
      <c r="M3575">
        <v>4.617</v>
      </c>
      <c r="N3575">
        <v>4.617</v>
      </c>
      <c r="O3575" t="s">
        <v>101</v>
      </c>
      <c r="P3575" t="s">
        <v>2443</v>
      </c>
      <c r="Q3575" t="s">
        <v>2500</v>
      </c>
      <c r="R3575" t="s">
        <v>2436</v>
      </c>
    </row>
    <row r="3576" spans="1:18" x14ac:dyDescent="0.5">
      <c r="A3576" t="str">
        <f>"039482AB0"</f>
        <v>039482AB0</v>
      </c>
      <c r="B3576" t="s">
        <v>101</v>
      </c>
      <c r="C3576" t="s">
        <v>4466</v>
      </c>
      <c r="D3576" t="s">
        <v>2433</v>
      </c>
      <c r="E3576">
        <v>3.25</v>
      </c>
      <c r="F3576" s="2">
        <v>47569</v>
      </c>
      <c r="G3576" s="2">
        <v>47479</v>
      </c>
      <c r="H3576" t="s">
        <v>610</v>
      </c>
      <c r="I3576" t="s">
        <v>611</v>
      </c>
      <c r="J3576">
        <v>93.372</v>
      </c>
      <c r="K3576">
        <v>93.614999999999995</v>
      </c>
      <c r="L3576">
        <v>4.7430000000000003</v>
      </c>
      <c r="M3576">
        <v>4.6859999999999999</v>
      </c>
      <c r="N3576">
        <v>4.6859999999999999</v>
      </c>
      <c r="O3576" t="s">
        <v>101</v>
      </c>
      <c r="P3576" t="s">
        <v>2454</v>
      </c>
      <c r="Q3576" t="s">
        <v>2454</v>
      </c>
      <c r="R3576" t="s">
        <v>2436</v>
      </c>
    </row>
    <row r="3577" spans="1:18" x14ac:dyDescent="0.5">
      <c r="A3577" t="str">
        <f>"654106AK9"</f>
        <v>654106AK9</v>
      </c>
      <c r="B3577" t="s">
        <v>101</v>
      </c>
      <c r="C3577" t="s">
        <v>4467</v>
      </c>
      <c r="D3577" t="s">
        <v>2433</v>
      </c>
      <c r="E3577">
        <v>2.85</v>
      </c>
      <c r="F3577" s="2">
        <v>47569</v>
      </c>
      <c r="G3577" s="2">
        <v>47479</v>
      </c>
      <c r="H3577" t="s">
        <v>641</v>
      </c>
      <c r="I3577" t="s">
        <v>616</v>
      </c>
      <c r="J3577">
        <v>91.906999999999996</v>
      </c>
      <c r="K3577">
        <v>92.063999999999993</v>
      </c>
      <c r="L3577">
        <v>4.67</v>
      </c>
      <c r="M3577">
        <v>4.633</v>
      </c>
      <c r="N3577">
        <v>4.633</v>
      </c>
      <c r="O3577" t="s">
        <v>101</v>
      </c>
      <c r="P3577" t="s">
        <v>2447</v>
      </c>
      <c r="Q3577" t="s">
        <v>2454</v>
      </c>
      <c r="R3577" t="s">
        <v>2436</v>
      </c>
    </row>
    <row r="3578" spans="1:18" x14ac:dyDescent="0.5">
      <c r="A3578" t="str">
        <f>"404280CF4"</f>
        <v>404280CF4</v>
      </c>
      <c r="B3578" t="s">
        <v>101</v>
      </c>
      <c r="C3578" t="s">
        <v>4468</v>
      </c>
      <c r="D3578" t="s">
        <v>2433</v>
      </c>
      <c r="E3578">
        <v>4.95</v>
      </c>
      <c r="F3578" s="2">
        <v>47573</v>
      </c>
      <c r="G3578" s="2" t="s">
        <v>101</v>
      </c>
      <c r="H3578" t="s">
        <v>627</v>
      </c>
      <c r="I3578" t="s">
        <v>713</v>
      </c>
      <c r="J3578">
        <v>99.710999999999999</v>
      </c>
      <c r="K3578">
        <v>99.900999999999996</v>
      </c>
      <c r="L3578">
        <v>5.0119999999999996</v>
      </c>
      <c r="M3578">
        <v>4.9720000000000004</v>
      </c>
      <c r="N3578">
        <v>4.9720000000000004</v>
      </c>
      <c r="O3578" t="s">
        <v>101</v>
      </c>
      <c r="P3578" t="s">
        <v>228</v>
      </c>
      <c r="Q3578" t="s">
        <v>2687</v>
      </c>
      <c r="R3578" t="s">
        <v>2436</v>
      </c>
    </row>
    <row r="3579" spans="1:18" x14ac:dyDescent="0.5">
      <c r="A3579" t="str">
        <f>"001055BJ0"</f>
        <v>001055BJ0</v>
      </c>
      <c r="B3579" t="s">
        <v>101</v>
      </c>
      <c r="C3579" t="s">
        <v>4469</v>
      </c>
      <c r="D3579" t="s">
        <v>2433</v>
      </c>
      <c r="E3579">
        <v>3.6</v>
      </c>
      <c r="F3579" s="2">
        <v>47574</v>
      </c>
      <c r="G3579" s="2">
        <v>47484</v>
      </c>
      <c r="H3579" t="s">
        <v>627</v>
      </c>
      <c r="I3579" t="s">
        <v>713</v>
      </c>
      <c r="J3579">
        <v>95.02</v>
      </c>
      <c r="K3579">
        <v>95.278999999999996</v>
      </c>
      <c r="L3579">
        <v>4.7190000000000003</v>
      </c>
      <c r="M3579">
        <v>4.6589999999999998</v>
      </c>
      <c r="N3579">
        <v>4.6589999999999998</v>
      </c>
      <c r="O3579" t="s">
        <v>101</v>
      </c>
      <c r="P3579" t="s">
        <v>2447</v>
      </c>
      <c r="Q3579" t="s">
        <v>2454</v>
      </c>
      <c r="R3579" t="s">
        <v>2436</v>
      </c>
    </row>
    <row r="3580" spans="1:18" x14ac:dyDescent="0.5">
      <c r="A3580" t="str">
        <f>"20030NDG3"</f>
        <v>20030NDG3</v>
      </c>
      <c r="B3580" t="s">
        <v>101</v>
      </c>
      <c r="C3580" t="s">
        <v>4470</v>
      </c>
      <c r="D3580" t="s">
        <v>2433</v>
      </c>
      <c r="E3580">
        <v>3.4</v>
      </c>
      <c r="F3580" s="2">
        <v>47574</v>
      </c>
      <c r="G3580" s="2">
        <v>47484</v>
      </c>
      <c r="H3580" t="s">
        <v>627</v>
      </c>
      <c r="I3580" t="s">
        <v>713</v>
      </c>
      <c r="J3580">
        <v>93.831000000000003</v>
      </c>
      <c r="K3580">
        <v>93.936999999999998</v>
      </c>
      <c r="L3580">
        <v>4.7889999999999997</v>
      </c>
      <c r="M3580">
        <v>4.7640000000000002</v>
      </c>
      <c r="N3580">
        <v>4.7640000000000002</v>
      </c>
      <c r="O3580" t="s">
        <v>101</v>
      </c>
      <c r="P3580" t="s">
        <v>1702</v>
      </c>
      <c r="Q3580" t="s">
        <v>2454</v>
      </c>
      <c r="R3580" t="s">
        <v>2436</v>
      </c>
    </row>
    <row r="3581" spans="1:18" x14ac:dyDescent="0.5">
      <c r="A3581" t="str">
        <f>"209111FX6"</f>
        <v>209111FX6</v>
      </c>
      <c r="B3581" t="s">
        <v>101</v>
      </c>
      <c r="C3581" t="s">
        <v>4471</v>
      </c>
      <c r="D3581" t="s">
        <v>2433</v>
      </c>
      <c r="E3581">
        <v>3.35</v>
      </c>
      <c r="F3581" s="2">
        <v>47574</v>
      </c>
      <c r="G3581" s="2">
        <v>47484</v>
      </c>
      <c r="H3581" t="s">
        <v>627</v>
      </c>
      <c r="I3581" t="s">
        <v>713</v>
      </c>
      <c r="J3581">
        <v>93.911000000000001</v>
      </c>
      <c r="K3581">
        <v>94.198999999999998</v>
      </c>
      <c r="L3581">
        <v>4.718</v>
      </c>
      <c r="M3581">
        <v>4.6509999999999998</v>
      </c>
      <c r="N3581">
        <v>4.6509999999999998</v>
      </c>
      <c r="O3581" t="s">
        <v>101</v>
      </c>
      <c r="P3581" t="s">
        <v>3878</v>
      </c>
      <c r="Q3581" t="s">
        <v>4472</v>
      </c>
      <c r="R3581" t="s">
        <v>2436</v>
      </c>
    </row>
    <row r="3582" spans="1:18" x14ac:dyDescent="0.5">
      <c r="A3582" t="str">
        <f>"369550BM9"</f>
        <v>369550BM9</v>
      </c>
      <c r="B3582" t="s">
        <v>101</v>
      </c>
      <c r="C3582" t="s">
        <v>4473</v>
      </c>
      <c r="D3582" t="s">
        <v>2433</v>
      </c>
      <c r="E3582">
        <v>3.625</v>
      </c>
      <c r="F3582" s="2">
        <v>47574</v>
      </c>
      <c r="G3582" s="2">
        <v>47484</v>
      </c>
      <c r="H3582" t="s">
        <v>610</v>
      </c>
      <c r="I3582" t="s">
        <v>611</v>
      </c>
      <c r="J3582">
        <v>95.379000000000005</v>
      </c>
      <c r="K3582">
        <v>95.65</v>
      </c>
      <c r="L3582">
        <v>4.6619999999999999</v>
      </c>
      <c r="M3582">
        <v>4.5990000000000002</v>
      </c>
      <c r="N3582">
        <v>4.5990000000000002</v>
      </c>
      <c r="O3582" t="s">
        <v>101</v>
      </c>
      <c r="P3582" t="s">
        <v>1702</v>
      </c>
      <c r="Q3582" t="s">
        <v>1702</v>
      </c>
      <c r="R3582" t="s">
        <v>2436</v>
      </c>
    </row>
    <row r="3583" spans="1:18" x14ac:dyDescent="0.5">
      <c r="A3583" t="str">
        <f>"67021CAP2"</f>
        <v>67021CAP2</v>
      </c>
      <c r="B3583" t="s">
        <v>101</v>
      </c>
      <c r="C3583" t="s">
        <v>4474</v>
      </c>
      <c r="D3583" t="s">
        <v>2433</v>
      </c>
      <c r="E3583">
        <v>3.95</v>
      </c>
      <c r="F3583" s="2">
        <v>47574</v>
      </c>
      <c r="G3583" s="2">
        <v>47484</v>
      </c>
      <c r="H3583" t="s">
        <v>610</v>
      </c>
      <c r="I3583" t="s">
        <v>713</v>
      </c>
      <c r="J3583">
        <v>96.382000000000005</v>
      </c>
      <c r="K3583">
        <v>96.783000000000001</v>
      </c>
      <c r="L3583">
        <v>4.7640000000000002</v>
      </c>
      <c r="M3583">
        <v>4.6719999999999997</v>
      </c>
      <c r="N3583">
        <v>4.6719999999999997</v>
      </c>
      <c r="O3583" t="s">
        <v>101</v>
      </c>
      <c r="P3583" t="s">
        <v>3884</v>
      </c>
      <c r="Q3583" t="s">
        <v>2454</v>
      </c>
      <c r="R3583" t="s">
        <v>2436</v>
      </c>
    </row>
    <row r="3584" spans="1:18" x14ac:dyDescent="0.5">
      <c r="A3584" t="str">
        <f>"67066GAF1"</f>
        <v>67066GAF1</v>
      </c>
      <c r="B3584" t="s">
        <v>101</v>
      </c>
      <c r="C3584" t="s">
        <v>4475</v>
      </c>
      <c r="D3584" t="s">
        <v>2433</v>
      </c>
      <c r="E3584">
        <v>2.85</v>
      </c>
      <c r="F3584" s="2">
        <v>47574</v>
      </c>
      <c r="G3584" s="2">
        <v>47484</v>
      </c>
      <c r="H3584" t="s">
        <v>624</v>
      </c>
      <c r="I3584" t="s">
        <v>616</v>
      </c>
      <c r="J3584">
        <v>92.643000000000001</v>
      </c>
      <c r="K3584">
        <v>92.762</v>
      </c>
      <c r="L3584">
        <v>4.4930000000000003</v>
      </c>
      <c r="M3584">
        <v>4.4660000000000002</v>
      </c>
      <c r="N3584">
        <v>4.4660000000000002</v>
      </c>
      <c r="O3584" t="s">
        <v>101</v>
      </c>
      <c r="P3584" t="s">
        <v>4476</v>
      </c>
      <c r="Q3584" t="s">
        <v>1702</v>
      </c>
      <c r="R3584" t="s">
        <v>2436</v>
      </c>
    </row>
    <row r="3585" spans="1:18" x14ac:dyDescent="0.5">
      <c r="A3585" t="str">
        <f>"678858BV2"</f>
        <v>678858BV2</v>
      </c>
      <c r="B3585" t="s">
        <v>101</v>
      </c>
      <c r="C3585" t="s">
        <v>4477</v>
      </c>
      <c r="D3585" t="s">
        <v>2433</v>
      </c>
      <c r="E3585">
        <v>3.25</v>
      </c>
      <c r="F3585" s="2">
        <v>47574</v>
      </c>
      <c r="G3585" s="2">
        <v>47392</v>
      </c>
      <c r="H3585" t="s">
        <v>627</v>
      </c>
      <c r="I3585" t="s">
        <v>713</v>
      </c>
      <c r="J3585">
        <v>92.947000000000003</v>
      </c>
      <c r="K3585">
        <v>93.311999999999998</v>
      </c>
      <c r="L3585">
        <v>4.84</v>
      </c>
      <c r="M3585">
        <v>4.7539999999999996</v>
      </c>
      <c r="N3585">
        <v>4.7539999999999996</v>
      </c>
      <c r="O3585" t="s">
        <v>101</v>
      </c>
      <c r="P3585" t="s">
        <v>1391</v>
      </c>
      <c r="Q3585" t="s">
        <v>2454</v>
      </c>
      <c r="R3585" t="s">
        <v>2436</v>
      </c>
    </row>
    <row r="3586" spans="1:18" x14ac:dyDescent="0.5">
      <c r="A3586" t="str">
        <f>"717081EW9"</f>
        <v>717081EW9</v>
      </c>
      <c r="B3586" t="s">
        <v>101</v>
      </c>
      <c r="C3586" t="s">
        <v>4478</v>
      </c>
      <c r="D3586" t="s">
        <v>2433</v>
      </c>
      <c r="E3586">
        <v>2.625</v>
      </c>
      <c r="F3586" s="2">
        <v>47574</v>
      </c>
      <c r="G3586" s="2">
        <v>47484</v>
      </c>
      <c r="H3586" t="s">
        <v>610</v>
      </c>
      <c r="I3586" t="s">
        <v>611</v>
      </c>
      <c r="J3586">
        <v>90.972999999999999</v>
      </c>
      <c r="K3586">
        <v>91.078999999999994</v>
      </c>
      <c r="L3586">
        <v>4.6500000000000004</v>
      </c>
      <c r="M3586">
        <v>4.625</v>
      </c>
      <c r="N3586">
        <v>4.625</v>
      </c>
      <c r="O3586" t="s">
        <v>101</v>
      </c>
      <c r="P3586" t="s">
        <v>3884</v>
      </c>
      <c r="Q3586" t="s">
        <v>1236</v>
      </c>
      <c r="R3586" t="s">
        <v>2436</v>
      </c>
    </row>
    <row r="3587" spans="1:18" x14ac:dyDescent="0.5">
      <c r="A3587" t="str">
        <f>"754730AG4"</f>
        <v>754730AG4</v>
      </c>
      <c r="B3587" t="s">
        <v>101</v>
      </c>
      <c r="C3587" t="s">
        <v>4479</v>
      </c>
      <c r="D3587" t="s">
        <v>2433</v>
      </c>
      <c r="E3587">
        <v>4.6500000000000004</v>
      </c>
      <c r="F3587" s="2">
        <v>47574</v>
      </c>
      <c r="G3587" s="2">
        <v>47484</v>
      </c>
      <c r="H3587" t="s">
        <v>627</v>
      </c>
      <c r="I3587" t="s">
        <v>713</v>
      </c>
      <c r="J3587">
        <v>99.491</v>
      </c>
      <c r="K3587">
        <v>99.774000000000001</v>
      </c>
      <c r="L3587">
        <v>4.7640000000000002</v>
      </c>
      <c r="M3587">
        <v>4.7</v>
      </c>
      <c r="N3587">
        <v>4.7</v>
      </c>
      <c r="O3587" t="s">
        <v>101</v>
      </c>
      <c r="P3587" t="s">
        <v>1702</v>
      </c>
      <c r="Q3587" t="s">
        <v>2454</v>
      </c>
      <c r="R3587" t="s">
        <v>2436</v>
      </c>
    </row>
    <row r="3588" spans="1:18" x14ac:dyDescent="0.5">
      <c r="A3588" t="str">
        <f>"89236TGY5"</f>
        <v>89236TGY5</v>
      </c>
      <c r="B3588" t="s">
        <v>101</v>
      </c>
      <c r="C3588" t="s">
        <v>4480</v>
      </c>
      <c r="D3588" t="s">
        <v>2433</v>
      </c>
      <c r="E3588">
        <v>3.375</v>
      </c>
      <c r="F3588" s="2">
        <v>47574</v>
      </c>
      <c r="G3588" s="2" t="s">
        <v>101</v>
      </c>
      <c r="H3588" t="s">
        <v>641</v>
      </c>
      <c r="I3588" t="s">
        <v>658</v>
      </c>
      <c r="J3588">
        <v>94.013999999999996</v>
      </c>
      <c r="K3588">
        <v>94.277000000000001</v>
      </c>
      <c r="L3588">
        <v>4.72</v>
      </c>
      <c r="M3588">
        <v>4.6589999999999998</v>
      </c>
      <c r="N3588">
        <v>4.6589999999999998</v>
      </c>
      <c r="O3588" t="s">
        <v>101</v>
      </c>
      <c r="P3588" t="s">
        <v>2595</v>
      </c>
      <c r="Q3588" t="s">
        <v>2595</v>
      </c>
      <c r="R3588" t="s">
        <v>2436</v>
      </c>
    </row>
    <row r="3589" spans="1:18" x14ac:dyDescent="0.5">
      <c r="A3589" t="str">
        <f>"911312BY1"</f>
        <v>911312BY1</v>
      </c>
      <c r="B3589" t="s">
        <v>101</v>
      </c>
      <c r="C3589" t="s">
        <v>4481</v>
      </c>
      <c r="D3589" t="s">
        <v>2433</v>
      </c>
      <c r="E3589">
        <v>4.45</v>
      </c>
      <c r="F3589" s="2">
        <v>47574</v>
      </c>
      <c r="G3589" s="2">
        <v>47484</v>
      </c>
      <c r="H3589" t="s">
        <v>610</v>
      </c>
      <c r="I3589" t="s">
        <v>611</v>
      </c>
      <c r="J3589">
        <v>99.367000000000004</v>
      </c>
      <c r="K3589">
        <v>99.46</v>
      </c>
      <c r="L3589">
        <v>4.5910000000000002</v>
      </c>
      <c r="M3589">
        <v>4.57</v>
      </c>
      <c r="N3589">
        <v>4.57</v>
      </c>
      <c r="O3589" t="s">
        <v>101</v>
      </c>
      <c r="P3589" t="s">
        <v>1236</v>
      </c>
      <c r="Q3589" t="s">
        <v>2581</v>
      </c>
      <c r="R3589" t="s">
        <v>2436</v>
      </c>
    </row>
    <row r="3590" spans="1:18" x14ac:dyDescent="0.5">
      <c r="A3590" t="str">
        <f>"04686JAB7"</f>
        <v>04686JAB7</v>
      </c>
      <c r="B3590" t="s">
        <v>101</v>
      </c>
      <c r="C3590" t="s">
        <v>4482</v>
      </c>
      <c r="D3590" t="s">
        <v>2433</v>
      </c>
      <c r="E3590">
        <v>6.15</v>
      </c>
      <c r="F3590" s="2">
        <v>47576</v>
      </c>
      <c r="G3590" s="2">
        <v>47486</v>
      </c>
      <c r="H3590" t="s">
        <v>670</v>
      </c>
      <c r="I3590" t="s">
        <v>713</v>
      </c>
      <c r="J3590">
        <v>104.735</v>
      </c>
      <c r="K3590">
        <v>105.32299999999999</v>
      </c>
      <c r="L3590">
        <v>5.03</v>
      </c>
      <c r="M3590">
        <v>4.8949999999999996</v>
      </c>
      <c r="N3590">
        <v>4.9470000000000001</v>
      </c>
      <c r="O3590" t="s">
        <v>101</v>
      </c>
      <c r="P3590" t="s">
        <v>4483</v>
      </c>
      <c r="Q3590" t="s">
        <v>2940</v>
      </c>
      <c r="R3590" t="s">
        <v>2436</v>
      </c>
    </row>
    <row r="3591" spans="1:18" x14ac:dyDescent="0.5">
      <c r="A3591" t="str">
        <f>"10373QBL3"</f>
        <v>10373QBL3</v>
      </c>
      <c r="B3591" t="s">
        <v>101</v>
      </c>
      <c r="C3591" t="s">
        <v>4484</v>
      </c>
      <c r="D3591" t="s">
        <v>2433</v>
      </c>
      <c r="E3591">
        <v>3.633</v>
      </c>
      <c r="F3591" s="2">
        <v>47579</v>
      </c>
      <c r="G3591" s="2">
        <v>47489</v>
      </c>
      <c r="H3591" t="s">
        <v>641</v>
      </c>
      <c r="I3591" t="s">
        <v>713</v>
      </c>
      <c r="J3591">
        <v>94.712000000000003</v>
      </c>
      <c r="K3591">
        <v>94.921999999999997</v>
      </c>
      <c r="L3591">
        <v>4.8209999999999997</v>
      </c>
      <c r="M3591">
        <v>4.7729999999999997</v>
      </c>
      <c r="N3591">
        <v>4.7729999999999997</v>
      </c>
      <c r="O3591" t="s">
        <v>101</v>
      </c>
      <c r="P3591" t="s">
        <v>2527</v>
      </c>
      <c r="Q3591" t="s">
        <v>573</v>
      </c>
      <c r="R3591" t="s">
        <v>2436</v>
      </c>
    </row>
    <row r="3592" spans="1:18" x14ac:dyDescent="0.5">
      <c r="A3592" t="str">
        <f>"29446MAF9"</f>
        <v>29446MAF9</v>
      </c>
      <c r="B3592" t="s">
        <v>101</v>
      </c>
      <c r="C3592" t="s">
        <v>4485</v>
      </c>
      <c r="D3592" t="s">
        <v>2433</v>
      </c>
      <c r="E3592">
        <v>3.125</v>
      </c>
      <c r="F3592" s="2">
        <v>47579</v>
      </c>
      <c r="G3592" s="2">
        <v>47489</v>
      </c>
      <c r="H3592" t="s">
        <v>613</v>
      </c>
      <c r="I3592" t="s">
        <v>616</v>
      </c>
      <c r="J3592">
        <v>93.183999999999997</v>
      </c>
      <c r="K3592">
        <v>93.293999999999997</v>
      </c>
      <c r="L3592">
        <v>4.6500000000000004</v>
      </c>
      <c r="M3592">
        <v>4.6239999999999997</v>
      </c>
      <c r="N3592">
        <v>4.6239999999999997</v>
      </c>
      <c r="O3592" t="s">
        <v>101</v>
      </c>
      <c r="P3592" t="s">
        <v>453</v>
      </c>
      <c r="Q3592" t="s">
        <v>2507</v>
      </c>
      <c r="R3592" t="s">
        <v>2436</v>
      </c>
    </row>
    <row r="3593" spans="1:18" x14ac:dyDescent="0.5">
      <c r="A3593" t="str">
        <f>"822905AB1"</f>
        <v>822905AB1</v>
      </c>
      <c r="B3593" t="s">
        <v>101</v>
      </c>
      <c r="C3593" t="s">
        <v>4486</v>
      </c>
      <c r="D3593" t="s">
        <v>2433</v>
      </c>
      <c r="E3593">
        <v>2.75</v>
      </c>
      <c r="F3593" s="2">
        <v>47579</v>
      </c>
      <c r="G3593" s="2">
        <v>47489</v>
      </c>
      <c r="H3593" t="s">
        <v>613</v>
      </c>
      <c r="I3593" t="s">
        <v>658</v>
      </c>
      <c r="J3593">
        <v>91.212000000000003</v>
      </c>
      <c r="K3593">
        <v>91.364999999999995</v>
      </c>
      <c r="L3593">
        <v>4.72</v>
      </c>
      <c r="M3593">
        <v>4.6840000000000002</v>
      </c>
      <c r="N3593">
        <v>4.6840000000000002</v>
      </c>
      <c r="O3593" t="s">
        <v>101</v>
      </c>
      <c r="P3593" t="s">
        <v>2527</v>
      </c>
      <c r="Q3593" t="s">
        <v>2507</v>
      </c>
      <c r="R3593" t="s">
        <v>2726</v>
      </c>
    </row>
    <row r="3594" spans="1:18" x14ac:dyDescent="0.5">
      <c r="A3594" t="str">
        <f>"822582CG5"</f>
        <v>822582CG5</v>
      </c>
      <c r="B3594" t="s">
        <v>101</v>
      </c>
      <c r="C3594" t="s">
        <v>4487</v>
      </c>
      <c r="D3594" t="s">
        <v>2433</v>
      </c>
      <c r="E3594">
        <v>2.75</v>
      </c>
      <c r="F3594" s="2">
        <v>47579</v>
      </c>
      <c r="G3594" s="2">
        <v>47489</v>
      </c>
      <c r="H3594" t="s">
        <v>613</v>
      </c>
      <c r="I3594" t="s">
        <v>658</v>
      </c>
      <c r="J3594">
        <v>92.179000000000002</v>
      </c>
      <c r="K3594">
        <v>92.638999999999996</v>
      </c>
      <c r="L3594">
        <v>4.4930000000000003</v>
      </c>
      <c r="M3594">
        <v>4.3860000000000001</v>
      </c>
      <c r="N3594">
        <v>4.3860000000000001</v>
      </c>
      <c r="O3594" t="s">
        <v>101</v>
      </c>
      <c r="P3594" t="s">
        <v>1236</v>
      </c>
      <c r="Q3594" t="s">
        <v>2507</v>
      </c>
      <c r="R3594" t="s">
        <v>2436</v>
      </c>
    </row>
    <row r="3595" spans="1:18" x14ac:dyDescent="0.5">
      <c r="A3595" t="str">
        <f>"149123CH2"</f>
        <v>149123CH2</v>
      </c>
      <c r="B3595" t="s">
        <v>101</v>
      </c>
      <c r="C3595" t="s">
        <v>4488</v>
      </c>
      <c r="D3595" t="s">
        <v>2433</v>
      </c>
      <c r="E3595">
        <v>2.6</v>
      </c>
      <c r="F3595" s="2">
        <v>47582</v>
      </c>
      <c r="G3595" s="2">
        <v>47492</v>
      </c>
      <c r="H3595" t="s">
        <v>610</v>
      </c>
      <c r="I3595" t="s">
        <v>611</v>
      </c>
      <c r="J3595">
        <v>91.234999999999999</v>
      </c>
      <c r="K3595">
        <v>91.472999999999999</v>
      </c>
      <c r="L3595">
        <v>4.5529999999999999</v>
      </c>
      <c r="M3595">
        <v>4.4980000000000002</v>
      </c>
      <c r="N3595">
        <v>4.4980000000000002</v>
      </c>
      <c r="O3595" t="s">
        <v>101</v>
      </c>
      <c r="P3595" t="s">
        <v>4232</v>
      </c>
      <c r="Q3595" t="s">
        <v>2454</v>
      </c>
      <c r="R3595" t="s">
        <v>2436</v>
      </c>
    </row>
    <row r="3596" spans="1:18" x14ac:dyDescent="0.5">
      <c r="A3596" t="str">
        <f>"09857LAR9"</f>
        <v>09857LAR9</v>
      </c>
      <c r="B3596" t="s">
        <v>101</v>
      </c>
      <c r="C3596" t="s">
        <v>4489</v>
      </c>
      <c r="D3596" t="s">
        <v>2433</v>
      </c>
      <c r="E3596">
        <v>4.625</v>
      </c>
      <c r="F3596" s="2">
        <v>47586</v>
      </c>
      <c r="G3596" s="2">
        <v>47496</v>
      </c>
      <c r="H3596" t="s">
        <v>627</v>
      </c>
      <c r="I3596" t="s">
        <v>713</v>
      </c>
      <c r="J3596">
        <v>99.831999999999994</v>
      </c>
      <c r="K3596">
        <v>100.056</v>
      </c>
      <c r="L3596">
        <v>4.6619999999999999</v>
      </c>
      <c r="M3596">
        <v>4.6120000000000001</v>
      </c>
      <c r="N3596">
        <v>4.6120000000000001</v>
      </c>
      <c r="O3596" t="s">
        <v>101</v>
      </c>
      <c r="P3596" t="s">
        <v>3920</v>
      </c>
      <c r="Q3596" t="s">
        <v>2454</v>
      </c>
      <c r="R3596" t="s">
        <v>2436</v>
      </c>
    </row>
    <row r="3597" spans="1:18" x14ac:dyDescent="0.5">
      <c r="A3597" t="str">
        <f>"744330AA9"</f>
        <v>744330AA9</v>
      </c>
      <c r="B3597" t="s">
        <v>101</v>
      </c>
      <c r="C3597" t="s">
        <v>4490</v>
      </c>
      <c r="D3597" t="s">
        <v>2433</v>
      </c>
      <c r="E3597">
        <v>3.125</v>
      </c>
      <c r="F3597" s="2">
        <v>47587</v>
      </c>
      <c r="G3597" s="2" t="s">
        <v>101</v>
      </c>
      <c r="H3597" t="s">
        <v>610</v>
      </c>
      <c r="I3597" t="s">
        <v>611</v>
      </c>
      <c r="J3597">
        <v>92.353999999999999</v>
      </c>
      <c r="K3597">
        <v>92.507000000000005</v>
      </c>
      <c r="L3597">
        <v>4.8369999999999997</v>
      </c>
      <c r="M3597">
        <v>4.8019999999999996</v>
      </c>
      <c r="N3597">
        <v>4.8019999999999996</v>
      </c>
      <c r="O3597" t="s">
        <v>101</v>
      </c>
      <c r="P3597" t="s">
        <v>2438</v>
      </c>
      <c r="Q3597" t="s">
        <v>2581</v>
      </c>
      <c r="R3597" t="s">
        <v>2726</v>
      </c>
    </row>
    <row r="3598" spans="1:18" x14ac:dyDescent="0.5">
      <c r="A3598" t="str">
        <f>"11271LAE2"</f>
        <v>11271LAE2</v>
      </c>
      <c r="B3598" t="s">
        <v>101</v>
      </c>
      <c r="C3598" t="s">
        <v>4491</v>
      </c>
      <c r="D3598" t="s">
        <v>2433</v>
      </c>
      <c r="E3598">
        <v>4.3499999999999996</v>
      </c>
      <c r="F3598" s="2">
        <v>47588</v>
      </c>
      <c r="G3598" s="2">
        <v>47498</v>
      </c>
      <c r="H3598" t="s">
        <v>627</v>
      </c>
      <c r="I3598" t="s">
        <v>713</v>
      </c>
      <c r="J3598">
        <v>97.09</v>
      </c>
      <c r="K3598">
        <v>97.302999999999997</v>
      </c>
      <c r="L3598">
        <v>5.0039999999999996</v>
      </c>
      <c r="M3598">
        <v>4.9550000000000001</v>
      </c>
      <c r="N3598">
        <v>4.9550000000000001</v>
      </c>
      <c r="O3598" t="s">
        <v>101</v>
      </c>
      <c r="P3598" t="s">
        <v>4111</v>
      </c>
      <c r="Q3598" t="s">
        <v>3239</v>
      </c>
      <c r="R3598" t="s">
        <v>2436</v>
      </c>
    </row>
    <row r="3599" spans="1:18" x14ac:dyDescent="0.5">
      <c r="A3599" t="str">
        <f>"166756BD7"</f>
        <v>166756BD7</v>
      </c>
      <c r="B3599" t="s">
        <v>101</v>
      </c>
      <c r="C3599" t="s">
        <v>4492</v>
      </c>
      <c r="D3599" t="s">
        <v>2433</v>
      </c>
      <c r="E3599">
        <v>4.6870000000000003</v>
      </c>
      <c r="F3599" s="2">
        <v>47588</v>
      </c>
      <c r="G3599" s="2">
        <v>47557</v>
      </c>
      <c r="H3599" t="s">
        <v>613</v>
      </c>
      <c r="I3599" t="s">
        <v>616</v>
      </c>
      <c r="J3599">
        <v>100.306</v>
      </c>
      <c r="K3599">
        <v>100.398</v>
      </c>
      <c r="L3599">
        <v>4.6159999999999997</v>
      </c>
      <c r="M3599">
        <v>4.5949999999999998</v>
      </c>
      <c r="N3599">
        <v>4.5960000000000001</v>
      </c>
      <c r="O3599" t="s">
        <v>101</v>
      </c>
      <c r="P3599" t="s">
        <v>1999</v>
      </c>
      <c r="Q3599" t="s">
        <v>2454</v>
      </c>
      <c r="R3599" t="s">
        <v>2726</v>
      </c>
    </row>
    <row r="3600" spans="1:18" x14ac:dyDescent="0.5">
      <c r="A3600" t="str">
        <f>"244199BJ3"</f>
        <v>244199BJ3</v>
      </c>
      <c r="B3600" t="s">
        <v>101</v>
      </c>
      <c r="C3600" t="s">
        <v>4493</v>
      </c>
      <c r="D3600" t="s">
        <v>2433</v>
      </c>
      <c r="E3600">
        <v>3.1</v>
      </c>
      <c r="F3600" s="2">
        <v>47588</v>
      </c>
      <c r="G3600" s="2">
        <v>47498</v>
      </c>
      <c r="H3600" t="s">
        <v>641</v>
      </c>
      <c r="I3600" t="s">
        <v>611</v>
      </c>
      <c r="J3600">
        <v>93.010999999999996</v>
      </c>
      <c r="K3600">
        <v>93.2</v>
      </c>
      <c r="L3600">
        <v>4.657</v>
      </c>
      <c r="M3600">
        <v>4.6130000000000004</v>
      </c>
      <c r="N3600">
        <v>4.6130000000000004</v>
      </c>
      <c r="O3600" t="s">
        <v>101</v>
      </c>
      <c r="P3600" t="s">
        <v>2454</v>
      </c>
      <c r="Q3600" t="s">
        <v>3998</v>
      </c>
      <c r="R3600" t="s">
        <v>2436</v>
      </c>
    </row>
    <row r="3601" spans="1:18" x14ac:dyDescent="0.5">
      <c r="A3601" t="str">
        <f>"26875PAU5"</f>
        <v>26875PAU5</v>
      </c>
      <c r="B3601" t="s">
        <v>101</v>
      </c>
      <c r="C3601" t="s">
        <v>4494</v>
      </c>
      <c r="D3601" t="s">
        <v>2433</v>
      </c>
      <c r="E3601">
        <v>4.375</v>
      </c>
      <c r="F3601" s="2">
        <v>47588</v>
      </c>
      <c r="G3601" s="2">
        <v>47498</v>
      </c>
      <c r="H3601" t="s">
        <v>627</v>
      </c>
      <c r="I3601" t="s">
        <v>713</v>
      </c>
      <c r="J3601">
        <v>98.272999999999996</v>
      </c>
      <c r="K3601">
        <v>98.28</v>
      </c>
      <c r="L3601">
        <v>4.76</v>
      </c>
      <c r="M3601">
        <v>4.7590000000000003</v>
      </c>
      <c r="N3601">
        <v>4.7590000000000003</v>
      </c>
      <c r="O3601" t="s">
        <v>101</v>
      </c>
      <c r="P3601" t="s">
        <v>2472</v>
      </c>
      <c r="Q3601" t="s">
        <v>2454</v>
      </c>
      <c r="R3601" t="s">
        <v>2436</v>
      </c>
    </row>
    <row r="3602" spans="1:18" x14ac:dyDescent="0.5">
      <c r="A3602" t="str">
        <f>"437076CB6"</f>
        <v>437076CB6</v>
      </c>
      <c r="B3602" t="s">
        <v>101</v>
      </c>
      <c r="C3602" t="s">
        <v>4495</v>
      </c>
      <c r="D3602" t="s">
        <v>2433</v>
      </c>
      <c r="E3602">
        <v>2.7</v>
      </c>
      <c r="F3602" s="2">
        <v>47588</v>
      </c>
      <c r="G3602" s="2">
        <v>47498</v>
      </c>
      <c r="H3602" t="s">
        <v>610</v>
      </c>
      <c r="I3602" t="s">
        <v>611</v>
      </c>
      <c r="J3602">
        <v>91.034000000000006</v>
      </c>
      <c r="K3602">
        <v>91.210999999999999</v>
      </c>
      <c r="L3602">
        <v>4.7</v>
      </c>
      <c r="M3602">
        <v>4.6580000000000004</v>
      </c>
      <c r="N3602">
        <v>4.6580000000000004</v>
      </c>
      <c r="O3602" t="s">
        <v>101</v>
      </c>
      <c r="P3602" t="s">
        <v>2447</v>
      </c>
      <c r="Q3602" t="s">
        <v>2454</v>
      </c>
      <c r="R3602" t="s">
        <v>2436</v>
      </c>
    </row>
    <row r="3603" spans="1:18" x14ac:dyDescent="0.5">
      <c r="A3603" t="str">
        <f>"448814DF7"</f>
        <v>448814DF7</v>
      </c>
      <c r="B3603" t="s">
        <v>101</v>
      </c>
      <c r="C3603" t="s">
        <v>4496</v>
      </c>
      <c r="D3603" t="s">
        <v>2433</v>
      </c>
      <c r="E3603">
        <v>9.375</v>
      </c>
      <c r="F3603" s="2">
        <v>47588</v>
      </c>
      <c r="G3603" s="2" t="s">
        <v>105</v>
      </c>
      <c r="H3603" t="s">
        <v>613</v>
      </c>
      <c r="I3603" t="s">
        <v>616</v>
      </c>
      <c r="J3603">
        <v>120.8</v>
      </c>
      <c r="K3603">
        <v>124.18600000000001</v>
      </c>
      <c r="L3603">
        <v>4.7290000000000001</v>
      </c>
      <c r="M3603">
        <v>4.0670000000000002</v>
      </c>
      <c r="N3603">
        <v>4.0670000000000002</v>
      </c>
      <c r="O3603" t="s">
        <v>101</v>
      </c>
      <c r="P3603" t="s">
        <v>858</v>
      </c>
      <c r="Q3603" t="s">
        <v>4497</v>
      </c>
      <c r="R3603" t="s">
        <v>2465</v>
      </c>
    </row>
    <row r="3604" spans="1:18" x14ac:dyDescent="0.5">
      <c r="A3604" t="str">
        <f>"29736RAQ3"</f>
        <v>29736RAQ3</v>
      </c>
      <c r="B3604" t="s">
        <v>101</v>
      </c>
      <c r="C3604" t="s">
        <v>4498</v>
      </c>
      <c r="D3604" t="s">
        <v>2433</v>
      </c>
      <c r="E3604">
        <v>2.6</v>
      </c>
      <c r="F3604" s="2">
        <v>47588</v>
      </c>
      <c r="G3604" s="2">
        <v>47498</v>
      </c>
      <c r="H3604" t="s">
        <v>610</v>
      </c>
      <c r="I3604" t="s">
        <v>713</v>
      </c>
      <c r="J3604">
        <v>89.787000000000006</v>
      </c>
      <c r="K3604">
        <v>89.915999999999997</v>
      </c>
      <c r="L3604">
        <v>4.8899999999999997</v>
      </c>
      <c r="M3604">
        <v>4.859</v>
      </c>
      <c r="N3604">
        <v>4.859</v>
      </c>
      <c r="O3604" t="s">
        <v>101</v>
      </c>
      <c r="P3604" t="s">
        <v>2581</v>
      </c>
      <c r="Q3604" t="s">
        <v>2438</v>
      </c>
      <c r="R3604" t="s">
        <v>2436</v>
      </c>
    </row>
    <row r="3605" spans="1:18" x14ac:dyDescent="0.5">
      <c r="A3605" t="str">
        <f>"63743FWF9"</f>
        <v>63743FWF9</v>
      </c>
      <c r="B3605" t="s">
        <v>101</v>
      </c>
      <c r="C3605" t="s">
        <v>4499</v>
      </c>
      <c r="D3605" t="s">
        <v>2433</v>
      </c>
      <c r="E3605">
        <v>3.5</v>
      </c>
      <c r="F3605" s="2">
        <v>47588</v>
      </c>
      <c r="G3605" s="2" t="s">
        <v>105</v>
      </c>
      <c r="H3605" t="s">
        <v>610</v>
      </c>
      <c r="I3605" t="s">
        <v>713</v>
      </c>
      <c r="J3605">
        <v>93.581000000000003</v>
      </c>
      <c r="K3605">
        <v>95.638000000000005</v>
      </c>
      <c r="L3605">
        <v>4.9279999999999999</v>
      </c>
      <c r="M3605">
        <v>4.4589999999999996</v>
      </c>
      <c r="N3605">
        <v>4.4589999999999996</v>
      </c>
      <c r="O3605" t="s">
        <v>101</v>
      </c>
      <c r="P3605" t="s">
        <v>858</v>
      </c>
      <c r="Q3605" t="s">
        <v>485</v>
      </c>
      <c r="R3605" t="s">
        <v>2610</v>
      </c>
    </row>
    <row r="3606" spans="1:18" x14ac:dyDescent="0.5">
      <c r="A3606" t="str">
        <f>"74340XBM2"</f>
        <v>74340XBM2</v>
      </c>
      <c r="B3606" t="s">
        <v>101</v>
      </c>
      <c r="C3606" t="s">
        <v>4500</v>
      </c>
      <c r="D3606" t="s">
        <v>2433</v>
      </c>
      <c r="E3606">
        <v>2.25</v>
      </c>
      <c r="F3606" s="2">
        <v>47588</v>
      </c>
      <c r="G3606" s="2">
        <v>47498</v>
      </c>
      <c r="H3606" t="s">
        <v>610</v>
      </c>
      <c r="I3606" t="s">
        <v>611</v>
      </c>
      <c r="J3606">
        <v>88.808000000000007</v>
      </c>
      <c r="K3606">
        <v>88.981999999999999</v>
      </c>
      <c r="L3606">
        <v>4.75</v>
      </c>
      <c r="M3606">
        <v>4.7080000000000002</v>
      </c>
      <c r="N3606">
        <v>4.7080000000000002</v>
      </c>
      <c r="O3606" t="s">
        <v>101</v>
      </c>
      <c r="P3606" t="s">
        <v>2447</v>
      </c>
      <c r="Q3606" t="s">
        <v>3298</v>
      </c>
      <c r="R3606" t="s">
        <v>2436</v>
      </c>
    </row>
    <row r="3607" spans="1:18" x14ac:dyDescent="0.5">
      <c r="A3607" t="str">
        <f>"86562MDS6"</f>
        <v>86562MDS6</v>
      </c>
      <c r="B3607" t="s">
        <v>101</v>
      </c>
      <c r="C3607" t="s">
        <v>4501</v>
      </c>
      <c r="D3607" t="s">
        <v>2433</v>
      </c>
      <c r="E3607">
        <v>5.24</v>
      </c>
      <c r="F3607" s="2">
        <v>47588</v>
      </c>
      <c r="G3607" s="2" t="s">
        <v>101</v>
      </c>
      <c r="H3607" t="s">
        <v>641</v>
      </c>
      <c r="I3607" t="s">
        <v>713</v>
      </c>
      <c r="J3607">
        <v>101.334</v>
      </c>
      <c r="K3607">
        <v>101.63500000000001</v>
      </c>
      <c r="L3607">
        <v>4.9409999999999998</v>
      </c>
      <c r="M3607">
        <v>4.8739999999999997</v>
      </c>
      <c r="N3607">
        <v>4.8739999999999997</v>
      </c>
      <c r="O3607" t="s">
        <v>101</v>
      </c>
      <c r="P3607" t="s">
        <v>2625</v>
      </c>
      <c r="Q3607" t="s">
        <v>2687</v>
      </c>
      <c r="R3607" t="s">
        <v>2436</v>
      </c>
    </row>
    <row r="3608" spans="1:18" x14ac:dyDescent="0.5">
      <c r="A3608" t="str">
        <f>"872540AT6"</f>
        <v>872540AT6</v>
      </c>
      <c r="B3608" t="s">
        <v>101</v>
      </c>
      <c r="C3608" t="s">
        <v>4502</v>
      </c>
      <c r="D3608" t="s">
        <v>2433</v>
      </c>
      <c r="E3608">
        <v>3.875</v>
      </c>
      <c r="F3608" s="2">
        <v>47588</v>
      </c>
      <c r="G3608" s="2">
        <v>47498</v>
      </c>
      <c r="H3608" t="s">
        <v>610</v>
      </c>
      <c r="I3608" t="s">
        <v>611</v>
      </c>
      <c r="J3608">
        <v>96.408000000000001</v>
      </c>
      <c r="K3608">
        <v>96.722999999999999</v>
      </c>
      <c r="L3608">
        <v>4.6749999999999998</v>
      </c>
      <c r="M3608">
        <v>4.6040000000000001</v>
      </c>
      <c r="N3608">
        <v>4.6040000000000001</v>
      </c>
      <c r="O3608" t="s">
        <v>101</v>
      </c>
      <c r="P3608" t="s">
        <v>3884</v>
      </c>
      <c r="Q3608" t="s">
        <v>2454</v>
      </c>
      <c r="R3608" t="s">
        <v>2436</v>
      </c>
    </row>
    <row r="3609" spans="1:18" x14ac:dyDescent="0.5">
      <c r="A3609" t="str">
        <f>"92826CAM4"</f>
        <v>92826CAM4</v>
      </c>
      <c r="B3609" t="s">
        <v>101</v>
      </c>
      <c r="C3609" t="s">
        <v>4503</v>
      </c>
      <c r="D3609" t="s">
        <v>2433</v>
      </c>
      <c r="E3609">
        <v>2.0499999999999998</v>
      </c>
      <c r="F3609" s="2">
        <v>47588</v>
      </c>
      <c r="G3609" s="2">
        <v>47498</v>
      </c>
      <c r="H3609" t="s">
        <v>624</v>
      </c>
      <c r="I3609" t="s">
        <v>616</v>
      </c>
      <c r="J3609">
        <v>88.796999999999997</v>
      </c>
      <c r="K3609">
        <v>88.994</v>
      </c>
      <c r="L3609">
        <v>4.5389999999999997</v>
      </c>
      <c r="M3609">
        <v>4.492</v>
      </c>
      <c r="N3609">
        <v>4.492</v>
      </c>
      <c r="O3609" t="s">
        <v>101</v>
      </c>
      <c r="P3609" t="s">
        <v>1702</v>
      </c>
      <c r="Q3609" t="s">
        <v>2454</v>
      </c>
      <c r="R3609" t="s">
        <v>2436</v>
      </c>
    </row>
    <row r="3610" spans="1:18" x14ac:dyDescent="0.5">
      <c r="A3610" t="str">
        <f>"931142FC2"</f>
        <v>931142FC2</v>
      </c>
      <c r="B3610" t="s">
        <v>101</v>
      </c>
      <c r="C3610" t="s">
        <v>4504</v>
      </c>
      <c r="D3610" t="s">
        <v>2433</v>
      </c>
      <c r="E3610">
        <v>4</v>
      </c>
      <c r="F3610" s="2">
        <v>47588</v>
      </c>
      <c r="G3610" s="2">
        <v>47529</v>
      </c>
      <c r="H3610" t="s">
        <v>613</v>
      </c>
      <c r="I3610" t="s">
        <v>628</v>
      </c>
      <c r="J3610">
        <v>98.546999999999997</v>
      </c>
      <c r="K3610">
        <v>98.680999999999997</v>
      </c>
      <c r="L3610">
        <v>4.32</v>
      </c>
      <c r="M3610">
        <v>4.29</v>
      </c>
      <c r="N3610">
        <v>4.29</v>
      </c>
      <c r="O3610" t="s">
        <v>101</v>
      </c>
      <c r="P3610" t="s">
        <v>3959</v>
      </c>
      <c r="Q3610" t="s">
        <v>3383</v>
      </c>
      <c r="R3610" t="s">
        <v>2436</v>
      </c>
    </row>
    <row r="3611" spans="1:18" x14ac:dyDescent="0.5">
      <c r="A3611" t="str">
        <f>"02665WEH0"</f>
        <v>02665WEH0</v>
      </c>
      <c r="B3611" t="s">
        <v>101</v>
      </c>
      <c r="C3611" t="s">
        <v>4505</v>
      </c>
      <c r="D3611" t="s">
        <v>2433</v>
      </c>
      <c r="E3611">
        <v>4.5999999999999996</v>
      </c>
      <c r="F3611" s="2">
        <v>47590</v>
      </c>
      <c r="G3611" s="2" t="s">
        <v>101</v>
      </c>
      <c r="H3611" t="s">
        <v>627</v>
      </c>
      <c r="I3611" t="s">
        <v>713</v>
      </c>
      <c r="J3611">
        <v>98.516000000000005</v>
      </c>
      <c r="K3611">
        <v>99.025999999999996</v>
      </c>
      <c r="L3611">
        <v>4.9320000000000004</v>
      </c>
      <c r="M3611">
        <v>4.8170000000000002</v>
      </c>
      <c r="N3611">
        <v>4.8170000000000002</v>
      </c>
      <c r="O3611" t="s">
        <v>101</v>
      </c>
      <c r="P3611" t="s">
        <v>3932</v>
      </c>
      <c r="Q3611" t="s">
        <v>2786</v>
      </c>
      <c r="R3611" t="s">
        <v>2436</v>
      </c>
    </row>
    <row r="3612" spans="1:18" x14ac:dyDescent="0.5">
      <c r="A3612" t="str">
        <f>"22160KAP0"</f>
        <v>22160KAP0</v>
      </c>
      <c r="B3612" t="s">
        <v>101</v>
      </c>
      <c r="C3612" t="s">
        <v>4506</v>
      </c>
      <c r="D3612" t="s">
        <v>2433</v>
      </c>
      <c r="E3612">
        <v>1.6</v>
      </c>
      <c r="F3612" s="2">
        <v>47593</v>
      </c>
      <c r="G3612" s="2">
        <v>47503</v>
      </c>
      <c r="H3612" t="s">
        <v>624</v>
      </c>
      <c r="I3612" t="s">
        <v>628</v>
      </c>
      <c r="J3612">
        <v>86.650999999999996</v>
      </c>
      <c r="K3612">
        <v>86.727999999999994</v>
      </c>
      <c r="L3612">
        <v>4.5599999999999996</v>
      </c>
      <c r="M3612">
        <v>4.5410000000000004</v>
      </c>
      <c r="N3612">
        <v>4.5410000000000004</v>
      </c>
      <c r="O3612" t="s">
        <v>101</v>
      </c>
      <c r="P3612" t="s">
        <v>2472</v>
      </c>
      <c r="Q3612" t="s">
        <v>2454</v>
      </c>
      <c r="R3612" t="s">
        <v>2436</v>
      </c>
    </row>
    <row r="3613" spans="1:18" x14ac:dyDescent="0.5">
      <c r="A3613" t="str">
        <f>"25243YBD0"</f>
        <v>25243YBD0</v>
      </c>
      <c r="B3613" t="s">
        <v>101</v>
      </c>
      <c r="C3613" t="s">
        <v>4507</v>
      </c>
      <c r="D3613" t="s">
        <v>2433</v>
      </c>
      <c r="E3613">
        <v>2</v>
      </c>
      <c r="F3613" s="2">
        <v>47602</v>
      </c>
      <c r="G3613" s="2">
        <v>47512</v>
      </c>
      <c r="H3613" t="s">
        <v>627</v>
      </c>
      <c r="I3613" t="s">
        <v>713</v>
      </c>
      <c r="J3613">
        <v>87.564999999999998</v>
      </c>
      <c r="K3613">
        <v>87.843000000000004</v>
      </c>
      <c r="L3613">
        <v>4.76</v>
      </c>
      <c r="M3613">
        <v>4.6929999999999996</v>
      </c>
      <c r="N3613">
        <v>4.6929999999999996</v>
      </c>
      <c r="O3613" t="s">
        <v>101</v>
      </c>
      <c r="P3613" t="s">
        <v>4152</v>
      </c>
      <c r="Q3613" t="s">
        <v>2687</v>
      </c>
      <c r="R3613" t="s">
        <v>2436</v>
      </c>
    </row>
    <row r="3614" spans="1:18" x14ac:dyDescent="0.5">
      <c r="A3614" t="str">
        <f>"09247XAQ4"</f>
        <v>09247XAQ4</v>
      </c>
      <c r="B3614" t="s">
        <v>101</v>
      </c>
      <c r="C3614" t="s">
        <v>4508</v>
      </c>
      <c r="D3614" t="s">
        <v>2433</v>
      </c>
      <c r="E3614">
        <v>2.4</v>
      </c>
      <c r="F3614" s="2">
        <v>47603</v>
      </c>
      <c r="G3614" s="2">
        <v>47513</v>
      </c>
      <c r="H3614" t="s">
        <v>624</v>
      </c>
      <c r="I3614" t="s">
        <v>616</v>
      </c>
      <c r="J3614">
        <v>89.951999999999998</v>
      </c>
      <c r="K3614">
        <v>90.096999999999994</v>
      </c>
      <c r="L3614">
        <v>4.6210000000000004</v>
      </c>
      <c r="M3614">
        <v>4.5869999999999997</v>
      </c>
      <c r="N3614">
        <v>4.5869999999999997</v>
      </c>
      <c r="O3614" t="s">
        <v>101</v>
      </c>
      <c r="P3614" t="s">
        <v>2606</v>
      </c>
      <c r="Q3614" t="s">
        <v>2454</v>
      </c>
      <c r="R3614" t="s">
        <v>2436</v>
      </c>
    </row>
    <row r="3615" spans="1:18" x14ac:dyDescent="0.5">
      <c r="A3615" t="str">
        <f>"03040WAW5"</f>
        <v>03040WAW5</v>
      </c>
      <c r="B3615" t="s">
        <v>101</v>
      </c>
      <c r="C3615" t="s">
        <v>4509</v>
      </c>
      <c r="D3615" t="s">
        <v>2433</v>
      </c>
      <c r="E3615">
        <v>2.8</v>
      </c>
      <c r="F3615" s="2">
        <v>47604</v>
      </c>
      <c r="G3615" s="2">
        <v>47515</v>
      </c>
      <c r="H3615" t="s">
        <v>670</v>
      </c>
      <c r="I3615" t="s">
        <v>611</v>
      </c>
      <c r="J3615">
        <v>90.867999999999995</v>
      </c>
      <c r="K3615">
        <v>91.028999999999996</v>
      </c>
      <c r="L3615">
        <v>4.8280000000000003</v>
      </c>
      <c r="M3615">
        <v>4.79</v>
      </c>
      <c r="N3615">
        <v>4.79</v>
      </c>
      <c r="O3615" t="s">
        <v>101</v>
      </c>
      <c r="P3615" t="s">
        <v>3075</v>
      </c>
      <c r="Q3615" t="s">
        <v>1702</v>
      </c>
      <c r="R3615" t="s">
        <v>2436</v>
      </c>
    </row>
    <row r="3616" spans="1:18" x14ac:dyDescent="0.5">
      <c r="A3616" t="str">
        <f>"641423CD8"</f>
        <v>641423CD8</v>
      </c>
      <c r="B3616" t="s">
        <v>101</v>
      </c>
      <c r="C3616" t="s">
        <v>4510</v>
      </c>
      <c r="D3616" t="s">
        <v>2433</v>
      </c>
      <c r="E3616">
        <v>2.4</v>
      </c>
      <c r="F3616" s="2">
        <v>47604</v>
      </c>
      <c r="G3616" s="2">
        <v>47515</v>
      </c>
      <c r="H3616" t="s">
        <v>610</v>
      </c>
      <c r="I3616" t="s">
        <v>611</v>
      </c>
      <c r="J3616">
        <v>88.867000000000004</v>
      </c>
      <c r="K3616">
        <v>89.241</v>
      </c>
      <c r="L3616">
        <v>4.8760000000000003</v>
      </c>
      <c r="M3616">
        <v>4.7869999999999999</v>
      </c>
      <c r="N3616">
        <v>4.7869999999999999</v>
      </c>
      <c r="O3616" t="s">
        <v>101</v>
      </c>
      <c r="P3616" t="s">
        <v>3884</v>
      </c>
      <c r="Q3616" t="s">
        <v>3241</v>
      </c>
      <c r="R3616" t="s">
        <v>2436</v>
      </c>
    </row>
    <row r="3617" spans="1:18" x14ac:dyDescent="0.5">
      <c r="A3617" t="str">
        <f>"665859AV6"</f>
        <v>665859AV6</v>
      </c>
      <c r="B3617" t="s">
        <v>101</v>
      </c>
      <c r="C3617" t="s">
        <v>4511</v>
      </c>
      <c r="D3617" t="s">
        <v>2433</v>
      </c>
      <c r="E3617">
        <v>1.95</v>
      </c>
      <c r="F3617" s="2">
        <v>47604</v>
      </c>
      <c r="G3617" s="2">
        <v>47515</v>
      </c>
      <c r="H3617" t="s">
        <v>610</v>
      </c>
      <c r="I3617" t="s">
        <v>658</v>
      </c>
      <c r="J3617">
        <v>87.581000000000003</v>
      </c>
      <c r="K3617">
        <v>87.741</v>
      </c>
      <c r="L3617">
        <v>4.6989999999999998</v>
      </c>
      <c r="M3617">
        <v>4.6609999999999996</v>
      </c>
      <c r="N3617">
        <v>4.6609999999999996</v>
      </c>
      <c r="O3617" t="s">
        <v>101</v>
      </c>
      <c r="P3617" t="s">
        <v>1702</v>
      </c>
      <c r="Q3617" t="s">
        <v>2454</v>
      </c>
      <c r="R3617" t="s">
        <v>2436</v>
      </c>
    </row>
    <row r="3618" spans="1:18" x14ac:dyDescent="0.5">
      <c r="A3618" t="str">
        <f>"713448EZ7"</f>
        <v>713448EZ7</v>
      </c>
      <c r="B3618" t="s">
        <v>101</v>
      </c>
      <c r="C3618" t="s">
        <v>4512</v>
      </c>
      <c r="D3618" t="s">
        <v>2433</v>
      </c>
      <c r="E3618">
        <v>1.625</v>
      </c>
      <c r="F3618" s="2">
        <v>47604</v>
      </c>
      <c r="G3618" s="2">
        <v>47515</v>
      </c>
      <c r="H3618" t="s">
        <v>641</v>
      </c>
      <c r="I3618" t="s">
        <v>658</v>
      </c>
      <c r="J3618">
        <v>86.605999999999995</v>
      </c>
      <c r="K3618">
        <v>86.784999999999997</v>
      </c>
      <c r="L3618">
        <v>4.5810000000000004</v>
      </c>
      <c r="M3618">
        <v>4.5380000000000003</v>
      </c>
      <c r="N3618">
        <v>4.5380000000000003</v>
      </c>
      <c r="O3618" t="s">
        <v>101</v>
      </c>
      <c r="P3618" t="s">
        <v>2581</v>
      </c>
      <c r="Q3618" t="s">
        <v>1236</v>
      </c>
      <c r="R3618" t="s">
        <v>2436</v>
      </c>
    </row>
    <row r="3619" spans="1:18" x14ac:dyDescent="0.5">
      <c r="A3619" t="str">
        <f>"718172CP2"</f>
        <v>718172CP2</v>
      </c>
      <c r="B3619" t="s">
        <v>101</v>
      </c>
      <c r="C3619" t="s">
        <v>4513</v>
      </c>
      <c r="D3619" t="s">
        <v>2433</v>
      </c>
      <c r="E3619">
        <v>2.1</v>
      </c>
      <c r="F3619" s="2">
        <v>47604</v>
      </c>
      <c r="G3619" s="2">
        <v>47515</v>
      </c>
      <c r="H3619" t="s">
        <v>610</v>
      </c>
      <c r="I3619" t="s">
        <v>713</v>
      </c>
      <c r="J3619">
        <v>87.825999999999993</v>
      </c>
      <c r="K3619">
        <v>88.019000000000005</v>
      </c>
      <c r="L3619">
        <v>4.8019999999999996</v>
      </c>
      <c r="M3619">
        <v>4.7560000000000002</v>
      </c>
      <c r="N3619">
        <v>4.7560000000000002</v>
      </c>
      <c r="O3619" t="s">
        <v>101</v>
      </c>
      <c r="P3619" t="s">
        <v>1702</v>
      </c>
      <c r="Q3619" t="s">
        <v>2454</v>
      </c>
      <c r="R3619" t="s">
        <v>2436</v>
      </c>
    </row>
    <row r="3620" spans="1:18" x14ac:dyDescent="0.5">
      <c r="A3620" t="str">
        <f>"882508BJ2"</f>
        <v>882508BJ2</v>
      </c>
      <c r="B3620" t="s">
        <v>101</v>
      </c>
      <c r="C3620" t="s">
        <v>4514</v>
      </c>
      <c r="D3620" t="s">
        <v>2433</v>
      </c>
      <c r="E3620">
        <v>1.75</v>
      </c>
      <c r="F3620" s="2">
        <v>47607</v>
      </c>
      <c r="G3620" s="2">
        <v>47518</v>
      </c>
      <c r="H3620" t="s">
        <v>624</v>
      </c>
      <c r="I3620" t="s">
        <v>658</v>
      </c>
      <c r="J3620">
        <v>87.111999999999995</v>
      </c>
      <c r="K3620">
        <v>87.370999999999995</v>
      </c>
      <c r="L3620">
        <v>4.5910000000000002</v>
      </c>
      <c r="M3620">
        <v>4.5289999999999999</v>
      </c>
      <c r="N3620">
        <v>4.5289999999999999</v>
      </c>
      <c r="O3620" t="s">
        <v>101</v>
      </c>
      <c r="P3620" t="s">
        <v>3920</v>
      </c>
      <c r="Q3620" t="s">
        <v>2454</v>
      </c>
      <c r="R3620" t="s">
        <v>2436</v>
      </c>
    </row>
    <row r="3621" spans="1:18" x14ac:dyDescent="0.5">
      <c r="A3621" t="str">
        <f>"02364WBJ3"</f>
        <v>02364WBJ3</v>
      </c>
      <c r="B3621" t="s">
        <v>101</v>
      </c>
      <c r="C3621" t="s">
        <v>4515</v>
      </c>
      <c r="D3621" t="s">
        <v>2433</v>
      </c>
      <c r="E3621">
        <v>2.875</v>
      </c>
      <c r="F3621" s="2">
        <v>47610</v>
      </c>
      <c r="G3621" s="2">
        <v>47521</v>
      </c>
      <c r="H3621" t="s">
        <v>670</v>
      </c>
      <c r="I3621" t="s">
        <v>713</v>
      </c>
      <c r="J3621">
        <v>90.653000000000006</v>
      </c>
      <c r="K3621">
        <v>91.007000000000005</v>
      </c>
      <c r="L3621">
        <v>4.952</v>
      </c>
      <c r="M3621">
        <v>4.8689999999999998</v>
      </c>
      <c r="N3621">
        <v>4.8689999999999998</v>
      </c>
      <c r="O3621" t="s">
        <v>101</v>
      </c>
      <c r="P3621" t="s">
        <v>4152</v>
      </c>
      <c r="Q3621" t="s">
        <v>2687</v>
      </c>
      <c r="R3621" t="s">
        <v>2436</v>
      </c>
    </row>
    <row r="3622" spans="1:18" x14ac:dyDescent="0.5">
      <c r="A3622" t="str">
        <f>"037833EU0"</f>
        <v>037833EU0</v>
      </c>
      <c r="B3622" t="s">
        <v>101</v>
      </c>
      <c r="C3622" t="s">
        <v>4516</v>
      </c>
      <c r="D3622" t="s">
        <v>2433</v>
      </c>
      <c r="E3622">
        <v>4.1500000000000004</v>
      </c>
      <c r="F3622" s="2">
        <v>47613</v>
      </c>
      <c r="G3622" s="2">
        <v>47552</v>
      </c>
      <c r="H3622" t="s">
        <v>104</v>
      </c>
      <c r="I3622" t="s">
        <v>509</v>
      </c>
      <c r="J3622">
        <v>99.802000000000007</v>
      </c>
      <c r="K3622">
        <v>100.071</v>
      </c>
      <c r="L3622">
        <v>4.1920000000000002</v>
      </c>
      <c r="M3622">
        <v>4.1340000000000003</v>
      </c>
      <c r="N3622">
        <v>4.1340000000000003</v>
      </c>
      <c r="O3622" t="s">
        <v>101</v>
      </c>
      <c r="P3622" t="s">
        <v>2940</v>
      </c>
      <c r="Q3622" t="s">
        <v>2454</v>
      </c>
      <c r="R3622" t="s">
        <v>2436</v>
      </c>
    </row>
    <row r="3623" spans="1:18" x14ac:dyDescent="0.5">
      <c r="A3623" t="str">
        <f>"037833DU1"</f>
        <v>037833DU1</v>
      </c>
      <c r="B3623" t="s">
        <v>101</v>
      </c>
      <c r="C3623" t="s">
        <v>4517</v>
      </c>
      <c r="D3623" t="s">
        <v>2433</v>
      </c>
      <c r="E3623">
        <v>1.65</v>
      </c>
      <c r="F3623" s="2">
        <v>47614</v>
      </c>
      <c r="G3623" s="2">
        <v>47525</v>
      </c>
      <c r="H3623" t="s">
        <v>104</v>
      </c>
      <c r="I3623" t="s">
        <v>509</v>
      </c>
      <c r="J3623">
        <v>87.221000000000004</v>
      </c>
      <c r="K3623">
        <v>87.36</v>
      </c>
      <c r="L3623">
        <v>4.4470000000000001</v>
      </c>
      <c r="M3623">
        <v>4.4139999999999997</v>
      </c>
      <c r="N3623">
        <v>4.4139999999999997</v>
      </c>
      <c r="O3623" t="s">
        <v>101</v>
      </c>
      <c r="P3623" t="s">
        <v>2454</v>
      </c>
      <c r="Q3623" t="s">
        <v>2454</v>
      </c>
      <c r="R3623" t="s">
        <v>2436</v>
      </c>
    </row>
    <row r="3624" spans="1:18" x14ac:dyDescent="0.5">
      <c r="A3624" t="str">
        <f>"166764BY5"</f>
        <v>166764BY5</v>
      </c>
      <c r="B3624" t="s">
        <v>101</v>
      </c>
      <c r="C3624" t="s">
        <v>4518</v>
      </c>
      <c r="D3624" t="s">
        <v>2433</v>
      </c>
      <c r="E3624">
        <v>2.2360000000000002</v>
      </c>
      <c r="F3624" s="2">
        <v>47614</v>
      </c>
      <c r="G3624" s="2">
        <v>47525</v>
      </c>
      <c r="H3624" t="s">
        <v>613</v>
      </c>
      <c r="I3624" t="s">
        <v>616</v>
      </c>
      <c r="J3624">
        <v>89.06</v>
      </c>
      <c r="K3624">
        <v>89.266999999999996</v>
      </c>
      <c r="L3624">
        <v>4.6420000000000003</v>
      </c>
      <c r="M3624">
        <v>4.5940000000000003</v>
      </c>
      <c r="N3624">
        <v>4.5940000000000003</v>
      </c>
      <c r="O3624" t="s">
        <v>101</v>
      </c>
      <c r="P3624" t="s">
        <v>1851</v>
      </c>
      <c r="Q3624" t="s">
        <v>2454</v>
      </c>
      <c r="R3624" t="s">
        <v>2436</v>
      </c>
    </row>
    <row r="3625" spans="1:18" x14ac:dyDescent="0.5">
      <c r="A3625" t="str">
        <f>"459058JC8"</f>
        <v>459058JC8</v>
      </c>
      <c r="B3625" t="s">
        <v>101</v>
      </c>
      <c r="C3625" t="s">
        <v>4519</v>
      </c>
      <c r="D3625" t="s">
        <v>2433</v>
      </c>
      <c r="E3625">
        <v>0.875</v>
      </c>
      <c r="F3625" s="2">
        <v>47617</v>
      </c>
      <c r="G3625" s="2" t="s">
        <v>105</v>
      </c>
      <c r="H3625" t="s">
        <v>104</v>
      </c>
      <c r="I3625" t="s">
        <v>104</v>
      </c>
      <c r="J3625">
        <v>84.347999999999999</v>
      </c>
      <c r="K3625">
        <v>85.337999999999994</v>
      </c>
      <c r="L3625">
        <v>4.28</v>
      </c>
      <c r="M3625">
        <v>4.0449999999999999</v>
      </c>
      <c r="N3625">
        <v>4.0449999999999999</v>
      </c>
      <c r="O3625" t="s">
        <v>101</v>
      </c>
      <c r="P3625" t="s">
        <v>2618</v>
      </c>
      <c r="Q3625" t="s">
        <v>4275</v>
      </c>
      <c r="R3625" t="s">
        <v>2713</v>
      </c>
    </row>
    <row r="3626" spans="1:18" x14ac:dyDescent="0.5">
      <c r="A3626" t="str">
        <f>"009158BC9"</f>
        <v>009158BC9</v>
      </c>
      <c r="B3626" t="s">
        <v>101</v>
      </c>
      <c r="C3626" t="s">
        <v>4520</v>
      </c>
      <c r="D3626" t="s">
        <v>2433</v>
      </c>
      <c r="E3626">
        <v>2.0499999999999998</v>
      </c>
      <c r="F3626" s="2">
        <v>47618</v>
      </c>
      <c r="G3626" s="2">
        <v>47529</v>
      </c>
      <c r="H3626" t="s">
        <v>610</v>
      </c>
      <c r="I3626" t="s">
        <v>611</v>
      </c>
      <c r="J3626">
        <v>88.039000000000001</v>
      </c>
      <c r="K3626">
        <v>88.27</v>
      </c>
      <c r="L3626">
        <v>4.6790000000000003</v>
      </c>
      <c r="M3626">
        <v>4.6239999999999997</v>
      </c>
      <c r="N3626">
        <v>4.6239999999999997</v>
      </c>
      <c r="O3626" t="s">
        <v>101</v>
      </c>
      <c r="P3626" t="s">
        <v>790</v>
      </c>
      <c r="Q3626" t="s">
        <v>2454</v>
      </c>
      <c r="R3626" t="s">
        <v>2436</v>
      </c>
    </row>
    <row r="3627" spans="1:18" x14ac:dyDescent="0.5">
      <c r="A3627" t="str">
        <f>"017175AE0"</f>
        <v>017175AE0</v>
      </c>
      <c r="B3627" t="s">
        <v>101</v>
      </c>
      <c r="C3627" t="s">
        <v>4521</v>
      </c>
      <c r="D3627" t="s">
        <v>2433</v>
      </c>
      <c r="E3627">
        <v>3.625</v>
      </c>
      <c r="F3627" s="2">
        <v>47618</v>
      </c>
      <c r="G3627" s="2">
        <v>47529</v>
      </c>
      <c r="H3627" t="s">
        <v>641</v>
      </c>
      <c r="I3627" t="s">
        <v>628</v>
      </c>
      <c r="J3627">
        <v>95.03</v>
      </c>
      <c r="K3627">
        <v>95.412999999999997</v>
      </c>
      <c r="L3627">
        <v>4.718</v>
      </c>
      <c r="M3627">
        <v>4.6310000000000002</v>
      </c>
      <c r="N3627">
        <v>4.6310000000000002</v>
      </c>
      <c r="O3627" t="s">
        <v>101</v>
      </c>
      <c r="P3627" t="s">
        <v>2755</v>
      </c>
      <c r="Q3627" t="s">
        <v>4522</v>
      </c>
      <c r="R3627" t="s">
        <v>2436</v>
      </c>
    </row>
    <row r="3628" spans="1:18" x14ac:dyDescent="0.5">
      <c r="A3628" t="str">
        <f>"037389BE2"</f>
        <v>037389BE2</v>
      </c>
      <c r="B3628" t="s">
        <v>101</v>
      </c>
      <c r="C3628" t="s">
        <v>4523</v>
      </c>
      <c r="D3628" t="s">
        <v>2433</v>
      </c>
      <c r="E3628">
        <v>2.8</v>
      </c>
      <c r="F3628" s="2">
        <v>47618</v>
      </c>
      <c r="G3628" s="2">
        <v>47529</v>
      </c>
      <c r="H3628" t="s">
        <v>677</v>
      </c>
      <c r="I3628" t="s">
        <v>713</v>
      </c>
      <c r="J3628">
        <v>90.412000000000006</v>
      </c>
      <c r="K3628">
        <v>90.447000000000003</v>
      </c>
      <c r="L3628">
        <v>4.92</v>
      </c>
      <c r="M3628">
        <v>4.9119999999999999</v>
      </c>
      <c r="N3628">
        <v>4.9119999999999999</v>
      </c>
      <c r="O3628" t="s">
        <v>101</v>
      </c>
      <c r="P3628" t="s">
        <v>2443</v>
      </c>
      <c r="Q3628" t="s">
        <v>1391</v>
      </c>
      <c r="R3628" t="s">
        <v>2436</v>
      </c>
    </row>
    <row r="3629" spans="1:18" x14ac:dyDescent="0.5">
      <c r="A3629" t="str">
        <f>"133131AZ5"</f>
        <v>133131AZ5</v>
      </c>
      <c r="B3629" t="s">
        <v>101</v>
      </c>
      <c r="C3629" t="s">
        <v>4524</v>
      </c>
      <c r="D3629" t="s">
        <v>2433</v>
      </c>
      <c r="E3629">
        <v>2.8</v>
      </c>
      <c r="F3629" s="2">
        <v>47618</v>
      </c>
      <c r="G3629" s="2">
        <v>47529</v>
      </c>
      <c r="H3629" t="s">
        <v>627</v>
      </c>
      <c r="I3629" t="s">
        <v>713</v>
      </c>
      <c r="J3629">
        <v>90.596999999999994</v>
      </c>
      <c r="K3629">
        <v>90.680999999999997</v>
      </c>
      <c r="L3629">
        <v>4.8769999999999998</v>
      </c>
      <c r="M3629">
        <v>4.8570000000000002</v>
      </c>
      <c r="N3629">
        <v>4.8570000000000002</v>
      </c>
      <c r="O3629" t="s">
        <v>101</v>
      </c>
      <c r="P3629" t="s">
        <v>1702</v>
      </c>
      <c r="Q3629" t="s">
        <v>2454</v>
      </c>
      <c r="R3629" t="s">
        <v>2436</v>
      </c>
    </row>
    <row r="3630" spans="1:18" x14ac:dyDescent="0.5">
      <c r="A3630" t="str">
        <f>"244199AZ8"</f>
        <v>244199AZ8</v>
      </c>
      <c r="B3630" t="s">
        <v>101</v>
      </c>
      <c r="C3630" t="s">
        <v>4525</v>
      </c>
      <c r="D3630" t="s">
        <v>2433</v>
      </c>
      <c r="E3630">
        <v>8.1</v>
      </c>
      <c r="F3630" s="2">
        <v>47618</v>
      </c>
      <c r="G3630" s="2" t="s">
        <v>105</v>
      </c>
      <c r="H3630" t="s">
        <v>641</v>
      </c>
      <c r="I3630" t="s">
        <v>611</v>
      </c>
      <c r="J3630">
        <v>115.693</v>
      </c>
      <c r="K3630">
        <v>115.93</v>
      </c>
      <c r="L3630">
        <v>4.6509999999999998</v>
      </c>
      <c r="M3630">
        <v>4.6029999999999998</v>
      </c>
      <c r="N3630">
        <v>4.6029999999999998</v>
      </c>
      <c r="O3630" t="s">
        <v>101</v>
      </c>
      <c r="P3630" t="s">
        <v>1236</v>
      </c>
      <c r="Q3630" t="s">
        <v>3075</v>
      </c>
      <c r="R3630" t="s">
        <v>2465</v>
      </c>
    </row>
    <row r="3631" spans="1:18" x14ac:dyDescent="0.5">
      <c r="A3631" t="str">
        <f>"036752AN3"</f>
        <v>036752AN3</v>
      </c>
      <c r="B3631" t="s">
        <v>101</v>
      </c>
      <c r="C3631" t="s">
        <v>4526</v>
      </c>
      <c r="D3631" t="s">
        <v>2433</v>
      </c>
      <c r="E3631">
        <v>2.25</v>
      </c>
      <c r="F3631" s="2">
        <v>47618</v>
      </c>
      <c r="G3631" s="2">
        <v>47529</v>
      </c>
      <c r="H3631" t="s">
        <v>677</v>
      </c>
      <c r="I3631" t="s">
        <v>611</v>
      </c>
      <c r="J3631">
        <v>88.296000000000006</v>
      </c>
      <c r="K3631">
        <v>88.542000000000002</v>
      </c>
      <c r="L3631">
        <v>4.8330000000000002</v>
      </c>
      <c r="M3631">
        <v>4.774</v>
      </c>
      <c r="N3631">
        <v>4.774</v>
      </c>
      <c r="O3631" t="s">
        <v>101</v>
      </c>
      <c r="P3631" t="s">
        <v>2438</v>
      </c>
      <c r="Q3631" t="s">
        <v>2507</v>
      </c>
      <c r="R3631" t="s">
        <v>2436</v>
      </c>
    </row>
    <row r="3632" spans="1:18" x14ac:dyDescent="0.5">
      <c r="A3632" t="str">
        <f>"341081GP6"</f>
        <v>341081GP6</v>
      </c>
      <c r="B3632" t="s">
        <v>101</v>
      </c>
      <c r="C3632" t="s">
        <v>4527</v>
      </c>
      <c r="D3632" t="s">
        <v>2433</v>
      </c>
      <c r="E3632">
        <v>4.625</v>
      </c>
      <c r="F3632" s="2">
        <v>47618</v>
      </c>
      <c r="G3632" s="2">
        <v>47557</v>
      </c>
      <c r="H3632" t="s">
        <v>613</v>
      </c>
      <c r="I3632" t="s">
        <v>658</v>
      </c>
      <c r="J3632">
        <v>100.128</v>
      </c>
      <c r="K3632">
        <v>100.29900000000001</v>
      </c>
      <c r="L3632">
        <v>4.5960000000000001</v>
      </c>
      <c r="M3632">
        <v>4.5570000000000004</v>
      </c>
      <c r="N3632">
        <v>4.5579999999999998</v>
      </c>
      <c r="O3632" t="s">
        <v>101</v>
      </c>
      <c r="P3632" t="s">
        <v>2581</v>
      </c>
      <c r="Q3632" t="s">
        <v>2454</v>
      </c>
      <c r="R3632" t="s">
        <v>2436</v>
      </c>
    </row>
    <row r="3633" spans="1:18" x14ac:dyDescent="0.5">
      <c r="A3633" t="str">
        <f>"459200KJ9"</f>
        <v>459200KJ9</v>
      </c>
      <c r="B3633" t="s">
        <v>101</v>
      </c>
      <c r="C3633" t="s">
        <v>4528</v>
      </c>
      <c r="D3633" t="s">
        <v>2433</v>
      </c>
      <c r="E3633">
        <v>1.95</v>
      </c>
      <c r="F3633" s="2">
        <v>47618</v>
      </c>
      <c r="G3633" s="2">
        <v>47529</v>
      </c>
      <c r="H3633" t="s">
        <v>627</v>
      </c>
      <c r="I3633" t="s">
        <v>713</v>
      </c>
      <c r="J3633">
        <v>87.082999999999998</v>
      </c>
      <c r="K3633">
        <v>87.370999999999995</v>
      </c>
      <c r="L3633">
        <v>4.798</v>
      </c>
      <c r="M3633">
        <v>4.7290000000000001</v>
      </c>
      <c r="N3633">
        <v>4.7290000000000001</v>
      </c>
      <c r="O3633" t="s">
        <v>101</v>
      </c>
      <c r="P3633" t="s">
        <v>4529</v>
      </c>
      <c r="Q3633" t="s">
        <v>2566</v>
      </c>
      <c r="R3633" t="s">
        <v>2436</v>
      </c>
    </row>
    <row r="3634" spans="1:18" x14ac:dyDescent="0.5">
      <c r="A3634" t="str">
        <f>"540424AT5"</f>
        <v>540424AT5</v>
      </c>
      <c r="B3634" t="s">
        <v>101</v>
      </c>
      <c r="C3634" t="s">
        <v>4530</v>
      </c>
      <c r="D3634" t="s">
        <v>2433</v>
      </c>
      <c r="E3634">
        <v>3.2</v>
      </c>
      <c r="F3634" s="2">
        <v>47618</v>
      </c>
      <c r="G3634" s="2">
        <v>47529</v>
      </c>
      <c r="H3634" t="s">
        <v>627</v>
      </c>
      <c r="I3634" t="s">
        <v>611</v>
      </c>
      <c r="J3634">
        <v>92.93</v>
      </c>
      <c r="K3634">
        <v>93.123000000000005</v>
      </c>
      <c r="L3634">
        <v>4.7560000000000002</v>
      </c>
      <c r="M3634">
        <v>4.7119999999999997</v>
      </c>
      <c r="N3634">
        <v>4.7119999999999997</v>
      </c>
      <c r="O3634" t="s">
        <v>101</v>
      </c>
      <c r="P3634" t="s">
        <v>2447</v>
      </c>
      <c r="Q3634" t="s">
        <v>4531</v>
      </c>
      <c r="R3634" t="s">
        <v>2436</v>
      </c>
    </row>
    <row r="3635" spans="1:18" x14ac:dyDescent="0.5">
      <c r="A3635" t="str">
        <f>"30303M8M7"</f>
        <v>30303M8M7</v>
      </c>
      <c r="B3635" t="s">
        <v>101</v>
      </c>
      <c r="C3635" t="s">
        <v>4532</v>
      </c>
      <c r="D3635" t="s">
        <v>2433</v>
      </c>
      <c r="E3635">
        <v>4.8</v>
      </c>
      <c r="F3635" s="2">
        <v>47618</v>
      </c>
      <c r="G3635" s="2">
        <v>47557</v>
      </c>
      <c r="H3635" t="s">
        <v>624</v>
      </c>
      <c r="I3635" t="s">
        <v>616</v>
      </c>
      <c r="J3635">
        <v>101.407</v>
      </c>
      <c r="K3635">
        <v>101.592</v>
      </c>
      <c r="L3635">
        <v>4.4829999999999997</v>
      </c>
      <c r="M3635">
        <v>4.4420000000000002</v>
      </c>
      <c r="N3635">
        <v>4.4509999999999996</v>
      </c>
      <c r="O3635" t="s">
        <v>101</v>
      </c>
      <c r="P3635" t="s">
        <v>2454</v>
      </c>
      <c r="Q3635" t="s">
        <v>2454</v>
      </c>
      <c r="R3635" t="s">
        <v>2436</v>
      </c>
    </row>
    <row r="3636" spans="1:18" x14ac:dyDescent="0.5">
      <c r="A3636" t="str">
        <f>"63743FWH5"</f>
        <v>63743FWH5</v>
      </c>
      <c r="B3636" t="s">
        <v>101</v>
      </c>
      <c r="C3636" t="s">
        <v>4533</v>
      </c>
      <c r="D3636" t="s">
        <v>2433</v>
      </c>
      <c r="E3636">
        <v>3.5</v>
      </c>
      <c r="F3636" s="2">
        <v>47618</v>
      </c>
      <c r="G3636" s="2" t="s">
        <v>105</v>
      </c>
      <c r="H3636" t="s">
        <v>610</v>
      </c>
      <c r="I3636" t="s">
        <v>713</v>
      </c>
      <c r="J3636">
        <v>93.343999999999994</v>
      </c>
      <c r="K3636">
        <v>95.635000000000005</v>
      </c>
      <c r="L3636">
        <v>4.9610000000000003</v>
      </c>
      <c r="M3636">
        <v>4.4459999999999997</v>
      </c>
      <c r="N3636">
        <v>4.4459999999999997</v>
      </c>
      <c r="O3636" t="s">
        <v>101</v>
      </c>
      <c r="P3636" t="s">
        <v>858</v>
      </c>
      <c r="Q3636" t="s">
        <v>485</v>
      </c>
      <c r="R3636" t="s">
        <v>2610</v>
      </c>
    </row>
    <row r="3637" spans="1:18" x14ac:dyDescent="0.5">
      <c r="A3637" t="str">
        <f>"68233JBU7"</f>
        <v>68233JBU7</v>
      </c>
      <c r="B3637" t="s">
        <v>101</v>
      </c>
      <c r="C3637" t="s">
        <v>4534</v>
      </c>
      <c r="D3637" t="s">
        <v>2433</v>
      </c>
      <c r="E3637">
        <v>2.75</v>
      </c>
      <c r="F3637" s="2">
        <v>47618</v>
      </c>
      <c r="G3637" s="2">
        <v>47529</v>
      </c>
      <c r="H3637" t="s">
        <v>610</v>
      </c>
      <c r="I3637" t="s">
        <v>658</v>
      </c>
      <c r="J3637">
        <v>90.644000000000005</v>
      </c>
      <c r="K3637">
        <v>90.950999999999993</v>
      </c>
      <c r="L3637">
        <v>4.8129999999999997</v>
      </c>
      <c r="M3637">
        <v>4.742</v>
      </c>
      <c r="N3637">
        <v>4.742</v>
      </c>
      <c r="O3637" t="s">
        <v>101</v>
      </c>
      <c r="P3637" t="s">
        <v>3884</v>
      </c>
      <c r="Q3637" t="s">
        <v>2786</v>
      </c>
      <c r="R3637" t="s">
        <v>2436</v>
      </c>
    </row>
    <row r="3638" spans="1:18" x14ac:dyDescent="0.5">
      <c r="A3638" t="str">
        <f>"68235PAH1"</f>
        <v>68235PAH1</v>
      </c>
      <c r="B3638" t="s">
        <v>101</v>
      </c>
      <c r="C3638" t="s">
        <v>4535</v>
      </c>
      <c r="D3638" t="s">
        <v>2433</v>
      </c>
      <c r="E3638">
        <v>2</v>
      </c>
      <c r="F3638" s="2">
        <v>47618</v>
      </c>
      <c r="G3638" s="2">
        <v>47529</v>
      </c>
      <c r="H3638" t="s">
        <v>627</v>
      </c>
      <c r="I3638" t="s">
        <v>713</v>
      </c>
      <c r="J3638">
        <v>87.465000000000003</v>
      </c>
      <c r="K3638">
        <v>87.808000000000007</v>
      </c>
      <c r="L3638">
        <v>4.7610000000000001</v>
      </c>
      <c r="M3638">
        <v>4.6790000000000003</v>
      </c>
      <c r="N3638">
        <v>4.6790000000000003</v>
      </c>
      <c r="O3638" t="s">
        <v>101</v>
      </c>
      <c r="P3638" t="s">
        <v>3878</v>
      </c>
      <c r="Q3638" t="s">
        <v>858</v>
      </c>
      <c r="R3638" t="s">
        <v>2436</v>
      </c>
    </row>
    <row r="3639" spans="1:18" x14ac:dyDescent="0.5">
      <c r="A3639" t="str">
        <f>"91324PDX7"</f>
        <v>91324PDX7</v>
      </c>
      <c r="B3639" t="s">
        <v>101</v>
      </c>
      <c r="C3639" t="s">
        <v>4536</v>
      </c>
      <c r="D3639" t="s">
        <v>2433</v>
      </c>
      <c r="E3639">
        <v>2</v>
      </c>
      <c r="F3639" s="2">
        <v>47618</v>
      </c>
      <c r="G3639" s="2">
        <v>47529</v>
      </c>
      <c r="H3639" t="s">
        <v>610</v>
      </c>
      <c r="I3639" t="s">
        <v>658</v>
      </c>
      <c r="J3639">
        <v>87.64</v>
      </c>
      <c r="K3639">
        <v>87.835999999999999</v>
      </c>
      <c r="L3639">
        <v>4.7190000000000003</v>
      </c>
      <c r="M3639">
        <v>4.673</v>
      </c>
      <c r="N3639">
        <v>4.673</v>
      </c>
      <c r="O3639" t="s">
        <v>101</v>
      </c>
      <c r="P3639" t="s">
        <v>2795</v>
      </c>
      <c r="Q3639" t="s">
        <v>2454</v>
      </c>
      <c r="R3639" t="s">
        <v>2436</v>
      </c>
    </row>
    <row r="3640" spans="1:18" x14ac:dyDescent="0.5">
      <c r="A3640" t="str">
        <f>"58933YBJ3"</f>
        <v>58933YBJ3</v>
      </c>
      <c r="B3640" t="s">
        <v>101</v>
      </c>
      <c r="C3640" t="s">
        <v>4537</v>
      </c>
      <c r="D3640" t="s">
        <v>2433</v>
      </c>
      <c r="E3640">
        <v>4.3</v>
      </c>
      <c r="F3640" s="2">
        <v>47620</v>
      </c>
      <c r="G3640" s="2">
        <v>47559</v>
      </c>
      <c r="H3640" t="s">
        <v>641</v>
      </c>
      <c r="I3640" t="s">
        <v>658</v>
      </c>
      <c r="J3640">
        <v>98.912999999999997</v>
      </c>
      <c r="K3640">
        <v>99.076999999999998</v>
      </c>
      <c r="L3640">
        <v>4.5369999999999999</v>
      </c>
      <c r="M3640">
        <v>4.5010000000000003</v>
      </c>
      <c r="N3640">
        <v>4.5010000000000003</v>
      </c>
      <c r="O3640" t="s">
        <v>101</v>
      </c>
      <c r="P3640" t="s">
        <v>1702</v>
      </c>
      <c r="Q3640" t="s">
        <v>2441</v>
      </c>
      <c r="R3640" t="s">
        <v>2436</v>
      </c>
    </row>
    <row r="3641" spans="1:18" x14ac:dyDescent="0.5">
      <c r="A3641" t="str">
        <f>"89236TKU8"</f>
        <v>89236TKU8</v>
      </c>
      <c r="B3641" t="s">
        <v>101</v>
      </c>
      <c r="C3641" t="s">
        <v>4538</v>
      </c>
      <c r="D3641" t="s">
        <v>2433</v>
      </c>
      <c r="E3641">
        <v>4.55</v>
      </c>
      <c r="F3641" s="2">
        <v>47620</v>
      </c>
      <c r="G3641" s="2" t="s">
        <v>101</v>
      </c>
      <c r="H3641" t="s">
        <v>641</v>
      </c>
      <c r="I3641" t="s">
        <v>658</v>
      </c>
      <c r="J3641">
        <v>99.353999999999999</v>
      </c>
      <c r="K3641">
        <v>99.697000000000003</v>
      </c>
      <c r="L3641">
        <v>4.6909999999999998</v>
      </c>
      <c r="M3641">
        <v>4.6150000000000002</v>
      </c>
      <c r="N3641">
        <v>4.6150000000000002</v>
      </c>
      <c r="O3641" t="s">
        <v>101</v>
      </c>
      <c r="P3641" t="s">
        <v>4433</v>
      </c>
      <c r="Q3641" t="s">
        <v>2454</v>
      </c>
      <c r="R3641" t="s">
        <v>2436</v>
      </c>
    </row>
    <row r="3642" spans="1:18" x14ac:dyDescent="0.5">
      <c r="A3642" t="str">
        <f>"716973AD4"</f>
        <v>716973AD4</v>
      </c>
      <c r="B3642" t="s">
        <v>101</v>
      </c>
      <c r="C3642" t="s">
        <v>4539</v>
      </c>
      <c r="D3642" t="s">
        <v>2433</v>
      </c>
      <c r="E3642">
        <v>4.6500000000000004</v>
      </c>
      <c r="F3642" s="2">
        <v>47622</v>
      </c>
      <c r="G3642" s="2">
        <v>47561</v>
      </c>
      <c r="H3642" t="s">
        <v>610</v>
      </c>
      <c r="I3642" t="s">
        <v>611</v>
      </c>
      <c r="J3642">
        <v>99.927000000000007</v>
      </c>
      <c r="K3642">
        <v>100.017</v>
      </c>
      <c r="L3642">
        <v>4.665</v>
      </c>
      <c r="M3642">
        <v>4.6449999999999996</v>
      </c>
      <c r="N3642">
        <v>4.6449999999999996</v>
      </c>
      <c r="O3642" t="s">
        <v>101</v>
      </c>
      <c r="P3642" t="s">
        <v>3878</v>
      </c>
      <c r="Q3642" t="s">
        <v>2454</v>
      </c>
      <c r="R3642" t="s">
        <v>2436</v>
      </c>
    </row>
    <row r="3643" spans="1:18" x14ac:dyDescent="0.5">
      <c r="A3643" t="str">
        <f>"747525BK8"</f>
        <v>747525BK8</v>
      </c>
      <c r="B3643" t="s">
        <v>101</v>
      </c>
      <c r="C3643" t="s">
        <v>4540</v>
      </c>
      <c r="D3643" t="s">
        <v>2433</v>
      </c>
      <c r="E3643">
        <v>2.15</v>
      </c>
      <c r="F3643" s="2">
        <v>47623</v>
      </c>
      <c r="G3643" s="2">
        <v>47534</v>
      </c>
      <c r="H3643" t="s">
        <v>610</v>
      </c>
      <c r="I3643" t="s">
        <v>611</v>
      </c>
      <c r="J3643">
        <v>88.793999999999997</v>
      </c>
      <c r="K3643">
        <v>89.114000000000004</v>
      </c>
      <c r="L3643">
        <v>4.6020000000000003</v>
      </c>
      <c r="M3643">
        <v>4.5270000000000001</v>
      </c>
      <c r="N3643">
        <v>4.5270000000000001</v>
      </c>
      <c r="O3643" t="s">
        <v>101</v>
      </c>
      <c r="P3643" t="s">
        <v>3878</v>
      </c>
      <c r="Q3643" t="s">
        <v>1702</v>
      </c>
      <c r="R3643" t="s">
        <v>2436</v>
      </c>
    </row>
    <row r="3644" spans="1:18" x14ac:dyDescent="0.5">
      <c r="A3644" t="str">
        <f>"29446MAK8"</f>
        <v>29446MAK8</v>
      </c>
      <c r="B3644" t="s">
        <v>101</v>
      </c>
      <c r="C3644" t="s">
        <v>4541</v>
      </c>
      <c r="D3644" t="s">
        <v>2433</v>
      </c>
      <c r="E3644">
        <v>2.375</v>
      </c>
      <c r="F3644" s="2">
        <v>47625</v>
      </c>
      <c r="G3644" s="2">
        <v>47536</v>
      </c>
      <c r="H3644" t="s">
        <v>613</v>
      </c>
      <c r="I3644" t="s">
        <v>616</v>
      </c>
      <c r="J3644">
        <v>89.433000000000007</v>
      </c>
      <c r="K3644">
        <v>89.638999999999996</v>
      </c>
      <c r="L3644">
        <v>4.6900000000000004</v>
      </c>
      <c r="M3644">
        <v>4.6420000000000003</v>
      </c>
      <c r="N3644">
        <v>4.6420000000000003</v>
      </c>
      <c r="O3644" t="s">
        <v>101</v>
      </c>
      <c r="P3644" t="s">
        <v>3939</v>
      </c>
      <c r="Q3644" t="s">
        <v>4339</v>
      </c>
      <c r="R3644" t="s">
        <v>2436</v>
      </c>
    </row>
    <row r="3645" spans="1:18" x14ac:dyDescent="0.5">
      <c r="A3645" t="str">
        <f>"05971KAF6"</f>
        <v>05971KAF6</v>
      </c>
      <c r="B3645" t="s">
        <v>101</v>
      </c>
      <c r="C3645" t="s">
        <v>4542</v>
      </c>
      <c r="D3645" t="s">
        <v>2433</v>
      </c>
      <c r="E3645">
        <v>3.49</v>
      </c>
      <c r="F3645" s="2">
        <v>47631</v>
      </c>
      <c r="G3645" s="2" t="s">
        <v>101</v>
      </c>
      <c r="H3645" t="s">
        <v>670</v>
      </c>
      <c r="I3645" t="s">
        <v>713</v>
      </c>
      <c r="J3645">
        <v>92.74</v>
      </c>
      <c r="K3645">
        <v>92.947000000000003</v>
      </c>
      <c r="L3645">
        <v>5.093</v>
      </c>
      <c r="M3645">
        <v>5.0449999999999999</v>
      </c>
      <c r="N3645">
        <v>5.0449999999999999</v>
      </c>
      <c r="O3645" t="s">
        <v>101</v>
      </c>
      <c r="P3645" t="s">
        <v>542</v>
      </c>
      <c r="Q3645" t="s">
        <v>228</v>
      </c>
      <c r="R3645" t="s">
        <v>2436</v>
      </c>
    </row>
    <row r="3646" spans="1:18" x14ac:dyDescent="0.5">
      <c r="A3646" t="str">
        <f>"717081EY5"</f>
        <v>717081EY5</v>
      </c>
      <c r="B3646" t="s">
        <v>101</v>
      </c>
      <c r="C3646" t="s">
        <v>4543</v>
      </c>
      <c r="D3646" t="s">
        <v>2433</v>
      </c>
      <c r="E3646">
        <v>1.7</v>
      </c>
      <c r="F3646" s="2">
        <v>47631</v>
      </c>
      <c r="G3646" s="2">
        <v>47542</v>
      </c>
      <c r="H3646" t="s">
        <v>610</v>
      </c>
      <c r="I3646" t="s">
        <v>611</v>
      </c>
      <c r="J3646">
        <v>86.697999999999993</v>
      </c>
      <c r="K3646">
        <v>86.847999999999999</v>
      </c>
      <c r="L3646">
        <v>4.5990000000000002</v>
      </c>
      <c r="M3646">
        <v>4.5640000000000001</v>
      </c>
      <c r="N3646">
        <v>4.5640000000000001</v>
      </c>
      <c r="O3646" t="s">
        <v>101</v>
      </c>
      <c r="P3646" t="s">
        <v>1236</v>
      </c>
      <c r="Q3646" t="s">
        <v>2454</v>
      </c>
      <c r="R3646" t="s">
        <v>2436</v>
      </c>
    </row>
    <row r="3647" spans="1:18" x14ac:dyDescent="0.5">
      <c r="A3647" t="str">
        <f>"748148SB0"</f>
        <v>748148SB0</v>
      </c>
      <c r="B3647" t="s">
        <v>101</v>
      </c>
      <c r="C3647" t="s">
        <v>4544</v>
      </c>
      <c r="D3647" t="s">
        <v>2433</v>
      </c>
      <c r="E3647">
        <v>1.35</v>
      </c>
      <c r="F3647" s="2">
        <v>47631</v>
      </c>
      <c r="G3647" s="2" t="s">
        <v>101</v>
      </c>
      <c r="H3647" t="s">
        <v>613</v>
      </c>
      <c r="I3647" t="s">
        <v>616</v>
      </c>
      <c r="J3647">
        <v>85.641000000000005</v>
      </c>
      <c r="K3647">
        <v>86.802000000000007</v>
      </c>
      <c r="L3647">
        <v>4.4690000000000003</v>
      </c>
      <c r="M3647">
        <v>4.1959999999999997</v>
      </c>
      <c r="N3647">
        <v>4.1959999999999997</v>
      </c>
      <c r="O3647" t="s">
        <v>101</v>
      </c>
      <c r="P3647" t="s">
        <v>2618</v>
      </c>
      <c r="Q3647" t="s">
        <v>2618</v>
      </c>
      <c r="R3647" t="s">
        <v>3443</v>
      </c>
    </row>
    <row r="3648" spans="1:18" x14ac:dyDescent="0.5">
      <c r="A3648" t="str">
        <f>"035240AV2"</f>
        <v>035240AV2</v>
      </c>
      <c r="B3648" t="s">
        <v>101</v>
      </c>
      <c r="C3648" t="s">
        <v>4545</v>
      </c>
      <c r="D3648" t="s">
        <v>2433</v>
      </c>
      <c r="E3648">
        <v>3.5</v>
      </c>
      <c r="F3648" s="2">
        <v>47635</v>
      </c>
      <c r="G3648" s="2">
        <v>47543</v>
      </c>
      <c r="H3648" t="s">
        <v>627</v>
      </c>
      <c r="I3648" t="s">
        <v>713</v>
      </c>
      <c r="J3648">
        <v>94.661000000000001</v>
      </c>
      <c r="K3648">
        <v>94.856999999999999</v>
      </c>
      <c r="L3648">
        <v>4.6630000000000003</v>
      </c>
      <c r="M3648">
        <v>4.6189999999999998</v>
      </c>
      <c r="N3648">
        <v>4.6189999999999998</v>
      </c>
      <c r="O3648" t="s">
        <v>101</v>
      </c>
      <c r="P3648" t="s">
        <v>3939</v>
      </c>
      <c r="Q3648" t="s">
        <v>2507</v>
      </c>
      <c r="R3648" t="s">
        <v>2436</v>
      </c>
    </row>
    <row r="3649" spans="1:18" x14ac:dyDescent="0.5">
      <c r="A3649" t="str">
        <f>"038222AN5"</f>
        <v>038222AN5</v>
      </c>
      <c r="B3649" t="s">
        <v>101</v>
      </c>
      <c r="C3649" t="s">
        <v>4546</v>
      </c>
      <c r="D3649" t="s">
        <v>2433</v>
      </c>
      <c r="E3649">
        <v>1.75</v>
      </c>
      <c r="F3649" s="2">
        <v>47635</v>
      </c>
      <c r="G3649" s="2">
        <v>47543</v>
      </c>
      <c r="H3649" t="s">
        <v>610</v>
      </c>
      <c r="I3649" t="s">
        <v>611</v>
      </c>
      <c r="J3649">
        <v>86.62</v>
      </c>
      <c r="K3649">
        <v>86.882000000000005</v>
      </c>
      <c r="L3649">
        <v>4.6680000000000001</v>
      </c>
      <c r="M3649">
        <v>4.6059999999999999</v>
      </c>
      <c r="N3649">
        <v>4.6059999999999999</v>
      </c>
      <c r="O3649" t="s">
        <v>101</v>
      </c>
      <c r="P3649" t="s">
        <v>3884</v>
      </c>
      <c r="Q3649" t="s">
        <v>4547</v>
      </c>
      <c r="R3649" t="s">
        <v>2436</v>
      </c>
    </row>
    <row r="3650" spans="1:18" x14ac:dyDescent="0.5">
      <c r="A3650" t="str">
        <f>"101137BA4"</f>
        <v>101137BA4</v>
      </c>
      <c r="B3650" t="s">
        <v>101</v>
      </c>
      <c r="C3650" t="s">
        <v>4548</v>
      </c>
      <c r="D3650" t="s">
        <v>2433</v>
      </c>
      <c r="E3650">
        <v>2.65</v>
      </c>
      <c r="F3650" s="2">
        <v>47635</v>
      </c>
      <c r="G3650" s="2">
        <v>47543</v>
      </c>
      <c r="H3650" t="s">
        <v>670</v>
      </c>
      <c r="I3650" t="s">
        <v>713</v>
      </c>
      <c r="J3650">
        <v>90.834999999999994</v>
      </c>
      <c r="K3650">
        <v>90.861000000000004</v>
      </c>
      <c r="L3650">
        <v>4.6470000000000002</v>
      </c>
      <c r="M3650">
        <v>4.641</v>
      </c>
      <c r="N3650">
        <v>4.641</v>
      </c>
      <c r="O3650" t="s">
        <v>101</v>
      </c>
      <c r="P3650" t="s">
        <v>2581</v>
      </c>
      <c r="Q3650" t="s">
        <v>2454</v>
      </c>
      <c r="R3650" t="s">
        <v>2436</v>
      </c>
    </row>
    <row r="3651" spans="1:18" x14ac:dyDescent="0.5">
      <c r="A3651" t="str">
        <f>"191216CV0"</f>
        <v>191216CV0</v>
      </c>
      <c r="B3651" t="s">
        <v>101</v>
      </c>
      <c r="C3651" t="s">
        <v>4549</v>
      </c>
      <c r="D3651" t="s">
        <v>2433</v>
      </c>
      <c r="E3651">
        <v>1.65</v>
      </c>
      <c r="F3651" s="2">
        <v>47635</v>
      </c>
      <c r="G3651" s="2">
        <v>47543</v>
      </c>
      <c r="H3651" t="s">
        <v>641</v>
      </c>
      <c r="I3651" t="s">
        <v>658</v>
      </c>
      <c r="J3651">
        <v>86.400999999999996</v>
      </c>
      <c r="K3651">
        <v>86.641000000000005</v>
      </c>
      <c r="L3651">
        <v>4.6109999999999998</v>
      </c>
      <c r="M3651">
        <v>4.5540000000000003</v>
      </c>
      <c r="N3651">
        <v>4.5540000000000003</v>
      </c>
      <c r="O3651" t="s">
        <v>101</v>
      </c>
      <c r="P3651" t="s">
        <v>2472</v>
      </c>
      <c r="Q3651" t="s">
        <v>2454</v>
      </c>
      <c r="R3651" t="s">
        <v>2436</v>
      </c>
    </row>
    <row r="3652" spans="1:18" x14ac:dyDescent="0.5">
      <c r="A3652" t="str">
        <f>"26442EAH3"</f>
        <v>26442EAH3</v>
      </c>
      <c r="B3652" t="s">
        <v>101</v>
      </c>
      <c r="C3652" t="s">
        <v>4550</v>
      </c>
      <c r="D3652" t="s">
        <v>2433</v>
      </c>
      <c r="E3652">
        <v>2.125</v>
      </c>
      <c r="F3652" s="2">
        <v>47635</v>
      </c>
      <c r="G3652" s="2">
        <v>47543</v>
      </c>
      <c r="H3652" t="s">
        <v>610</v>
      </c>
      <c r="I3652" t="s">
        <v>611</v>
      </c>
      <c r="J3652">
        <v>87.540999999999997</v>
      </c>
      <c r="K3652">
        <v>87.872</v>
      </c>
      <c r="L3652">
        <v>4.8550000000000004</v>
      </c>
      <c r="M3652">
        <v>4.7770000000000001</v>
      </c>
      <c r="N3652">
        <v>4.7770000000000001</v>
      </c>
      <c r="O3652" t="s">
        <v>101</v>
      </c>
      <c r="P3652" t="s">
        <v>3878</v>
      </c>
      <c r="Q3652" t="s">
        <v>2454</v>
      </c>
      <c r="R3652" t="s">
        <v>2436</v>
      </c>
    </row>
    <row r="3653" spans="1:18" x14ac:dyDescent="0.5">
      <c r="A3653" t="str">
        <f>"30037DAA3"</f>
        <v>30037DAA3</v>
      </c>
      <c r="B3653" t="s">
        <v>101</v>
      </c>
      <c r="C3653" t="s">
        <v>4551</v>
      </c>
      <c r="D3653" t="s">
        <v>2433</v>
      </c>
      <c r="E3653">
        <v>2.25</v>
      </c>
      <c r="F3653" s="2">
        <v>47635</v>
      </c>
      <c r="G3653" s="2">
        <v>47543</v>
      </c>
      <c r="H3653" t="s">
        <v>610</v>
      </c>
      <c r="I3653" t="s">
        <v>611</v>
      </c>
      <c r="J3653">
        <v>88.058999999999997</v>
      </c>
      <c r="K3653">
        <v>88.501999999999995</v>
      </c>
      <c r="L3653">
        <v>4.8680000000000003</v>
      </c>
      <c r="M3653">
        <v>4.7629999999999999</v>
      </c>
      <c r="N3653">
        <v>4.7629999999999999</v>
      </c>
      <c r="O3653" t="s">
        <v>101</v>
      </c>
      <c r="P3653" t="s">
        <v>2747</v>
      </c>
      <c r="Q3653" t="s">
        <v>3241</v>
      </c>
      <c r="R3653" t="s">
        <v>2436</v>
      </c>
    </row>
    <row r="3654" spans="1:18" x14ac:dyDescent="0.5">
      <c r="A3654" t="str">
        <f>"427866BE7"</f>
        <v>427866BE7</v>
      </c>
      <c r="B3654" t="s">
        <v>101</v>
      </c>
      <c r="C3654" t="s">
        <v>4552</v>
      </c>
      <c r="D3654" t="s">
        <v>2433</v>
      </c>
      <c r="E3654">
        <v>1.7</v>
      </c>
      <c r="F3654" s="2">
        <v>47635</v>
      </c>
      <c r="G3654" s="2">
        <v>47543</v>
      </c>
      <c r="H3654" t="s">
        <v>641</v>
      </c>
      <c r="I3654" t="s">
        <v>611</v>
      </c>
      <c r="J3654">
        <v>86.528999999999996</v>
      </c>
      <c r="K3654">
        <v>86.834999999999994</v>
      </c>
      <c r="L3654">
        <v>4.6349999999999998</v>
      </c>
      <c r="M3654">
        <v>4.5629999999999997</v>
      </c>
      <c r="N3654">
        <v>4.5629999999999997</v>
      </c>
      <c r="O3654" t="s">
        <v>101</v>
      </c>
      <c r="P3654" t="s">
        <v>1064</v>
      </c>
      <c r="Q3654" t="s">
        <v>2454</v>
      </c>
      <c r="R3654" t="s">
        <v>2436</v>
      </c>
    </row>
    <row r="3655" spans="1:18" x14ac:dyDescent="0.5">
      <c r="A3655" t="str">
        <f>"438516BZ8"</f>
        <v>438516BZ8</v>
      </c>
      <c r="B3655" t="s">
        <v>101</v>
      </c>
      <c r="C3655" t="s">
        <v>4553</v>
      </c>
      <c r="D3655" t="s">
        <v>2433</v>
      </c>
      <c r="E3655">
        <v>1.95</v>
      </c>
      <c r="F3655" s="2">
        <v>47635</v>
      </c>
      <c r="G3655" s="2">
        <v>47543</v>
      </c>
      <c r="H3655" t="s">
        <v>610</v>
      </c>
      <c r="I3655" t="s">
        <v>611</v>
      </c>
      <c r="J3655">
        <v>87.483000000000004</v>
      </c>
      <c r="K3655">
        <v>87.656000000000006</v>
      </c>
      <c r="L3655">
        <v>4.68</v>
      </c>
      <c r="M3655">
        <v>4.6390000000000002</v>
      </c>
      <c r="N3655">
        <v>4.6390000000000002</v>
      </c>
      <c r="O3655" t="s">
        <v>101</v>
      </c>
      <c r="P3655" t="s">
        <v>1702</v>
      </c>
      <c r="Q3655" t="s">
        <v>2454</v>
      </c>
      <c r="R3655" t="s">
        <v>2436</v>
      </c>
    </row>
    <row r="3656" spans="1:18" x14ac:dyDescent="0.5">
      <c r="A3656" t="str">
        <f>"487836BX5"</f>
        <v>487836BX5</v>
      </c>
      <c r="B3656" t="s">
        <v>101</v>
      </c>
      <c r="C3656" t="s">
        <v>4554</v>
      </c>
      <c r="D3656" t="s">
        <v>2433</v>
      </c>
      <c r="E3656">
        <v>2.1</v>
      </c>
      <c r="F3656" s="2">
        <v>47635</v>
      </c>
      <c r="G3656" s="2">
        <v>47543</v>
      </c>
      <c r="H3656" t="s">
        <v>677</v>
      </c>
      <c r="I3656" t="s">
        <v>611</v>
      </c>
      <c r="J3656">
        <v>88.308999999999997</v>
      </c>
      <c r="K3656">
        <v>88.515000000000001</v>
      </c>
      <c r="L3656">
        <v>4.6479999999999997</v>
      </c>
      <c r="M3656">
        <v>4.5999999999999996</v>
      </c>
      <c r="N3656">
        <v>4.5999999999999996</v>
      </c>
      <c r="O3656" t="s">
        <v>101</v>
      </c>
      <c r="P3656" t="s">
        <v>3884</v>
      </c>
      <c r="Q3656" t="s">
        <v>4555</v>
      </c>
      <c r="R3656" t="s">
        <v>2436</v>
      </c>
    </row>
    <row r="3657" spans="1:18" x14ac:dyDescent="0.5">
      <c r="A3657" t="str">
        <f>"670346AS4"</f>
        <v>670346AS4</v>
      </c>
      <c r="B3657" t="s">
        <v>101</v>
      </c>
      <c r="C3657" t="s">
        <v>4556</v>
      </c>
      <c r="D3657" t="s">
        <v>2433</v>
      </c>
      <c r="E3657">
        <v>2.7</v>
      </c>
      <c r="F3657" s="2">
        <v>47635</v>
      </c>
      <c r="G3657" s="2">
        <v>47543</v>
      </c>
      <c r="H3657" t="s">
        <v>670</v>
      </c>
      <c r="I3657" t="s">
        <v>713</v>
      </c>
      <c r="J3657">
        <v>90.465999999999994</v>
      </c>
      <c r="K3657">
        <v>90.850999999999999</v>
      </c>
      <c r="L3657">
        <v>4.7850000000000001</v>
      </c>
      <c r="M3657">
        <v>4.6959999999999997</v>
      </c>
      <c r="N3657">
        <v>4.6959999999999997</v>
      </c>
      <c r="O3657" t="s">
        <v>101</v>
      </c>
      <c r="P3657" t="s">
        <v>2564</v>
      </c>
      <c r="Q3657" t="s">
        <v>2454</v>
      </c>
      <c r="R3657" t="s">
        <v>2436</v>
      </c>
    </row>
    <row r="3658" spans="1:18" x14ac:dyDescent="0.5">
      <c r="A3658" t="str">
        <f>"70450YAH6"</f>
        <v>70450YAH6</v>
      </c>
      <c r="B3658" t="s">
        <v>101</v>
      </c>
      <c r="C3658" t="s">
        <v>4557</v>
      </c>
      <c r="D3658" t="s">
        <v>2433</v>
      </c>
      <c r="E3658">
        <v>2.2999999999999998</v>
      </c>
      <c r="F3658" s="2">
        <v>47635</v>
      </c>
      <c r="G3658" s="2">
        <v>47543</v>
      </c>
      <c r="H3658" t="s">
        <v>627</v>
      </c>
      <c r="I3658" t="s">
        <v>713</v>
      </c>
      <c r="J3658">
        <v>88.674000000000007</v>
      </c>
      <c r="K3658">
        <v>88.817999999999998</v>
      </c>
      <c r="L3658">
        <v>4.7770000000000001</v>
      </c>
      <c r="M3658">
        <v>4.7430000000000003</v>
      </c>
      <c r="N3658">
        <v>4.7430000000000003</v>
      </c>
      <c r="O3658" t="s">
        <v>101</v>
      </c>
      <c r="P3658" t="s">
        <v>1702</v>
      </c>
      <c r="Q3658" t="s">
        <v>2786</v>
      </c>
      <c r="R3658" t="s">
        <v>2436</v>
      </c>
    </row>
    <row r="3659" spans="1:18" x14ac:dyDescent="0.5">
      <c r="A3659" t="str">
        <f>"842400GU1"</f>
        <v>842400GU1</v>
      </c>
      <c r="B3659" t="s">
        <v>101</v>
      </c>
      <c r="C3659" t="s">
        <v>4558</v>
      </c>
      <c r="D3659" t="s">
        <v>2433</v>
      </c>
      <c r="E3659">
        <v>2.25</v>
      </c>
      <c r="F3659" s="2">
        <v>47635</v>
      </c>
      <c r="G3659" s="2">
        <v>47543</v>
      </c>
      <c r="H3659" t="s">
        <v>610</v>
      </c>
      <c r="I3659" t="s">
        <v>713</v>
      </c>
      <c r="J3659">
        <v>86.337999999999994</v>
      </c>
      <c r="K3659">
        <v>86.772000000000006</v>
      </c>
      <c r="L3659">
        <v>5.2779999999999996</v>
      </c>
      <c r="M3659">
        <v>5.1740000000000004</v>
      </c>
      <c r="N3659">
        <v>5.1740000000000004</v>
      </c>
      <c r="O3659" t="s">
        <v>101</v>
      </c>
      <c r="P3659" t="s">
        <v>3939</v>
      </c>
      <c r="Q3659" t="s">
        <v>4318</v>
      </c>
      <c r="R3659" t="s">
        <v>2436</v>
      </c>
    </row>
    <row r="3660" spans="1:18" x14ac:dyDescent="0.5">
      <c r="A3660" t="str">
        <f>"983919AK7"</f>
        <v>983919AK7</v>
      </c>
      <c r="B3660" t="s">
        <v>101</v>
      </c>
      <c r="C3660" t="s">
        <v>4559</v>
      </c>
      <c r="D3660" t="s">
        <v>2433</v>
      </c>
      <c r="E3660">
        <v>2.375</v>
      </c>
      <c r="F3660" s="2">
        <v>47635</v>
      </c>
      <c r="G3660" s="2">
        <v>47543</v>
      </c>
      <c r="H3660" t="s">
        <v>610</v>
      </c>
      <c r="I3660" t="s">
        <v>611</v>
      </c>
      <c r="J3660">
        <v>89.103999999999999</v>
      </c>
      <c r="K3660">
        <v>89.438000000000002</v>
      </c>
      <c r="L3660">
        <v>4.7560000000000002</v>
      </c>
      <c r="M3660">
        <v>4.6779999999999999</v>
      </c>
      <c r="N3660">
        <v>4.6779999999999999</v>
      </c>
      <c r="O3660" t="s">
        <v>101</v>
      </c>
      <c r="P3660" t="s">
        <v>2454</v>
      </c>
      <c r="Q3660" t="s">
        <v>4560</v>
      </c>
      <c r="R3660" t="s">
        <v>2436</v>
      </c>
    </row>
    <row r="3661" spans="1:18" x14ac:dyDescent="0.5">
      <c r="A3661" t="str">
        <f>"023135BS4"</f>
        <v>023135BS4</v>
      </c>
      <c r="B3661" t="s">
        <v>101</v>
      </c>
      <c r="C3661" t="s">
        <v>4561</v>
      </c>
      <c r="D3661" t="s">
        <v>2433</v>
      </c>
      <c r="E3661">
        <v>1.5</v>
      </c>
      <c r="F3661" s="2">
        <v>47637</v>
      </c>
      <c r="G3661" s="2">
        <v>47545</v>
      </c>
      <c r="H3661" t="s">
        <v>641</v>
      </c>
      <c r="I3661" t="s">
        <v>628</v>
      </c>
      <c r="J3661">
        <v>86.162000000000006</v>
      </c>
      <c r="K3661">
        <v>86.234999999999999</v>
      </c>
      <c r="L3661">
        <v>4.5010000000000003</v>
      </c>
      <c r="M3661">
        <v>4.484</v>
      </c>
      <c r="N3661">
        <v>4.484</v>
      </c>
      <c r="O3661" t="s">
        <v>101</v>
      </c>
      <c r="P3661" t="s">
        <v>4562</v>
      </c>
      <c r="Q3661" t="s">
        <v>2447</v>
      </c>
      <c r="R3661" t="s">
        <v>2436</v>
      </c>
    </row>
    <row r="3662" spans="1:18" x14ac:dyDescent="0.5">
      <c r="A3662" t="str">
        <f>"89788MAB8"</f>
        <v>89788MAB8</v>
      </c>
      <c r="B3662" t="s">
        <v>101</v>
      </c>
      <c r="C3662" t="s">
        <v>4563</v>
      </c>
      <c r="D3662" t="s">
        <v>2433</v>
      </c>
      <c r="E3662">
        <v>1.95</v>
      </c>
      <c r="F3662" s="2">
        <v>47639</v>
      </c>
      <c r="G3662" s="2">
        <v>47547</v>
      </c>
      <c r="H3662" t="s">
        <v>670</v>
      </c>
      <c r="I3662" t="s">
        <v>713</v>
      </c>
      <c r="J3662">
        <v>86.400999999999996</v>
      </c>
      <c r="K3662">
        <v>86.593999999999994</v>
      </c>
      <c r="L3662">
        <v>4.931</v>
      </c>
      <c r="M3662">
        <v>4.8840000000000003</v>
      </c>
      <c r="N3662">
        <v>4.8849999999999998</v>
      </c>
      <c r="O3662" t="s">
        <v>101</v>
      </c>
      <c r="P3662" t="s">
        <v>2581</v>
      </c>
      <c r="Q3662" t="s">
        <v>2454</v>
      </c>
      <c r="R3662" t="s">
        <v>2436</v>
      </c>
    </row>
    <row r="3663" spans="1:18" x14ac:dyDescent="0.5">
      <c r="A3663" t="str">
        <f>"24422EWZ8"</f>
        <v>24422EWZ8</v>
      </c>
      <c r="B3663" t="s">
        <v>101</v>
      </c>
      <c r="C3663" t="s">
        <v>4564</v>
      </c>
      <c r="D3663" t="s">
        <v>2433</v>
      </c>
      <c r="E3663">
        <v>4.7</v>
      </c>
      <c r="F3663" s="2">
        <v>47644</v>
      </c>
      <c r="G3663" s="2" t="s">
        <v>105</v>
      </c>
      <c r="H3663" t="s">
        <v>641</v>
      </c>
      <c r="I3663" t="s">
        <v>611</v>
      </c>
      <c r="J3663">
        <v>100.23399999999999</v>
      </c>
      <c r="K3663">
        <v>100.471</v>
      </c>
      <c r="L3663">
        <v>4.6479999999999997</v>
      </c>
      <c r="M3663">
        <v>4.5960000000000001</v>
      </c>
      <c r="N3663">
        <v>4.5960000000000001</v>
      </c>
      <c r="O3663" t="s">
        <v>101</v>
      </c>
      <c r="P3663" t="s">
        <v>2507</v>
      </c>
      <c r="Q3663" t="s">
        <v>3206</v>
      </c>
      <c r="R3663" t="s">
        <v>2465</v>
      </c>
    </row>
    <row r="3664" spans="1:18" x14ac:dyDescent="0.5">
      <c r="A3664" t="str">
        <f>"440452AF7"</f>
        <v>440452AF7</v>
      </c>
      <c r="B3664" t="s">
        <v>101</v>
      </c>
      <c r="C3664" t="s">
        <v>4565</v>
      </c>
      <c r="D3664" t="s">
        <v>2433</v>
      </c>
      <c r="E3664">
        <v>1.8</v>
      </c>
      <c r="F3664" s="2">
        <v>47645</v>
      </c>
      <c r="G3664" s="2">
        <v>47553</v>
      </c>
      <c r="H3664" t="s">
        <v>641</v>
      </c>
      <c r="I3664" t="s">
        <v>713</v>
      </c>
      <c r="J3664">
        <v>86.475999999999999</v>
      </c>
      <c r="K3664">
        <v>86.74</v>
      </c>
      <c r="L3664">
        <v>4.7409999999999997</v>
      </c>
      <c r="M3664">
        <v>4.6790000000000003</v>
      </c>
      <c r="N3664">
        <v>4.6790000000000003</v>
      </c>
      <c r="O3664" t="s">
        <v>101</v>
      </c>
      <c r="P3664" t="s">
        <v>2889</v>
      </c>
      <c r="Q3664" t="s">
        <v>2454</v>
      </c>
      <c r="R3664" t="s">
        <v>2436</v>
      </c>
    </row>
    <row r="3665" spans="1:18" x14ac:dyDescent="0.5">
      <c r="A3665" t="str">
        <f>"26444HAJ0"</f>
        <v>26444HAJ0</v>
      </c>
      <c r="B3665" t="s">
        <v>101</v>
      </c>
      <c r="C3665" t="s">
        <v>4566</v>
      </c>
      <c r="D3665" t="s">
        <v>2433</v>
      </c>
      <c r="E3665">
        <v>1.75</v>
      </c>
      <c r="F3665" s="2">
        <v>47649</v>
      </c>
      <c r="G3665" s="2">
        <v>47557</v>
      </c>
      <c r="H3665" t="s">
        <v>641</v>
      </c>
      <c r="I3665" t="s">
        <v>611</v>
      </c>
      <c r="J3665">
        <v>85.843999999999994</v>
      </c>
      <c r="K3665">
        <v>86.113</v>
      </c>
      <c r="L3665">
        <v>4.83</v>
      </c>
      <c r="M3665">
        <v>4.766</v>
      </c>
      <c r="N3665">
        <v>4.766</v>
      </c>
      <c r="O3665" t="s">
        <v>101</v>
      </c>
      <c r="P3665" t="s">
        <v>4567</v>
      </c>
      <c r="Q3665" t="s">
        <v>2581</v>
      </c>
      <c r="R3665" t="s">
        <v>2436</v>
      </c>
    </row>
    <row r="3666" spans="1:18" x14ac:dyDescent="0.5">
      <c r="A3666" t="str">
        <f>"45866FAK0"</f>
        <v>45866FAK0</v>
      </c>
      <c r="B3666" t="s">
        <v>101</v>
      </c>
      <c r="C3666" t="s">
        <v>4568</v>
      </c>
      <c r="D3666" t="s">
        <v>2433</v>
      </c>
      <c r="E3666">
        <v>2.1</v>
      </c>
      <c r="F3666" s="2">
        <v>47649</v>
      </c>
      <c r="G3666" s="2">
        <v>47557</v>
      </c>
      <c r="H3666" t="s">
        <v>627</v>
      </c>
      <c r="I3666" t="s">
        <v>713</v>
      </c>
      <c r="J3666">
        <v>87.534999999999997</v>
      </c>
      <c r="K3666">
        <v>87.730999999999995</v>
      </c>
      <c r="L3666">
        <v>4.8109999999999999</v>
      </c>
      <c r="M3666">
        <v>4.7649999999999997</v>
      </c>
      <c r="N3666">
        <v>4.7649999999999997</v>
      </c>
      <c r="O3666" t="s">
        <v>101</v>
      </c>
      <c r="P3666" t="s">
        <v>4569</v>
      </c>
      <c r="Q3666" t="s">
        <v>2454</v>
      </c>
      <c r="R3666" t="s">
        <v>2436</v>
      </c>
    </row>
    <row r="3667" spans="1:18" x14ac:dyDescent="0.5">
      <c r="A3667" t="str">
        <f>"512807AV0"</f>
        <v>512807AV0</v>
      </c>
      <c r="B3667" t="s">
        <v>101</v>
      </c>
      <c r="C3667" t="s">
        <v>4570</v>
      </c>
      <c r="D3667" t="s">
        <v>2433</v>
      </c>
      <c r="E3667">
        <v>1.9</v>
      </c>
      <c r="F3667" s="2">
        <v>47649</v>
      </c>
      <c r="G3667" s="2">
        <v>47557</v>
      </c>
      <c r="H3667" t="s">
        <v>610</v>
      </c>
      <c r="I3667" t="s">
        <v>713</v>
      </c>
      <c r="J3667">
        <v>87.144000000000005</v>
      </c>
      <c r="K3667">
        <v>87.403000000000006</v>
      </c>
      <c r="L3667">
        <v>4.6859999999999999</v>
      </c>
      <c r="M3667">
        <v>4.6260000000000003</v>
      </c>
      <c r="N3667">
        <v>4.6260000000000003</v>
      </c>
      <c r="O3667" t="s">
        <v>101</v>
      </c>
      <c r="P3667" t="s">
        <v>3878</v>
      </c>
      <c r="Q3667" t="s">
        <v>2454</v>
      </c>
      <c r="R3667" t="s">
        <v>2436</v>
      </c>
    </row>
    <row r="3668" spans="1:18" x14ac:dyDescent="0.5">
      <c r="A3668" t="str">
        <f>"539830BP3"</f>
        <v>539830BP3</v>
      </c>
      <c r="B3668" t="s">
        <v>101</v>
      </c>
      <c r="C3668" t="s">
        <v>4571</v>
      </c>
      <c r="D3668" t="s">
        <v>2433</v>
      </c>
      <c r="E3668">
        <v>1.85</v>
      </c>
      <c r="F3668" s="2">
        <v>47649</v>
      </c>
      <c r="G3668" s="2">
        <v>47557</v>
      </c>
      <c r="H3668" t="s">
        <v>610</v>
      </c>
      <c r="I3668" t="s">
        <v>713</v>
      </c>
      <c r="J3668">
        <v>86.641000000000005</v>
      </c>
      <c r="K3668">
        <v>87.009</v>
      </c>
      <c r="L3668">
        <v>4.75</v>
      </c>
      <c r="M3668">
        <v>4.6639999999999997</v>
      </c>
      <c r="N3668">
        <v>4.6639999999999997</v>
      </c>
      <c r="O3668" t="s">
        <v>101</v>
      </c>
      <c r="P3668" t="s">
        <v>1702</v>
      </c>
      <c r="Q3668" t="s">
        <v>1702</v>
      </c>
      <c r="R3668" t="s">
        <v>2436</v>
      </c>
    </row>
    <row r="3669" spans="1:18" x14ac:dyDescent="0.5">
      <c r="A3669" t="str">
        <f>"559222AV6"</f>
        <v>559222AV6</v>
      </c>
      <c r="B3669" t="s">
        <v>101</v>
      </c>
      <c r="C3669" t="s">
        <v>4572</v>
      </c>
      <c r="D3669" t="s">
        <v>2433</v>
      </c>
      <c r="E3669">
        <v>2.4500000000000002</v>
      </c>
      <c r="F3669" s="2">
        <v>47649</v>
      </c>
      <c r="G3669" s="2">
        <v>47557</v>
      </c>
      <c r="H3669" t="s">
        <v>627</v>
      </c>
      <c r="I3669" t="s">
        <v>713</v>
      </c>
      <c r="J3669">
        <v>88.218999999999994</v>
      </c>
      <c r="K3669">
        <v>88.808999999999997</v>
      </c>
      <c r="L3669">
        <v>5.0270000000000001</v>
      </c>
      <c r="M3669">
        <v>4.8879999999999999</v>
      </c>
      <c r="N3669">
        <v>4.8879999999999999</v>
      </c>
      <c r="O3669" t="s">
        <v>101</v>
      </c>
      <c r="P3669" t="s">
        <v>4569</v>
      </c>
      <c r="Q3669" t="s">
        <v>858</v>
      </c>
      <c r="R3669" t="s">
        <v>2436</v>
      </c>
    </row>
    <row r="3670" spans="1:18" x14ac:dyDescent="0.5">
      <c r="A3670" t="str">
        <f>"74251VAS1"</f>
        <v>74251VAS1</v>
      </c>
      <c r="B3670" t="s">
        <v>101</v>
      </c>
      <c r="C3670" t="s">
        <v>4573</v>
      </c>
      <c r="D3670" t="s">
        <v>2433</v>
      </c>
      <c r="E3670">
        <v>2.125</v>
      </c>
      <c r="F3670" s="2">
        <v>47649</v>
      </c>
      <c r="G3670" s="2">
        <v>47557</v>
      </c>
      <c r="H3670" t="s">
        <v>670</v>
      </c>
      <c r="I3670" t="s">
        <v>713</v>
      </c>
      <c r="J3670">
        <v>87.438999999999993</v>
      </c>
      <c r="K3670">
        <v>87.597999999999999</v>
      </c>
      <c r="L3670">
        <v>4.8600000000000003</v>
      </c>
      <c r="M3670">
        <v>4.8230000000000004</v>
      </c>
      <c r="N3670">
        <v>4.8230000000000004</v>
      </c>
      <c r="O3670" t="s">
        <v>101</v>
      </c>
      <c r="P3670" t="s">
        <v>2447</v>
      </c>
      <c r="Q3670" t="s">
        <v>2454</v>
      </c>
      <c r="R3670" t="s">
        <v>2436</v>
      </c>
    </row>
    <row r="3671" spans="1:18" x14ac:dyDescent="0.5">
      <c r="A3671" t="str">
        <f>"731572AB9"</f>
        <v>731572AB9</v>
      </c>
      <c r="B3671" t="s">
        <v>101</v>
      </c>
      <c r="C3671" t="s">
        <v>4574</v>
      </c>
      <c r="D3671" t="s">
        <v>2433</v>
      </c>
      <c r="E3671">
        <v>2.95</v>
      </c>
      <c r="F3671" s="2">
        <v>47649</v>
      </c>
      <c r="G3671" s="2">
        <v>47557</v>
      </c>
      <c r="H3671" t="s">
        <v>627</v>
      </c>
      <c r="I3671" t="s">
        <v>713</v>
      </c>
      <c r="J3671">
        <v>91.881</v>
      </c>
      <c r="K3671">
        <v>91.944000000000003</v>
      </c>
      <c r="L3671">
        <v>4.71</v>
      </c>
      <c r="M3671">
        <v>4.6959999999999997</v>
      </c>
      <c r="N3671">
        <v>4.6959999999999997</v>
      </c>
      <c r="O3671" t="s">
        <v>101</v>
      </c>
      <c r="P3671" t="s">
        <v>2438</v>
      </c>
      <c r="Q3671" t="s">
        <v>2750</v>
      </c>
      <c r="R3671" t="s">
        <v>2436</v>
      </c>
    </row>
    <row r="3672" spans="1:18" x14ac:dyDescent="0.5">
      <c r="A3672" t="str">
        <f>"75884RBA0"</f>
        <v>75884RBA0</v>
      </c>
      <c r="B3672" t="s">
        <v>101</v>
      </c>
      <c r="C3672" t="s">
        <v>4575</v>
      </c>
      <c r="D3672" t="s">
        <v>2433</v>
      </c>
      <c r="E3672">
        <v>3.7</v>
      </c>
      <c r="F3672" s="2">
        <v>47649</v>
      </c>
      <c r="G3672" s="2">
        <v>47557</v>
      </c>
      <c r="H3672" t="s">
        <v>627</v>
      </c>
      <c r="I3672" t="s">
        <v>713</v>
      </c>
      <c r="J3672">
        <v>94.316000000000003</v>
      </c>
      <c r="K3672">
        <v>94.516000000000005</v>
      </c>
      <c r="L3672">
        <v>4.9390000000000001</v>
      </c>
      <c r="M3672">
        <v>4.8940000000000001</v>
      </c>
      <c r="N3672">
        <v>4.8940000000000001</v>
      </c>
      <c r="O3672" t="s">
        <v>101</v>
      </c>
      <c r="P3672" t="s">
        <v>1999</v>
      </c>
      <c r="Q3672" t="s">
        <v>1999</v>
      </c>
      <c r="R3672" t="s">
        <v>2436</v>
      </c>
    </row>
    <row r="3673" spans="1:18" x14ac:dyDescent="0.5">
      <c r="A3673" t="str">
        <f>"759351AP4"</f>
        <v>759351AP4</v>
      </c>
      <c r="B3673" t="s">
        <v>101</v>
      </c>
      <c r="C3673" t="s">
        <v>4576</v>
      </c>
      <c r="D3673" t="s">
        <v>2433</v>
      </c>
      <c r="E3673">
        <v>3.15</v>
      </c>
      <c r="F3673" s="2">
        <v>47649</v>
      </c>
      <c r="G3673" s="2">
        <v>47557</v>
      </c>
      <c r="H3673" t="s">
        <v>670</v>
      </c>
      <c r="I3673" t="s">
        <v>611</v>
      </c>
      <c r="J3673">
        <v>91.445999999999998</v>
      </c>
      <c r="K3673">
        <v>91.513999999999996</v>
      </c>
      <c r="L3673">
        <v>5.0199999999999996</v>
      </c>
      <c r="M3673">
        <v>5.0039999999999996</v>
      </c>
      <c r="N3673">
        <v>5.0039999999999996</v>
      </c>
      <c r="O3673" t="s">
        <v>101</v>
      </c>
      <c r="P3673" t="s">
        <v>2447</v>
      </c>
      <c r="Q3673" t="s">
        <v>3411</v>
      </c>
      <c r="R3673" t="s">
        <v>2436</v>
      </c>
    </row>
    <row r="3674" spans="1:18" x14ac:dyDescent="0.5">
      <c r="A3674" t="str">
        <f>"58933YAZ8"</f>
        <v>58933YAZ8</v>
      </c>
      <c r="B3674" t="s">
        <v>101</v>
      </c>
      <c r="C3674" t="s">
        <v>4577</v>
      </c>
      <c r="D3674" t="s">
        <v>2433</v>
      </c>
      <c r="E3674">
        <v>1.45</v>
      </c>
      <c r="F3674" s="2">
        <v>47658</v>
      </c>
      <c r="G3674" s="2">
        <v>47566</v>
      </c>
      <c r="H3674" t="s">
        <v>641</v>
      </c>
      <c r="I3674" t="s">
        <v>658</v>
      </c>
      <c r="J3674">
        <v>85.347999999999999</v>
      </c>
      <c r="K3674">
        <v>85.522999999999996</v>
      </c>
      <c r="L3674">
        <v>4.6059999999999999</v>
      </c>
      <c r="M3674">
        <v>4.5640000000000001</v>
      </c>
      <c r="N3674">
        <v>4.5640000000000001</v>
      </c>
      <c r="O3674" t="s">
        <v>101</v>
      </c>
      <c r="P3674" t="s">
        <v>1236</v>
      </c>
      <c r="Q3674" t="s">
        <v>1236</v>
      </c>
      <c r="R3674" t="s">
        <v>2436</v>
      </c>
    </row>
    <row r="3675" spans="1:18" x14ac:dyDescent="0.5">
      <c r="A3675" t="str">
        <f>"806854AJ4"</f>
        <v>806854AJ4</v>
      </c>
      <c r="B3675" t="s">
        <v>101</v>
      </c>
      <c r="C3675" t="s">
        <v>4578</v>
      </c>
      <c r="D3675" t="s">
        <v>2433</v>
      </c>
      <c r="E3675">
        <v>2.65</v>
      </c>
      <c r="F3675" s="2">
        <v>47660</v>
      </c>
      <c r="G3675" s="2">
        <v>47568</v>
      </c>
      <c r="H3675" t="s">
        <v>641</v>
      </c>
      <c r="I3675" t="s">
        <v>611</v>
      </c>
      <c r="J3675">
        <v>90.231999999999999</v>
      </c>
      <c r="K3675">
        <v>91.034999999999997</v>
      </c>
      <c r="L3675">
        <v>4.76</v>
      </c>
      <c r="M3675">
        <v>4.577</v>
      </c>
      <c r="N3675">
        <v>4.577</v>
      </c>
      <c r="O3675" t="s">
        <v>101</v>
      </c>
      <c r="P3675" t="s">
        <v>2447</v>
      </c>
      <c r="Q3675" t="s">
        <v>4579</v>
      </c>
      <c r="R3675" t="s">
        <v>2436</v>
      </c>
    </row>
    <row r="3676" spans="1:18" x14ac:dyDescent="0.5">
      <c r="A3676" t="str">
        <f>"002824BQ2"</f>
        <v>002824BQ2</v>
      </c>
      <c r="B3676" t="s">
        <v>101</v>
      </c>
      <c r="C3676" t="s">
        <v>4580</v>
      </c>
      <c r="D3676" t="s">
        <v>2433</v>
      </c>
      <c r="E3676">
        <v>1.4</v>
      </c>
      <c r="F3676" s="2">
        <v>47664</v>
      </c>
      <c r="G3676" s="2">
        <v>47572</v>
      </c>
      <c r="H3676" t="s">
        <v>624</v>
      </c>
      <c r="I3676" t="s">
        <v>616</v>
      </c>
      <c r="J3676">
        <v>85.715000000000003</v>
      </c>
      <c r="K3676">
        <v>86.028000000000006</v>
      </c>
      <c r="L3676">
        <v>4.4550000000000001</v>
      </c>
      <c r="M3676">
        <v>4.3819999999999997</v>
      </c>
      <c r="N3676">
        <v>4.3819999999999997</v>
      </c>
      <c r="O3676" t="s">
        <v>101</v>
      </c>
      <c r="P3676" t="s">
        <v>2438</v>
      </c>
      <c r="Q3676" t="s">
        <v>2438</v>
      </c>
      <c r="R3676" t="s">
        <v>2436</v>
      </c>
    </row>
    <row r="3677" spans="1:18" x14ac:dyDescent="0.5">
      <c r="A3677" t="str">
        <f>"74340XBZ3"</f>
        <v>74340XBZ3</v>
      </c>
      <c r="B3677" t="s">
        <v>101</v>
      </c>
      <c r="C3677" t="s">
        <v>4581</v>
      </c>
      <c r="D3677" t="s">
        <v>2433</v>
      </c>
      <c r="E3677">
        <v>1.75</v>
      </c>
      <c r="F3677" s="2">
        <v>47665</v>
      </c>
      <c r="G3677" s="2">
        <v>47574</v>
      </c>
      <c r="H3677" t="s">
        <v>610</v>
      </c>
      <c r="I3677" t="s">
        <v>611</v>
      </c>
      <c r="J3677">
        <v>85.68</v>
      </c>
      <c r="K3677">
        <v>86.078999999999994</v>
      </c>
      <c r="L3677">
        <v>4.8440000000000003</v>
      </c>
      <c r="M3677">
        <v>4.75</v>
      </c>
      <c r="N3677">
        <v>4.75</v>
      </c>
      <c r="O3677" t="s">
        <v>101</v>
      </c>
      <c r="P3677" t="s">
        <v>1702</v>
      </c>
      <c r="Q3677" t="s">
        <v>2507</v>
      </c>
      <c r="R3677" t="s">
        <v>2436</v>
      </c>
    </row>
    <row r="3678" spans="1:18" x14ac:dyDescent="0.5">
      <c r="A3678" t="str">
        <f>"46513JB34"</f>
        <v>46513JB34</v>
      </c>
      <c r="B3678" t="s">
        <v>101</v>
      </c>
      <c r="C3678" t="s">
        <v>4582</v>
      </c>
      <c r="D3678" t="s">
        <v>2433</v>
      </c>
      <c r="E3678">
        <v>2.75</v>
      </c>
      <c r="F3678" s="2">
        <v>47667</v>
      </c>
      <c r="G3678" s="2" t="s">
        <v>105</v>
      </c>
      <c r="H3678" t="s">
        <v>670</v>
      </c>
      <c r="I3678" t="s">
        <v>611</v>
      </c>
      <c r="J3678">
        <v>88.070999999999998</v>
      </c>
      <c r="K3678">
        <v>88.792000000000002</v>
      </c>
      <c r="L3678">
        <v>5.3609999999999998</v>
      </c>
      <c r="M3678">
        <v>5.1920000000000002</v>
      </c>
      <c r="N3678">
        <v>5.1920000000000002</v>
      </c>
      <c r="O3678" t="s">
        <v>101</v>
      </c>
      <c r="P3678" t="s">
        <v>4583</v>
      </c>
      <c r="Q3678" t="s">
        <v>542</v>
      </c>
      <c r="R3678" t="s">
        <v>2465</v>
      </c>
    </row>
    <row r="3679" spans="1:18" x14ac:dyDescent="0.5">
      <c r="A3679" t="str">
        <f>"86562MCB4"</f>
        <v>86562MCB4</v>
      </c>
      <c r="B3679" t="s">
        <v>101</v>
      </c>
      <c r="C3679" t="s">
        <v>4584</v>
      </c>
      <c r="D3679" t="s">
        <v>2433</v>
      </c>
      <c r="E3679">
        <v>2.13</v>
      </c>
      <c r="F3679" s="2">
        <v>47672</v>
      </c>
      <c r="G3679" s="2" t="s">
        <v>101</v>
      </c>
      <c r="H3679" t="s">
        <v>641</v>
      </c>
      <c r="I3679" t="s">
        <v>713</v>
      </c>
      <c r="J3679">
        <v>87.001999999999995</v>
      </c>
      <c r="K3679">
        <v>87.158000000000001</v>
      </c>
      <c r="L3679">
        <v>4.9359999999999999</v>
      </c>
      <c r="M3679">
        <v>4.9000000000000004</v>
      </c>
      <c r="N3679">
        <v>4.9000000000000004</v>
      </c>
      <c r="O3679" t="s">
        <v>101</v>
      </c>
      <c r="P3679" t="s">
        <v>228</v>
      </c>
      <c r="Q3679" t="s">
        <v>542</v>
      </c>
      <c r="R3679" t="s">
        <v>2436</v>
      </c>
    </row>
    <row r="3680" spans="1:18" x14ac:dyDescent="0.5">
      <c r="A3680" t="str">
        <f>"86562MDC1"</f>
        <v>86562MDC1</v>
      </c>
      <c r="B3680" t="s">
        <v>101</v>
      </c>
      <c r="C3680" t="s">
        <v>4585</v>
      </c>
      <c r="D3680" t="s">
        <v>2433</v>
      </c>
      <c r="E3680">
        <v>5.8520000000000003</v>
      </c>
      <c r="F3680" s="2">
        <v>47677</v>
      </c>
      <c r="G3680" s="2" t="s">
        <v>101</v>
      </c>
      <c r="H3680" t="s">
        <v>641</v>
      </c>
      <c r="I3680" t="s">
        <v>713</v>
      </c>
      <c r="J3680">
        <v>104.084</v>
      </c>
      <c r="K3680">
        <v>104.473</v>
      </c>
      <c r="L3680">
        <v>4.97</v>
      </c>
      <c r="M3680">
        <v>4.8879999999999999</v>
      </c>
      <c r="N3680">
        <v>4.8879999999999999</v>
      </c>
      <c r="O3680" t="s">
        <v>101</v>
      </c>
      <c r="P3680" t="s">
        <v>542</v>
      </c>
      <c r="Q3680" t="s">
        <v>2687</v>
      </c>
      <c r="R3680" t="s">
        <v>2436</v>
      </c>
    </row>
    <row r="3681" spans="1:18" x14ac:dyDescent="0.5">
      <c r="A3681" t="str">
        <f>"084659AV3"</f>
        <v>084659AV3</v>
      </c>
      <c r="B3681" t="s">
        <v>101</v>
      </c>
      <c r="C3681" t="s">
        <v>4586</v>
      </c>
      <c r="D3681" t="s">
        <v>2433</v>
      </c>
      <c r="E3681">
        <v>3.7</v>
      </c>
      <c r="F3681" s="2">
        <v>47679</v>
      </c>
      <c r="G3681" s="2">
        <v>47588</v>
      </c>
      <c r="H3681" t="s">
        <v>627</v>
      </c>
      <c r="I3681" t="s">
        <v>713</v>
      </c>
      <c r="J3681">
        <v>95.183999999999997</v>
      </c>
      <c r="K3681">
        <v>95.39</v>
      </c>
      <c r="L3681">
        <v>4.7300000000000004</v>
      </c>
      <c r="M3681">
        <v>4.6849999999999996</v>
      </c>
      <c r="N3681">
        <v>4.6849999999999996</v>
      </c>
      <c r="O3681" t="s">
        <v>101</v>
      </c>
      <c r="P3681" t="s">
        <v>4587</v>
      </c>
      <c r="Q3681" t="s">
        <v>2454</v>
      </c>
      <c r="R3681" t="s">
        <v>2436</v>
      </c>
    </row>
    <row r="3682" spans="1:18" x14ac:dyDescent="0.5">
      <c r="A3682" t="str">
        <f>"263534CP2"</f>
        <v>263534CP2</v>
      </c>
      <c r="B3682" t="s">
        <v>101</v>
      </c>
      <c r="C3682" t="s">
        <v>4588</v>
      </c>
      <c r="D3682" t="s">
        <v>2433</v>
      </c>
      <c r="E3682">
        <v>2.2999999999999998</v>
      </c>
      <c r="F3682" s="2">
        <v>47679</v>
      </c>
      <c r="G3682" s="2">
        <v>47588</v>
      </c>
      <c r="H3682" t="s">
        <v>627</v>
      </c>
      <c r="I3682" t="s">
        <v>713</v>
      </c>
      <c r="J3682">
        <v>88.775999999999996</v>
      </c>
      <c r="K3682">
        <v>88.893000000000001</v>
      </c>
      <c r="L3682">
        <v>4.7</v>
      </c>
      <c r="M3682">
        <v>4.673</v>
      </c>
      <c r="N3682">
        <v>4.673</v>
      </c>
      <c r="O3682" t="s">
        <v>101</v>
      </c>
      <c r="P3682" t="s">
        <v>2750</v>
      </c>
      <c r="Q3682" t="s">
        <v>2454</v>
      </c>
      <c r="R3682" t="s">
        <v>2436</v>
      </c>
    </row>
    <row r="3683" spans="1:18" x14ac:dyDescent="0.5">
      <c r="A3683" t="str">
        <f>"298785JW7"</f>
        <v>298785JW7</v>
      </c>
      <c r="B3683" t="s">
        <v>101</v>
      </c>
      <c r="C3683" t="s">
        <v>4589</v>
      </c>
      <c r="D3683" t="s">
        <v>2433</v>
      </c>
      <c r="E3683">
        <v>3.625</v>
      </c>
      <c r="F3683" s="2">
        <v>47679</v>
      </c>
      <c r="G3683" s="2" t="s">
        <v>105</v>
      </c>
      <c r="H3683" t="s">
        <v>105</v>
      </c>
      <c r="I3683" t="s">
        <v>104</v>
      </c>
      <c r="J3683">
        <v>96.930999999999997</v>
      </c>
      <c r="K3683">
        <v>98.108999999999995</v>
      </c>
      <c r="L3683">
        <v>4.2729999999999997</v>
      </c>
      <c r="M3683">
        <v>4.0209999999999999</v>
      </c>
      <c r="N3683">
        <v>4.0209999999999999</v>
      </c>
      <c r="O3683" t="s">
        <v>101</v>
      </c>
      <c r="P3683" t="s">
        <v>4590</v>
      </c>
      <c r="Q3683" t="s">
        <v>4591</v>
      </c>
      <c r="R3683" t="s">
        <v>2713</v>
      </c>
    </row>
    <row r="3684" spans="1:18" x14ac:dyDescent="0.5">
      <c r="A3684" t="str">
        <f>"46124HAD8"</f>
        <v>46124HAD8</v>
      </c>
      <c r="B3684" t="s">
        <v>101</v>
      </c>
      <c r="C3684" t="s">
        <v>4592</v>
      </c>
      <c r="D3684" t="s">
        <v>2433</v>
      </c>
      <c r="E3684">
        <v>1.65</v>
      </c>
      <c r="F3684" s="2">
        <v>47679</v>
      </c>
      <c r="G3684" s="2">
        <v>47588</v>
      </c>
      <c r="H3684" t="s">
        <v>627</v>
      </c>
      <c r="I3684" t="s">
        <v>713</v>
      </c>
      <c r="J3684">
        <v>85.686999999999998</v>
      </c>
      <c r="K3684">
        <v>85.936000000000007</v>
      </c>
      <c r="L3684">
        <v>4.7119999999999997</v>
      </c>
      <c r="M3684">
        <v>4.6539999999999999</v>
      </c>
      <c r="N3684">
        <v>4.6539999999999999</v>
      </c>
      <c r="O3684" t="s">
        <v>101</v>
      </c>
      <c r="P3684" t="s">
        <v>4569</v>
      </c>
      <c r="Q3684" t="s">
        <v>2581</v>
      </c>
      <c r="R3684" t="s">
        <v>2436</v>
      </c>
    </row>
    <row r="3685" spans="1:18" x14ac:dyDescent="0.5">
      <c r="A3685" t="str">
        <f>"63743FA22"</f>
        <v>63743FA22</v>
      </c>
      <c r="B3685" t="s">
        <v>101</v>
      </c>
      <c r="C3685" t="s">
        <v>4593</v>
      </c>
      <c r="D3685" t="s">
        <v>2433</v>
      </c>
      <c r="E3685">
        <v>3</v>
      </c>
      <c r="F3685" s="2">
        <v>47679</v>
      </c>
      <c r="G3685" s="2" t="s">
        <v>105</v>
      </c>
      <c r="H3685" t="s">
        <v>610</v>
      </c>
      <c r="I3685" t="s">
        <v>713</v>
      </c>
      <c r="J3685">
        <v>91.450999999999993</v>
      </c>
      <c r="K3685">
        <v>92.022000000000006</v>
      </c>
      <c r="L3685">
        <v>4.8179999999999996</v>
      </c>
      <c r="M3685">
        <v>4.6909999999999998</v>
      </c>
      <c r="N3685">
        <v>4.6909999999999998</v>
      </c>
      <c r="O3685" t="s">
        <v>101</v>
      </c>
      <c r="P3685" t="s">
        <v>858</v>
      </c>
      <c r="Q3685" t="s">
        <v>3446</v>
      </c>
      <c r="R3685" t="s">
        <v>2610</v>
      </c>
    </row>
    <row r="3686" spans="1:18" x14ac:dyDescent="0.5">
      <c r="A3686" t="str">
        <f>"828807DK0"</f>
        <v>828807DK0</v>
      </c>
      <c r="B3686" t="s">
        <v>101</v>
      </c>
      <c r="C3686" t="s">
        <v>4594</v>
      </c>
      <c r="D3686" t="s">
        <v>2433</v>
      </c>
      <c r="E3686">
        <v>2.65</v>
      </c>
      <c r="F3686" s="2">
        <v>47679</v>
      </c>
      <c r="G3686" s="2">
        <v>47588</v>
      </c>
      <c r="H3686" t="s">
        <v>627</v>
      </c>
      <c r="I3686" t="s">
        <v>713</v>
      </c>
      <c r="J3686">
        <v>90.248999999999995</v>
      </c>
      <c r="K3686">
        <v>90.369</v>
      </c>
      <c r="L3686">
        <v>4.7370000000000001</v>
      </c>
      <c r="M3686">
        <v>4.71</v>
      </c>
      <c r="N3686">
        <v>4.71</v>
      </c>
      <c r="O3686" t="s">
        <v>101</v>
      </c>
      <c r="P3686" t="s">
        <v>1702</v>
      </c>
      <c r="Q3686" t="s">
        <v>2454</v>
      </c>
      <c r="R3686" t="s">
        <v>2436</v>
      </c>
    </row>
    <row r="3687" spans="1:18" x14ac:dyDescent="0.5">
      <c r="A3687" t="str">
        <f>"606822BU7"</f>
        <v>606822BU7</v>
      </c>
      <c r="B3687" t="s">
        <v>101</v>
      </c>
      <c r="C3687" t="s">
        <v>4595</v>
      </c>
      <c r="D3687" t="s">
        <v>2433</v>
      </c>
      <c r="E3687">
        <v>2.048</v>
      </c>
      <c r="F3687" s="2">
        <v>47681</v>
      </c>
      <c r="G3687" s="2" t="s">
        <v>101</v>
      </c>
      <c r="H3687" t="s">
        <v>641</v>
      </c>
      <c r="I3687" t="s">
        <v>713</v>
      </c>
      <c r="J3687">
        <v>86.521000000000001</v>
      </c>
      <c r="K3687">
        <v>86.792000000000002</v>
      </c>
      <c r="L3687">
        <v>4.9470000000000001</v>
      </c>
      <c r="M3687">
        <v>4.8840000000000003</v>
      </c>
      <c r="N3687">
        <v>4.8840000000000003</v>
      </c>
      <c r="O3687" t="s">
        <v>101</v>
      </c>
      <c r="P3687" t="s">
        <v>4596</v>
      </c>
      <c r="Q3687" t="s">
        <v>2687</v>
      </c>
      <c r="R3687" t="s">
        <v>2436</v>
      </c>
    </row>
    <row r="3688" spans="1:18" x14ac:dyDescent="0.5">
      <c r="A3688" t="str">
        <f>"013051EM5"</f>
        <v>013051EM5</v>
      </c>
      <c r="B3688" t="s">
        <v>101</v>
      </c>
      <c r="C3688" t="s">
        <v>4597</v>
      </c>
      <c r="D3688" t="s">
        <v>2433</v>
      </c>
      <c r="E3688">
        <v>1.3</v>
      </c>
      <c r="F3688" s="2">
        <v>47686</v>
      </c>
      <c r="G3688" s="2" t="s">
        <v>101</v>
      </c>
      <c r="H3688" t="s">
        <v>613</v>
      </c>
      <c r="I3688" t="s">
        <v>616</v>
      </c>
      <c r="J3688" t="s">
        <v>101</v>
      </c>
      <c r="K3688">
        <v>86.66</v>
      </c>
      <c r="L3688" t="s">
        <v>101</v>
      </c>
      <c r="M3688">
        <v>4.0970000000000004</v>
      </c>
      <c r="N3688">
        <v>4.0970000000000004</v>
      </c>
      <c r="O3688" t="s">
        <v>101</v>
      </c>
      <c r="P3688" t="s">
        <v>448</v>
      </c>
      <c r="Q3688" t="s">
        <v>4598</v>
      </c>
      <c r="R3688" t="s">
        <v>3443</v>
      </c>
    </row>
    <row r="3689" spans="1:18" x14ac:dyDescent="0.5">
      <c r="A3689" t="str">
        <f>"91159HJA9"</f>
        <v>91159HJA9</v>
      </c>
      <c r="B3689" t="s">
        <v>101</v>
      </c>
      <c r="C3689" t="s">
        <v>4599</v>
      </c>
      <c r="D3689" t="s">
        <v>2433</v>
      </c>
      <c r="E3689">
        <v>1.375</v>
      </c>
      <c r="F3689" s="2">
        <v>47686</v>
      </c>
      <c r="G3689" s="2">
        <v>47595</v>
      </c>
      <c r="H3689" t="s">
        <v>627</v>
      </c>
      <c r="I3689" t="s">
        <v>611</v>
      </c>
      <c r="J3689">
        <v>83.754000000000005</v>
      </c>
      <c r="K3689">
        <v>83.963999999999999</v>
      </c>
      <c r="L3689">
        <v>4.8529999999999998</v>
      </c>
      <c r="M3689">
        <v>4.8029999999999999</v>
      </c>
      <c r="N3689">
        <v>4.8029999999999999</v>
      </c>
      <c r="O3689" t="s">
        <v>101</v>
      </c>
      <c r="P3689" t="s">
        <v>4600</v>
      </c>
      <c r="Q3689" t="s">
        <v>2507</v>
      </c>
      <c r="R3689" t="s">
        <v>2436</v>
      </c>
    </row>
    <row r="3690" spans="1:18" x14ac:dyDescent="0.5">
      <c r="A3690" t="str">
        <f>"459058KU6"</f>
        <v>459058KU6</v>
      </c>
      <c r="B3690" t="s">
        <v>101</v>
      </c>
      <c r="C3690" t="s">
        <v>4601</v>
      </c>
      <c r="D3690" t="s">
        <v>2433</v>
      </c>
      <c r="E3690">
        <v>4</v>
      </c>
      <c r="F3690" s="2">
        <v>47689</v>
      </c>
      <c r="G3690" s="2">
        <v>45758</v>
      </c>
      <c r="H3690" t="s">
        <v>104</v>
      </c>
      <c r="I3690" t="s">
        <v>104</v>
      </c>
      <c r="J3690">
        <v>99.138000000000005</v>
      </c>
      <c r="K3690">
        <v>99.51</v>
      </c>
      <c r="L3690">
        <v>4.18</v>
      </c>
      <c r="M3690">
        <v>4.1020000000000003</v>
      </c>
      <c r="N3690">
        <v>4.1020000000000003</v>
      </c>
      <c r="O3690" t="s">
        <v>101</v>
      </c>
      <c r="P3690" t="s">
        <v>2618</v>
      </c>
      <c r="Q3690" t="s">
        <v>2618</v>
      </c>
      <c r="R3690" t="s">
        <v>2726</v>
      </c>
    </row>
    <row r="3691" spans="1:18" x14ac:dyDescent="0.5">
      <c r="A3691" t="str">
        <f>"898813AS9"</f>
        <v>898813AS9</v>
      </c>
      <c r="B3691" t="s">
        <v>101</v>
      </c>
      <c r="C3691" t="s">
        <v>4602</v>
      </c>
      <c r="D3691" t="s">
        <v>2433</v>
      </c>
      <c r="E3691">
        <v>1.5</v>
      </c>
      <c r="F3691" s="2">
        <v>47696</v>
      </c>
      <c r="G3691" s="2">
        <v>47604</v>
      </c>
      <c r="H3691" t="s">
        <v>627</v>
      </c>
      <c r="I3691" t="s">
        <v>713</v>
      </c>
      <c r="J3691">
        <v>83.99</v>
      </c>
      <c r="K3691">
        <v>84.42</v>
      </c>
      <c r="L3691">
        <v>4.9189999999999996</v>
      </c>
      <c r="M3691">
        <v>4.8179999999999996</v>
      </c>
      <c r="N3691">
        <v>4.8179999999999996</v>
      </c>
      <c r="O3691" t="s">
        <v>101</v>
      </c>
      <c r="P3691" t="s">
        <v>3878</v>
      </c>
      <c r="Q3691" t="s">
        <v>3178</v>
      </c>
      <c r="R3691" t="s">
        <v>2436</v>
      </c>
    </row>
    <row r="3692" spans="1:18" x14ac:dyDescent="0.5">
      <c r="A3692" t="str">
        <f>"06747QB89"</f>
        <v>06747QB89</v>
      </c>
      <c r="B3692" t="s">
        <v>101</v>
      </c>
      <c r="C3692" t="s">
        <v>4603</v>
      </c>
      <c r="D3692" t="s">
        <v>2433</v>
      </c>
      <c r="E3692">
        <v>2</v>
      </c>
      <c r="F3692" s="2">
        <v>47697</v>
      </c>
      <c r="G3692" s="2">
        <v>45872</v>
      </c>
      <c r="H3692" t="s">
        <v>641</v>
      </c>
      <c r="I3692" t="s">
        <v>658</v>
      </c>
      <c r="J3692">
        <v>83.861000000000004</v>
      </c>
      <c r="K3692">
        <v>87.341999999999999</v>
      </c>
      <c r="L3692">
        <v>5.5010000000000003</v>
      </c>
      <c r="M3692">
        <v>4.6849999999999996</v>
      </c>
      <c r="N3692">
        <v>4.6849999999999996</v>
      </c>
      <c r="O3692" t="s">
        <v>101</v>
      </c>
      <c r="P3692" t="s">
        <v>2527</v>
      </c>
      <c r="Q3692" t="s">
        <v>4130</v>
      </c>
      <c r="R3692" t="s">
        <v>2436</v>
      </c>
    </row>
    <row r="3693" spans="1:18" x14ac:dyDescent="0.5">
      <c r="A3693" t="str">
        <f>"046353AW8"</f>
        <v>046353AW8</v>
      </c>
      <c r="B3693" t="s">
        <v>101</v>
      </c>
      <c r="C3693" t="s">
        <v>4604</v>
      </c>
      <c r="D3693" t="s">
        <v>2433</v>
      </c>
      <c r="E3693">
        <v>1.375</v>
      </c>
      <c r="F3693" s="2">
        <v>47701</v>
      </c>
      <c r="G3693" s="2">
        <v>47609</v>
      </c>
      <c r="H3693" t="s">
        <v>641</v>
      </c>
      <c r="I3693" t="s">
        <v>658</v>
      </c>
      <c r="J3693">
        <v>84.558999999999997</v>
      </c>
      <c r="K3693">
        <v>84.706999999999994</v>
      </c>
      <c r="L3693">
        <v>4.6399999999999997</v>
      </c>
      <c r="M3693">
        <v>4.6059999999999999</v>
      </c>
      <c r="N3693">
        <v>4.6059999999999999</v>
      </c>
      <c r="O3693" t="s">
        <v>101</v>
      </c>
      <c r="P3693" t="s">
        <v>2581</v>
      </c>
      <c r="Q3693" t="s">
        <v>1064</v>
      </c>
      <c r="R3693" t="s">
        <v>2436</v>
      </c>
    </row>
    <row r="3694" spans="1:18" x14ac:dyDescent="0.5">
      <c r="A3694" t="str">
        <f>"10373QBM1"</f>
        <v>10373QBM1</v>
      </c>
      <c r="B3694" t="s">
        <v>101</v>
      </c>
      <c r="C3694" t="s">
        <v>4605</v>
      </c>
      <c r="D3694" t="s">
        <v>2433</v>
      </c>
      <c r="E3694">
        <v>1.7490000000000001</v>
      </c>
      <c r="F3694" s="2">
        <v>47705</v>
      </c>
      <c r="G3694" s="2">
        <v>47613</v>
      </c>
      <c r="H3694" t="s">
        <v>641</v>
      </c>
      <c r="I3694" t="s">
        <v>713</v>
      </c>
      <c r="J3694">
        <v>85.706999999999994</v>
      </c>
      <c r="K3694">
        <v>85.953999999999994</v>
      </c>
      <c r="L3694">
        <v>4.7770000000000001</v>
      </c>
      <c r="M3694">
        <v>4.72</v>
      </c>
      <c r="N3694">
        <v>4.72</v>
      </c>
      <c r="O3694" t="s">
        <v>101</v>
      </c>
      <c r="P3694" t="s">
        <v>3298</v>
      </c>
      <c r="Q3694" t="s">
        <v>2507</v>
      </c>
      <c r="R3694" t="s">
        <v>2436</v>
      </c>
    </row>
    <row r="3695" spans="1:18" x14ac:dyDescent="0.5">
      <c r="A3695" t="str">
        <f>"74005PBT0"</f>
        <v>74005PBT0</v>
      </c>
      <c r="B3695" t="s">
        <v>101</v>
      </c>
      <c r="C3695" t="s">
        <v>4606</v>
      </c>
      <c r="D3695" t="s">
        <v>2433</v>
      </c>
      <c r="E3695">
        <v>1.1000000000000001</v>
      </c>
      <c r="F3695" s="2">
        <v>47705</v>
      </c>
      <c r="G3695" s="2">
        <v>47613</v>
      </c>
      <c r="H3695" t="s">
        <v>610</v>
      </c>
      <c r="I3695" t="s">
        <v>611</v>
      </c>
      <c r="J3695">
        <v>83.994</v>
      </c>
      <c r="K3695">
        <v>84.316000000000003</v>
      </c>
      <c r="L3695">
        <v>4.4619999999999997</v>
      </c>
      <c r="M3695">
        <v>4.3869999999999996</v>
      </c>
      <c r="N3695">
        <v>4.3869999999999996</v>
      </c>
      <c r="O3695" t="s">
        <v>101</v>
      </c>
      <c r="P3695" t="s">
        <v>2472</v>
      </c>
      <c r="Q3695" t="s">
        <v>2454</v>
      </c>
      <c r="R3695" t="s">
        <v>2436</v>
      </c>
    </row>
    <row r="3696" spans="1:18" x14ac:dyDescent="0.5">
      <c r="A3696" t="str">
        <f>"883556CW0"</f>
        <v>883556CW0</v>
      </c>
      <c r="B3696" t="s">
        <v>101</v>
      </c>
      <c r="C3696" t="s">
        <v>4607</v>
      </c>
      <c r="D3696" t="s">
        <v>2433</v>
      </c>
      <c r="E3696">
        <v>4.9770000000000003</v>
      </c>
      <c r="F3696" s="2">
        <v>47705</v>
      </c>
      <c r="G3696" s="2">
        <v>47644</v>
      </c>
      <c r="H3696" t="s">
        <v>627</v>
      </c>
      <c r="I3696" t="s">
        <v>713</v>
      </c>
      <c r="J3696">
        <v>101.325</v>
      </c>
      <c r="K3696">
        <v>101.53400000000001</v>
      </c>
      <c r="L3696">
        <v>4.6890000000000001</v>
      </c>
      <c r="M3696">
        <v>4.6440000000000001</v>
      </c>
      <c r="N3696">
        <v>4.6520000000000001</v>
      </c>
      <c r="O3696" t="s">
        <v>101</v>
      </c>
      <c r="P3696" t="s">
        <v>1702</v>
      </c>
      <c r="Q3696" t="s">
        <v>2564</v>
      </c>
      <c r="R3696" t="s">
        <v>2436</v>
      </c>
    </row>
    <row r="3697" spans="1:18" x14ac:dyDescent="0.5">
      <c r="A3697" t="str">
        <f>"66989HAR9"</f>
        <v>66989HAR9</v>
      </c>
      <c r="B3697" t="s">
        <v>101</v>
      </c>
      <c r="C3697" t="s">
        <v>4608</v>
      </c>
      <c r="D3697" t="s">
        <v>2433</v>
      </c>
      <c r="E3697">
        <v>2.2000000000000002</v>
      </c>
      <c r="F3697" s="2">
        <v>47709</v>
      </c>
      <c r="G3697" s="2">
        <v>47617</v>
      </c>
      <c r="H3697" t="s">
        <v>624</v>
      </c>
      <c r="I3697" t="s">
        <v>616</v>
      </c>
      <c r="J3697">
        <v>88.629000000000005</v>
      </c>
      <c r="K3697">
        <v>88.91</v>
      </c>
      <c r="L3697">
        <v>4.593</v>
      </c>
      <c r="M3697">
        <v>4.5289999999999999</v>
      </c>
      <c r="N3697">
        <v>4.5289999999999999</v>
      </c>
      <c r="O3697" t="s">
        <v>101</v>
      </c>
      <c r="P3697" t="s">
        <v>2472</v>
      </c>
      <c r="Q3697" t="s">
        <v>1236</v>
      </c>
      <c r="R3697" t="s">
        <v>2436</v>
      </c>
    </row>
    <row r="3698" spans="1:18" x14ac:dyDescent="0.5">
      <c r="A3698" t="str">
        <f>"02079KAD9"</f>
        <v>02079KAD9</v>
      </c>
      <c r="B3698" t="s">
        <v>101</v>
      </c>
      <c r="C3698" t="s">
        <v>4609</v>
      </c>
      <c r="D3698" t="s">
        <v>2433</v>
      </c>
      <c r="E3698">
        <v>1.1000000000000001</v>
      </c>
      <c r="F3698" s="2">
        <v>47710</v>
      </c>
      <c r="G3698" s="2">
        <v>47618</v>
      </c>
      <c r="H3698" t="s">
        <v>613</v>
      </c>
      <c r="I3698" t="s">
        <v>509</v>
      </c>
      <c r="J3698">
        <v>84.168999999999997</v>
      </c>
      <c r="K3698">
        <v>84.421999999999997</v>
      </c>
      <c r="L3698">
        <v>4.4130000000000003</v>
      </c>
      <c r="M3698">
        <v>4.3550000000000004</v>
      </c>
      <c r="N3698">
        <v>4.3550000000000004</v>
      </c>
      <c r="O3698" t="s">
        <v>101</v>
      </c>
      <c r="P3698" t="s">
        <v>4569</v>
      </c>
      <c r="Q3698" t="s">
        <v>2454</v>
      </c>
      <c r="R3698" t="s">
        <v>2436</v>
      </c>
    </row>
    <row r="3699" spans="1:18" x14ac:dyDescent="0.5">
      <c r="A3699" t="str">
        <f>"12189TAR5"</f>
        <v>12189TAR5</v>
      </c>
      <c r="B3699" t="s">
        <v>101</v>
      </c>
      <c r="C3699" t="s">
        <v>4610</v>
      </c>
      <c r="D3699" t="s">
        <v>2433</v>
      </c>
      <c r="E3699">
        <v>7.95</v>
      </c>
      <c r="F3699" s="2">
        <v>47710</v>
      </c>
      <c r="G3699" s="2" t="s">
        <v>101</v>
      </c>
      <c r="H3699" t="s">
        <v>610</v>
      </c>
      <c r="I3699" t="s">
        <v>616</v>
      </c>
      <c r="J3699">
        <v>116.10599999999999</v>
      </c>
      <c r="K3699">
        <v>116.54300000000001</v>
      </c>
      <c r="L3699">
        <v>4.5640000000000001</v>
      </c>
      <c r="M3699">
        <v>4.4800000000000004</v>
      </c>
      <c r="N3699">
        <v>4.4800000000000004</v>
      </c>
      <c r="O3699" t="s">
        <v>101</v>
      </c>
      <c r="P3699" t="s">
        <v>2460</v>
      </c>
      <c r="Q3699" t="s">
        <v>453</v>
      </c>
      <c r="R3699" t="s">
        <v>2436</v>
      </c>
    </row>
    <row r="3700" spans="1:18" x14ac:dyDescent="0.5">
      <c r="A3700" t="str">
        <f>"126117AW0"</f>
        <v>126117AW0</v>
      </c>
      <c r="B3700" t="s">
        <v>101</v>
      </c>
      <c r="C3700" t="s">
        <v>4611</v>
      </c>
      <c r="D3700" t="s">
        <v>2433</v>
      </c>
      <c r="E3700">
        <v>2.0499999999999998</v>
      </c>
      <c r="F3700" s="2">
        <v>47710</v>
      </c>
      <c r="G3700" s="2">
        <v>47618</v>
      </c>
      <c r="H3700" t="s">
        <v>677</v>
      </c>
      <c r="I3700" t="s">
        <v>713</v>
      </c>
      <c r="J3700">
        <v>86.564999999999998</v>
      </c>
      <c r="K3700">
        <v>86.789000000000001</v>
      </c>
      <c r="L3700">
        <v>4.9000000000000004</v>
      </c>
      <c r="M3700">
        <v>4.8479999999999999</v>
      </c>
      <c r="N3700">
        <v>4.8479999999999999</v>
      </c>
      <c r="O3700" t="s">
        <v>101</v>
      </c>
      <c r="P3700" t="s">
        <v>2447</v>
      </c>
      <c r="Q3700" t="s">
        <v>2566</v>
      </c>
      <c r="R3700" t="s">
        <v>2436</v>
      </c>
    </row>
    <row r="3701" spans="1:18" x14ac:dyDescent="0.5">
      <c r="A3701" t="str">
        <f>"37959EAA0"</f>
        <v>37959EAA0</v>
      </c>
      <c r="B3701" t="s">
        <v>101</v>
      </c>
      <c r="C3701" t="s">
        <v>4612</v>
      </c>
      <c r="D3701" t="s">
        <v>2433</v>
      </c>
      <c r="E3701">
        <v>2.15</v>
      </c>
      <c r="F3701" s="2">
        <v>47710</v>
      </c>
      <c r="G3701" s="2">
        <v>47618</v>
      </c>
      <c r="H3701" t="s">
        <v>670</v>
      </c>
      <c r="I3701" t="s">
        <v>611</v>
      </c>
      <c r="J3701">
        <v>85.763999999999996</v>
      </c>
      <c r="K3701">
        <v>86.18</v>
      </c>
      <c r="L3701">
        <v>5.1950000000000003</v>
      </c>
      <c r="M3701">
        <v>5.0979999999999999</v>
      </c>
      <c r="N3701">
        <v>5.0979999999999999</v>
      </c>
      <c r="O3701" t="s">
        <v>101</v>
      </c>
      <c r="P3701" t="s">
        <v>3878</v>
      </c>
      <c r="Q3701" t="s">
        <v>3178</v>
      </c>
      <c r="R3701" t="s">
        <v>2436</v>
      </c>
    </row>
    <row r="3702" spans="1:18" x14ac:dyDescent="0.5">
      <c r="A3702" t="str">
        <f>"63743FVL7"</f>
        <v>63743FVL7</v>
      </c>
      <c r="B3702" t="s">
        <v>101</v>
      </c>
      <c r="C3702" t="s">
        <v>4613</v>
      </c>
      <c r="D3702" t="s">
        <v>2433</v>
      </c>
      <c r="E3702">
        <v>3.5</v>
      </c>
      <c r="F3702" s="2">
        <v>47710</v>
      </c>
      <c r="G3702" s="2" t="s">
        <v>105</v>
      </c>
      <c r="H3702" t="s">
        <v>610</v>
      </c>
      <c r="I3702" t="s">
        <v>713</v>
      </c>
      <c r="J3702">
        <v>92.304000000000002</v>
      </c>
      <c r="K3702">
        <v>94.97</v>
      </c>
      <c r="L3702">
        <v>5.1280000000000001</v>
      </c>
      <c r="M3702">
        <v>4.548</v>
      </c>
      <c r="N3702">
        <v>4.548</v>
      </c>
      <c r="O3702" t="s">
        <v>101</v>
      </c>
      <c r="P3702" t="s">
        <v>1236</v>
      </c>
      <c r="Q3702" t="s">
        <v>488</v>
      </c>
      <c r="R3702" t="s">
        <v>2610</v>
      </c>
    </row>
    <row r="3703" spans="1:18" x14ac:dyDescent="0.5">
      <c r="A3703" t="str">
        <f>"723787AQ0"</f>
        <v>723787AQ0</v>
      </c>
      <c r="B3703" t="s">
        <v>101</v>
      </c>
      <c r="C3703" t="s">
        <v>4614</v>
      </c>
      <c r="D3703" t="s">
        <v>2433</v>
      </c>
      <c r="E3703">
        <v>1.9</v>
      </c>
      <c r="F3703" s="2">
        <v>47710</v>
      </c>
      <c r="G3703" s="2">
        <v>47618</v>
      </c>
      <c r="H3703" t="s">
        <v>2760</v>
      </c>
      <c r="I3703" t="s">
        <v>616</v>
      </c>
      <c r="J3703">
        <v>86.509</v>
      </c>
      <c r="K3703">
        <v>86.736999999999995</v>
      </c>
      <c r="L3703">
        <v>4.75</v>
      </c>
      <c r="M3703">
        <v>4.6980000000000004</v>
      </c>
      <c r="N3703">
        <v>4.6980000000000004</v>
      </c>
      <c r="O3703" t="s">
        <v>101</v>
      </c>
      <c r="P3703" t="s">
        <v>2460</v>
      </c>
      <c r="Q3703" t="s">
        <v>2507</v>
      </c>
      <c r="R3703" t="s">
        <v>2436</v>
      </c>
    </row>
    <row r="3704" spans="1:18" x14ac:dyDescent="0.5">
      <c r="A3704" t="str">
        <f>"037833DY3"</f>
        <v>037833DY3</v>
      </c>
      <c r="B3704" t="s">
        <v>101</v>
      </c>
      <c r="C3704" t="s">
        <v>4615</v>
      </c>
      <c r="D3704" t="s">
        <v>2433</v>
      </c>
      <c r="E3704">
        <v>1.25</v>
      </c>
      <c r="F3704" s="2">
        <v>47715</v>
      </c>
      <c r="G3704" s="2">
        <v>47623</v>
      </c>
      <c r="H3704" t="s">
        <v>104</v>
      </c>
      <c r="I3704" t="s">
        <v>509</v>
      </c>
      <c r="J3704">
        <v>84.941000000000003</v>
      </c>
      <c r="K3704">
        <v>85.284999999999997</v>
      </c>
      <c r="L3704">
        <v>4.3929999999999998</v>
      </c>
      <c r="M3704">
        <v>4.3140000000000001</v>
      </c>
      <c r="N3704">
        <v>4.3140000000000001</v>
      </c>
      <c r="O3704" t="s">
        <v>101</v>
      </c>
      <c r="P3704" t="s">
        <v>4616</v>
      </c>
      <c r="Q3704" t="s">
        <v>2454</v>
      </c>
      <c r="R3704" t="s">
        <v>2436</v>
      </c>
    </row>
    <row r="3705" spans="1:18" x14ac:dyDescent="0.5">
      <c r="A3705" t="str">
        <f>"459058JG9"</f>
        <v>459058JG9</v>
      </c>
      <c r="B3705" t="s">
        <v>101</v>
      </c>
      <c r="C3705" t="s">
        <v>4617</v>
      </c>
      <c r="D3705" t="s">
        <v>2433</v>
      </c>
      <c r="E3705">
        <v>0.75</v>
      </c>
      <c r="F3705" s="2">
        <v>47721</v>
      </c>
      <c r="G3705" s="2" t="s">
        <v>105</v>
      </c>
      <c r="H3705" t="s">
        <v>104</v>
      </c>
      <c r="I3705" t="s">
        <v>104</v>
      </c>
      <c r="J3705">
        <v>83.03</v>
      </c>
      <c r="K3705">
        <v>83.947000000000003</v>
      </c>
      <c r="L3705">
        <v>4.2699999999999996</v>
      </c>
      <c r="M3705">
        <v>4.0599999999999996</v>
      </c>
      <c r="N3705">
        <v>4.0599999999999996</v>
      </c>
      <c r="O3705" t="s">
        <v>101</v>
      </c>
      <c r="P3705" t="s">
        <v>2618</v>
      </c>
      <c r="Q3705" t="s">
        <v>2618</v>
      </c>
      <c r="R3705" t="s">
        <v>2713</v>
      </c>
    </row>
    <row r="3706" spans="1:18" x14ac:dyDescent="0.5">
      <c r="A3706" t="str">
        <f>"053015AF0"</f>
        <v>053015AF0</v>
      </c>
      <c r="B3706" t="s">
        <v>101</v>
      </c>
      <c r="C3706" t="s">
        <v>4618</v>
      </c>
      <c r="D3706" t="s">
        <v>2433</v>
      </c>
      <c r="E3706">
        <v>1.25</v>
      </c>
      <c r="F3706" s="2">
        <v>47727</v>
      </c>
      <c r="G3706" s="2">
        <v>47635</v>
      </c>
      <c r="H3706" t="s">
        <v>624</v>
      </c>
      <c r="I3706" t="s">
        <v>616</v>
      </c>
      <c r="J3706">
        <v>84.284999999999997</v>
      </c>
      <c r="K3706">
        <v>84.435000000000002</v>
      </c>
      <c r="L3706">
        <v>4.5259999999999998</v>
      </c>
      <c r="M3706">
        <v>4.4909999999999997</v>
      </c>
      <c r="N3706">
        <v>4.4909999999999997</v>
      </c>
      <c r="O3706" t="s">
        <v>101</v>
      </c>
      <c r="P3706" t="s">
        <v>457</v>
      </c>
      <c r="Q3706" t="s">
        <v>4619</v>
      </c>
      <c r="R3706" t="s">
        <v>2436</v>
      </c>
    </row>
    <row r="3707" spans="1:18" x14ac:dyDescent="0.5">
      <c r="A3707" t="str">
        <f>"231021AT3"</f>
        <v>231021AT3</v>
      </c>
      <c r="B3707" t="s">
        <v>101</v>
      </c>
      <c r="C3707" t="s">
        <v>4620</v>
      </c>
      <c r="D3707" t="s">
        <v>2433</v>
      </c>
      <c r="E3707">
        <v>1.5</v>
      </c>
      <c r="F3707" s="2">
        <v>47727</v>
      </c>
      <c r="G3707" s="2">
        <v>47635</v>
      </c>
      <c r="H3707" t="s">
        <v>610</v>
      </c>
      <c r="I3707" t="s">
        <v>611</v>
      </c>
      <c r="J3707">
        <v>84.603999999999999</v>
      </c>
      <c r="K3707">
        <v>85.08</v>
      </c>
      <c r="L3707">
        <v>4.7270000000000003</v>
      </c>
      <c r="M3707">
        <v>4.6180000000000003</v>
      </c>
      <c r="N3707">
        <v>4.6180000000000003</v>
      </c>
      <c r="O3707" t="s">
        <v>101</v>
      </c>
      <c r="P3707" t="s">
        <v>2765</v>
      </c>
      <c r="Q3707" t="s">
        <v>2454</v>
      </c>
      <c r="R3707" t="s">
        <v>2436</v>
      </c>
    </row>
    <row r="3708" spans="1:18" x14ac:dyDescent="0.5">
      <c r="A3708" t="str">
        <f>"478160CQ5"</f>
        <v>478160CQ5</v>
      </c>
      <c r="B3708" t="s">
        <v>101</v>
      </c>
      <c r="C3708" t="s">
        <v>4621</v>
      </c>
      <c r="D3708" t="s">
        <v>2433</v>
      </c>
      <c r="E3708">
        <v>1.3</v>
      </c>
      <c r="F3708" s="2">
        <v>47727</v>
      </c>
      <c r="G3708" s="2">
        <v>47635</v>
      </c>
      <c r="H3708" t="s">
        <v>104</v>
      </c>
      <c r="I3708" t="s">
        <v>104</v>
      </c>
      <c r="J3708">
        <v>85.021000000000001</v>
      </c>
      <c r="K3708">
        <v>85.103999999999999</v>
      </c>
      <c r="L3708">
        <v>4.4119999999999999</v>
      </c>
      <c r="M3708">
        <v>4.3929999999999998</v>
      </c>
      <c r="N3708">
        <v>4.3929999999999998</v>
      </c>
      <c r="O3708" t="s">
        <v>101</v>
      </c>
      <c r="P3708" t="s">
        <v>2438</v>
      </c>
      <c r="Q3708" t="s">
        <v>4622</v>
      </c>
      <c r="R3708" t="s">
        <v>2436</v>
      </c>
    </row>
    <row r="3709" spans="1:18" x14ac:dyDescent="0.5">
      <c r="A3709" t="str">
        <f>"81762PAE2"</f>
        <v>81762PAE2</v>
      </c>
      <c r="B3709" t="s">
        <v>101</v>
      </c>
      <c r="C3709" t="s">
        <v>4623</v>
      </c>
      <c r="D3709" t="s">
        <v>2433</v>
      </c>
      <c r="E3709">
        <v>1.4</v>
      </c>
      <c r="F3709" s="2">
        <v>47727</v>
      </c>
      <c r="G3709" s="2">
        <v>47635</v>
      </c>
      <c r="H3709" t="s">
        <v>627</v>
      </c>
      <c r="I3709" t="s">
        <v>611</v>
      </c>
      <c r="J3709">
        <v>83.980999999999995</v>
      </c>
      <c r="K3709">
        <v>84.195999999999998</v>
      </c>
      <c r="L3709">
        <v>4.7590000000000003</v>
      </c>
      <c r="M3709">
        <v>4.7110000000000003</v>
      </c>
      <c r="N3709">
        <v>4.7110000000000003</v>
      </c>
      <c r="O3709" t="s">
        <v>101</v>
      </c>
      <c r="P3709" t="s">
        <v>2454</v>
      </c>
      <c r="Q3709" t="s">
        <v>2581</v>
      </c>
      <c r="R3709" t="s">
        <v>2436</v>
      </c>
    </row>
    <row r="3710" spans="1:18" x14ac:dyDescent="0.5">
      <c r="A3710" t="str">
        <f>"88034PAB5"</f>
        <v>88034PAB5</v>
      </c>
      <c r="B3710" t="s">
        <v>101</v>
      </c>
      <c r="C3710" t="s">
        <v>4624</v>
      </c>
      <c r="D3710" t="s">
        <v>2433</v>
      </c>
      <c r="E3710">
        <v>2</v>
      </c>
      <c r="F3710" s="2">
        <v>47729</v>
      </c>
      <c r="G3710" s="2">
        <v>47637</v>
      </c>
      <c r="H3710" t="s">
        <v>610</v>
      </c>
      <c r="I3710" t="s">
        <v>611</v>
      </c>
      <c r="J3710">
        <v>86.141000000000005</v>
      </c>
      <c r="K3710">
        <v>86.57</v>
      </c>
      <c r="L3710">
        <v>4.9180000000000001</v>
      </c>
      <c r="M3710">
        <v>4.82</v>
      </c>
      <c r="N3710">
        <v>4.82</v>
      </c>
      <c r="O3710" t="s">
        <v>101</v>
      </c>
      <c r="P3710" t="s">
        <v>2625</v>
      </c>
      <c r="Q3710" t="s">
        <v>542</v>
      </c>
      <c r="R3710" t="s">
        <v>2436</v>
      </c>
    </row>
    <row r="3711" spans="1:18" x14ac:dyDescent="0.5">
      <c r="A3711" t="str">
        <f>"718172DD8"</f>
        <v>718172DD8</v>
      </c>
      <c r="B3711" t="s">
        <v>101</v>
      </c>
      <c r="C3711" t="s">
        <v>4625</v>
      </c>
      <c r="D3711" t="s">
        <v>2433</v>
      </c>
      <c r="E3711">
        <v>5.5</v>
      </c>
      <c r="F3711" s="2">
        <v>47733</v>
      </c>
      <c r="G3711" s="2">
        <v>47671</v>
      </c>
      <c r="H3711" t="s">
        <v>610</v>
      </c>
      <c r="I3711" t="s">
        <v>713</v>
      </c>
      <c r="J3711">
        <v>103.336</v>
      </c>
      <c r="K3711">
        <v>103.58</v>
      </c>
      <c r="L3711">
        <v>4.7830000000000004</v>
      </c>
      <c r="M3711">
        <v>4.7320000000000002</v>
      </c>
      <c r="N3711">
        <v>4.7510000000000003</v>
      </c>
      <c r="O3711" t="s">
        <v>101</v>
      </c>
      <c r="P3711" t="s">
        <v>2438</v>
      </c>
      <c r="Q3711" t="s">
        <v>2454</v>
      </c>
      <c r="R3711" t="s">
        <v>2436</v>
      </c>
    </row>
    <row r="3712" spans="1:18" x14ac:dyDescent="0.5">
      <c r="A3712" t="str">
        <f>"055451BD9"</f>
        <v>055451BD9</v>
      </c>
      <c r="B3712" t="s">
        <v>101</v>
      </c>
      <c r="C3712" t="s">
        <v>4626</v>
      </c>
      <c r="D3712" t="s">
        <v>2433</v>
      </c>
      <c r="E3712">
        <v>5.25</v>
      </c>
      <c r="F3712" s="2">
        <v>47734</v>
      </c>
      <c r="G3712" s="2">
        <v>47672</v>
      </c>
      <c r="H3712" t="s">
        <v>641</v>
      </c>
      <c r="I3712" t="s">
        <v>713</v>
      </c>
      <c r="J3712">
        <v>102.282</v>
      </c>
      <c r="K3712">
        <v>102.417</v>
      </c>
      <c r="L3712">
        <v>4.7610000000000001</v>
      </c>
      <c r="M3712">
        <v>4.7320000000000002</v>
      </c>
      <c r="N3712">
        <v>4.7450000000000001</v>
      </c>
      <c r="O3712" t="s">
        <v>101</v>
      </c>
      <c r="P3712" t="s">
        <v>554</v>
      </c>
      <c r="Q3712" t="s">
        <v>2447</v>
      </c>
      <c r="R3712" t="s">
        <v>2436</v>
      </c>
    </row>
    <row r="3713" spans="1:18" x14ac:dyDescent="0.5">
      <c r="A3713" t="str">
        <f>"904764BK2"</f>
        <v>904764BK2</v>
      </c>
      <c r="B3713" t="s">
        <v>101</v>
      </c>
      <c r="C3713" t="s">
        <v>4627</v>
      </c>
      <c r="D3713" t="s">
        <v>2433</v>
      </c>
      <c r="E3713">
        <v>1.375</v>
      </c>
      <c r="F3713" s="2">
        <v>47740</v>
      </c>
      <c r="G3713" s="2">
        <v>47648</v>
      </c>
      <c r="H3713" t="s">
        <v>641</v>
      </c>
      <c r="I3713" t="s">
        <v>658</v>
      </c>
      <c r="J3713">
        <v>84.622</v>
      </c>
      <c r="K3713">
        <v>84.771000000000001</v>
      </c>
      <c r="L3713">
        <v>4.5650000000000004</v>
      </c>
      <c r="M3713">
        <v>4.532</v>
      </c>
      <c r="N3713">
        <v>4.532</v>
      </c>
      <c r="O3713" t="s">
        <v>101</v>
      </c>
      <c r="P3713" t="s">
        <v>2635</v>
      </c>
      <c r="Q3713" t="s">
        <v>1797</v>
      </c>
      <c r="R3713" t="s">
        <v>2436</v>
      </c>
    </row>
    <row r="3714" spans="1:18" x14ac:dyDescent="0.5">
      <c r="A3714" t="str">
        <f>"010392FU7"</f>
        <v>010392FU7</v>
      </c>
      <c r="B3714" t="s">
        <v>101</v>
      </c>
      <c r="C3714" t="s">
        <v>4628</v>
      </c>
      <c r="D3714" t="s">
        <v>2433</v>
      </c>
      <c r="E3714">
        <v>1.45</v>
      </c>
      <c r="F3714" s="2">
        <v>47741</v>
      </c>
      <c r="G3714" s="2">
        <v>47649</v>
      </c>
      <c r="H3714" t="s">
        <v>641</v>
      </c>
      <c r="I3714" t="s">
        <v>611</v>
      </c>
      <c r="J3714">
        <v>84.430999999999997</v>
      </c>
      <c r="K3714">
        <v>84.588999999999999</v>
      </c>
      <c r="L3714">
        <v>4.6900000000000004</v>
      </c>
      <c r="M3714">
        <v>4.6539999999999999</v>
      </c>
      <c r="N3714">
        <v>4.6539999999999999</v>
      </c>
      <c r="O3714" t="s">
        <v>101</v>
      </c>
      <c r="P3714" t="s">
        <v>2454</v>
      </c>
      <c r="Q3714" t="s">
        <v>2454</v>
      </c>
      <c r="R3714" t="s">
        <v>2436</v>
      </c>
    </row>
    <row r="3715" spans="1:18" x14ac:dyDescent="0.5">
      <c r="A3715" t="str">
        <f>"171239AG1"</f>
        <v>171239AG1</v>
      </c>
      <c r="B3715" t="s">
        <v>101</v>
      </c>
      <c r="C3715" t="s">
        <v>4629</v>
      </c>
      <c r="D3715" t="s">
        <v>2433</v>
      </c>
      <c r="E3715">
        <v>1.375</v>
      </c>
      <c r="F3715" s="2">
        <v>47741</v>
      </c>
      <c r="G3715" s="2">
        <v>47649</v>
      </c>
      <c r="H3715" t="s">
        <v>610</v>
      </c>
      <c r="I3715" t="s">
        <v>611</v>
      </c>
      <c r="J3715">
        <v>84.224000000000004</v>
      </c>
      <c r="K3715">
        <v>84.412999999999997</v>
      </c>
      <c r="L3715">
        <v>4.6550000000000002</v>
      </c>
      <c r="M3715">
        <v>4.6120000000000001</v>
      </c>
      <c r="N3715">
        <v>4.6120000000000001</v>
      </c>
      <c r="O3715" t="s">
        <v>101</v>
      </c>
      <c r="P3715" t="s">
        <v>2472</v>
      </c>
      <c r="Q3715" t="s">
        <v>2454</v>
      </c>
      <c r="R3715" t="s">
        <v>2436</v>
      </c>
    </row>
    <row r="3716" spans="1:18" x14ac:dyDescent="0.5">
      <c r="A3716" t="str">
        <f>"594918CS1"</f>
        <v>594918CS1</v>
      </c>
      <c r="B3716" t="s">
        <v>101</v>
      </c>
      <c r="C3716" t="s">
        <v>4630</v>
      </c>
      <c r="D3716" t="s">
        <v>2433</v>
      </c>
      <c r="E3716">
        <v>1.35</v>
      </c>
      <c r="F3716" s="2">
        <v>47741</v>
      </c>
      <c r="G3716" s="2">
        <v>47649</v>
      </c>
      <c r="H3716" t="s">
        <v>104</v>
      </c>
      <c r="I3716" t="s">
        <v>104</v>
      </c>
      <c r="J3716">
        <v>85.997</v>
      </c>
      <c r="K3716">
        <v>86.186999999999998</v>
      </c>
      <c r="L3716">
        <v>4.226</v>
      </c>
      <c r="M3716">
        <v>4.1840000000000002</v>
      </c>
      <c r="N3716">
        <v>4.1840000000000002</v>
      </c>
      <c r="O3716" t="s">
        <v>101</v>
      </c>
      <c r="P3716" t="s">
        <v>4631</v>
      </c>
      <c r="Q3716" t="s">
        <v>3178</v>
      </c>
      <c r="R3716" t="s">
        <v>2436</v>
      </c>
    </row>
    <row r="3717" spans="1:18" x14ac:dyDescent="0.5">
      <c r="A3717" t="str">
        <f>"695114CW6"</f>
        <v>695114CW6</v>
      </c>
      <c r="B3717" t="s">
        <v>101</v>
      </c>
      <c r="C3717" t="s">
        <v>4632</v>
      </c>
      <c r="D3717" t="s">
        <v>2433</v>
      </c>
      <c r="E3717">
        <v>2.7</v>
      </c>
      <c r="F3717" s="2">
        <v>47741</v>
      </c>
      <c r="G3717" s="2">
        <v>47649</v>
      </c>
      <c r="H3717" t="s">
        <v>610</v>
      </c>
      <c r="I3717" t="s">
        <v>611</v>
      </c>
      <c r="J3717">
        <v>88.563999999999993</v>
      </c>
      <c r="K3717">
        <v>89.036000000000001</v>
      </c>
      <c r="L3717">
        <v>5.1079999999999997</v>
      </c>
      <c r="M3717">
        <v>5.0019999999999998</v>
      </c>
      <c r="N3717">
        <v>5.0019999999999998</v>
      </c>
      <c r="O3717" t="s">
        <v>101</v>
      </c>
      <c r="P3717" t="s">
        <v>2747</v>
      </c>
      <c r="Q3717" t="s">
        <v>2454</v>
      </c>
      <c r="R3717" t="s">
        <v>2436</v>
      </c>
    </row>
    <row r="3718" spans="1:18" x14ac:dyDescent="0.5">
      <c r="A3718" t="str">
        <f>"87612EBK1"</f>
        <v>87612EBK1</v>
      </c>
      <c r="B3718" t="s">
        <v>101</v>
      </c>
      <c r="C3718" t="s">
        <v>4633</v>
      </c>
      <c r="D3718" t="s">
        <v>2433</v>
      </c>
      <c r="E3718">
        <v>2.65</v>
      </c>
      <c r="F3718" s="2">
        <v>47741</v>
      </c>
      <c r="G3718" s="2">
        <v>47649</v>
      </c>
      <c r="H3718" t="s">
        <v>610</v>
      </c>
      <c r="I3718" t="s">
        <v>611</v>
      </c>
      <c r="J3718">
        <v>90.325000000000003</v>
      </c>
      <c r="K3718">
        <v>90.751999999999995</v>
      </c>
      <c r="L3718">
        <v>4.6619999999999999</v>
      </c>
      <c r="M3718">
        <v>4.5679999999999996</v>
      </c>
      <c r="N3718">
        <v>4.5679999999999996</v>
      </c>
      <c r="O3718" t="s">
        <v>101</v>
      </c>
      <c r="P3718" t="s">
        <v>3878</v>
      </c>
      <c r="Q3718" t="s">
        <v>4634</v>
      </c>
      <c r="R3718" t="s">
        <v>2436</v>
      </c>
    </row>
    <row r="3719" spans="1:18" x14ac:dyDescent="0.5">
      <c r="A3719" t="str">
        <f>"06055JGD5"</f>
        <v>06055JGD5</v>
      </c>
      <c r="B3719" t="s">
        <v>101</v>
      </c>
      <c r="C3719" t="s">
        <v>4635</v>
      </c>
      <c r="D3719" t="s">
        <v>2433</v>
      </c>
      <c r="E3719">
        <v>5</v>
      </c>
      <c r="F3719" s="2">
        <v>47745</v>
      </c>
      <c r="G3719" s="2">
        <v>45735</v>
      </c>
      <c r="H3719" t="s">
        <v>641</v>
      </c>
      <c r="I3719" t="s">
        <v>713</v>
      </c>
      <c r="J3719">
        <v>99.519000000000005</v>
      </c>
      <c r="K3719">
        <v>100.003</v>
      </c>
      <c r="L3719">
        <v>5.101</v>
      </c>
      <c r="M3719">
        <v>4.7320000000000002</v>
      </c>
      <c r="N3719">
        <v>4.9989999999999997</v>
      </c>
      <c r="O3719" t="s">
        <v>101</v>
      </c>
      <c r="P3719" t="s">
        <v>2595</v>
      </c>
      <c r="Q3719" t="s">
        <v>764</v>
      </c>
      <c r="R3719" t="s">
        <v>2726</v>
      </c>
    </row>
    <row r="3720" spans="1:18" x14ac:dyDescent="0.5">
      <c r="A3720" t="str">
        <f>"035229CF8"</f>
        <v>035229CF8</v>
      </c>
      <c r="B3720" t="s">
        <v>101</v>
      </c>
      <c r="C3720" t="s">
        <v>4636</v>
      </c>
      <c r="D3720" t="s">
        <v>2433</v>
      </c>
      <c r="E3720">
        <v>7.55</v>
      </c>
      <c r="F3720" s="2">
        <v>47757</v>
      </c>
      <c r="G3720" s="2" t="s">
        <v>101</v>
      </c>
      <c r="H3720" t="s">
        <v>627</v>
      </c>
      <c r="I3720" t="s">
        <v>713</v>
      </c>
      <c r="J3720">
        <v>113.214</v>
      </c>
      <c r="K3720">
        <v>114.36799999999999</v>
      </c>
      <c r="L3720">
        <v>4.8090000000000002</v>
      </c>
      <c r="M3720">
        <v>4.5890000000000004</v>
      </c>
      <c r="N3720">
        <v>4.5890000000000004</v>
      </c>
      <c r="O3720" t="s">
        <v>101</v>
      </c>
      <c r="P3720" t="s">
        <v>4637</v>
      </c>
      <c r="Q3720" t="s">
        <v>2564</v>
      </c>
      <c r="R3720" t="s">
        <v>2436</v>
      </c>
    </row>
    <row r="3721" spans="1:18" x14ac:dyDescent="0.5">
      <c r="A3721" t="str">
        <f>"797440BZ6"</f>
        <v>797440BZ6</v>
      </c>
      <c r="B3721" t="s">
        <v>101</v>
      </c>
      <c r="C3721" t="s">
        <v>4638</v>
      </c>
      <c r="D3721" t="s">
        <v>2433</v>
      </c>
      <c r="E3721">
        <v>1.7</v>
      </c>
      <c r="F3721" s="2">
        <v>47757</v>
      </c>
      <c r="G3721" s="2">
        <v>47665</v>
      </c>
      <c r="H3721" t="s">
        <v>641</v>
      </c>
      <c r="I3721" t="s">
        <v>611</v>
      </c>
      <c r="J3721">
        <v>84.316000000000003</v>
      </c>
      <c r="K3721">
        <v>84.650999999999996</v>
      </c>
      <c r="L3721">
        <v>4.9660000000000002</v>
      </c>
      <c r="M3721">
        <v>4.8899999999999997</v>
      </c>
      <c r="N3721">
        <v>4.8899999999999997</v>
      </c>
      <c r="O3721" t="s">
        <v>101</v>
      </c>
      <c r="P3721" t="s">
        <v>3939</v>
      </c>
      <c r="Q3721" t="s">
        <v>2507</v>
      </c>
      <c r="R3721" t="s">
        <v>2436</v>
      </c>
    </row>
    <row r="3722" spans="1:18" x14ac:dyDescent="0.5">
      <c r="A3722" t="str">
        <f>"02665WER8"</f>
        <v>02665WER8</v>
      </c>
      <c r="B3722" t="s">
        <v>101</v>
      </c>
      <c r="C3722" t="s">
        <v>4639</v>
      </c>
      <c r="D3722" t="s">
        <v>2433</v>
      </c>
      <c r="E3722">
        <v>5.85</v>
      </c>
      <c r="F3722" s="2">
        <v>47760</v>
      </c>
      <c r="G3722" s="2" t="s">
        <v>101</v>
      </c>
      <c r="H3722" t="s">
        <v>627</v>
      </c>
      <c r="I3722" t="s">
        <v>713</v>
      </c>
      <c r="J3722">
        <v>104.56</v>
      </c>
      <c r="K3722">
        <v>104.992</v>
      </c>
      <c r="L3722">
        <v>4.9020000000000001</v>
      </c>
      <c r="M3722">
        <v>4.8150000000000004</v>
      </c>
      <c r="N3722">
        <v>4.8150000000000004</v>
      </c>
      <c r="O3722" t="s">
        <v>101</v>
      </c>
      <c r="P3722" t="s">
        <v>858</v>
      </c>
      <c r="Q3722" t="s">
        <v>2454</v>
      </c>
      <c r="R3722" t="s">
        <v>2436</v>
      </c>
    </row>
    <row r="3723" spans="1:18" x14ac:dyDescent="0.5">
      <c r="A3723" t="str">
        <f>"045167EY5"</f>
        <v>045167EY5</v>
      </c>
      <c r="B3723" t="s">
        <v>101</v>
      </c>
      <c r="C3723" t="s">
        <v>4640</v>
      </c>
      <c r="D3723" t="s">
        <v>2433</v>
      </c>
      <c r="E3723">
        <v>0.75</v>
      </c>
      <c r="F3723" s="2">
        <v>47764</v>
      </c>
      <c r="G3723" s="2" t="s">
        <v>105</v>
      </c>
      <c r="H3723" t="s">
        <v>104</v>
      </c>
      <c r="I3723" t="s">
        <v>104</v>
      </c>
      <c r="J3723">
        <v>82.635000000000005</v>
      </c>
      <c r="K3723">
        <v>83.753</v>
      </c>
      <c r="L3723">
        <v>4.2859999999999996</v>
      </c>
      <c r="M3723">
        <v>4.0350000000000001</v>
      </c>
      <c r="N3723">
        <v>4.0350000000000001</v>
      </c>
      <c r="O3723" t="s">
        <v>101</v>
      </c>
      <c r="P3723" t="s">
        <v>2618</v>
      </c>
      <c r="Q3723" t="s">
        <v>2618</v>
      </c>
      <c r="R3723" t="s">
        <v>2713</v>
      </c>
    </row>
    <row r="3724" spans="1:18" x14ac:dyDescent="0.5">
      <c r="A3724" t="str">
        <f>"084664CW9"</f>
        <v>084664CW9</v>
      </c>
      <c r="B3724" t="s">
        <v>101</v>
      </c>
      <c r="C3724" t="s">
        <v>4641</v>
      </c>
      <c r="D3724" t="s">
        <v>2433</v>
      </c>
      <c r="E3724">
        <v>1.45</v>
      </c>
      <c r="F3724" s="2">
        <v>47771</v>
      </c>
      <c r="G3724" s="2">
        <v>47679</v>
      </c>
      <c r="H3724" t="s">
        <v>613</v>
      </c>
      <c r="I3724" t="s">
        <v>628</v>
      </c>
      <c r="J3724">
        <v>85.126999999999995</v>
      </c>
      <c r="K3724">
        <v>85.341999999999999</v>
      </c>
      <c r="L3724">
        <v>4.4870000000000001</v>
      </c>
      <c r="M3724">
        <v>4.4390000000000001</v>
      </c>
      <c r="N3724">
        <v>4.4390000000000001</v>
      </c>
      <c r="O3724" t="s">
        <v>101</v>
      </c>
      <c r="P3724" t="s">
        <v>2564</v>
      </c>
      <c r="Q3724" t="s">
        <v>2454</v>
      </c>
      <c r="R3724" t="s">
        <v>2436</v>
      </c>
    </row>
    <row r="3725" spans="1:18" x14ac:dyDescent="0.5">
      <c r="A3725" t="str">
        <f>"20030NCU3"</f>
        <v>20030NCU3</v>
      </c>
      <c r="B3725" t="s">
        <v>101</v>
      </c>
      <c r="C3725" t="s">
        <v>4642</v>
      </c>
      <c r="D3725" t="s">
        <v>2433</v>
      </c>
      <c r="E3725">
        <v>4.25</v>
      </c>
      <c r="F3725" s="2">
        <v>47771</v>
      </c>
      <c r="G3725" s="2">
        <v>47679</v>
      </c>
      <c r="H3725" t="s">
        <v>627</v>
      </c>
      <c r="I3725" t="s">
        <v>713</v>
      </c>
      <c r="J3725">
        <v>97.403999999999996</v>
      </c>
      <c r="K3725">
        <v>97.524000000000001</v>
      </c>
      <c r="L3725">
        <v>4.7839999999999998</v>
      </c>
      <c r="M3725">
        <v>4.7590000000000003</v>
      </c>
      <c r="N3725">
        <v>4.7590000000000003</v>
      </c>
      <c r="O3725" t="s">
        <v>101</v>
      </c>
      <c r="P3725" t="s">
        <v>1702</v>
      </c>
      <c r="Q3725" t="s">
        <v>2454</v>
      </c>
      <c r="R3725" t="s">
        <v>2436</v>
      </c>
    </row>
    <row r="3726" spans="1:18" x14ac:dyDescent="0.5">
      <c r="A3726" t="str">
        <f>"291011BN3"</f>
        <v>291011BN3</v>
      </c>
      <c r="B3726" t="s">
        <v>101</v>
      </c>
      <c r="C3726" t="s">
        <v>4643</v>
      </c>
      <c r="D3726" t="s">
        <v>2433</v>
      </c>
      <c r="E3726">
        <v>1.95</v>
      </c>
      <c r="F3726" s="2">
        <v>47771</v>
      </c>
      <c r="G3726" s="2">
        <v>47679</v>
      </c>
      <c r="H3726" t="s">
        <v>610</v>
      </c>
      <c r="I3726" t="s">
        <v>611</v>
      </c>
      <c r="J3726">
        <v>86.9</v>
      </c>
      <c r="K3726">
        <v>87.236000000000004</v>
      </c>
      <c r="L3726">
        <v>4.6360000000000001</v>
      </c>
      <c r="M3726">
        <v>4.5620000000000003</v>
      </c>
      <c r="N3726">
        <v>4.5620000000000003</v>
      </c>
      <c r="O3726" t="s">
        <v>101</v>
      </c>
      <c r="P3726" t="s">
        <v>3939</v>
      </c>
      <c r="Q3726" t="s">
        <v>2289</v>
      </c>
      <c r="R3726" t="s">
        <v>2436</v>
      </c>
    </row>
    <row r="3727" spans="1:18" x14ac:dyDescent="0.5">
      <c r="A3727" t="str">
        <f>"30231GBN1"</f>
        <v>30231GBN1</v>
      </c>
      <c r="B3727" t="s">
        <v>101</v>
      </c>
      <c r="C3727" t="s">
        <v>4644</v>
      </c>
      <c r="D3727" t="s">
        <v>2433</v>
      </c>
      <c r="E3727">
        <v>2.61</v>
      </c>
      <c r="F3727" s="2">
        <v>47771</v>
      </c>
      <c r="G3727" s="2">
        <v>47679</v>
      </c>
      <c r="H3727" t="s">
        <v>613</v>
      </c>
      <c r="I3727" t="s">
        <v>616</v>
      </c>
      <c r="J3727">
        <v>90.1</v>
      </c>
      <c r="K3727">
        <v>90.185000000000002</v>
      </c>
      <c r="L3727">
        <v>4.6399999999999997</v>
      </c>
      <c r="M3727">
        <v>4.6210000000000004</v>
      </c>
      <c r="N3727">
        <v>4.6210000000000004</v>
      </c>
      <c r="O3727" t="s">
        <v>101</v>
      </c>
      <c r="P3727" t="s">
        <v>2447</v>
      </c>
      <c r="Q3727" t="s">
        <v>2454</v>
      </c>
      <c r="R3727" t="s">
        <v>2436</v>
      </c>
    </row>
    <row r="3728" spans="1:18" x14ac:dyDescent="0.5">
      <c r="A3728" t="str">
        <f>"63743FZF6"</f>
        <v>63743FZF6</v>
      </c>
      <c r="B3728" t="s">
        <v>101</v>
      </c>
      <c r="C3728" t="s">
        <v>4645</v>
      </c>
      <c r="D3728" t="s">
        <v>2433</v>
      </c>
      <c r="E3728">
        <v>3.5</v>
      </c>
      <c r="F3728" s="2">
        <v>47771</v>
      </c>
      <c r="G3728" s="2" t="s">
        <v>105</v>
      </c>
      <c r="H3728" t="s">
        <v>610</v>
      </c>
      <c r="I3728" t="s">
        <v>713</v>
      </c>
      <c r="J3728">
        <v>92.956000000000003</v>
      </c>
      <c r="K3728">
        <v>94.813000000000002</v>
      </c>
      <c r="L3728">
        <v>4.944</v>
      </c>
      <c r="M3728">
        <v>4.5519999999999996</v>
      </c>
      <c r="N3728">
        <v>4.5519999999999996</v>
      </c>
      <c r="O3728" t="s">
        <v>101</v>
      </c>
      <c r="P3728" t="s">
        <v>858</v>
      </c>
      <c r="Q3728" t="s">
        <v>488</v>
      </c>
      <c r="R3728" t="s">
        <v>2610</v>
      </c>
    </row>
    <row r="3729" spans="1:18" x14ac:dyDescent="0.5">
      <c r="A3729" t="str">
        <f>"74340XBR1"</f>
        <v>74340XBR1</v>
      </c>
      <c r="B3729" t="s">
        <v>101</v>
      </c>
      <c r="C3729" t="s">
        <v>4646</v>
      </c>
      <c r="D3729" t="s">
        <v>2433</v>
      </c>
      <c r="E3729">
        <v>1.25</v>
      </c>
      <c r="F3729" s="2">
        <v>47771</v>
      </c>
      <c r="G3729" s="2">
        <v>47679</v>
      </c>
      <c r="H3729" t="s">
        <v>610</v>
      </c>
      <c r="I3729" t="s">
        <v>611</v>
      </c>
      <c r="J3729">
        <v>83.325000000000003</v>
      </c>
      <c r="K3729">
        <v>83.466999999999999</v>
      </c>
      <c r="L3729">
        <v>4.673</v>
      </c>
      <c r="M3729">
        <v>4.641</v>
      </c>
      <c r="N3729">
        <v>4.641</v>
      </c>
      <c r="O3729" t="s">
        <v>101</v>
      </c>
      <c r="P3729" t="s">
        <v>2447</v>
      </c>
      <c r="Q3729" t="s">
        <v>2454</v>
      </c>
      <c r="R3729" t="s">
        <v>2436</v>
      </c>
    </row>
    <row r="3730" spans="1:18" x14ac:dyDescent="0.5">
      <c r="A3730" t="str">
        <f>"742718FM6"</f>
        <v>742718FM6</v>
      </c>
      <c r="B3730" t="s">
        <v>101</v>
      </c>
      <c r="C3730" t="s">
        <v>4647</v>
      </c>
      <c r="D3730" t="s">
        <v>2433</v>
      </c>
      <c r="E3730">
        <v>1.2</v>
      </c>
      <c r="F3730" s="2">
        <v>47785</v>
      </c>
      <c r="G3730" s="2" t="s">
        <v>101</v>
      </c>
      <c r="H3730" t="s">
        <v>624</v>
      </c>
      <c r="I3730" t="s">
        <v>616</v>
      </c>
      <c r="J3730">
        <v>83.781999999999996</v>
      </c>
      <c r="K3730">
        <v>83.992000000000004</v>
      </c>
      <c r="L3730">
        <v>4.492</v>
      </c>
      <c r="M3730">
        <v>4.4450000000000003</v>
      </c>
      <c r="N3730">
        <v>4.4450000000000003</v>
      </c>
      <c r="O3730" t="s">
        <v>101</v>
      </c>
      <c r="P3730" t="s">
        <v>2454</v>
      </c>
      <c r="Q3730" t="s">
        <v>2438</v>
      </c>
      <c r="R3730" t="s">
        <v>2436</v>
      </c>
    </row>
    <row r="3731" spans="1:18" x14ac:dyDescent="0.5">
      <c r="A3731" t="str">
        <f>"354613AL5"</f>
        <v>354613AL5</v>
      </c>
      <c r="B3731" t="s">
        <v>101</v>
      </c>
      <c r="C3731" t="s">
        <v>4648</v>
      </c>
      <c r="D3731" t="s">
        <v>2433</v>
      </c>
      <c r="E3731">
        <v>1.6</v>
      </c>
      <c r="F3731" s="2">
        <v>47786</v>
      </c>
      <c r="G3731" s="2">
        <v>47694</v>
      </c>
      <c r="H3731" t="s">
        <v>610</v>
      </c>
      <c r="I3731" t="s">
        <v>611</v>
      </c>
      <c r="J3731">
        <v>84.227000000000004</v>
      </c>
      <c r="K3731">
        <v>84.447999999999993</v>
      </c>
      <c r="L3731">
        <v>4.8310000000000004</v>
      </c>
      <c r="M3731">
        <v>4.7809999999999997</v>
      </c>
      <c r="N3731">
        <v>4.7809999999999997</v>
      </c>
      <c r="O3731" t="s">
        <v>101</v>
      </c>
      <c r="P3731" t="s">
        <v>3878</v>
      </c>
      <c r="Q3731" t="s">
        <v>2581</v>
      </c>
      <c r="R3731" t="s">
        <v>2436</v>
      </c>
    </row>
    <row r="3732" spans="1:18" x14ac:dyDescent="0.5">
      <c r="A3732" t="str">
        <f>"718172CS6"</f>
        <v>718172CS6</v>
      </c>
      <c r="B3732" t="s">
        <v>101</v>
      </c>
      <c r="C3732" t="s">
        <v>4649</v>
      </c>
      <c r="D3732" t="s">
        <v>2433</v>
      </c>
      <c r="E3732">
        <v>1.75</v>
      </c>
      <c r="F3732" s="2">
        <v>47788</v>
      </c>
      <c r="G3732" s="2">
        <v>47696</v>
      </c>
      <c r="H3732" t="s">
        <v>610</v>
      </c>
      <c r="I3732" t="s">
        <v>713</v>
      </c>
      <c r="J3732">
        <v>85.061999999999998</v>
      </c>
      <c r="K3732">
        <v>85.307000000000002</v>
      </c>
      <c r="L3732">
        <v>4.8070000000000004</v>
      </c>
      <c r="M3732">
        <v>4.7519999999999998</v>
      </c>
      <c r="N3732">
        <v>4.7519999999999998</v>
      </c>
      <c r="O3732" t="s">
        <v>101</v>
      </c>
      <c r="P3732" t="s">
        <v>1702</v>
      </c>
      <c r="Q3732" t="s">
        <v>2454</v>
      </c>
      <c r="R3732" t="s">
        <v>2436</v>
      </c>
    </row>
    <row r="3733" spans="1:18" x14ac:dyDescent="0.5">
      <c r="A3733" t="str">
        <f>"110122DQ8"</f>
        <v>110122DQ8</v>
      </c>
      <c r="B3733" t="s">
        <v>101</v>
      </c>
      <c r="C3733" t="s">
        <v>4650</v>
      </c>
      <c r="D3733" t="s">
        <v>2433</v>
      </c>
      <c r="E3733">
        <v>1.45</v>
      </c>
      <c r="F3733" s="2">
        <v>47800</v>
      </c>
      <c r="G3733" s="2">
        <v>47708</v>
      </c>
      <c r="H3733" t="s">
        <v>610</v>
      </c>
      <c r="I3733" t="s">
        <v>611</v>
      </c>
      <c r="J3733">
        <v>84.335999999999999</v>
      </c>
      <c r="K3733">
        <v>84.501999999999995</v>
      </c>
      <c r="L3733">
        <v>4.6219999999999999</v>
      </c>
      <c r="M3733">
        <v>4.585</v>
      </c>
      <c r="N3733">
        <v>4.585</v>
      </c>
      <c r="O3733" t="s">
        <v>101</v>
      </c>
      <c r="P3733" t="s">
        <v>1064</v>
      </c>
      <c r="Q3733" t="s">
        <v>2472</v>
      </c>
      <c r="R3733" t="s">
        <v>2436</v>
      </c>
    </row>
    <row r="3734" spans="1:18" x14ac:dyDescent="0.5">
      <c r="A3734" t="str">
        <f>"02361DAV2"</f>
        <v>02361DAV2</v>
      </c>
      <c r="B3734" t="s">
        <v>101</v>
      </c>
      <c r="C3734" t="s">
        <v>4651</v>
      </c>
      <c r="D3734" t="s">
        <v>2433</v>
      </c>
      <c r="E3734">
        <v>1.55</v>
      </c>
      <c r="F3734" s="2">
        <v>47802</v>
      </c>
      <c r="G3734" s="2">
        <v>47710</v>
      </c>
      <c r="H3734" t="s">
        <v>641</v>
      </c>
      <c r="I3734" t="s">
        <v>611</v>
      </c>
      <c r="J3734">
        <v>84.296999999999997</v>
      </c>
      <c r="K3734">
        <v>84.597999999999999</v>
      </c>
      <c r="L3734">
        <v>4.7380000000000004</v>
      </c>
      <c r="M3734">
        <v>4.6710000000000003</v>
      </c>
      <c r="N3734">
        <v>4.6710000000000003</v>
      </c>
      <c r="O3734" t="s">
        <v>101</v>
      </c>
      <c r="P3734" t="s">
        <v>1702</v>
      </c>
      <c r="Q3734" t="s">
        <v>3920</v>
      </c>
      <c r="R3734" t="s">
        <v>2436</v>
      </c>
    </row>
    <row r="3735" spans="1:18" x14ac:dyDescent="0.5">
      <c r="A3735" t="str">
        <f>"448814DL4"</f>
        <v>448814DL4</v>
      </c>
      <c r="B3735" t="s">
        <v>101</v>
      </c>
      <c r="C3735" t="s">
        <v>4652</v>
      </c>
      <c r="D3735" t="s">
        <v>2433</v>
      </c>
      <c r="E3735">
        <v>9.5</v>
      </c>
      <c r="F3735" s="2">
        <v>47802</v>
      </c>
      <c r="G3735" s="2" t="s">
        <v>105</v>
      </c>
      <c r="H3735" t="s">
        <v>613</v>
      </c>
      <c r="I3735" t="s">
        <v>616</v>
      </c>
      <c r="J3735">
        <v>122.66200000000001</v>
      </c>
      <c r="K3735">
        <v>126.956</v>
      </c>
      <c r="L3735">
        <v>4.8780000000000001</v>
      </c>
      <c r="M3735">
        <v>4.1219999999999999</v>
      </c>
      <c r="N3735">
        <v>4.1219999999999999</v>
      </c>
      <c r="O3735" t="s">
        <v>101</v>
      </c>
      <c r="P3735" t="s">
        <v>858</v>
      </c>
      <c r="Q3735" t="s">
        <v>3298</v>
      </c>
      <c r="R3735" t="s">
        <v>2465</v>
      </c>
    </row>
    <row r="3736" spans="1:18" x14ac:dyDescent="0.5">
      <c r="A3736" t="str">
        <f>"571748BN1"</f>
        <v>571748BN1</v>
      </c>
      <c r="B3736" t="s">
        <v>101</v>
      </c>
      <c r="C3736" t="s">
        <v>4653</v>
      </c>
      <c r="D3736" t="s">
        <v>2433</v>
      </c>
      <c r="E3736">
        <v>2.25</v>
      </c>
      <c r="F3736" s="2">
        <v>47802</v>
      </c>
      <c r="G3736" s="2">
        <v>47710</v>
      </c>
      <c r="H3736" t="s">
        <v>627</v>
      </c>
      <c r="I3736" t="s">
        <v>713</v>
      </c>
      <c r="J3736">
        <v>87.641999999999996</v>
      </c>
      <c r="K3736">
        <v>87.804000000000002</v>
      </c>
      <c r="L3736">
        <v>4.76</v>
      </c>
      <c r="M3736">
        <v>4.7249999999999996</v>
      </c>
      <c r="N3736">
        <v>4.7249999999999996</v>
      </c>
      <c r="O3736" t="s">
        <v>101</v>
      </c>
      <c r="P3736" t="s">
        <v>3428</v>
      </c>
      <c r="Q3736" t="s">
        <v>2454</v>
      </c>
      <c r="R3736" t="s">
        <v>2436</v>
      </c>
    </row>
    <row r="3737" spans="1:18" x14ac:dyDescent="0.5">
      <c r="A3737" t="str">
        <f>"63743FZL3"</f>
        <v>63743FZL3</v>
      </c>
      <c r="B3737" t="s">
        <v>101</v>
      </c>
      <c r="C3737" t="s">
        <v>4654</v>
      </c>
      <c r="D3737" t="s">
        <v>2433</v>
      </c>
      <c r="E3737">
        <v>3.5</v>
      </c>
      <c r="F3737" s="2">
        <v>47802</v>
      </c>
      <c r="G3737" s="2" t="s">
        <v>105</v>
      </c>
      <c r="H3737" t="s">
        <v>610</v>
      </c>
      <c r="I3737" t="s">
        <v>713</v>
      </c>
      <c r="J3737">
        <v>92.730999999999995</v>
      </c>
      <c r="K3737">
        <v>94.634</v>
      </c>
      <c r="L3737">
        <v>4.9729999999999999</v>
      </c>
      <c r="M3737">
        <v>4.5750000000000002</v>
      </c>
      <c r="N3737">
        <v>4.5750000000000002</v>
      </c>
      <c r="O3737" t="s">
        <v>101</v>
      </c>
      <c r="P3737" t="s">
        <v>858</v>
      </c>
      <c r="Q3737" t="s">
        <v>479</v>
      </c>
      <c r="R3737" t="s">
        <v>2610</v>
      </c>
    </row>
    <row r="3738" spans="1:18" x14ac:dyDescent="0.5">
      <c r="A3738" t="str">
        <f>"89236TLE3"</f>
        <v>89236TLE3</v>
      </c>
      <c r="B3738" t="s">
        <v>101</v>
      </c>
      <c r="C3738" t="s">
        <v>4655</v>
      </c>
      <c r="D3738" t="s">
        <v>2433</v>
      </c>
      <c r="E3738">
        <v>5.55</v>
      </c>
      <c r="F3738" s="2">
        <v>47807</v>
      </c>
      <c r="G3738" s="2" t="s">
        <v>101</v>
      </c>
      <c r="H3738" t="s">
        <v>641</v>
      </c>
      <c r="I3738" t="s">
        <v>658</v>
      </c>
      <c r="J3738">
        <v>103.44</v>
      </c>
      <c r="K3738">
        <v>103.94799999999999</v>
      </c>
      <c r="L3738">
        <v>4.8490000000000002</v>
      </c>
      <c r="M3738">
        <v>4.7480000000000002</v>
      </c>
      <c r="N3738">
        <v>4.7480000000000002</v>
      </c>
      <c r="O3738" t="s">
        <v>101</v>
      </c>
      <c r="P3738" t="s">
        <v>2595</v>
      </c>
      <c r="Q3738" t="s">
        <v>2566</v>
      </c>
      <c r="R3738" t="s">
        <v>2436</v>
      </c>
    </row>
    <row r="3739" spans="1:18" x14ac:dyDescent="0.5">
      <c r="A3739" t="str">
        <f>"12503MAC2"</f>
        <v>12503MAC2</v>
      </c>
      <c r="B3739" t="s">
        <v>101</v>
      </c>
      <c r="C3739" t="s">
        <v>4656</v>
      </c>
      <c r="D3739" t="s">
        <v>2433</v>
      </c>
      <c r="E3739">
        <v>1.625</v>
      </c>
      <c r="F3739" s="2">
        <v>47832</v>
      </c>
      <c r="G3739" s="2">
        <v>47741</v>
      </c>
      <c r="H3739" t="s">
        <v>627</v>
      </c>
      <c r="I3739" t="s">
        <v>713</v>
      </c>
      <c r="J3739">
        <v>84.155000000000001</v>
      </c>
      <c r="K3739">
        <v>84.49</v>
      </c>
      <c r="L3739">
        <v>4.8070000000000004</v>
      </c>
      <c r="M3739">
        <v>4.7329999999999997</v>
      </c>
      <c r="N3739">
        <v>4.7329999999999997</v>
      </c>
      <c r="O3739" t="s">
        <v>101</v>
      </c>
      <c r="P3739" t="s">
        <v>4657</v>
      </c>
      <c r="Q3739" t="s">
        <v>2454</v>
      </c>
      <c r="R3739" t="s">
        <v>2436</v>
      </c>
    </row>
    <row r="3740" spans="1:18" x14ac:dyDescent="0.5">
      <c r="A3740" t="str">
        <f>"29364WBE7"</f>
        <v>29364WBE7</v>
      </c>
      <c r="B3740" t="s">
        <v>101</v>
      </c>
      <c r="C3740" t="s">
        <v>4658</v>
      </c>
      <c r="D3740" t="s">
        <v>2433</v>
      </c>
      <c r="E3740">
        <v>1.6</v>
      </c>
      <c r="F3740" s="2">
        <v>47832</v>
      </c>
      <c r="G3740" s="2">
        <v>47741</v>
      </c>
      <c r="H3740" t="s">
        <v>610</v>
      </c>
      <c r="I3740" t="s">
        <v>611</v>
      </c>
      <c r="J3740">
        <v>83.581000000000003</v>
      </c>
      <c r="K3740">
        <v>84.034000000000006</v>
      </c>
      <c r="L3740">
        <v>4.907</v>
      </c>
      <c r="M3740">
        <v>4.8070000000000004</v>
      </c>
      <c r="N3740">
        <v>4.8070000000000004</v>
      </c>
      <c r="O3740" t="s">
        <v>101</v>
      </c>
      <c r="P3740" t="s">
        <v>4600</v>
      </c>
      <c r="Q3740" t="s">
        <v>2940</v>
      </c>
      <c r="R3740" t="s">
        <v>2436</v>
      </c>
    </row>
    <row r="3741" spans="1:18" x14ac:dyDescent="0.5">
      <c r="A3741" t="str">
        <f>"25160YAE8"</f>
        <v>25160YAE8</v>
      </c>
      <c r="B3741" t="s">
        <v>101</v>
      </c>
      <c r="C3741" t="s">
        <v>4659</v>
      </c>
      <c r="D3741" t="s">
        <v>2433</v>
      </c>
      <c r="E3741">
        <v>6.35</v>
      </c>
      <c r="F3741" s="2">
        <v>47835</v>
      </c>
      <c r="G3741" s="2">
        <v>46009</v>
      </c>
      <c r="H3741" t="s">
        <v>641</v>
      </c>
      <c r="I3741" t="s">
        <v>611</v>
      </c>
      <c r="J3741">
        <v>99.625</v>
      </c>
      <c r="K3741">
        <v>101.37</v>
      </c>
      <c r="L3741">
        <v>6.4260000000000002</v>
      </c>
      <c r="M3741">
        <v>4.5</v>
      </c>
      <c r="N3741">
        <v>6.0620000000000003</v>
      </c>
      <c r="O3741" t="s">
        <v>101</v>
      </c>
      <c r="P3741" t="s">
        <v>3116</v>
      </c>
      <c r="Q3741" t="s">
        <v>715</v>
      </c>
      <c r="R3741" t="s">
        <v>2436</v>
      </c>
    </row>
    <row r="3742" spans="1:18" x14ac:dyDescent="0.5">
      <c r="A3742" t="str">
        <f>"459058LA9"</f>
        <v>459058LA9</v>
      </c>
      <c r="B3742" t="s">
        <v>101</v>
      </c>
      <c r="C3742" t="s">
        <v>4660</v>
      </c>
      <c r="D3742" t="s">
        <v>2433</v>
      </c>
      <c r="E3742">
        <v>4</v>
      </c>
      <c r="F3742" s="2">
        <v>47858</v>
      </c>
      <c r="G3742" s="2" t="s">
        <v>105</v>
      </c>
      <c r="H3742" t="s">
        <v>104</v>
      </c>
      <c r="I3742" t="s">
        <v>104</v>
      </c>
      <c r="J3742">
        <v>98.361000000000004</v>
      </c>
      <c r="K3742">
        <v>99.406000000000006</v>
      </c>
      <c r="L3742">
        <v>4.32</v>
      </c>
      <c r="M3742">
        <v>4.1150000000000002</v>
      </c>
      <c r="N3742">
        <v>4.1150000000000002</v>
      </c>
      <c r="O3742" t="s">
        <v>101</v>
      </c>
      <c r="P3742" t="s">
        <v>2618</v>
      </c>
      <c r="Q3742" t="s">
        <v>4275</v>
      </c>
      <c r="R3742" t="s">
        <v>2713</v>
      </c>
    </row>
    <row r="3743" spans="1:18" x14ac:dyDescent="0.5">
      <c r="A3743" t="str">
        <f>"89236THX6"</f>
        <v>89236THX6</v>
      </c>
      <c r="B3743" t="s">
        <v>101</v>
      </c>
      <c r="C3743" t="s">
        <v>4661</v>
      </c>
      <c r="D3743" t="s">
        <v>2433</v>
      </c>
      <c r="E3743">
        <v>1.65</v>
      </c>
      <c r="F3743" s="2">
        <v>47858</v>
      </c>
      <c r="G3743" s="2" t="s">
        <v>101</v>
      </c>
      <c r="H3743" t="s">
        <v>641</v>
      </c>
      <c r="I3743" t="s">
        <v>658</v>
      </c>
      <c r="J3743">
        <v>84.090999999999994</v>
      </c>
      <c r="K3743">
        <v>84.358999999999995</v>
      </c>
      <c r="L3743">
        <v>4.8129999999999997</v>
      </c>
      <c r="M3743">
        <v>4.7539999999999996</v>
      </c>
      <c r="N3743">
        <v>4.7539999999999996</v>
      </c>
      <c r="O3743" t="s">
        <v>101</v>
      </c>
      <c r="P3743" t="s">
        <v>4095</v>
      </c>
      <c r="Q3743" t="s">
        <v>2581</v>
      </c>
      <c r="R3743" t="s">
        <v>2436</v>
      </c>
    </row>
    <row r="3744" spans="1:18" x14ac:dyDescent="0.5">
      <c r="A3744" t="str">
        <f>"86562MCE8"</f>
        <v>86562MCE8</v>
      </c>
      <c r="B3744" t="s">
        <v>101</v>
      </c>
      <c r="C3744" t="s">
        <v>4662</v>
      </c>
      <c r="D3744" t="s">
        <v>2433</v>
      </c>
      <c r="E3744">
        <v>1.71</v>
      </c>
      <c r="F3744" s="2">
        <v>47860</v>
      </c>
      <c r="G3744" s="2" t="s">
        <v>101</v>
      </c>
      <c r="H3744" t="s">
        <v>641</v>
      </c>
      <c r="I3744" t="s">
        <v>713</v>
      </c>
      <c r="J3744">
        <v>83.718000000000004</v>
      </c>
      <c r="K3744">
        <v>83.87</v>
      </c>
      <c r="L3744">
        <v>4.9580000000000002</v>
      </c>
      <c r="M3744">
        <v>4.9249999999999998</v>
      </c>
      <c r="N3744">
        <v>4.9249999999999998</v>
      </c>
      <c r="O3744" t="s">
        <v>101</v>
      </c>
      <c r="P3744" t="s">
        <v>228</v>
      </c>
      <c r="Q3744" t="s">
        <v>3424</v>
      </c>
      <c r="R3744" t="s">
        <v>2436</v>
      </c>
    </row>
    <row r="3745" spans="1:18" x14ac:dyDescent="0.5">
      <c r="A3745" t="str">
        <f>"02665WDT5"</f>
        <v>02665WDT5</v>
      </c>
      <c r="B3745" t="s">
        <v>101</v>
      </c>
      <c r="C3745" t="s">
        <v>4663</v>
      </c>
      <c r="D3745" t="s">
        <v>2433</v>
      </c>
      <c r="E3745">
        <v>1.8</v>
      </c>
      <c r="F3745" s="2">
        <v>47861</v>
      </c>
      <c r="G3745" s="2" t="s">
        <v>101</v>
      </c>
      <c r="H3745" t="s">
        <v>627</v>
      </c>
      <c r="I3745" t="s">
        <v>713</v>
      </c>
      <c r="J3745">
        <v>83.731999999999999</v>
      </c>
      <c r="K3745">
        <v>84.313999999999993</v>
      </c>
      <c r="L3745">
        <v>5.0529999999999999</v>
      </c>
      <c r="M3745">
        <v>4.9249999999999998</v>
      </c>
      <c r="N3745">
        <v>4.9249999999999998</v>
      </c>
      <c r="O3745" t="s">
        <v>101</v>
      </c>
      <c r="P3745" t="s">
        <v>2454</v>
      </c>
      <c r="Q3745" t="s">
        <v>2454</v>
      </c>
      <c r="R3745" t="s">
        <v>2436</v>
      </c>
    </row>
    <row r="3746" spans="1:18" x14ac:dyDescent="0.5">
      <c r="A3746" t="str">
        <f>"254687FX9"</f>
        <v>254687FX9</v>
      </c>
      <c r="B3746" t="s">
        <v>101</v>
      </c>
      <c r="C3746" t="s">
        <v>4664</v>
      </c>
      <c r="D3746" t="s">
        <v>2433</v>
      </c>
      <c r="E3746">
        <v>2.65</v>
      </c>
      <c r="F3746" s="2">
        <v>47861</v>
      </c>
      <c r="G3746" s="2" t="s">
        <v>101</v>
      </c>
      <c r="H3746" t="s">
        <v>610</v>
      </c>
      <c r="I3746" t="s">
        <v>611</v>
      </c>
      <c r="J3746">
        <v>89.353999999999999</v>
      </c>
      <c r="K3746">
        <v>89.486000000000004</v>
      </c>
      <c r="L3746">
        <v>4.76</v>
      </c>
      <c r="M3746">
        <v>4.7320000000000002</v>
      </c>
      <c r="N3746">
        <v>4.7320000000000002</v>
      </c>
      <c r="O3746" t="s">
        <v>101</v>
      </c>
      <c r="P3746" t="s">
        <v>2454</v>
      </c>
      <c r="Q3746" t="s">
        <v>2940</v>
      </c>
      <c r="R3746" t="s">
        <v>2436</v>
      </c>
    </row>
    <row r="3747" spans="1:18" x14ac:dyDescent="0.5">
      <c r="A3747" t="str">
        <f>"4581X0DS4"</f>
        <v>4581X0DS4</v>
      </c>
      <c r="B3747" t="s">
        <v>101</v>
      </c>
      <c r="C3747" t="s">
        <v>4665</v>
      </c>
      <c r="D3747" t="s">
        <v>2433</v>
      </c>
      <c r="E3747">
        <v>1.125</v>
      </c>
      <c r="F3747" s="2">
        <v>47861</v>
      </c>
      <c r="G3747" s="2" t="s">
        <v>105</v>
      </c>
      <c r="H3747" t="s">
        <v>104</v>
      </c>
      <c r="I3747" t="s">
        <v>104</v>
      </c>
      <c r="J3747">
        <v>83.64</v>
      </c>
      <c r="K3747">
        <v>84.744</v>
      </c>
      <c r="L3747">
        <v>4.327</v>
      </c>
      <c r="M3747">
        <v>4.09</v>
      </c>
      <c r="N3747">
        <v>4.09</v>
      </c>
      <c r="O3747" t="s">
        <v>101</v>
      </c>
      <c r="P3747" t="s">
        <v>2618</v>
      </c>
      <c r="Q3747" t="s">
        <v>2618</v>
      </c>
      <c r="R3747" t="s">
        <v>2713</v>
      </c>
    </row>
    <row r="3748" spans="1:18" x14ac:dyDescent="0.5">
      <c r="A3748" t="str">
        <f>"035229CG6"</f>
        <v>035229CG6</v>
      </c>
      <c r="B3748" t="s">
        <v>101</v>
      </c>
      <c r="C3748" t="s">
        <v>4666</v>
      </c>
      <c r="D3748" t="s">
        <v>2433</v>
      </c>
      <c r="E3748">
        <v>6.8</v>
      </c>
      <c r="F3748" s="2">
        <v>47863</v>
      </c>
      <c r="G3748" s="2" t="s">
        <v>101</v>
      </c>
      <c r="H3748" t="s">
        <v>627</v>
      </c>
      <c r="I3748" t="s">
        <v>713</v>
      </c>
      <c r="J3748">
        <v>109.899</v>
      </c>
      <c r="K3748">
        <v>111.59099999999999</v>
      </c>
      <c r="L3748">
        <v>4.8330000000000002</v>
      </c>
      <c r="M3748">
        <v>4.5190000000000001</v>
      </c>
      <c r="N3748">
        <v>4.5190000000000001</v>
      </c>
      <c r="O3748" t="s">
        <v>101</v>
      </c>
      <c r="P3748" t="s">
        <v>1064</v>
      </c>
      <c r="Q3748" t="s">
        <v>858</v>
      </c>
      <c r="R3748" t="s">
        <v>2436</v>
      </c>
    </row>
    <row r="3749" spans="1:18" x14ac:dyDescent="0.5">
      <c r="A3749" t="str">
        <f>"04686JAC5"</f>
        <v>04686JAC5</v>
      </c>
      <c r="B3749" t="s">
        <v>101</v>
      </c>
      <c r="C3749" t="s">
        <v>4667</v>
      </c>
      <c r="D3749" t="s">
        <v>2433</v>
      </c>
      <c r="E3749">
        <v>3.5</v>
      </c>
      <c r="F3749" s="2">
        <v>47863</v>
      </c>
      <c r="G3749" s="2">
        <v>47771</v>
      </c>
      <c r="H3749" t="s">
        <v>670</v>
      </c>
      <c r="I3749" t="s">
        <v>713</v>
      </c>
      <c r="J3749">
        <v>92.188000000000002</v>
      </c>
      <c r="K3749">
        <v>92.537999999999997</v>
      </c>
      <c r="L3749">
        <v>5.0599999999999996</v>
      </c>
      <c r="M3749">
        <v>4.9870000000000001</v>
      </c>
      <c r="N3749">
        <v>4.9870000000000001</v>
      </c>
      <c r="O3749" t="s">
        <v>101</v>
      </c>
      <c r="P3749" t="s">
        <v>2443</v>
      </c>
      <c r="Q3749" t="s">
        <v>2454</v>
      </c>
      <c r="R3749" t="s">
        <v>2436</v>
      </c>
    </row>
    <row r="3750" spans="1:18" x14ac:dyDescent="0.5">
      <c r="A3750" t="str">
        <f>"049560AT2"</f>
        <v>049560AT2</v>
      </c>
      <c r="B3750" t="s">
        <v>101</v>
      </c>
      <c r="C3750" t="s">
        <v>4668</v>
      </c>
      <c r="D3750" t="s">
        <v>2433</v>
      </c>
      <c r="E3750">
        <v>1.5</v>
      </c>
      <c r="F3750" s="2">
        <v>47863</v>
      </c>
      <c r="G3750" s="2">
        <v>47771</v>
      </c>
      <c r="H3750" t="s">
        <v>641</v>
      </c>
      <c r="I3750" t="s">
        <v>713</v>
      </c>
      <c r="J3750">
        <v>83.533000000000001</v>
      </c>
      <c r="K3750">
        <v>83.861000000000004</v>
      </c>
      <c r="L3750">
        <v>4.7619999999999996</v>
      </c>
      <c r="M3750">
        <v>4.6900000000000004</v>
      </c>
      <c r="N3750">
        <v>4.6900000000000004</v>
      </c>
      <c r="O3750" t="s">
        <v>101</v>
      </c>
      <c r="P3750" t="s">
        <v>3932</v>
      </c>
      <c r="Q3750" t="s">
        <v>1702</v>
      </c>
      <c r="R3750" t="s">
        <v>2436</v>
      </c>
    </row>
    <row r="3751" spans="1:18" x14ac:dyDescent="0.5">
      <c r="A3751" t="str">
        <f>"05348EBH1"</f>
        <v>05348EBH1</v>
      </c>
      <c r="B3751" t="s">
        <v>101</v>
      </c>
      <c r="C3751" t="s">
        <v>4669</v>
      </c>
      <c r="D3751" t="s">
        <v>2433</v>
      </c>
      <c r="E3751">
        <v>2.4500000000000002</v>
      </c>
      <c r="F3751" s="2">
        <v>47863</v>
      </c>
      <c r="G3751" s="2">
        <v>47771</v>
      </c>
      <c r="H3751" t="s">
        <v>627</v>
      </c>
      <c r="I3751" t="s">
        <v>713</v>
      </c>
      <c r="J3751">
        <v>88.194999999999993</v>
      </c>
      <c r="K3751">
        <v>88.274000000000001</v>
      </c>
      <c r="L3751">
        <v>4.79</v>
      </c>
      <c r="M3751">
        <v>4.7729999999999997</v>
      </c>
      <c r="N3751">
        <v>4.7729999999999997</v>
      </c>
      <c r="O3751" t="s">
        <v>101</v>
      </c>
      <c r="P3751" t="s">
        <v>2447</v>
      </c>
      <c r="Q3751" t="s">
        <v>3383</v>
      </c>
      <c r="R3751" t="s">
        <v>2436</v>
      </c>
    </row>
    <row r="3752" spans="1:18" x14ac:dyDescent="0.5">
      <c r="A3752" t="str">
        <f>"20030NDM0"</f>
        <v>20030NDM0</v>
      </c>
      <c r="B3752" t="s">
        <v>101</v>
      </c>
      <c r="C3752" t="s">
        <v>4670</v>
      </c>
      <c r="D3752" t="s">
        <v>2433</v>
      </c>
      <c r="E3752">
        <v>1.95</v>
      </c>
      <c r="F3752" s="2">
        <v>47863</v>
      </c>
      <c r="G3752" s="2">
        <v>47771</v>
      </c>
      <c r="H3752" t="s">
        <v>627</v>
      </c>
      <c r="I3752" t="s">
        <v>713</v>
      </c>
      <c r="J3752">
        <v>85.16</v>
      </c>
      <c r="K3752">
        <v>85.332999999999998</v>
      </c>
      <c r="L3752">
        <v>4.9020000000000001</v>
      </c>
      <c r="M3752">
        <v>4.8639999999999999</v>
      </c>
      <c r="N3752">
        <v>4.8639999999999999</v>
      </c>
      <c r="O3752" t="s">
        <v>101</v>
      </c>
      <c r="P3752" t="s">
        <v>1702</v>
      </c>
      <c r="Q3752" t="s">
        <v>2454</v>
      </c>
      <c r="R3752" t="s">
        <v>2436</v>
      </c>
    </row>
    <row r="3753" spans="1:18" x14ac:dyDescent="0.5">
      <c r="A3753" t="str">
        <f>"24422EVL0"</f>
        <v>24422EVL0</v>
      </c>
      <c r="B3753" t="s">
        <v>101</v>
      </c>
      <c r="C3753" t="s">
        <v>4671</v>
      </c>
      <c r="D3753" t="s">
        <v>2433</v>
      </c>
      <c r="E3753">
        <v>1.45</v>
      </c>
      <c r="F3753" s="2">
        <v>47863</v>
      </c>
      <c r="G3753" s="2" t="s">
        <v>105</v>
      </c>
      <c r="H3753" t="s">
        <v>641</v>
      </c>
      <c r="I3753" t="s">
        <v>611</v>
      </c>
      <c r="J3753">
        <v>84.338999999999999</v>
      </c>
      <c r="K3753">
        <v>84.483000000000004</v>
      </c>
      <c r="L3753">
        <v>4.5309999999999997</v>
      </c>
      <c r="M3753">
        <v>4.5</v>
      </c>
      <c r="N3753">
        <v>4.5</v>
      </c>
      <c r="O3753" t="s">
        <v>101</v>
      </c>
      <c r="P3753" t="s">
        <v>858</v>
      </c>
      <c r="Q3753" t="s">
        <v>858</v>
      </c>
      <c r="R3753" t="s">
        <v>2465</v>
      </c>
    </row>
    <row r="3754" spans="1:18" x14ac:dyDescent="0.5">
      <c r="A3754" t="str">
        <f>"723787AR8"</f>
        <v>723787AR8</v>
      </c>
      <c r="B3754" t="s">
        <v>101</v>
      </c>
      <c r="C3754" t="s">
        <v>4672</v>
      </c>
      <c r="D3754" t="s">
        <v>2433</v>
      </c>
      <c r="E3754">
        <v>2.15</v>
      </c>
      <c r="F3754" s="2">
        <v>47863</v>
      </c>
      <c r="G3754" s="2">
        <v>47771</v>
      </c>
      <c r="H3754" t="s">
        <v>2760</v>
      </c>
      <c r="I3754" t="s">
        <v>616</v>
      </c>
      <c r="J3754">
        <v>86.634</v>
      </c>
      <c r="K3754">
        <v>86.713999999999999</v>
      </c>
      <c r="L3754">
        <v>4.8</v>
      </c>
      <c r="M3754">
        <v>4.7830000000000004</v>
      </c>
      <c r="N3754">
        <v>4.7830000000000004</v>
      </c>
      <c r="O3754" t="s">
        <v>101</v>
      </c>
      <c r="P3754" t="s">
        <v>2443</v>
      </c>
      <c r="Q3754" t="s">
        <v>2507</v>
      </c>
      <c r="R3754" t="s">
        <v>2436</v>
      </c>
    </row>
    <row r="3755" spans="1:18" x14ac:dyDescent="0.5">
      <c r="A3755" t="str">
        <f>"744448CT6"</f>
        <v>744448CT6</v>
      </c>
      <c r="B3755" t="s">
        <v>101</v>
      </c>
      <c r="C3755" t="s">
        <v>4673</v>
      </c>
      <c r="D3755" t="s">
        <v>2433</v>
      </c>
      <c r="E3755">
        <v>1.9</v>
      </c>
      <c r="F3755" s="2">
        <v>47863</v>
      </c>
      <c r="G3755" s="2">
        <v>47679</v>
      </c>
      <c r="H3755" t="s">
        <v>641</v>
      </c>
      <c r="I3755" t="s">
        <v>611</v>
      </c>
      <c r="J3755">
        <v>84.826999999999998</v>
      </c>
      <c r="K3755">
        <v>85.352000000000004</v>
      </c>
      <c r="L3755">
        <v>4.92</v>
      </c>
      <c r="M3755">
        <v>4.8049999999999997</v>
      </c>
      <c r="N3755">
        <v>4.8049999999999997</v>
      </c>
      <c r="O3755" t="s">
        <v>101</v>
      </c>
      <c r="P3755" t="s">
        <v>4569</v>
      </c>
      <c r="Q3755" t="s">
        <v>3178</v>
      </c>
      <c r="R3755" t="s">
        <v>2436</v>
      </c>
    </row>
    <row r="3756" spans="1:18" x14ac:dyDescent="0.5">
      <c r="A3756" t="str">
        <f>"756109AX2"</f>
        <v>756109AX2</v>
      </c>
      <c r="B3756" t="s">
        <v>101</v>
      </c>
      <c r="C3756" t="s">
        <v>4674</v>
      </c>
      <c r="D3756" t="s">
        <v>2433</v>
      </c>
      <c r="E3756">
        <v>3.25</v>
      </c>
      <c r="F3756" s="2">
        <v>47863</v>
      </c>
      <c r="G3756" s="2">
        <v>47771</v>
      </c>
      <c r="H3756" t="s">
        <v>627</v>
      </c>
      <c r="I3756" t="s">
        <v>713</v>
      </c>
      <c r="J3756">
        <v>91.531999999999996</v>
      </c>
      <c r="K3756">
        <v>91.665999999999997</v>
      </c>
      <c r="L3756">
        <v>4.9349999999999996</v>
      </c>
      <c r="M3756">
        <v>4.907</v>
      </c>
      <c r="N3756">
        <v>4.907</v>
      </c>
      <c r="O3756" t="s">
        <v>101</v>
      </c>
      <c r="P3756" t="s">
        <v>1702</v>
      </c>
      <c r="Q3756" t="s">
        <v>2581</v>
      </c>
      <c r="R3756" t="s">
        <v>2436</v>
      </c>
    </row>
    <row r="3757" spans="1:18" x14ac:dyDescent="0.5">
      <c r="A3757" t="str">
        <f>"8426EPAD0"</f>
        <v>8426EPAD0</v>
      </c>
      <c r="B3757" t="s">
        <v>101</v>
      </c>
      <c r="C3757" t="s">
        <v>4675</v>
      </c>
      <c r="D3757" t="s">
        <v>2433</v>
      </c>
      <c r="E3757">
        <v>1.75</v>
      </c>
      <c r="F3757" s="2">
        <v>47863</v>
      </c>
      <c r="G3757" s="2">
        <v>47771</v>
      </c>
      <c r="H3757" t="s">
        <v>670</v>
      </c>
      <c r="I3757" t="s">
        <v>713</v>
      </c>
      <c r="J3757">
        <v>83.683999999999997</v>
      </c>
      <c r="K3757">
        <v>84.152000000000001</v>
      </c>
      <c r="L3757">
        <v>5.0049999999999999</v>
      </c>
      <c r="M3757">
        <v>4.9020000000000001</v>
      </c>
      <c r="N3757">
        <v>4.9020000000000001</v>
      </c>
      <c r="O3757" t="s">
        <v>101</v>
      </c>
      <c r="P3757" t="s">
        <v>2566</v>
      </c>
      <c r="Q3757" t="s">
        <v>3411</v>
      </c>
      <c r="R3757" t="s">
        <v>2436</v>
      </c>
    </row>
    <row r="3758" spans="1:18" x14ac:dyDescent="0.5">
      <c r="A3758" t="str">
        <f>"78014RWJ5"</f>
        <v>78014RWJ5</v>
      </c>
      <c r="B3758" t="s">
        <v>101</v>
      </c>
      <c r="C3758" t="s">
        <v>4676</v>
      </c>
      <c r="D3758" t="s">
        <v>2433</v>
      </c>
      <c r="E3758">
        <v>5.25</v>
      </c>
      <c r="F3758" s="2">
        <v>47865</v>
      </c>
      <c r="G3758" s="2">
        <v>46039</v>
      </c>
      <c r="H3758" t="s">
        <v>641</v>
      </c>
      <c r="I3758" t="s">
        <v>611</v>
      </c>
      <c r="J3758">
        <v>98.195999999999998</v>
      </c>
      <c r="K3758">
        <v>100.056</v>
      </c>
      <c r="L3758">
        <v>5.6150000000000002</v>
      </c>
      <c r="M3758">
        <v>5.173</v>
      </c>
      <c r="N3758">
        <v>5.2370000000000001</v>
      </c>
      <c r="O3758" t="s">
        <v>101</v>
      </c>
      <c r="P3758" t="s">
        <v>2595</v>
      </c>
      <c r="Q3758" t="s">
        <v>538</v>
      </c>
      <c r="R3758" t="s">
        <v>2726</v>
      </c>
    </row>
    <row r="3759" spans="1:18" x14ac:dyDescent="0.5">
      <c r="A3759" t="str">
        <f>"035240AR1"</f>
        <v>035240AR1</v>
      </c>
      <c r="B3759" t="s">
        <v>101</v>
      </c>
      <c r="C3759" t="s">
        <v>4677</v>
      </c>
      <c r="D3759" t="s">
        <v>2433</v>
      </c>
      <c r="E3759">
        <v>4.9000000000000004</v>
      </c>
      <c r="F3759" s="2">
        <v>47871</v>
      </c>
      <c r="G3759" s="2">
        <v>47779</v>
      </c>
      <c r="H3759" t="s">
        <v>627</v>
      </c>
      <c r="I3759" t="s">
        <v>713</v>
      </c>
      <c r="J3759">
        <v>101.121</v>
      </c>
      <c r="K3759">
        <v>101.366</v>
      </c>
      <c r="L3759">
        <v>4.6710000000000003</v>
      </c>
      <c r="M3759">
        <v>4.6210000000000004</v>
      </c>
      <c r="N3759">
        <v>4.63</v>
      </c>
      <c r="O3759" t="s">
        <v>101</v>
      </c>
      <c r="P3759" t="s">
        <v>1236</v>
      </c>
      <c r="Q3759" t="s">
        <v>4229</v>
      </c>
      <c r="R3759" t="s">
        <v>2436</v>
      </c>
    </row>
    <row r="3760" spans="1:18" x14ac:dyDescent="0.5">
      <c r="A3760" t="str">
        <f>"78014RKG4"</f>
        <v>78014RKG4</v>
      </c>
      <c r="B3760" t="s">
        <v>101</v>
      </c>
      <c r="C3760" t="s">
        <v>4678</v>
      </c>
      <c r="D3760" t="s">
        <v>2433</v>
      </c>
      <c r="E3760">
        <v>5.5</v>
      </c>
      <c r="F3760" s="2">
        <v>47871</v>
      </c>
      <c r="G3760" s="2">
        <v>45861</v>
      </c>
      <c r="H3760" t="s">
        <v>641</v>
      </c>
      <c r="I3760" t="s">
        <v>611</v>
      </c>
      <c r="J3760">
        <v>99.382999999999996</v>
      </c>
      <c r="K3760">
        <v>100.2</v>
      </c>
      <c r="L3760">
        <v>5.6230000000000002</v>
      </c>
      <c r="M3760">
        <v>4.9039999999999999</v>
      </c>
      <c r="N3760">
        <v>5.4580000000000002</v>
      </c>
      <c r="O3760" t="s">
        <v>101</v>
      </c>
      <c r="P3760" t="s">
        <v>2595</v>
      </c>
      <c r="Q3760" t="s">
        <v>4679</v>
      </c>
      <c r="R3760" t="s">
        <v>2436</v>
      </c>
    </row>
    <row r="3761" spans="1:18" x14ac:dyDescent="0.5">
      <c r="A3761" t="str">
        <f>"06406RAR8"</f>
        <v>06406RAR8</v>
      </c>
      <c r="B3761" t="s">
        <v>101</v>
      </c>
      <c r="C3761" t="s">
        <v>4680</v>
      </c>
      <c r="D3761" t="s">
        <v>2433</v>
      </c>
      <c r="E3761">
        <v>1.65</v>
      </c>
      <c r="F3761" s="2">
        <v>47876</v>
      </c>
      <c r="G3761" s="2">
        <v>47784</v>
      </c>
      <c r="H3761" t="s">
        <v>624</v>
      </c>
      <c r="I3761" t="s">
        <v>611</v>
      </c>
      <c r="J3761">
        <v>84.561000000000007</v>
      </c>
      <c r="K3761">
        <v>84.826999999999998</v>
      </c>
      <c r="L3761">
        <v>4.6849999999999996</v>
      </c>
      <c r="M3761">
        <v>4.6280000000000001</v>
      </c>
      <c r="N3761">
        <v>4.6280000000000001</v>
      </c>
      <c r="O3761" t="s">
        <v>101</v>
      </c>
      <c r="P3761" t="s">
        <v>2438</v>
      </c>
      <c r="Q3761" t="s">
        <v>4681</v>
      </c>
      <c r="R3761" t="s">
        <v>2436</v>
      </c>
    </row>
    <row r="3762" spans="1:18" x14ac:dyDescent="0.5">
      <c r="A3762" t="str">
        <f>"09247XAR2"</f>
        <v>09247XAR2</v>
      </c>
      <c r="B3762" t="s">
        <v>101</v>
      </c>
      <c r="C3762" t="s">
        <v>4682</v>
      </c>
      <c r="D3762" t="s">
        <v>2433</v>
      </c>
      <c r="E3762">
        <v>1.9</v>
      </c>
      <c r="F3762" s="2">
        <v>47876</v>
      </c>
      <c r="G3762" s="2">
        <v>47784</v>
      </c>
      <c r="H3762" t="s">
        <v>624</v>
      </c>
      <c r="I3762" t="s">
        <v>616</v>
      </c>
      <c r="J3762">
        <v>85.602000000000004</v>
      </c>
      <c r="K3762">
        <v>85.849000000000004</v>
      </c>
      <c r="L3762">
        <v>4.734</v>
      </c>
      <c r="M3762">
        <v>4.681</v>
      </c>
      <c r="N3762">
        <v>4.681</v>
      </c>
      <c r="O3762" t="s">
        <v>101</v>
      </c>
      <c r="P3762" t="s">
        <v>1702</v>
      </c>
      <c r="Q3762" t="s">
        <v>2454</v>
      </c>
      <c r="R3762" t="s">
        <v>2436</v>
      </c>
    </row>
    <row r="3763" spans="1:18" x14ac:dyDescent="0.5">
      <c r="A3763" t="str">
        <f>"278865BF6"</f>
        <v>278865BF6</v>
      </c>
      <c r="B3763" t="s">
        <v>101</v>
      </c>
      <c r="C3763" t="s">
        <v>4683</v>
      </c>
      <c r="D3763" t="s">
        <v>2433</v>
      </c>
      <c r="E3763">
        <v>1.3</v>
      </c>
      <c r="F3763" s="2">
        <v>47878</v>
      </c>
      <c r="G3763" s="2">
        <v>47786</v>
      </c>
      <c r="H3763" t="s">
        <v>627</v>
      </c>
      <c r="I3763" t="s">
        <v>713</v>
      </c>
      <c r="J3763">
        <v>82.650999999999996</v>
      </c>
      <c r="K3763">
        <v>82.944999999999993</v>
      </c>
      <c r="L3763">
        <v>4.71</v>
      </c>
      <c r="M3763">
        <v>4.6459999999999999</v>
      </c>
      <c r="N3763">
        <v>4.6459999999999999</v>
      </c>
      <c r="O3763" t="s">
        <v>101</v>
      </c>
      <c r="P3763" t="s">
        <v>3878</v>
      </c>
      <c r="Q3763" t="s">
        <v>1064</v>
      </c>
      <c r="R3763" t="s">
        <v>2436</v>
      </c>
    </row>
    <row r="3764" spans="1:18" x14ac:dyDescent="0.5">
      <c r="A3764" t="str">
        <f>"168863DP0"</f>
        <v>168863DP0</v>
      </c>
      <c r="B3764" t="s">
        <v>101</v>
      </c>
      <c r="C3764" t="s">
        <v>4684</v>
      </c>
      <c r="D3764" t="s">
        <v>2433</v>
      </c>
      <c r="E3764">
        <v>2.4500000000000002</v>
      </c>
      <c r="F3764" s="2">
        <v>47879</v>
      </c>
      <c r="G3764" s="2">
        <v>47787</v>
      </c>
      <c r="H3764" t="s">
        <v>610</v>
      </c>
      <c r="I3764" t="s">
        <v>611</v>
      </c>
      <c r="J3764" t="s">
        <v>101</v>
      </c>
      <c r="K3764">
        <v>87.653000000000006</v>
      </c>
      <c r="L3764" t="s">
        <v>101</v>
      </c>
      <c r="M3764">
        <v>4.8869999999999996</v>
      </c>
      <c r="N3764">
        <v>4.8899999999999997</v>
      </c>
      <c r="O3764" t="s">
        <v>101</v>
      </c>
      <c r="P3764" t="s">
        <v>448</v>
      </c>
      <c r="Q3764" t="s">
        <v>542</v>
      </c>
      <c r="R3764" t="s">
        <v>2439</v>
      </c>
    </row>
    <row r="3765" spans="1:18" x14ac:dyDescent="0.5">
      <c r="A3765" t="str">
        <f>"039483AS1"</f>
        <v>039483AS1</v>
      </c>
      <c r="B3765" t="s">
        <v>101</v>
      </c>
      <c r="C3765" t="s">
        <v>4685</v>
      </c>
      <c r="D3765" t="s">
        <v>2433</v>
      </c>
      <c r="E3765">
        <v>7</v>
      </c>
      <c r="F3765" s="2">
        <v>47880</v>
      </c>
      <c r="G3765" s="2" t="s">
        <v>101</v>
      </c>
      <c r="H3765" t="s">
        <v>610</v>
      </c>
      <c r="I3765" t="s">
        <v>611</v>
      </c>
      <c r="J3765">
        <v>110.322</v>
      </c>
      <c r="K3765">
        <v>111.747</v>
      </c>
      <c r="L3765">
        <v>4.9550000000000001</v>
      </c>
      <c r="M3765">
        <v>4.6909999999999998</v>
      </c>
      <c r="N3765">
        <v>4.6909999999999998</v>
      </c>
      <c r="O3765" t="s">
        <v>101</v>
      </c>
      <c r="P3765" t="s">
        <v>4686</v>
      </c>
      <c r="Q3765" t="s">
        <v>4687</v>
      </c>
      <c r="R3765" t="s">
        <v>2436</v>
      </c>
    </row>
    <row r="3766" spans="1:18" x14ac:dyDescent="0.5">
      <c r="A3766" t="str">
        <f>"110122DY1"</f>
        <v>110122DY1</v>
      </c>
      <c r="B3766" t="s">
        <v>101</v>
      </c>
      <c r="C3766" t="s">
        <v>4688</v>
      </c>
      <c r="D3766" t="s">
        <v>2433</v>
      </c>
      <c r="E3766">
        <v>5.75</v>
      </c>
      <c r="F3766" s="2">
        <v>47880</v>
      </c>
      <c r="G3766" s="2">
        <v>47818</v>
      </c>
      <c r="H3766" t="s">
        <v>610</v>
      </c>
      <c r="I3766" t="s">
        <v>611</v>
      </c>
      <c r="J3766">
        <v>105.21899999999999</v>
      </c>
      <c r="K3766">
        <v>105.40600000000001</v>
      </c>
      <c r="L3766">
        <v>4.6989999999999998</v>
      </c>
      <c r="M3766">
        <v>4.6619999999999999</v>
      </c>
      <c r="N3766">
        <v>4.6870000000000003</v>
      </c>
      <c r="O3766" t="s">
        <v>101</v>
      </c>
      <c r="P3766" t="s">
        <v>1999</v>
      </c>
      <c r="Q3766" t="s">
        <v>2581</v>
      </c>
      <c r="R3766" t="s">
        <v>2436</v>
      </c>
    </row>
    <row r="3767" spans="1:18" x14ac:dyDescent="0.5">
      <c r="A3767" t="str">
        <f>"74340XCA7"</f>
        <v>74340XCA7</v>
      </c>
      <c r="B3767" t="s">
        <v>101</v>
      </c>
      <c r="C3767" t="s">
        <v>4689</v>
      </c>
      <c r="D3767" t="s">
        <v>2433</v>
      </c>
      <c r="E3767">
        <v>1.75</v>
      </c>
      <c r="F3767" s="2">
        <v>47880</v>
      </c>
      <c r="G3767" s="2">
        <v>47788</v>
      </c>
      <c r="H3767" t="s">
        <v>610</v>
      </c>
      <c r="I3767" t="s">
        <v>611</v>
      </c>
      <c r="J3767">
        <v>84.289000000000001</v>
      </c>
      <c r="K3767">
        <v>84.590999999999994</v>
      </c>
      <c r="L3767">
        <v>4.8499999999999996</v>
      </c>
      <c r="M3767">
        <v>4.7839999999999998</v>
      </c>
      <c r="N3767">
        <v>4.7839999999999998</v>
      </c>
      <c r="O3767" t="s">
        <v>101</v>
      </c>
      <c r="P3767" t="s">
        <v>1702</v>
      </c>
      <c r="Q3767" t="s">
        <v>1702</v>
      </c>
      <c r="R3767" t="s">
        <v>2436</v>
      </c>
    </row>
    <row r="3768" spans="1:18" x14ac:dyDescent="0.5">
      <c r="A3768" t="str">
        <f>"828807DM6"</f>
        <v>828807DM6</v>
      </c>
      <c r="B3768" t="s">
        <v>101</v>
      </c>
      <c r="C3768" t="s">
        <v>4690</v>
      </c>
      <c r="D3768" t="s">
        <v>2433</v>
      </c>
      <c r="E3768">
        <v>2.2000000000000002</v>
      </c>
      <c r="F3768" s="2">
        <v>47880</v>
      </c>
      <c r="G3768" s="2">
        <v>47788</v>
      </c>
      <c r="H3768" t="s">
        <v>627</v>
      </c>
      <c r="I3768" t="s">
        <v>713</v>
      </c>
      <c r="J3768">
        <v>86.391000000000005</v>
      </c>
      <c r="K3768">
        <v>86.539000000000001</v>
      </c>
      <c r="L3768">
        <v>4.8879999999999999</v>
      </c>
      <c r="M3768">
        <v>4.8559999999999999</v>
      </c>
      <c r="N3768">
        <v>4.8559999999999999</v>
      </c>
      <c r="O3768" t="s">
        <v>101</v>
      </c>
      <c r="P3768" t="s">
        <v>2443</v>
      </c>
      <c r="Q3768" t="s">
        <v>2454</v>
      </c>
      <c r="R3768" t="s">
        <v>2436</v>
      </c>
    </row>
    <row r="3769" spans="1:18" x14ac:dyDescent="0.5">
      <c r="A3769" t="str">
        <f>"449276AD6"</f>
        <v>449276AD6</v>
      </c>
      <c r="B3769" t="s">
        <v>101</v>
      </c>
      <c r="C3769" t="s">
        <v>4691</v>
      </c>
      <c r="D3769" t="s">
        <v>2433</v>
      </c>
      <c r="E3769">
        <v>4.75</v>
      </c>
      <c r="F3769" s="2">
        <v>47884</v>
      </c>
      <c r="G3769" s="2">
        <v>47822</v>
      </c>
      <c r="H3769" t="s">
        <v>627</v>
      </c>
      <c r="I3769" t="s">
        <v>713</v>
      </c>
      <c r="J3769">
        <v>99.421999999999997</v>
      </c>
      <c r="K3769">
        <v>99.733999999999995</v>
      </c>
      <c r="L3769">
        <v>4.8630000000000004</v>
      </c>
      <c r="M3769">
        <v>4.8010000000000002</v>
      </c>
      <c r="N3769">
        <v>4.8010000000000002</v>
      </c>
      <c r="O3769" t="s">
        <v>101</v>
      </c>
      <c r="P3769" t="s">
        <v>4692</v>
      </c>
      <c r="Q3769" t="s">
        <v>1797</v>
      </c>
      <c r="R3769" t="s">
        <v>2436</v>
      </c>
    </row>
    <row r="3770" spans="1:18" x14ac:dyDescent="0.5">
      <c r="A3770" t="str">
        <f>"63743HFP2"</f>
        <v>63743HFP2</v>
      </c>
      <c r="B3770" t="s">
        <v>101</v>
      </c>
      <c r="C3770" t="s">
        <v>4693</v>
      </c>
      <c r="D3770" t="s">
        <v>2433</v>
      </c>
      <c r="E3770">
        <v>5</v>
      </c>
      <c r="F3770" s="2">
        <v>47886</v>
      </c>
      <c r="G3770" s="2">
        <v>47824</v>
      </c>
      <c r="H3770" t="s">
        <v>610</v>
      </c>
      <c r="I3770" t="s">
        <v>713</v>
      </c>
      <c r="J3770">
        <v>100.788</v>
      </c>
      <c r="K3770">
        <v>101.336</v>
      </c>
      <c r="L3770">
        <v>4.8410000000000002</v>
      </c>
      <c r="M3770">
        <v>4.7309999999999999</v>
      </c>
      <c r="N3770">
        <v>4.7370000000000001</v>
      </c>
      <c r="O3770" t="s">
        <v>101</v>
      </c>
      <c r="P3770" t="s">
        <v>2454</v>
      </c>
      <c r="Q3770" t="s">
        <v>3636</v>
      </c>
      <c r="R3770" t="s">
        <v>2436</v>
      </c>
    </row>
    <row r="3771" spans="1:18" x14ac:dyDescent="0.5">
      <c r="A3771" t="str">
        <f>"009158BJ4"</f>
        <v>009158BJ4</v>
      </c>
      <c r="B3771" t="s">
        <v>101</v>
      </c>
      <c r="C3771" t="s">
        <v>4694</v>
      </c>
      <c r="D3771" t="s">
        <v>2433</v>
      </c>
      <c r="E3771">
        <v>4.75</v>
      </c>
      <c r="F3771" s="2">
        <v>47887</v>
      </c>
      <c r="G3771" s="2">
        <v>47825</v>
      </c>
      <c r="H3771" t="s">
        <v>610</v>
      </c>
      <c r="I3771" t="s">
        <v>611</v>
      </c>
      <c r="J3771">
        <v>100.07</v>
      </c>
      <c r="K3771">
        <v>100.309</v>
      </c>
      <c r="L3771">
        <v>4.7350000000000003</v>
      </c>
      <c r="M3771">
        <v>4.6859999999999999</v>
      </c>
      <c r="N3771">
        <v>4.6890000000000001</v>
      </c>
      <c r="O3771" t="s">
        <v>101</v>
      </c>
      <c r="P3771" t="s">
        <v>2525</v>
      </c>
      <c r="Q3771" t="s">
        <v>2454</v>
      </c>
      <c r="R3771" t="s">
        <v>2436</v>
      </c>
    </row>
    <row r="3772" spans="1:18" x14ac:dyDescent="0.5">
      <c r="A3772" t="str">
        <f>"037833ED8"</f>
        <v>037833ED8</v>
      </c>
      <c r="B3772" t="s">
        <v>101</v>
      </c>
      <c r="C3772" t="s">
        <v>4695</v>
      </c>
      <c r="D3772" t="s">
        <v>2433</v>
      </c>
      <c r="E3772">
        <v>1.65</v>
      </c>
      <c r="F3772" s="2">
        <v>47887</v>
      </c>
      <c r="G3772" s="2">
        <v>47795</v>
      </c>
      <c r="H3772" t="s">
        <v>104</v>
      </c>
      <c r="I3772" t="s">
        <v>509</v>
      </c>
      <c r="J3772">
        <v>85.744</v>
      </c>
      <c r="K3772">
        <v>85.864999999999995</v>
      </c>
      <c r="L3772">
        <v>4.4189999999999996</v>
      </c>
      <c r="M3772">
        <v>4.3929999999999998</v>
      </c>
      <c r="N3772">
        <v>4.3929999999999998</v>
      </c>
      <c r="O3772" t="s">
        <v>101</v>
      </c>
      <c r="P3772" t="s">
        <v>2581</v>
      </c>
      <c r="Q3772" t="s">
        <v>2454</v>
      </c>
      <c r="R3772" t="s">
        <v>2436</v>
      </c>
    </row>
    <row r="3773" spans="1:18" x14ac:dyDescent="0.5">
      <c r="A3773" t="str">
        <f>"01609WAX0"</f>
        <v>01609WAX0</v>
      </c>
      <c r="B3773" t="s">
        <v>101</v>
      </c>
      <c r="C3773" t="s">
        <v>4696</v>
      </c>
      <c r="D3773" t="s">
        <v>2433</v>
      </c>
      <c r="E3773">
        <v>2.125</v>
      </c>
      <c r="F3773" s="2">
        <v>47888</v>
      </c>
      <c r="G3773" s="2">
        <v>47796</v>
      </c>
      <c r="H3773" t="s">
        <v>641</v>
      </c>
      <c r="I3773" t="s">
        <v>658</v>
      </c>
      <c r="J3773">
        <v>86.694999999999993</v>
      </c>
      <c r="K3773">
        <v>86.866</v>
      </c>
      <c r="L3773">
        <v>4.7320000000000002</v>
      </c>
      <c r="M3773">
        <v>4.6959999999999997</v>
      </c>
      <c r="N3773">
        <v>4.6959999999999997</v>
      </c>
      <c r="O3773" t="s">
        <v>101</v>
      </c>
      <c r="P3773" t="s">
        <v>2566</v>
      </c>
      <c r="Q3773" t="s">
        <v>542</v>
      </c>
      <c r="R3773" t="s">
        <v>2436</v>
      </c>
    </row>
    <row r="3774" spans="1:18" x14ac:dyDescent="0.5">
      <c r="A3774" t="str">
        <f>"459058JR5"</f>
        <v>459058JR5</v>
      </c>
      <c r="B3774" t="s">
        <v>101</v>
      </c>
      <c r="C3774" t="s">
        <v>4697</v>
      </c>
      <c r="D3774" t="s">
        <v>2433</v>
      </c>
      <c r="E3774">
        <v>1.25</v>
      </c>
      <c r="F3774" s="2">
        <v>47889</v>
      </c>
      <c r="G3774" s="2" t="s">
        <v>105</v>
      </c>
      <c r="H3774" t="s">
        <v>104</v>
      </c>
      <c r="I3774" t="s">
        <v>104</v>
      </c>
      <c r="J3774">
        <v>84.052999999999997</v>
      </c>
      <c r="K3774">
        <v>84.951999999999998</v>
      </c>
      <c r="L3774">
        <v>4.3369999999999997</v>
      </c>
      <c r="M3774">
        <v>4.1459999999999999</v>
      </c>
      <c r="N3774">
        <v>4.1459999999999999</v>
      </c>
      <c r="O3774" t="s">
        <v>101</v>
      </c>
      <c r="P3774" t="s">
        <v>2618</v>
      </c>
      <c r="Q3774" t="s">
        <v>4275</v>
      </c>
      <c r="R3774" t="s">
        <v>2713</v>
      </c>
    </row>
    <row r="3775" spans="1:18" x14ac:dyDescent="0.5">
      <c r="A3775" t="str">
        <f>"718172DH9"</f>
        <v>718172DH9</v>
      </c>
      <c r="B3775" t="s">
        <v>101</v>
      </c>
      <c r="C3775" t="s">
        <v>4698</v>
      </c>
      <c r="D3775" t="s">
        <v>2433</v>
      </c>
      <c r="E3775">
        <v>5.125</v>
      </c>
      <c r="F3775" s="2">
        <v>47892</v>
      </c>
      <c r="G3775" s="2">
        <v>47830</v>
      </c>
      <c r="H3775" t="s">
        <v>610</v>
      </c>
      <c r="I3775" t="s">
        <v>713</v>
      </c>
      <c r="J3775">
        <v>101.15900000000001</v>
      </c>
      <c r="K3775">
        <v>101.33499999999999</v>
      </c>
      <c r="L3775">
        <v>4.8920000000000003</v>
      </c>
      <c r="M3775">
        <v>4.8559999999999999</v>
      </c>
      <c r="N3775">
        <v>4.8620000000000001</v>
      </c>
      <c r="O3775" t="s">
        <v>101</v>
      </c>
      <c r="P3775" t="s">
        <v>1702</v>
      </c>
      <c r="Q3775" t="s">
        <v>2454</v>
      </c>
      <c r="R3775" t="s">
        <v>2436</v>
      </c>
    </row>
    <row r="3776" spans="1:18" x14ac:dyDescent="0.5">
      <c r="A3776" t="str">
        <f>"298785JL1"</f>
        <v>298785JL1</v>
      </c>
      <c r="B3776" t="s">
        <v>101</v>
      </c>
      <c r="C3776" t="s">
        <v>4699</v>
      </c>
      <c r="D3776" t="s">
        <v>2433</v>
      </c>
      <c r="E3776">
        <v>1.25</v>
      </c>
      <c r="F3776" s="2">
        <v>47893</v>
      </c>
      <c r="G3776" s="2" t="s">
        <v>105</v>
      </c>
      <c r="H3776" t="s">
        <v>104</v>
      </c>
      <c r="I3776" t="s">
        <v>104</v>
      </c>
      <c r="J3776">
        <v>84.253</v>
      </c>
      <c r="K3776">
        <v>85.266000000000005</v>
      </c>
      <c r="L3776">
        <v>4.2889999999999997</v>
      </c>
      <c r="M3776">
        <v>4.0750000000000002</v>
      </c>
      <c r="N3776">
        <v>4.0750000000000002</v>
      </c>
      <c r="O3776" t="s">
        <v>101</v>
      </c>
      <c r="P3776" t="s">
        <v>2618</v>
      </c>
      <c r="Q3776" t="s">
        <v>2618</v>
      </c>
      <c r="R3776" t="s">
        <v>2713</v>
      </c>
    </row>
    <row r="3777" spans="1:18" x14ac:dyDescent="0.5">
      <c r="A3777" t="str">
        <f>"20030NDN8"</f>
        <v>20030NDN8</v>
      </c>
      <c r="B3777" t="s">
        <v>101</v>
      </c>
      <c r="C3777" t="s">
        <v>4700</v>
      </c>
      <c r="D3777" t="s">
        <v>2433</v>
      </c>
      <c r="E3777">
        <v>1.5</v>
      </c>
      <c r="F3777" s="2">
        <v>47894</v>
      </c>
      <c r="G3777" s="2">
        <v>47802</v>
      </c>
      <c r="H3777" t="s">
        <v>627</v>
      </c>
      <c r="I3777" t="s">
        <v>713</v>
      </c>
      <c r="J3777">
        <v>82.900999999999996</v>
      </c>
      <c r="K3777">
        <v>83.043999999999997</v>
      </c>
      <c r="L3777">
        <v>4.8550000000000004</v>
      </c>
      <c r="M3777">
        <v>4.8239999999999998</v>
      </c>
      <c r="N3777">
        <v>4.8239999999999998</v>
      </c>
      <c r="O3777" t="s">
        <v>101</v>
      </c>
      <c r="P3777" t="s">
        <v>1702</v>
      </c>
      <c r="Q3777" t="s">
        <v>2454</v>
      </c>
      <c r="R3777" t="s">
        <v>2436</v>
      </c>
    </row>
    <row r="3778" spans="1:18" x14ac:dyDescent="0.5">
      <c r="A3778" t="str">
        <f>"20825CBA1"</f>
        <v>20825CBA1</v>
      </c>
      <c r="B3778" t="s">
        <v>101</v>
      </c>
      <c r="C3778" t="s">
        <v>4701</v>
      </c>
      <c r="D3778" t="s">
        <v>2433</v>
      </c>
      <c r="E3778">
        <v>2.4</v>
      </c>
      <c r="F3778" s="2">
        <v>47894</v>
      </c>
      <c r="G3778" s="2">
        <v>46827</v>
      </c>
      <c r="H3778" t="s">
        <v>610</v>
      </c>
      <c r="I3778" t="s">
        <v>713</v>
      </c>
      <c r="J3778">
        <v>87.664000000000001</v>
      </c>
      <c r="K3778">
        <v>88.352000000000004</v>
      </c>
      <c r="L3778">
        <v>4.8179999999999996</v>
      </c>
      <c r="M3778">
        <v>4.673</v>
      </c>
      <c r="N3778">
        <v>4.673</v>
      </c>
      <c r="O3778" t="s">
        <v>101</v>
      </c>
      <c r="P3778" t="s">
        <v>554</v>
      </c>
      <c r="Q3778" t="s">
        <v>554</v>
      </c>
      <c r="R3778" t="s">
        <v>2436</v>
      </c>
    </row>
    <row r="3779" spans="1:18" x14ac:dyDescent="0.5">
      <c r="A3779" t="str">
        <f>"59523UAS6"</f>
        <v>59523UAS6</v>
      </c>
      <c r="B3779" t="s">
        <v>101</v>
      </c>
      <c r="C3779" t="s">
        <v>4702</v>
      </c>
      <c r="D3779" t="s">
        <v>2433</v>
      </c>
      <c r="E3779">
        <v>1.7</v>
      </c>
      <c r="F3779" s="2">
        <v>47894</v>
      </c>
      <c r="G3779" s="2">
        <v>47802</v>
      </c>
      <c r="H3779" t="s">
        <v>627</v>
      </c>
      <c r="I3779" t="s">
        <v>713</v>
      </c>
      <c r="J3779">
        <v>84.037000000000006</v>
      </c>
      <c r="K3779">
        <v>84.085999999999999</v>
      </c>
      <c r="L3779">
        <v>4.83</v>
      </c>
      <c r="M3779">
        <v>4.8170000000000002</v>
      </c>
      <c r="N3779">
        <v>4.819</v>
      </c>
      <c r="O3779" t="s">
        <v>101</v>
      </c>
      <c r="P3779" t="s">
        <v>2447</v>
      </c>
      <c r="Q3779" t="s">
        <v>4703</v>
      </c>
      <c r="R3779" t="s">
        <v>2436</v>
      </c>
    </row>
    <row r="3780" spans="1:18" x14ac:dyDescent="0.5">
      <c r="A3780" t="str">
        <f>"695114DC9"</f>
        <v>695114DC9</v>
      </c>
      <c r="B3780" t="s">
        <v>101</v>
      </c>
      <c r="C3780" t="s">
        <v>4704</v>
      </c>
      <c r="D3780" t="s">
        <v>2433</v>
      </c>
      <c r="E3780">
        <v>5.3</v>
      </c>
      <c r="F3780" s="2">
        <v>47894</v>
      </c>
      <c r="G3780" s="2">
        <v>47832</v>
      </c>
      <c r="H3780" t="s">
        <v>610</v>
      </c>
      <c r="I3780" t="s">
        <v>611</v>
      </c>
      <c r="J3780">
        <v>101</v>
      </c>
      <c r="K3780">
        <v>101.249</v>
      </c>
      <c r="L3780">
        <v>5.0979999999999999</v>
      </c>
      <c r="M3780">
        <v>5.048</v>
      </c>
      <c r="N3780">
        <v>5.0529999999999999</v>
      </c>
      <c r="O3780" t="s">
        <v>101</v>
      </c>
      <c r="P3780" t="s">
        <v>2776</v>
      </c>
      <c r="Q3780" t="s">
        <v>2454</v>
      </c>
      <c r="R3780" t="s">
        <v>2436</v>
      </c>
    </row>
    <row r="3781" spans="1:18" x14ac:dyDescent="0.5">
      <c r="A3781" t="str">
        <f>"756109CD4"</f>
        <v>756109CD4</v>
      </c>
      <c r="B3781" t="s">
        <v>101</v>
      </c>
      <c r="C3781" t="s">
        <v>4705</v>
      </c>
      <c r="D3781" t="s">
        <v>2433</v>
      </c>
      <c r="E3781">
        <v>3.2</v>
      </c>
      <c r="F3781" s="2">
        <v>47894</v>
      </c>
      <c r="G3781" s="2">
        <v>47802</v>
      </c>
      <c r="H3781" t="s">
        <v>627</v>
      </c>
      <c r="I3781" t="s">
        <v>713</v>
      </c>
      <c r="J3781">
        <v>90.918000000000006</v>
      </c>
      <c r="K3781">
        <v>91.269000000000005</v>
      </c>
      <c r="L3781">
        <v>4.9889999999999999</v>
      </c>
      <c r="M3781">
        <v>4.9160000000000004</v>
      </c>
      <c r="N3781">
        <v>4.9160000000000004</v>
      </c>
      <c r="O3781" t="s">
        <v>101</v>
      </c>
      <c r="P3781" t="s">
        <v>1702</v>
      </c>
      <c r="Q3781" t="s">
        <v>3411</v>
      </c>
      <c r="R3781" t="s">
        <v>2436</v>
      </c>
    </row>
    <row r="3782" spans="1:18" x14ac:dyDescent="0.5">
      <c r="A3782" t="str">
        <f>"92826CAN2"</f>
        <v>92826CAN2</v>
      </c>
      <c r="B3782" t="s">
        <v>101</v>
      </c>
      <c r="C3782" t="s">
        <v>4706</v>
      </c>
      <c r="D3782" t="s">
        <v>2433</v>
      </c>
      <c r="E3782">
        <v>1.1000000000000001</v>
      </c>
      <c r="F3782" s="2">
        <v>47894</v>
      </c>
      <c r="G3782" s="2">
        <v>47802</v>
      </c>
      <c r="H3782" t="s">
        <v>624</v>
      </c>
      <c r="I3782" t="s">
        <v>616</v>
      </c>
      <c r="J3782">
        <v>82.74</v>
      </c>
      <c r="K3782">
        <v>82.876000000000005</v>
      </c>
      <c r="L3782">
        <v>4.4450000000000003</v>
      </c>
      <c r="M3782">
        <v>4.4160000000000004</v>
      </c>
      <c r="N3782">
        <v>4.4160000000000004</v>
      </c>
      <c r="O3782" t="s">
        <v>101</v>
      </c>
      <c r="P3782" t="s">
        <v>464</v>
      </c>
      <c r="Q3782" t="s">
        <v>1702</v>
      </c>
      <c r="R3782" t="s">
        <v>2436</v>
      </c>
    </row>
    <row r="3783" spans="1:18" x14ac:dyDescent="0.5">
      <c r="A3783" t="str">
        <f>"110122EG9"</f>
        <v>110122EG9</v>
      </c>
      <c r="B3783" t="s">
        <v>101</v>
      </c>
      <c r="C3783" t="s">
        <v>4707</v>
      </c>
      <c r="D3783" t="s">
        <v>2433</v>
      </c>
      <c r="E3783">
        <v>5.0999999999999996</v>
      </c>
      <c r="F3783" s="2">
        <v>47901</v>
      </c>
      <c r="G3783" s="2">
        <v>47839</v>
      </c>
      <c r="H3783" t="s">
        <v>610</v>
      </c>
      <c r="I3783" t="s">
        <v>611</v>
      </c>
      <c r="J3783">
        <v>101.9</v>
      </c>
      <c r="K3783">
        <v>102.032</v>
      </c>
      <c r="L3783">
        <v>4.7210000000000001</v>
      </c>
      <c r="M3783">
        <v>4.6950000000000003</v>
      </c>
      <c r="N3783">
        <v>4.7039999999999997</v>
      </c>
      <c r="O3783" t="s">
        <v>101</v>
      </c>
      <c r="P3783" t="s">
        <v>4708</v>
      </c>
      <c r="Q3783" t="s">
        <v>2564</v>
      </c>
      <c r="R3783" t="s">
        <v>2436</v>
      </c>
    </row>
    <row r="3784" spans="1:18" x14ac:dyDescent="0.5">
      <c r="A3784" t="str">
        <f>"68323AFH2"</f>
        <v>68323AFH2</v>
      </c>
      <c r="B3784" t="s">
        <v>101</v>
      </c>
      <c r="C3784" t="s">
        <v>4709</v>
      </c>
      <c r="D3784" t="s">
        <v>2433</v>
      </c>
      <c r="E3784">
        <v>1.6</v>
      </c>
      <c r="F3784" s="2">
        <v>47904</v>
      </c>
      <c r="G3784" s="2" t="s">
        <v>101</v>
      </c>
      <c r="H3784" t="s">
        <v>624</v>
      </c>
      <c r="I3784" t="s">
        <v>616</v>
      </c>
      <c r="J3784" t="s">
        <v>101</v>
      </c>
      <c r="K3784">
        <v>87.099000000000004</v>
      </c>
      <c r="L3784" t="s">
        <v>101</v>
      </c>
      <c r="M3784">
        <v>4.0609999999999999</v>
      </c>
      <c r="N3784">
        <v>4.0609999999999999</v>
      </c>
      <c r="O3784" t="s">
        <v>101</v>
      </c>
      <c r="P3784" t="s">
        <v>448</v>
      </c>
      <c r="Q3784" t="s">
        <v>4710</v>
      </c>
      <c r="R3784" t="s">
        <v>3443</v>
      </c>
    </row>
    <row r="3785" spans="1:18" x14ac:dyDescent="0.5">
      <c r="A3785" t="str">
        <f>"713448FA1"</f>
        <v>713448FA1</v>
      </c>
      <c r="B3785" t="s">
        <v>101</v>
      </c>
      <c r="C3785" t="s">
        <v>4711</v>
      </c>
      <c r="D3785" t="s">
        <v>2433</v>
      </c>
      <c r="E3785">
        <v>1.4</v>
      </c>
      <c r="F3785" s="2">
        <v>47904</v>
      </c>
      <c r="G3785" s="2">
        <v>47812</v>
      </c>
      <c r="H3785" t="s">
        <v>641</v>
      </c>
      <c r="I3785" t="s">
        <v>658</v>
      </c>
      <c r="J3785">
        <v>83.200999999999993</v>
      </c>
      <c r="K3785">
        <v>83.43</v>
      </c>
      <c r="L3785">
        <v>4.6639999999999997</v>
      </c>
      <c r="M3785">
        <v>4.6150000000000002</v>
      </c>
      <c r="N3785">
        <v>4.6150000000000002</v>
      </c>
      <c r="O3785" t="s">
        <v>101</v>
      </c>
      <c r="P3785" t="s">
        <v>1236</v>
      </c>
      <c r="Q3785" t="s">
        <v>2454</v>
      </c>
      <c r="R3785" t="s">
        <v>2436</v>
      </c>
    </row>
    <row r="3786" spans="1:18" x14ac:dyDescent="0.5">
      <c r="A3786" t="str">
        <f>"04636NAM5"</f>
        <v>04636NAM5</v>
      </c>
      <c r="B3786" t="s">
        <v>101</v>
      </c>
      <c r="C3786" t="s">
        <v>4712</v>
      </c>
      <c r="D3786" t="s">
        <v>2433</v>
      </c>
      <c r="E3786">
        <v>4.9000000000000004</v>
      </c>
      <c r="F3786" s="2">
        <v>47905</v>
      </c>
      <c r="G3786" s="2">
        <v>47843</v>
      </c>
      <c r="H3786" t="s">
        <v>641</v>
      </c>
      <c r="I3786" t="s">
        <v>658</v>
      </c>
      <c r="J3786">
        <v>101.194</v>
      </c>
      <c r="K3786">
        <v>101.408</v>
      </c>
      <c r="L3786">
        <v>4.6630000000000003</v>
      </c>
      <c r="M3786">
        <v>4.6210000000000004</v>
      </c>
      <c r="N3786">
        <v>4.6260000000000003</v>
      </c>
      <c r="O3786" t="s">
        <v>101</v>
      </c>
      <c r="P3786" t="s">
        <v>1391</v>
      </c>
      <c r="Q3786" t="s">
        <v>2454</v>
      </c>
      <c r="R3786" t="s">
        <v>2436</v>
      </c>
    </row>
    <row r="3787" spans="1:18" x14ac:dyDescent="0.5">
      <c r="A3787" t="str">
        <f>"17275RBS0"</f>
        <v>17275RBS0</v>
      </c>
      <c r="B3787" t="s">
        <v>101</v>
      </c>
      <c r="C3787" t="s">
        <v>4713</v>
      </c>
      <c r="D3787" t="s">
        <v>2433</v>
      </c>
      <c r="E3787">
        <v>4.95</v>
      </c>
      <c r="F3787" s="2">
        <v>47905</v>
      </c>
      <c r="G3787" s="2">
        <v>47843</v>
      </c>
      <c r="H3787" t="s">
        <v>641</v>
      </c>
      <c r="I3787" t="s">
        <v>616</v>
      </c>
      <c r="J3787">
        <v>101.27200000000001</v>
      </c>
      <c r="K3787">
        <v>101.342</v>
      </c>
      <c r="L3787">
        <v>4.6970000000000001</v>
      </c>
      <c r="M3787">
        <v>4.6829999999999998</v>
      </c>
      <c r="N3787">
        <v>4.6890000000000001</v>
      </c>
      <c r="O3787" t="s">
        <v>101</v>
      </c>
      <c r="P3787" t="s">
        <v>2581</v>
      </c>
      <c r="Q3787" t="s">
        <v>2454</v>
      </c>
      <c r="R3787" t="s">
        <v>2436</v>
      </c>
    </row>
    <row r="3788" spans="1:18" x14ac:dyDescent="0.5">
      <c r="A3788" t="str">
        <f>"03740MAC4"</f>
        <v>03740MAC4</v>
      </c>
      <c r="B3788" t="s">
        <v>101</v>
      </c>
      <c r="C3788" t="s">
        <v>4714</v>
      </c>
      <c r="D3788" t="s">
        <v>2433</v>
      </c>
      <c r="E3788">
        <v>5.3</v>
      </c>
      <c r="F3788" s="2">
        <v>47908</v>
      </c>
      <c r="G3788" s="2">
        <v>47849</v>
      </c>
      <c r="H3788" t="s">
        <v>677</v>
      </c>
      <c r="I3788" t="s">
        <v>713</v>
      </c>
      <c r="J3788">
        <v>101.348</v>
      </c>
      <c r="K3788">
        <v>101.583</v>
      </c>
      <c r="L3788">
        <v>5.03</v>
      </c>
      <c r="M3788">
        <v>4.9829999999999997</v>
      </c>
      <c r="N3788">
        <v>4.99</v>
      </c>
      <c r="O3788" t="s">
        <v>101</v>
      </c>
      <c r="P3788" t="s">
        <v>2447</v>
      </c>
      <c r="Q3788" t="s">
        <v>2454</v>
      </c>
      <c r="R3788" t="s">
        <v>2436</v>
      </c>
    </row>
    <row r="3789" spans="1:18" x14ac:dyDescent="0.5">
      <c r="A3789" t="str">
        <f>"23338VAM8"</f>
        <v>23338VAM8</v>
      </c>
      <c r="B3789" t="s">
        <v>101</v>
      </c>
      <c r="C3789" t="s">
        <v>4715</v>
      </c>
      <c r="D3789" t="s">
        <v>2433</v>
      </c>
      <c r="E3789">
        <v>2.625</v>
      </c>
      <c r="F3789" s="2">
        <v>47908</v>
      </c>
      <c r="G3789" s="2">
        <v>47818</v>
      </c>
      <c r="H3789" t="s">
        <v>624</v>
      </c>
      <c r="I3789" t="s">
        <v>611</v>
      </c>
      <c r="J3789">
        <v>89.006</v>
      </c>
      <c r="K3789">
        <v>89.346000000000004</v>
      </c>
      <c r="L3789">
        <v>4.7619999999999996</v>
      </c>
      <c r="M3789">
        <v>4.6920000000000002</v>
      </c>
      <c r="N3789">
        <v>4.6920000000000002</v>
      </c>
      <c r="O3789" t="s">
        <v>101</v>
      </c>
      <c r="P3789" t="s">
        <v>3878</v>
      </c>
      <c r="Q3789" t="s">
        <v>1702</v>
      </c>
      <c r="R3789" t="s">
        <v>2436</v>
      </c>
    </row>
    <row r="3790" spans="1:18" x14ac:dyDescent="0.5">
      <c r="A3790" t="str">
        <f>"244199BA2"</f>
        <v>244199BA2</v>
      </c>
      <c r="B3790" t="s">
        <v>101</v>
      </c>
      <c r="C3790" t="s">
        <v>4716</v>
      </c>
      <c r="D3790" t="s">
        <v>2433</v>
      </c>
      <c r="E3790">
        <v>7.125</v>
      </c>
      <c r="F3790" s="2">
        <v>47910</v>
      </c>
      <c r="G3790" s="2" t="s">
        <v>105</v>
      </c>
      <c r="H3790" t="s">
        <v>641</v>
      </c>
      <c r="I3790" t="s">
        <v>611</v>
      </c>
      <c r="J3790">
        <v>113.071</v>
      </c>
      <c r="K3790">
        <v>113.494</v>
      </c>
      <c r="L3790">
        <v>4.5979999999999999</v>
      </c>
      <c r="M3790">
        <v>4.5220000000000002</v>
      </c>
      <c r="N3790">
        <v>4.5220000000000002</v>
      </c>
      <c r="O3790" t="s">
        <v>101</v>
      </c>
      <c r="P3790" t="s">
        <v>1236</v>
      </c>
      <c r="Q3790" t="s">
        <v>3082</v>
      </c>
      <c r="R3790" t="s">
        <v>2465</v>
      </c>
    </row>
    <row r="3791" spans="1:18" x14ac:dyDescent="0.5">
      <c r="A3791" t="str">
        <f>"857477BP7"</f>
        <v>857477BP7</v>
      </c>
      <c r="B3791" t="s">
        <v>101</v>
      </c>
      <c r="C3791" t="s">
        <v>4717</v>
      </c>
      <c r="D3791" t="s">
        <v>2433</v>
      </c>
      <c r="E3791">
        <v>2.2000000000000002</v>
      </c>
      <c r="F3791" s="2">
        <v>47910</v>
      </c>
      <c r="G3791" s="2" t="s">
        <v>105</v>
      </c>
      <c r="H3791" t="s">
        <v>610</v>
      </c>
      <c r="I3791" t="s">
        <v>713</v>
      </c>
      <c r="J3791">
        <v>86.191000000000003</v>
      </c>
      <c r="K3791">
        <v>86.525999999999996</v>
      </c>
      <c r="L3791">
        <v>4.8929999999999998</v>
      </c>
      <c r="M3791">
        <v>4.8220000000000001</v>
      </c>
      <c r="N3791">
        <v>4.8220000000000001</v>
      </c>
      <c r="O3791" t="s">
        <v>101</v>
      </c>
      <c r="P3791" t="s">
        <v>4569</v>
      </c>
      <c r="Q3791" t="s">
        <v>2454</v>
      </c>
      <c r="R3791" t="s">
        <v>2465</v>
      </c>
    </row>
    <row r="3792" spans="1:18" x14ac:dyDescent="0.5">
      <c r="A3792" t="str">
        <f>"045167FB4"</f>
        <v>045167FB4</v>
      </c>
      <c r="B3792" t="s">
        <v>101</v>
      </c>
      <c r="C3792" t="s">
        <v>4718</v>
      </c>
      <c r="D3792" t="s">
        <v>2433</v>
      </c>
      <c r="E3792">
        <v>1.5</v>
      </c>
      <c r="F3792" s="2">
        <v>47911</v>
      </c>
      <c r="G3792" s="2" t="s">
        <v>105</v>
      </c>
      <c r="H3792" t="s">
        <v>104</v>
      </c>
      <c r="I3792" t="s">
        <v>104</v>
      </c>
      <c r="J3792">
        <v>85.277000000000001</v>
      </c>
      <c r="K3792">
        <v>86.394000000000005</v>
      </c>
      <c r="L3792">
        <v>4.3209999999999997</v>
      </c>
      <c r="M3792">
        <v>4.0890000000000004</v>
      </c>
      <c r="N3792">
        <v>4.0890000000000004</v>
      </c>
      <c r="O3792" t="s">
        <v>101</v>
      </c>
      <c r="P3792" t="s">
        <v>2618</v>
      </c>
      <c r="Q3792" t="s">
        <v>2618</v>
      </c>
      <c r="R3792" t="s">
        <v>2713</v>
      </c>
    </row>
    <row r="3793" spans="1:18" x14ac:dyDescent="0.5">
      <c r="A3793" t="str">
        <f>"191216DK3"</f>
        <v>191216DK3</v>
      </c>
      <c r="B3793" t="s">
        <v>101</v>
      </c>
      <c r="C3793" t="s">
        <v>4719</v>
      </c>
      <c r="D3793" t="s">
        <v>2433</v>
      </c>
      <c r="E3793">
        <v>2</v>
      </c>
      <c r="F3793" s="2">
        <v>47912</v>
      </c>
      <c r="G3793" s="2" t="s">
        <v>101</v>
      </c>
      <c r="H3793" t="s">
        <v>641</v>
      </c>
      <c r="I3793" t="s">
        <v>658</v>
      </c>
      <c r="J3793">
        <v>86.534000000000006</v>
      </c>
      <c r="K3793">
        <v>86.820999999999998</v>
      </c>
      <c r="L3793">
        <v>4.601</v>
      </c>
      <c r="M3793">
        <v>4.5410000000000004</v>
      </c>
      <c r="N3793">
        <v>4.5410000000000004</v>
      </c>
      <c r="O3793" t="s">
        <v>101</v>
      </c>
      <c r="P3793" t="s">
        <v>4569</v>
      </c>
      <c r="Q3793" t="s">
        <v>2581</v>
      </c>
      <c r="R3793" t="s">
        <v>2436</v>
      </c>
    </row>
    <row r="3794" spans="1:18" x14ac:dyDescent="0.5">
      <c r="A3794" t="str">
        <f>"24422EXN4"</f>
        <v>24422EXN4</v>
      </c>
      <c r="B3794" t="s">
        <v>101</v>
      </c>
      <c r="C3794" t="s">
        <v>4720</v>
      </c>
      <c r="D3794" t="s">
        <v>2433</v>
      </c>
      <c r="E3794">
        <v>4.9000000000000004</v>
      </c>
      <c r="F3794" s="2">
        <v>47914</v>
      </c>
      <c r="G3794" s="2" t="s">
        <v>105</v>
      </c>
      <c r="H3794" t="s">
        <v>641</v>
      </c>
      <c r="I3794" t="s">
        <v>611</v>
      </c>
      <c r="J3794">
        <v>100.855</v>
      </c>
      <c r="K3794">
        <v>101.169</v>
      </c>
      <c r="L3794">
        <v>4.734</v>
      </c>
      <c r="M3794">
        <v>4.6740000000000004</v>
      </c>
      <c r="N3794">
        <v>4.6740000000000004</v>
      </c>
      <c r="O3794" t="s">
        <v>101</v>
      </c>
      <c r="P3794" t="s">
        <v>3939</v>
      </c>
      <c r="Q3794" t="s">
        <v>3082</v>
      </c>
      <c r="R3794" t="s">
        <v>2465</v>
      </c>
    </row>
    <row r="3795" spans="1:18" x14ac:dyDescent="0.5">
      <c r="A3795" t="str">
        <f>"808513BG9"</f>
        <v>808513BG9</v>
      </c>
      <c r="B3795" t="s">
        <v>101</v>
      </c>
      <c r="C3795" t="s">
        <v>4721</v>
      </c>
      <c r="D3795" t="s">
        <v>2433</v>
      </c>
      <c r="E3795">
        <v>1.65</v>
      </c>
      <c r="F3795" s="2">
        <v>47918</v>
      </c>
      <c r="G3795" s="2">
        <v>47828</v>
      </c>
      <c r="H3795" t="s">
        <v>610</v>
      </c>
      <c r="I3795" t="s">
        <v>713</v>
      </c>
      <c r="J3795">
        <v>83.19</v>
      </c>
      <c r="K3795">
        <v>83.543999999999997</v>
      </c>
      <c r="L3795">
        <v>4.9210000000000003</v>
      </c>
      <c r="M3795">
        <v>4.8449999999999998</v>
      </c>
      <c r="N3795">
        <v>4.8449999999999998</v>
      </c>
      <c r="O3795" t="s">
        <v>101</v>
      </c>
      <c r="P3795" t="s">
        <v>4569</v>
      </c>
      <c r="Q3795" t="s">
        <v>2454</v>
      </c>
      <c r="R3795" t="s">
        <v>2436</v>
      </c>
    </row>
    <row r="3796" spans="1:18" x14ac:dyDescent="0.5">
      <c r="A3796" t="str">
        <f>"149123CK5"</f>
        <v>149123CK5</v>
      </c>
      <c r="B3796" t="s">
        <v>101</v>
      </c>
      <c r="C3796" t="s">
        <v>4722</v>
      </c>
      <c r="D3796" t="s">
        <v>2433</v>
      </c>
      <c r="E3796">
        <v>1.9</v>
      </c>
      <c r="F3796" s="2">
        <v>47919</v>
      </c>
      <c r="G3796" s="2">
        <v>47829</v>
      </c>
      <c r="H3796" t="s">
        <v>610</v>
      </c>
      <c r="I3796" t="s">
        <v>611</v>
      </c>
      <c r="J3796">
        <v>85.834999999999994</v>
      </c>
      <c r="K3796">
        <v>86.549000000000007</v>
      </c>
      <c r="L3796">
        <v>4.6310000000000002</v>
      </c>
      <c r="M3796">
        <v>4.4820000000000002</v>
      </c>
      <c r="N3796">
        <v>4.4820000000000002</v>
      </c>
      <c r="O3796" t="s">
        <v>101</v>
      </c>
      <c r="P3796" t="s">
        <v>4232</v>
      </c>
      <c r="Q3796" t="s">
        <v>2454</v>
      </c>
      <c r="R3796" t="s">
        <v>2436</v>
      </c>
    </row>
    <row r="3797" spans="1:18" x14ac:dyDescent="0.5">
      <c r="A3797" t="str">
        <f>"00287YDT3"</f>
        <v>00287YDT3</v>
      </c>
      <c r="B3797" t="s">
        <v>101</v>
      </c>
      <c r="C3797" t="s">
        <v>4723</v>
      </c>
      <c r="D3797" t="s">
        <v>2433</v>
      </c>
      <c r="E3797">
        <v>4.95</v>
      </c>
      <c r="F3797" s="2">
        <v>47922</v>
      </c>
      <c r="G3797" s="2">
        <v>47863</v>
      </c>
      <c r="H3797" t="s">
        <v>627</v>
      </c>
      <c r="I3797" t="s">
        <v>713</v>
      </c>
      <c r="J3797">
        <v>101.08</v>
      </c>
      <c r="K3797">
        <v>101.146</v>
      </c>
      <c r="L3797">
        <v>4.7370000000000001</v>
      </c>
      <c r="M3797">
        <v>4.7240000000000002</v>
      </c>
      <c r="N3797">
        <v>4.7290000000000001</v>
      </c>
      <c r="O3797" t="s">
        <v>101</v>
      </c>
      <c r="P3797" t="s">
        <v>2472</v>
      </c>
      <c r="Q3797" t="s">
        <v>2454</v>
      </c>
      <c r="R3797" t="s">
        <v>2436</v>
      </c>
    </row>
    <row r="3798" spans="1:18" x14ac:dyDescent="0.5">
      <c r="A3798" t="str">
        <f>"013716AQ8"</f>
        <v>013716AQ8</v>
      </c>
      <c r="B3798" t="s">
        <v>101</v>
      </c>
      <c r="C3798" t="s">
        <v>4724</v>
      </c>
      <c r="D3798" t="s">
        <v>2433</v>
      </c>
      <c r="E3798">
        <v>7.25</v>
      </c>
      <c r="F3798" s="2">
        <v>47922</v>
      </c>
      <c r="G3798" s="2" t="s">
        <v>101</v>
      </c>
      <c r="H3798" t="s">
        <v>105</v>
      </c>
      <c r="I3798" t="s">
        <v>611</v>
      </c>
      <c r="J3798">
        <v>111.663</v>
      </c>
      <c r="K3798">
        <v>112.048</v>
      </c>
      <c r="L3798">
        <v>4.9800000000000004</v>
      </c>
      <c r="M3798">
        <v>4.91</v>
      </c>
      <c r="N3798">
        <v>4.91</v>
      </c>
      <c r="O3798" t="s">
        <v>101</v>
      </c>
      <c r="P3798" t="s">
        <v>554</v>
      </c>
      <c r="Q3798" t="s">
        <v>4229</v>
      </c>
      <c r="R3798" t="s">
        <v>2436</v>
      </c>
    </row>
    <row r="3799" spans="1:18" x14ac:dyDescent="0.5">
      <c r="A3799" t="str">
        <f>"048303CJ8"</f>
        <v>048303CJ8</v>
      </c>
      <c r="B3799" t="s">
        <v>101</v>
      </c>
      <c r="C3799" t="s">
        <v>4725</v>
      </c>
      <c r="D3799" t="s">
        <v>2433</v>
      </c>
      <c r="E3799">
        <v>2.2999999999999998</v>
      </c>
      <c r="F3799" s="2">
        <v>47922</v>
      </c>
      <c r="G3799" s="2">
        <v>47832</v>
      </c>
      <c r="H3799" t="s">
        <v>610</v>
      </c>
      <c r="I3799" t="s">
        <v>611</v>
      </c>
      <c r="J3799">
        <v>86.126999999999995</v>
      </c>
      <c r="K3799">
        <v>86.593999999999994</v>
      </c>
      <c r="L3799">
        <v>5.0019999999999998</v>
      </c>
      <c r="M3799">
        <v>4.9029999999999996</v>
      </c>
      <c r="N3799">
        <v>4.9029999999999996</v>
      </c>
      <c r="O3799" t="s">
        <v>101</v>
      </c>
      <c r="P3799" t="s">
        <v>4726</v>
      </c>
      <c r="Q3799" t="s">
        <v>3241</v>
      </c>
      <c r="R3799" t="s">
        <v>2436</v>
      </c>
    </row>
    <row r="3800" spans="1:18" x14ac:dyDescent="0.5">
      <c r="A3800" t="str">
        <f>"191216DE7"</f>
        <v>191216DE7</v>
      </c>
      <c r="B3800" t="s">
        <v>101</v>
      </c>
      <c r="C3800" t="s">
        <v>4727</v>
      </c>
      <c r="D3800" t="s">
        <v>2433</v>
      </c>
      <c r="E3800">
        <v>1.375</v>
      </c>
      <c r="F3800" s="2">
        <v>47922</v>
      </c>
      <c r="G3800" s="2" t="s">
        <v>101</v>
      </c>
      <c r="H3800" t="s">
        <v>641</v>
      </c>
      <c r="I3800" t="s">
        <v>658</v>
      </c>
      <c r="J3800">
        <v>83.317999999999998</v>
      </c>
      <c r="K3800">
        <v>83.58</v>
      </c>
      <c r="L3800">
        <v>4.5830000000000002</v>
      </c>
      <c r="M3800">
        <v>4.5270000000000001</v>
      </c>
      <c r="N3800">
        <v>4.5270000000000001</v>
      </c>
      <c r="O3800" t="s">
        <v>101</v>
      </c>
      <c r="P3800" t="s">
        <v>2564</v>
      </c>
      <c r="Q3800" t="s">
        <v>2454</v>
      </c>
      <c r="R3800" t="s">
        <v>2436</v>
      </c>
    </row>
    <row r="3801" spans="1:18" x14ac:dyDescent="0.5">
      <c r="A3801" t="str">
        <f>"036752AP8"</f>
        <v>036752AP8</v>
      </c>
      <c r="B3801" t="s">
        <v>101</v>
      </c>
      <c r="C3801" t="s">
        <v>4728</v>
      </c>
      <c r="D3801" t="s">
        <v>2433</v>
      </c>
      <c r="E3801">
        <v>2.5499999999999998</v>
      </c>
      <c r="F3801" s="2">
        <v>47922</v>
      </c>
      <c r="G3801" s="2">
        <v>47832</v>
      </c>
      <c r="H3801" t="s">
        <v>677</v>
      </c>
      <c r="I3801" t="s">
        <v>611</v>
      </c>
      <c r="J3801">
        <v>87.647000000000006</v>
      </c>
      <c r="K3801">
        <v>87.884</v>
      </c>
      <c r="L3801">
        <v>4.952</v>
      </c>
      <c r="M3801">
        <v>4.9020000000000001</v>
      </c>
      <c r="N3801">
        <v>4.9020000000000001</v>
      </c>
      <c r="O3801" t="s">
        <v>101</v>
      </c>
      <c r="P3801" t="s">
        <v>2438</v>
      </c>
      <c r="Q3801" t="s">
        <v>2507</v>
      </c>
      <c r="R3801" t="s">
        <v>2436</v>
      </c>
    </row>
    <row r="3802" spans="1:18" x14ac:dyDescent="0.5">
      <c r="A3802" t="str">
        <f>"29365TAK0"</f>
        <v>29365TAK0</v>
      </c>
      <c r="B3802" t="s">
        <v>101</v>
      </c>
      <c r="C3802" t="s">
        <v>4729</v>
      </c>
      <c r="D3802" t="s">
        <v>2433</v>
      </c>
      <c r="E3802">
        <v>1.75</v>
      </c>
      <c r="F3802" s="2">
        <v>47922</v>
      </c>
      <c r="G3802" s="2">
        <v>47832</v>
      </c>
      <c r="H3802" t="s">
        <v>627</v>
      </c>
      <c r="I3802" t="s">
        <v>611</v>
      </c>
      <c r="J3802">
        <v>84.090999999999994</v>
      </c>
      <c r="K3802">
        <v>84.424999999999997</v>
      </c>
      <c r="L3802">
        <v>4.8319999999999999</v>
      </c>
      <c r="M3802">
        <v>4.7610000000000001</v>
      </c>
      <c r="N3802">
        <v>4.7610000000000001</v>
      </c>
      <c r="O3802" t="s">
        <v>101</v>
      </c>
      <c r="P3802" t="s">
        <v>3939</v>
      </c>
      <c r="Q3802" t="s">
        <v>4730</v>
      </c>
      <c r="R3802" t="s">
        <v>2436</v>
      </c>
    </row>
    <row r="3803" spans="1:18" x14ac:dyDescent="0.5">
      <c r="A3803" t="str">
        <f>"373334LA7"</f>
        <v>373334LA7</v>
      </c>
      <c r="B3803" t="s">
        <v>101</v>
      </c>
      <c r="C3803" t="s">
        <v>4731</v>
      </c>
      <c r="D3803" t="s">
        <v>2433</v>
      </c>
      <c r="E3803">
        <v>4.8499999999999996</v>
      </c>
      <c r="F3803" s="2">
        <v>47922</v>
      </c>
      <c r="G3803" s="2">
        <v>47863</v>
      </c>
      <c r="H3803" t="s">
        <v>627</v>
      </c>
      <c r="I3803" t="s">
        <v>611</v>
      </c>
      <c r="J3803">
        <v>99.587999999999994</v>
      </c>
      <c r="K3803">
        <v>99.816000000000003</v>
      </c>
      <c r="L3803">
        <v>4.9290000000000003</v>
      </c>
      <c r="M3803">
        <v>4.8849999999999998</v>
      </c>
      <c r="N3803">
        <v>4.8849999999999998</v>
      </c>
      <c r="O3803" t="s">
        <v>101</v>
      </c>
      <c r="P3803" t="s">
        <v>1391</v>
      </c>
      <c r="Q3803" t="s">
        <v>2454</v>
      </c>
      <c r="R3803" t="s">
        <v>2436</v>
      </c>
    </row>
    <row r="3804" spans="1:18" x14ac:dyDescent="0.5">
      <c r="A3804" t="str">
        <f>"437076CF7"</f>
        <v>437076CF7</v>
      </c>
      <c r="B3804" t="s">
        <v>101</v>
      </c>
      <c r="C3804" t="s">
        <v>4732</v>
      </c>
      <c r="D3804" t="s">
        <v>2433</v>
      </c>
      <c r="E3804">
        <v>1.375</v>
      </c>
      <c r="F3804" s="2">
        <v>47922</v>
      </c>
      <c r="G3804" s="2">
        <v>47832</v>
      </c>
      <c r="H3804" t="s">
        <v>610</v>
      </c>
      <c r="I3804" t="s">
        <v>611</v>
      </c>
      <c r="J3804">
        <v>82.352000000000004</v>
      </c>
      <c r="K3804">
        <v>82.597999999999999</v>
      </c>
      <c r="L3804">
        <v>4.79</v>
      </c>
      <c r="M3804">
        <v>4.7370000000000001</v>
      </c>
      <c r="N3804">
        <v>4.7370000000000001</v>
      </c>
      <c r="O3804" t="s">
        <v>101</v>
      </c>
      <c r="P3804" t="s">
        <v>2447</v>
      </c>
      <c r="Q3804" t="s">
        <v>2447</v>
      </c>
      <c r="R3804" t="s">
        <v>2436</v>
      </c>
    </row>
    <row r="3805" spans="1:18" x14ac:dyDescent="0.5">
      <c r="A3805" t="str">
        <f>"29736RAR1"</f>
        <v>29736RAR1</v>
      </c>
      <c r="B3805" t="s">
        <v>101</v>
      </c>
      <c r="C3805" t="s">
        <v>4733</v>
      </c>
      <c r="D3805" t="s">
        <v>2433</v>
      </c>
      <c r="E3805">
        <v>1.95</v>
      </c>
      <c r="F3805" s="2">
        <v>47922</v>
      </c>
      <c r="G3805" s="2">
        <v>47832</v>
      </c>
      <c r="H3805" t="s">
        <v>610</v>
      </c>
      <c r="I3805" t="s">
        <v>713</v>
      </c>
      <c r="J3805">
        <v>84.509</v>
      </c>
      <c r="K3805">
        <v>84.846999999999994</v>
      </c>
      <c r="L3805">
        <v>4.9630000000000001</v>
      </c>
      <c r="M3805">
        <v>4.891</v>
      </c>
      <c r="N3805">
        <v>4.891</v>
      </c>
      <c r="O3805" t="s">
        <v>101</v>
      </c>
      <c r="P3805" t="s">
        <v>4569</v>
      </c>
      <c r="Q3805" t="s">
        <v>2454</v>
      </c>
      <c r="R3805" t="s">
        <v>2436</v>
      </c>
    </row>
    <row r="3806" spans="1:18" x14ac:dyDescent="0.5">
      <c r="A3806" t="str">
        <f>"57636QAS3"</f>
        <v>57636QAS3</v>
      </c>
      <c r="B3806" t="s">
        <v>101</v>
      </c>
      <c r="C3806" t="s">
        <v>4734</v>
      </c>
      <c r="D3806" t="s">
        <v>2433</v>
      </c>
      <c r="E3806">
        <v>1.9</v>
      </c>
      <c r="F3806" s="2">
        <v>47922</v>
      </c>
      <c r="G3806" s="2">
        <v>47832</v>
      </c>
      <c r="H3806" t="s">
        <v>624</v>
      </c>
      <c r="I3806" t="s">
        <v>658</v>
      </c>
      <c r="J3806">
        <v>86.192999999999998</v>
      </c>
      <c r="K3806">
        <v>86.331999999999994</v>
      </c>
      <c r="L3806">
        <v>4.5519999999999996</v>
      </c>
      <c r="M3806">
        <v>4.5229999999999997</v>
      </c>
      <c r="N3806">
        <v>4.5229999999999997</v>
      </c>
      <c r="O3806" t="s">
        <v>101</v>
      </c>
      <c r="P3806" t="s">
        <v>1999</v>
      </c>
      <c r="Q3806" t="s">
        <v>3411</v>
      </c>
      <c r="R3806" t="s">
        <v>2436</v>
      </c>
    </row>
    <row r="3807" spans="1:18" x14ac:dyDescent="0.5">
      <c r="A3807" t="str">
        <f>"637432NW1"</f>
        <v>637432NW1</v>
      </c>
      <c r="B3807" t="s">
        <v>101</v>
      </c>
      <c r="C3807" t="s">
        <v>4735</v>
      </c>
      <c r="D3807" t="s">
        <v>2433</v>
      </c>
      <c r="E3807">
        <v>1.35</v>
      </c>
      <c r="F3807" s="2">
        <v>47922</v>
      </c>
      <c r="G3807" s="2">
        <v>47832</v>
      </c>
      <c r="H3807" t="s">
        <v>641</v>
      </c>
      <c r="I3807" t="s">
        <v>713</v>
      </c>
      <c r="J3807">
        <v>81.234999999999999</v>
      </c>
      <c r="K3807">
        <v>81.867000000000004</v>
      </c>
      <c r="L3807">
        <v>5.0049999999999999</v>
      </c>
      <c r="M3807">
        <v>4.867</v>
      </c>
      <c r="N3807">
        <v>4.867</v>
      </c>
      <c r="O3807" t="s">
        <v>101</v>
      </c>
      <c r="P3807" t="s">
        <v>1702</v>
      </c>
      <c r="Q3807" t="s">
        <v>2786</v>
      </c>
      <c r="R3807" t="s">
        <v>2436</v>
      </c>
    </row>
    <row r="3808" spans="1:18" x14ac:dyDescent="0.5">
      <c r="A3808" t="str">
        <f>"74340XBS9"</f>
        <v>74340XBS9</v>
      </c>
      <c r="B3808" t="s">
        <v>101</v>
      </c>
      <c r="C3808" t="s">
        <v>4736</v>
      </c>
      <c r="D3808" t="s">
        <v>2433</v>
      </c>
      <c r="E3808">
        <v>1.625</v>
      </c>
      <c r="F3808" s="2">
        <v>47922</v>
      </c>
      <c r="G3808" s="2">
        <v>47832</v>
      </c>
      <c r="H3808" t="s">
        <v>610</v>
      </c>
      <c r="I3808" t="s">
        <v>611</v>
      </c>
      <c r="J3808">
        <v>83.37</v>
      </c>
      <c r="K3808">
        <v>83.611000000000004</v>
      </c>
      <c r="L3808">
        <v>4.8490000000000002</v>
      </c>
      <c r="M3808">
        <v>4.7969999999999997</v>
      </c>
      <c r="N3808">
        <v>4.7969999999999997</v>
      </c>
      <c r="O3808" t="s">
        <v>101</v>
      </c>
      <c r="P3808" t="s">
        <v>1702</v>
      </c>
      <c r="Q3808" t="s">
        <v>2435</v>
      </c>
      <c r="R3808" t="s">
        <v>2436</v>
      </c>
    </row>
    <row r="3809" spans="1:18" x14ac:dyDescent="0.5">
      <c r="A3809" t="str">
        <f>"125523CM0"</f>
        <v>125523CM0</v>
      </c>
      <c r="B3809" t="s">
        <v>101</v>
      </c>
      <c r="C3809" t="s">
        <v>4737</v>
      </c>
      <c r="D3809" t="s">
        <v>2433</v>
      </c>
      <c r="E3809">
        <v>2.375</v>
      </c>
      <c r="F3809" s="2">
        <v>47922</v>
      </c>
      <c r="G3809" s="2">
        <v>47832</v>
      </c>
      <c r="H3809" t="s">
        <v>670</v>
      </c>
      <c r="I3809" t="s">
        <v>713</v>
      </c>
      <c r="J3809">
        <v>86.454999999999998</v>
      </c>
      <c r="K3809">
        <v>86.637</v>
      </c>
      <c r="L3809">
        <v>5.0140000000000002</v>
      </c>
      <c r="M3809">
        <v>4.9749999999999996</v>
      </c>
      <c r="N3809">
        <v>4.9749999999999996</v>
      </c>
      <c r="O3809" t="s">
        <v>101</v>
      </c>
      <c r="P3809" t="s">
        <v>1702</v>
      </c>
      <c r="Q3809" t="s">
        <v>2454</v>
      </c>
      <c r="R3809" t="s">
        <v>2436</v>
      </c>
    </row>
    <row r="3810" spans="1:18" x14ac:dyDescent="0.5">
      <c r="A3810" t="str">
        <f>"94106LBP3"</f>
        <v>94106LBP3</v>
      </c>
      <c r="B3810" t="s">
        <v>101</v>
      </c>
      <c r="C3810" t="s">
        <v>4738</v>
      </c>
      <c r="D3810" t="s">
        <v>2433</v>
      </c>
      <c r="E3810">
        <v>1.5</v>
      </c>
      <c r="F3810" s="2">
        <v>47922</v>
      </c>
      <c r="G3810" s="2">
        <v>47832</v>
      </c>
      <c r="H3810" t="s">
        <v>627</v>
      </c>
      <c r="I3810" t="s">
        <v>713</v>
      </c>
      <c r="J3810">
        <v>83.176000000000002</v>
      </c>
      <c r="K3810">
        <v>83.394999999999996</v>
      </c>
      <c r="L3810">
        <v>4.7519999999999998</v>
      </c>
      <c r="M3810">
        <v>4.7050000000000001</v>
      </c>
      <c r="N3810">
        <v>4.7050000000000001</v>
      </c>
      <c r="O3810" t="s">
        <v>101</v>
      </c>
      <c r="P3810" t="s">
        <v>858</v>
      </c>
      <c r="Q3810" t="s">
        <v>2454</v>
      </c>
      <c r="R3810" t="s">
        <v>2436</v>
      </c>
    </row>
    <row r="3811" spans="1:18" x14ac:dyDescent="0.5">
      <c r="A3811" t="str">
        <f>"89236TLZ6"</f>
        <v>89236TLZ6</v>
      </c>
      <c r="B3811" t="s">
        <v>101</v>
      </c>
      <c r="C3811" t="s">
        <v>4739</v>
      </c>
      <c r="D3811" t="s">
        <v>2433</v>
      </c>
      <c r="E3811">
        <v>5.0999999999999996</v>
      </c>
      <c r="F3811" s="2">
        <v>47928</v>
      </c>
      <c r="G3811" s="2" t="s">
        <v>101</v>
      </c>
      <c r="H3811" t="s">
        <v>641</v>
      </c>
      <c r="I3811" t="s">
        <v>658</v>
      </c>
      <c r="J3811">
        <v>101.289</v>
      </c>
      <c r="K3811">
        <v>101.744</v>
      </c>
      <c r="L3811">
        <v>4.8499999999999996</v>
      </c>
      <c r="M3811">
        <v>4.7629999999999999</v>
      </c>
      <c r="N3811">
        <v>4.7629999999999999</v>
      </c>
      <c r="O3811" t="s">
        <v>101</v>
      </c>
      <c r="P3811" t="s">
        <v>2581</v>
      </c>
      <c r="Q3811" t="s">
        <v>3920</v>
      </c>
      <c r="R3811" t="s">
        <v>2436</v>
      </c>
    </row>
    <row r="3812" spans="1:18" x14ac:dyDescent="0.5">
      <c r="A3812" t="str">
        <f>"05964HAM7"</f>
        <v>05964HAM7</v>
      </c>
      <c r="B3812" t="s">
        <v>101</v>
      </c>
      <c r="C3812" t="s">
        <v>4740</v>
      </c>
      <c r="D3812" t="s">
        <v>2433</v>
      </c>
      <c r="E3812">
        <v>2.9580000000000002</v>
      </c>
      <c r="F3812" s="2">
        <v>47932</v>
      </c>
      <c r="G3812" s="2" t="s">
        <v>101</v>
      </c>
      <c r="H3812" t="s">
        <v>670</v>
      </c>
      <c r="I3812" t="s">
        <v>713</v>
      </c>
      <c r="J3812">
        <v>88.882999999999996</v>
      </c>
      <c r="K3812">
        <v>89.162000000000006</v>
      </c>
      <c r="L3812">
        <v>5.1219999999999999</v>
      </c>
      <c r="M3812">
        <v>5.0640000000000001</v>
      </c>
      <c r="N3812">
        <v>5.0640000000000001</v>
      </c>
      <c r="O3812" t="s">
        <v>101</v>
      </c>
      <c r="P3812" t="s">
        <v>4596</v>
      </c>
      <c r="Q3812" t="s">
        <v>542</v>
      </c>
      <c r="R3812" t="s">
        <v>2436</v>
      </c>
    </row>
    <row r="3813" spans="1:18" x14ac:dyDescent="0.5">
      <c r="A3813" t="str">
        <f>"892331AN9"</f>
        <v>892331AN9</v>
      </c>
      <c r="B3813" t="s">
        <v>101</v>
      </c>
      <c r="C3813" t="s">
        <v>4741</v>
      </c>
      <c r="D3813" t="s">
        <v>2433</v>
      </c>
      <c r="E3813">
        <v>2.3620000000000001</v>
      </c>
      <c r="F3813" s="2">
        <v>47932</v>
      </c>
      <c r="G3813" s="2">
        <v>47842</v>
      </c>
      <c r="H3813" t="s">
        <v>641</v>
      </c>
      <c r="I3813" t="s">
        <v>658</v>
      </c>
      <c r="J3813">
        <v>88.207999999999998</v>
      </c>
      <c r="K3813">
        <v>88.518000000000001</v>
      </c>
      <c r="L3813">
        <v>4.6230000000000002</v>
      </c>
      <c r="M3813">
        <v>4.5590000000000002</v>
      </c>
      <c r="N3813">
        <v>4.5590000000000002</v>
      </c>
      <c r="O3813" t="s">
        <v>101</v>
      </c>
      <c r="P3813" t="s">
        <v>2595</v>
      </c>
      <c r="Q3813" t="s">
        <v>2566</v>
      </c>
      <c r="R3813" t="s">
        <v>2436</v>
      </c>
    </row>
    <row r="3814" spans="1:18" x14ac:dyDescent="0.5">
      <c r="A3814" t="str">
        <f>"15189XAV0"</f>
        <v>15189XAV0</v>
      </c>
      <c r="B3814" t="s">
        <v>101</v>
      </c>
      <c r="C3814" t="s">
        <v>4742</v>
      </c>
      <c r="D3814" t="s">
        <v>2433</v>
      </c>
      <c r="E3814">
        <v>2.35</v>
      </c>
      <c r="F3814" s="2">
        <v>47939</v>
      </c>
      <c r="G3814" s="2">
        <v>47849</v>
      </c>
      <c r="H3814" t="s">
        <v>610</v>
      </c>
      <c r="I3814" t="s">
        <v>611</v>
      </c>
      <c r="J3814">
        <v>87.031999999999996</v>
      </c>
      <c r="K3814">
        <v>87.391999999999996</v>
      </c>
      <c r="L3814">
        <v>4.8479999999999999</v>
      </c>
      <c r="M3814">
        <v>4.7729999999999997</v>
      </c>
      <c r="N3814">
        <v>4.7729999999999997</v>
      </c>
      <c r="O3814" t="s">
        <v>101</v>
      </c>
      <c r="P3814" t="s">
        <v>3878</v>
      </c>
      <c r="Q3814" t="s">
        <v>3920</v>
      </c>
      <c r="R3814" t="s">
        <v>2436</v>
      </c>
    </row>
    <row r="3815" spans="1:18" x14ac:dyDescent="0.5">
      <c r="A3815" t="str">
        <f>"487836AT5"</f>
        <v>487836AT5</v>
      </c>
      <c r="B3815" t="s">
        <v>101</v>
      </c>
      <c r="C3815" t="s">
        <v>4743</v>
      </c>
      <c r="D3815" t="s">
        <v>2433</v>
      </c>
      <c r="E3815">
        <v>7.45</v>
      </c>
      <c r="F3815" s="2">
        <v>47939</v>
      </c>
      <c r="G3815" s="2" t="s">
        <v>101</v>
      </c>
      <c r="H3815" t="s">
        <v>677</v>
      </c>
      <c r="I3815" t="s">
        <v>611</v>
      </c>
      <c r="J3815">
        <v>112.764</v>
      </c>
      <c r="K3815">
        <v>113.093</v>
      </c>
      <c r="L3815">
        <v>4.9809999999999999</v>
      </c>
      <c r="M3815">
        <v>4.9219999999999997</v>
      </c>
      <c r="N3815">
        <v>4.9219999999999997</v>
      </c>
      <c r="O3815" t="s">
        <v>101</v>
      </c>
      <c r="P3815" t="s">
        <v>1064</v>
      </c>
      <c r="Q3815" t="s">
        <v>1064</v>
      </c>
      <c r="R3815" t="s">
        <v>2436</v>
      </c>
    </row>
    <row r="3816" spans="1:18" x14ac:dyDescent="0.5">
      <c r="A3816" t="str">
        <f>"665772CT4"</f>
        <v>665772CT4</v>
      </c>
      <c r="B3816" t="s">
        <v>101</v>
      </c>
      <c r="C3816" t="s">
        <v>4744</v>
      </c>
      <c r="D3816" t="s">
        <v>2433</v>
      </c>
      <c r="E3816">
        <v>2.25</v>
      </c>
      <c r="F3816" s="2">
        <v>47939</v>
      </c>
      <c r="G3816" s="2">
        <v>47757</v>
      </c>
      <c r="H3816" t="s">
        <v>624</v>
      </c>
      <c r="I3816" t="s">
        <v>611</v>
      </c>
      <c r="J3816">
        <v>86.944000000000003</v>
      </c>
      <c r="K3816">
        <v>87.424999999999997</v>
      </c>
      <c r="L3816">
        <v>4.758</v>
      </c>
      <c r="M3816">
        <v>4.6580000000000004</v>
      </c>
      <c r="N3816">
        <v>4.6580000000000004</v>
      </c>
      <c r="O3816" t="s">
        <v>101</v>
      </c>
      <c r="P3816" t="s">
        <v>3878</v>
      </c>
      <c r="Q3816" t="s">
        <v>3178</v>
      </c>
      <c r="R3816" t="s">
        <v>2436</v>
      </c>
    </row>
    <row r="3817" spans="1:18" x14ac:dyDescent="0.5">
      <c r="A3817" t="str">
        <f>"459058LF8"</f>
        <v>459058LF8</v>
      </c>
      <c r="B3817" t="s">
        <v>101</v>
      </c>
      <c r="C3817" t="s">
        <v>4745</v>
      </c>
      <c r="D3817" t="s">
        <v>2433</v>
      </c>
      <c r="E3817">
        <v>4.5</v>
      </c>
      <c r="F3817" s="2">
        <v>47948</v>
      </c>
      <c r="G3817" s="2" t="s">
        <v>105</v>
      </c>
      <c r="H3817" t="s">
        <v>104</v>
      </c>
      <c r="I3817" t="s">
        <v>104</v>
      </c>
      <c r="J3817">
        <v>100.926</v>
      </c>
      <c r="K3817">
        <v>101.861</v>
      </c>
      <c r="L3817">
        <v>4.3250000000000002</v>
      </c>
      <c r="M3817">
        <v>4.1500000000000004</v>
      </c>
      <c r="N3817">
        <v>4.1500000000000004</v>
      </c>
      <c r="O3817" t="s">
        <v>101</v>
      </c>
      <c r="P3817" t="s">
        <v>2618</v>
      </c>
      <c r="Q3817" t="s">
        <v>4275</v>
      </c>
      <c r="R3817" t="s">
        <v>2713</v>
      </c>
    </row>
    <row r="3818" spans="1:18" x14ac:dyDescent="0.5">
      <c r="A3818" t="str">
        <f>"11271LAH5"</f>
        <v>11271LAH5</v>
      </c>
      <c r="B3818" t="s">
        <v>101</v>
      </c>
      <c r="C3818" t="s">
        <v>4746</v>
      </c>
      <c r="D3818" t="s">
        <v>2433</v>
      </c>
      <c r="E3818">
        <v>2.7240000000000002</v>
      </c>
      <c r="F3818" s="2">
        <v>47953</v>
      </c>
      <c r="G3818" s="2">
        <v>47863</v>
      </c>
      <c r="H3818" t="s">
        <v>627</v>
      </c>
      <c r="I3818" t="s">
        <v>713</v>
      </c>
      <c r="J3818">
        <v>87.932000000000002</v>
      </c>
      <c r="K3818">
        <v>88.320999999999998</v>
      </c>
      <c r="L3818">
        <v>5.05</v>
      </c>
      <c r="M3818">
        <v>4.9690000000000003</v>
      </c>
      <c r="N3818">
        <v>4.9690000000000003</v>
      </c>
      <c r="O3818" t="s">
        <v>101</v>
      </c>
      <c r="P3818" t="s">
        <v>3878</v>
      </c>
      <c r="Q3818" t="s">
        <v>2454</v>
      </c>
      <c r="R3818" t="s">
        <v>2436</v>
      </c>
    </row>
    <row r="3819" spans="1:18" x14ac:dyDescent="0.5">
      <c r="A3819" t="str">
        <f>"26442CBB9"</f>
        <v>26442CBB9</v>
      </c>
      <c r="B3819" t="s">
        <v>101</v>
      </c>
      <c r="C3819" t="s">
        <v>4747</v>
      </c>
      <c r="D3819" t="s">
        <v>2433</v>
      </c>
      <c r="E3819">
        <v>2.5499999999999998</v>
      </c>
      <c r="F3819" s="2">
        <v>47953</v>
      </c>
      <c r="G3819" s="2">
        <v>47863</v>
      </c>
      <c r="H3819" t="s">
        <v>624</v>
      </c>
      <c r="I3819" t="s">
        <v>611</v>
      </c>
      <c r="J3819">
        <v>87.760999999999996</v>
      </c>
      <c r="K3819">
        <v>88.006</v>
      </c>
      <c r="L3819">
        <v>4.8979999999999997</v>
      </c>
      <c r="M3819">
        <v>4.8470000000000004</v>
      </c>
      <c r="N3819">
        <v>4.8470000000000004</v>
      </c>
      <c r="O3819" t="s">
        <v>101</v>
      </c>
      <c r="P3819" t="s">
        <v>4569</v>
      </c>
      <c r="Q3819" t="s">
        <v>2581</v>
      </c>
      <c r="R3819" t="s">
        <v>2436</v>
      </c>
    </row>
    <row r="3820" spans="1:18" x14ac:dyDescent="0.5">
      <c r="A3820" t="str">
        <f>"91324PFA5"</f>
        <v>91324PFA5</v>
      </c>
      <c r="B3820" t="s">
        <v>101</v>
      </c>
      <c r="C3820" t="s">
        <v>4748</v>
      </c>
      <c r="D3820" t="s">
        <v>2433</v>
      </c>
      <c r="E3820">
        <v>4.9000000000000004</v>
      </c>
      <c r="F3820" s="2">
        <v>47953</v>
      </c>
      <c r="G3820" s="2">
        <v>47894</v>
      </c>
      <c r="H3820" t="s">
        <v>610</v>
      </c>
      <c r="I3820" t="s">
        <v>658</v>
      </c>
      <c r="J3820">
        <v>100.64</v>
      </c>
      <c r="K3820">
        <v>100.776</v>
      </c>
      <c r="L3820">
        <v>4.7750000000000004</v>
      </c>
      <c r="M3820">
        <v>4.7480000000000002</v>
      </c>
      <c r="N3820">
        <v>4.7510000000000003</v>
      </c>
      <c r="O3820" t="s">
        <v>101</v>
      </c>
      <c r="P3820" t="s">
        <v>1702</v>
      </c>
      <c r="Q3820" t="s">
        <v>2454</v>
      </c>
      <c r="R3820" t="s">
        <v>2436</v>
      </c>
    </row>
    <row r="3821" spans="1:18" x14ac:dyDescent="0.5">
      <c r="A3821" t="str">
        <f>"748149AR2"</f>
        <v>748149AR2</v>
      </c>
      <c r="B3821" t="s">
        <v>101</v>
      </c>
      <c r="C3821" t="s">
        <v>4749</v>
      </c>
      <c r="D3821" t="s">
        <v>2433</v>
      </c>
      <c r="E3821">
        <v>1.9</v>
      </c>
      <c r="F3821" s="2">
        <v>47959</v>
      </c>
      <c r="G3821" s="2" t="s">
        <v>101</v>
      </c>
      <c r="H3821" t="s">
        <v>613</v>
      </c>
      <c r="I3821" t="s">
        <v>616</v>
      </c>
      <c r="J3821">
        <v>86.14</v>
      </c>
      <c r="K3821">
        <v>87.308999999999997</v>
      </c>
      <c r="L3821">
        <v>4.5220000000000002</v>
      </c>
      <c r="M3821">
        <v>4.2830000000000004</v>
      </c>
      <c r="N3821">
        <v>4.2830000000000004</v>
      </c>
      <c r="O3821" t="s">
        <v>101</v>
      </c>
      <c r="P3821" t="s">
        <v>2618</v>
      </c>
      <c r="Q3821" t="s">
        <v>2618</v>
      </c>
      <c r="R3821" t="s">
        <v>3443</v>
      </c>
    </row>
    <row r="3822" spans="1:18" x14ac:dyDescent="0.5">
      <c r="A3822" t="str">
        <f>"742718FQ7"</f>
        <v>742718FQ7</v>
      </c>
      <c r="B3822" t="s">
        <v>101</v>
      </c>
      <c r="C3822" t="s">
        <v>4750</v>
      </c>
      <c r="D3822" t="s">
        <v>2433</v>
      </c>
      <c r="E3822">
        <v>1.95</v>
      </c>
      <c r="F3822" s="2">
        <v>47961</v>
      </c>
      <c r="G3822" s="2" t="s">
        <v>101</v>
      </c>
      <c r="H3822" t="s">
        <v>624</v>
      </c>
      <c r="I3822" t="s">
        <v>616</v>
      </c>
      <c r="J3822">
        <v>86.840999999999994</v>
      </c>
      <c r="K3822">
        <v>87.025999999999996</v>
      </c>
      <c r="L3822">
        <v>4.43</v>
      </c>
      <c r="M3822">
        <v>4.3920000000000003</v>
      </c>
      <c r="N3822">
        <v>4.3920000000000003</v>
      </c>
      <c r="O3822" t="s">
        <v>101</v>
      </c>
      <c r="P3822" t="s">
        <v>2581</v>
      </c>
      <c r="Q3822" t="s">
        <v>2438</v>
      </c>
      <c r="R3822" t="s">
        <v>2436</v>
      </c>
    </row>
    <row r="3823" spans="1:18" x14ac:dyDescent="0.5">
      <c r="A3823" t="str">
        <f>"149123BJ9"</f>
        <v>149123BJ9</v>
      </c>
      <c r="B3823" t="s">
        <v>101</v>
      </c>
      <c r="C3823" t="s">
        <v>4751</v>
      </c>
      <c r="D3823" t="s">
        <v>2433</v>
      </c>
      <c r="E3823">
        <v>7.3</v>
      </c>
      <c r="F3823" s="2">
        <v>47969</v>
      </c>
      <c r="G3823" s="2" t="s">
        <v>101</v>
      </c>
      <c r="H3823" t="s">
        <v>610</v>
      </c>
      <c r="I3823" t="s">
        <v>611</v>
      </c>
      <c r="J3823">
        <v>113.44799999999999</v>
      </c>
      <c r="K3823">
        <v>114.181</v>
      </c>
      <c r="L3823">
        <v>4.7460000000000004</v>
      </c>
      <c r="M3823">
        <v>4.6180000000000003</v>
      </c>
      <c r="N3823">
        <v>4.6180000000000003</v>
      </c>
      <c r="O3823" t="s">
        <v>101</v>
      </c>
      <c r="P3823" t="s">
        <v>858</v>
      </c>
      <c r="Q3823" t="s">
        <v>485</v>
      </c>
      <c r="R3823" t="s">
        <v>2436</v>
      </c>
    </row>
    <row r="3824" spans="1:18" x14ac:dyDescent="0.5">
      <c r="A3824" t="str">
        <f>"74460WAE7"</f>
        <v>74460WAE7</v>
      </c>
      <c r="B3824" t="s">
        <v>101</v>
      </c>
      <c r="C3824" t="s">
        <v>4752</v>
      </c>
      <c r="D3824" t="s">
        <v>2433</v>
      </c>
      <c r="E3824">
        <v>2.2999999999999998</v>
      </c>
      <c r="F3824" s="2">
        <v>47969</v>
      </c>
      <c r="G3824" s="2">
        <v>47880</v>
      </c>
      <c r="H3824" t="s">
        <v>610</v>
      </c>
      <c r="I3824" t="s">
        <v>611</v>
      </c>
      <c r="J3824">
        <v>86.584000000000003</v>
      </c>
      <c r="K3824">
        <v>86.876999999999995</v>
      </c>
      <c r="L3824">
        <v>4.8540000000000001</v>
      </c>
      <c r="M3824">
        <v>4.7930000000000001</v>
      </c>
      <c r="N3824">
        <v>4.7930000000000001</v>
      </c>
      <c r="O3824" t="s">
        <v>101</v>
      </c>
      <c r="P3824" t="s">
        <v>1702</v>
      </c>
      <c r="Q3824" t="s">
        <v>4753</v>
      </c>
      <c r="R3824" t="s">
        <v>2436</v>
      </c>
    </row>
    <row r="3825" spans="1:18" x14ac:dyDescent="0.5">
      <c r="A3825" t="str">
        <f>"023135BZ8"</f>
        <v>023135BZ8</v>
      </c>
      <c r="B3825" t="s">
        <v>101</v>
      </c>
      <c r="C3825" t="s">
        <v>4754</v>
      </c>
      <c r="D3825" t="s">
        <v>2433</v>
      </c>
      <c r="E3825">
        <v>2.1</v>
      </c>
      <c r="F3825" s="2">
        <v>47980</v>
      </c>
      <c r="G3825" s="2">
        <v>47891</v>
      </c>
      <c r="H3825" t="s">
        <v>641</v>
      </c>
      <c r="I3825" t="s">
        <v>628</v>
      </c>
      <c r="J3825">
        <v>86.558999999999997</v>
      </c>
      <c r="K3825">
        <v>86.841999999999999</v>
      </c>
      <c r="L3825">
        <v>4.63</v>
      </c>
      <c r="M3825">
        <v>4.5720000000000001</v>
      </c>
      <c r="N3825">
        <v>4.5720000000000001</v>
      </c>
      <c r="O3825" t="s">
        <v>101</v>
      </c>
      <c r="P3825" t="s">
        <v>2472</v>
      </c>
      <c r="Q3825" t="s">
        <v>2454</v>
      </c>
      <c r="R3825" t="s">
        <v>2436</v>
      </c>
    </row>
    <row r="3826" spans="1:18" x14ac:dyDescent="0.5">
      <c r="A3826" t="str">
        <f>"298785JN7"</f>
        <v>298785JN7</v>
      </c>
      <c r="B3826" t="s">
        <v>101</v>
      </c>
      <c r="C3826" t="s">
        <v>4755</v>
      </c>
      <c r="D3826" t="s">
        <v>2433</v>
      </c>
      <c r="E3826">
        <v>1.625</v>
      </c>
      <c r="F3826" s="2">
        <v>47981</v>
      </c>
      <c r="G3826" s="2" t="s">
        <v>105</v>
      </c>
      <c r="H3826" t="s">
        <v>105</v>
      </c>
      <c r="I3826" t="s">
        <v>104</v>
      </c>
      <c r="J3826">
        <v>85.63</v>
      </c>
      <c r="K3826">
        <v>86.688999999999993</v>
      </c>
      <c r="L3826">
        <v>4.3010000000000002</v>
      </c>
      <c r="M3826">
        <v>4.0880000000000001</v>
      </c>
      <c r="N3826">
        <v>4.0880000000000001</v>
      </c>
      <c r="O3826" t="s">
        <v>101</v>
      </c>
      <c r="P3826" t="s">
        <v>2618</v>
      </c>
      <c r="Q3826" t="s">
        <v>4756</v>
      </c>
      <c r="R3826" t="s">
        <v>2713</v>
      </c>
    </row>
    <row r="3827" spans="1:18" x14ac:dyDescent="0.5">
      <c r="A3827" t="str">
        <f>"808513BS3"</f>
        <v>808513BS3</v>
      </c>
      <c r="B3827" t="s">
        <v>101</v>
      </c>
      <c r="C3827" t="s">
        <v>4757</v>
      </c>
      <c r="D3827" t="s">
        <v>2433</v>
      </c>
      <c r="E3827">
        <v>2.2999999999999998</v>
      </c>
      <c r="F3827" s="2">
        <v>47981</v>
      </c>
      <c r="G3827" s="2">
        <v>47892</v>
      </c>
      <c r="H3827" t="s">
        <v>610</v>
      </c>
      <c r="I3827" t="s">
        <v>713</v>
      </c>
      <c r="J3827">
        <v>86.363</v>
      </c>
      <c r="K3827">
        <v>86.664000000000001</v>
      </c>
      <c r="L3827">
        <v>4.8860000000000001</v>
      </c>
      <c r="M3827">
        <v>4.8239999999999998</v>
      </c>
      <c r="N3827">
        <v>4.8239999999999998</v>
      </c>
      <c r="O3827" t="s">
        <v>101</v>
      </c>
      <c r="P3827" t="s">
        <v>3878</v>
      </c>
      <c r="Q3827" t="s">
        <v>2454</v>
      </c>
      <c r="R3827" t="s">
        <v>2436</v>
      </c>
    </row>
    <row r="3828" spans="1:18" x14ac:dyDescent="0.5">
      <c r="A3828" t="str">
        <f>"084659BD2"</f>
        <v>084659BD2</v>
      </c>
      <c r="B3828" t="s">
        <v>101</v>
      </c>
      <c r="C3828" t="s">
        <v>4758</v>
      </c>
      <c r="D3828" t="s">
        <v>2433</v>
      </c>
      <c r="E3828">
        <v>1.65</v>
      </c>
      <c r="F3828" s="2">
        <v>47983</v>
      </c>
      <c r="G3828" s="2">
        <v>47894</v>
      </c>
      <c r="H3828" t="s">
        <v>627</v>
      </c>
      <c r="I3828" t="s">
        <v>713</v>
      </c>
      <c r="J3828">
        <v>82.617000000000004</v>
      </c>
      <c r="K3828">
        <v>83.072999999999993</v>
      </c>
      <c r="L3828">
        <v>4.9509999999999996</v>
      </c>
      <c r="M3828">
        <v>4.8550000000000004</v>
      </c>
      <c r="N3828">
        <v>4.8550000000000004</v>
      </c>
      <c r="O3828" t="s">
        <v>101</v>
      </c>
      <c r="P3828" t="s">
        <v>3878</v>
      </c>
      <c r="Q3828" t="s">
        <v>2747</v>
      </c>
      <c r="R3828" t="s">
        <v>2726</v>
      </c>
    </row>
    <row r="3829" spans="1:18" x14ac:dyDescent="0.5">
      <c r="A3829" t="str">
        <f>"25161F5F1"</f>
        <v>25161F5F1</v>
      </c>
      <c r="B3829" t="s">
        <v>101</v>
      </c>
      <c r="C3829" t="s">
        <v>4759</v>
      </c>
      <c r="D3829" t="s">
        <v>2433</v>
      </c>
      <c r="E3829">
        <v>5.8</v>
      </c>
      <c r="F3829" s="2">
        <v>47983</v>
      </c>
      <c r="G3829" s="2">
        <v>46522</v>
      </c>
      <c r="H3829" t="s">
        <v>641</v>
      </c>
      <c r="I3829" t="s">
        <v>611</v>
      </c>
      <c r="J3829">
        <v>98.504000000000005</v>
      </c>
      <c r="K3829">
        <v>102.134</v>
      </c>
      <c r="L3829">
        <v>6.0919999999999996</v>
      </c>
      <c r="M3829">
        <v>4.7519999999999998</v>
      </c>
      <c r="N3829">
        <v>5.3869999999999996</v>
      </c>
      <c r="O3829" t="s">
        <v>101</v>
      </c>
      <c r="P3829" t="s">
        <v>858</v>
      </c>
      <c r="Q3829" t="s">
        <v>556</v>
      </c>
      <c r="R3829" t="s">
        <v>2436</v>
      </c>
    </row>
    <row r="3830" spans="1:18" x14ac:dyDescent="0.5">
      <c r="A3830" t="str">
        <f>"63743FZN9"</f>
        <v>63743FZN9</v>
      </c>
      <c r="B3830" t="s">
        <v>101</v>
      </c>
      <c r="C3830" t="s">
        <v>4760</v>
      </c>
      <c r="D3830" t="s">
        <v>2433</v>
      </c>
      <c r="E3830">
        <v>3.5</v>
      </c>
      <c r="F3830" s="2">
        <v>47983</v>
      </c>
      <c r="G3830" s="2" t="s">
        <v>105</v>
      </c>
      <c r="H3830" t="s">
        <v>610</v>
      </c>
      <c r="I3830" t="s">
        <v>713</v>
      </c>
      <c r="J3830">
        <v>91.447000000000003</v>
      </c>
      <c r="K3830">
        <v>93.861000000000004</v>
      </c>
      <c r="L3830">
        <v>5.1180000000000003</v>
      </c>
      <c r="M3830">
        <v>4.6449999999999996</v>
      </c>
      <c r="N3830">
        <v>4.6449999999999996</v>
      </c>
      <c r="O3830" t="s">
        <v>101</v>
      </c>
      <c r="P3830" t="s">
        <v>858</v>
      </c>
      <c r="Q3830" t="s">
        <v>2821</v>
      </c>
      <c r="R3830" t="s">
        <v>2610</v>
      </c>
    </row>
    <row r="3831" spans="1:18" x14ac:dyDescent="0.5">
      <c r="A3831" t="str">
        <f>"63743FZQ2"</f>
        <v>63743FZQ2</v>
      </c>
      <c r="B3831" t="s">
        <v>101</v>
      </c>
      <c r="C3831" t="s">
        <v>4761</v>
      </c>
      <c r="D3831" t="s">
        <v>2433</v>
      </c>
      <c r="E3831">
        <v>3.45</v>
      </c>
      <c r="F3831" s="2">
        <v>47983</v>
      </c>
      <c r="G3831" s="2" t="s">
        <v>105</v>
      </c>
      <c r="H3831" t="s">
        <v>610</v>
      </c>
      <c r="I3831" t="s">
        <v>713</v>
      </c>
      <c r="J3831">
        <v>91.525999999999996</v>
      </c>
      <c r="K3831">
        <v>94.003</v>
      </c>
      <c r="L3831">
        <v>5.05</v>
      </c>
      <c r="M3831">
        <v>4.5659999999999998</v>
      </c>
      <c r="N3831">
        <v>4.5659999999999998</v>
      </c>
      <c r="O3831" t="s">
        <v>101</v>
      </c>
      <c r="P3831" t="s">
        <v>858</v>
      </c>
      <c r="Q3831" t="s">
        <v>3298</v>
      </c>
      <c r="R3831" t="s">
        <v>2610</v>
      </c>
    </row>
    <row r="3832" spans="1:18" x14ac:dyDescent="0.5">
      <c r="A3832" t="str">
        <f>"125523CU2"</f>
        <v>125523CU2</v>
      </c>
      <c r="B3832" t="s">
        <v>101</v>
      </c>
      <c r="C3832" t="s">
        <v>4762</v>
      </c>
      <c r="D3832" t="s">
        <v>2433</v>
      </c>
      <c r="E3832">
        <v>5.125</v>
      </c>
      <c r="F3832" s="2">
        <v>47983</v>
      </c>
      <c r="G3832" s="2">
        <v>47922</v>
      </c>
      <c r="H3832" t="s">
        <v>670</v>
      </c>
      <c r="I3832" t="s">
        <v>713</v>
      </c>
      <c r="J3832">
        <v>100.69499999999999</v>
      </c>
      <c r="K3832">
        <v>100.92100000000001</v>
      </c>
      <c r="L3832">
        <v>4.9889999999999999</v>
      </c>
      <c r="M3832">
        <v>4.9459999999999997</v>
      </c>
      <c r="N3832">
        <v>4.9489999999999998</v>
      </c>
      <c r="O3832" t="s">
        <v>101</v>
      </c>
      <c r="P3832" t="s">
        <v>1702</v>
      </c>
      <c r="Q3832" t="s">
        <v>2581</v>
      </c>
      <c r="R3832" t="s">
        <v>2436</v>
      </c>
    </row>
    <row r="3833" spans="1:18" x14ac:dyDescent="0.5">
      <c r="A3833" t="str">
        <f>"872540AW9"</f>
        <v>872540AW9</v>
      </c>
      <c r="B3833" t="s">
        <v>101</v>
      </c>
      <c r="C3833" t="s">
        <v>4763</v>
      </c>
      <c r="D3833" t="s">
        <v>2433</v>
      </c>
      <c r="E3833">
        <v>1.6</v>
      </c>
      <c r="F3833" s="2">
        <v>47983</v>
      </c>
      <c r="G3833" s="2">
        <v>47894</v>
      </c>
      <c r="H3833" t="s">
        <v>610</v>
      </c>
      <c r="I3833" t="s">
        <v>611</v>
      </c>
      <c r="J3833">
        <v>83.495999999999995</v>
      </c>
      <c r="K3833">
        <v>83.646000000000001</v>
      </c>
      <c r="L3833">
        <v>4.7110000000000003</v>
      </c>
      <c r="M3833">
        <v>4.68</v>
      </c>
      <c r="N3833">
        <v>4.68</v>
      </c>
      <c r="O3833" t="s">
        <v>101</v>
      </c>
      <c r="P3833" t="s">
        <v>2765</v>
      </c>
      <c r="Q3833" t="s">
        <v>2447</v>
      </c>
      <c r="R3833" t="s">
        <v>2436</v>
      </c>
    </row>
    <row r="3834" spans="1:18" x14ac:dyDescent="0.5">
      <c r="A3834" t="str">
        <f>"91324PED0"</f>
        <v>91324PED0</v>
      </c>
      <c r="B3834" t="s">
        <v>101</v>
      </c>
      <c r="C3834" t="s">
        <v>4764</v>
      </c>
      <c r="D3834" t="s">
        <v>2433</v>
      </c>
      <c r="E3834">
        <v>2.2999999999999998</v>
      </c>
      <c r="F3834" s="2">
        <v>47983</v>
      </c>
      <c r="G3834" s="2">
        <v>47894</v>
      </c>
      <c r="H3834" t="s">
        <v>610</v>
      </c>
      <c r="I3834" t="s">
        <v>658</v>
      </c>
      <c r="J3834">
        <v>86.653999999999996</v>
      </c>
      <c r="K3834">
        <v>86.9</v>
      </c>
      <c r="L3834">
        <v>4.8239999999999998</v>
      </c>
      <c r="M3834">
        <v>4.774</v>
      </c>
      <c r="N3834">
        <v>4.774</v>
      </c>
      <c r="O3834" t="s">
        <v>101</v>
      </c>
      <c r="P3834" t="s">
        <v>2438</v>
      </c>
      <c r="Q3834" t="s">
        <v>2454</v>
      </c>
      <c r="R3834" t="s">
        <v>2436</v>
      </c>
    </row>
    <row r="3835" spans="1:18" x14ac:dyDescent="0.5">
      <c r="A3835" t="str">
        <f>"907818FU7"</f>
        <v>907818FU7</v>
      </c>
      <c r="B3835" t="s">
        <v>101</v>
      </c>
      <c r="C3835" t="s">
        <v>4765</v>
      </c>
      <c r="D3835" t="s">
        <v>2433</v>
      </c>
      <c r="E3835">
        <v>2.375</v>
      </c>
      <c r="F3835" s="2">
        <v>47988</v>
      </c>
      <c r="G3835" s="2">
        <v>47899</v>
      </c>
      <c r="H3835" t="s">
        <v>627</v>
      </c>
      <c r="I3835" t="s">
        <v>713</v>
      </c>
      <c r="J3835">
        <v>87.759</v>
      </c>
      <c r="K3835">
        <v>88</v>
      </c>
      <c r="L3835">
        <v>4.6749999999999998</v>
      </c>
      <c r="M3835">
        <v>4.6260000000000003</v>
      </c>
      <c r="N3835">
        <v>4.6260000000000003</v>
      </c>
      <c r="O3835" t="s">
        <v>101</v>
      </c>
      <c r="P3835" t="s">
        <v>1236</v>
      </c>
      <c r="Q3835" t="s">
        <v>1236</v>
      </c>
      <c r="R3835" t="s">
        <v>2436</v>
      </c>
    </row>
    <row r="3836" spans="1:18" x14ac:dyDescent="0.5">
      <c r="A3836" t="str">
        <f>"04636NAB9"</f>
        <v>04636NAB9</v>
      </c>
      <c r="B3836" t="s">
        <v>101</v>
      </c>
      <c r="C3836" t="s">
        <v>4766</v>
      </c>
      <c r="D3836" t="s">
        <v>2433</v>
      </c>
      <c r="E3836">
        <v>2.25</v>
      </c>
      <c r="F3836" s="2">
        <v>47996</v>
      </c>
      <c r="G3836" s="2">
        <v>47907</v>
      </c>
      <c r="H3836" t="s">
        <v>641</v>
      </c>
      <c r="I3836" t="s">
        <v>658</v>
      </c>
      <c r="J3836">
        <v>86.8</v>
      </c>
      <c r="K3836">
        <v>86.988</v>
      </c>
      <c r="L3836">
        <v>4.7270000000000003</v>
      </c>
      <c r="M3836">
        <v>4.6879999999999997</v>
      </c>
      <c r="N3836">
        <v>4.6879999999999997</v>
      </c>
      <c r="O3836" t="s">
        <v>101</v>
      </c>
      <c r="P3836" t="s">
        <v>2042</v>
      </c>
      <c r="Q3836" t="s">
        <v>2581</v>
      </c>
      <c r="R3836" t="s">
        <v>2436</v>
      </c>
    </row>
    <row r="3837" spans="1:18" x14ac:dyDescent="0.5">
      <c r="A3837" t="str">
        <f>"25161FCD8"</f>
        <v>25161FCD8</v>
      </c>
      <c r="B3837" t="s">
        <v>101</v>
      </c>
      <c r="C3837" t="s">
        <v>4767</v>
      </c>
      <c r="D3837" t="s">
        <v>2433</v>
      </c>
      <c r="E3837">
        <v>5.625</v>
      </c>
      <c r="F3837" s="2">
        <v>47998</v>
      </c>
      <c r="G3837" s="2">
        <v>46173</v>
      </c>
      <c r="H3837" t="s">
        <v>641</v>
      </c>
      <c r="I3837" t="s">
        <v>611</v>
      </c>
      <c r="J3837">
        <v>97.31</v>
      </c>
      <c r="K3837">
        <v>100.729</v>
      </c>
      <c r="L3837">
        <v>6.1470000000000002</v>
      </c>
      <c r="M3837">
        <v>4.9930000000000003</v>
      </c>
      <c r="N3837">
        <v>5.4829999999999997</v>
      </c>
      <c r="O3837" t="s">
        <v>101</v>
      </c>
      <c r="P3837" t="s">
        <v>2289</v>
      </c>
      <c r="Q3837" t="s">
        <v>4768</v>
      </c>
      <c r="R3837" t="s">
        <v>2436</v>
      </c>
    </row>
    <row r="3838" spans="1:18" x14ac:dyDescent="0.5">
      <c r="A3838" t="str">
        <f>"03040WAY1"</f>
        <v>03040WAY1</v>
      </c>
      <c r="B3838" t="s">
        <v>101</v>
      </c>
      <c r="C3838" t="s">
        <v>4769</v>
      </c>
      <c r="D3838" t="s">
        <v>2433</v>
      </c>
      <c r="E3838">
        <v>2.2999999999999998</v>
      </c>
      <c r="F3838" s="2">
        <v>48000</v>
      </c>
      <c r="G3838" s="2">
        <v>47908</v>
      </c>
      <c r="H3838" t="s">
        <v>670</v>
      </c>
      <c r="I3838" t="s">
        <v>611</v>
      </c>
      <c r="J3838">
        <v>85.838999999999999</v>
      </c>
      <c r="K3838">
        <v>86.269000000000005</v>
      </c>
      <c r="L3838">
        <v>4.9749999999999996</v>
      </c>
      <c r="M3838">
        <v>4.8860000000000001</v>
      </c>
      <c r="N3838">
        <v>4.8860000000000001</v>
      </c>
      <c r="O3838" t="s">
        <v>101</v>
      </c>
      <c r="P3838" t="s">
        <v>3075</v>
      </c>
      <c r="Q3838" t="s">
        <v>1702</v>
      </c>
      <c r="R3838" t="s">
        <v>2436</v>
      </c>
    </row>
    <row r="3839" spans="1:18" x14ac:dyDescent="0.5">
      <c r="A3839" t="str">
        <f>"29364WAX6"</f>
        <v>29364WAX6</v>
      </c>
      <c r="B3839" t="s">
        <v>101</v>
      </c>
      <c r="C3839" t="s">
        <v>4770</v>
      </c>
      <c r="D3839" t="s">
        <v>2433</v>
      </c>
      <c r="E3839">
        <v>3.05</v>
      </c>
      <c r="F3839" s="2">
        <v>48000</v>
      </c>
      <c r="G3839" s="2">
        <v>47908</v>
      </c>
      <c r="H3839" t="s">
        <v>610</v>
      </c>
      <c r="I3839" t="s">
        <v>611</v>
      </c>
      <c r="J3839">
        <v>90.427000000000007</v>
      </c>
      <c r="K3839">
        <v>90.825999999999993</v>
      </c>
      <c r="L3839">
        <v>4.851</v>
      </c>
      <c r="M3839">
        <v>4.7709999999999999</v>
      </c>
      <c r="N3839">
        <v>4.7709999999999999</v>
      </c>
      <c r="O3839" t="s">
        <v>101</v>
      </c>
      <c r="P3839" t="s">
        <v>3939</v>
      </c>
      <c r="Q3839" t="s">
        <v>2747</v>
      </c>
      <c r="R3839" t="s">
        <v>2436</v>
      </c>
    </row>
    <row r="3840" spans="1:18" x14ac:dyDescent="0.5">
      <c r="A3840" t="str">
        <f>"369550BP2"</f>
        <v>369550BP2</v>
      </c>
      <c r="B3840" t="s">
        <v>101</v>
      </c>
      <c r="C3840" t="s">
        <v>4771</v>
      </c>
      <c r="D3840" t="s">
        <v>2433</v>
      </c>
      <c r="E3840">
        <v>2.25</v>
      </c>
      <c r="F3840" s="2">
        <v>48000</v>
      </c>
      <c r="G3840" s="2">
        <v>47908</v>
      </c>
      <c r="H3840" t="s">
        <v>610</v>
      </c>
      <c r="I3840" t="s">
        <v>611</v>
      </c>
      <c r="J3840">
        <v>86.805999999999997</v>
      </c>
      <c r="K3840">
        <v>87.072999999999993</v>
      </c>
      <c r="L3840">
        <v>4.7220000000000004</v>
      </c>
      <c r="M3840">
        <v>4.6680000000000001</v>
      </c>
      <c r="N3840">
        <v>4.6680000000000001</v>
      </c>
      <c r="O3840" t="s">
        <v>101</v>
      </c>
      <c r="P3840" t="s">
        <v>3878</v>
      </c>
      <c r="Q3840" t="s">
        <v>2564</v>
      </c>
      <c r="R3840" t="s">
        <v>2436</v>
      </c>
    </row>
    <row r="3841" spans="1:18" x14ac:dyDescent="0.5">
      <c r="A3841" t="str">
        <f>"478160CV4"</f>
        <v>478160CV4</v>
      </c>
      <c r="B3841" t="s">
        <v>101</v>
      </c>
      <c r="C3841" t="s">
        <v>4772</v>
      </c>
      <c r="D3841" t="s">
        <v>2433</v>
      </c>
      <c r="E3841">
        <v>4.9000000000000004</v>
      </c>
      <c r="F3841" s="2">
        <v>48000</v>
      </c>
      <c r="G3841" s="2">
        <v>47939</v>
      </c>
      <c r="H3841" t="s">
        <v>104</v>
      </c>
      <c r="I3841" t="s">
        <v>104</v>
      </c>
      <c r="J3841">
        <v>101.875</v>
      </c>
      <c r="K3841">
        <v>101.997</v>
      </c>
      <c r="L3841">
        <v>4.5419999999999998</v>
      </c>
      <c r="M3841">
        <v>4.5190000000000001</v>
      </c>
      <c r="N3841">
        <v>4.5270000000000001</v>
      </c>
      <c r="O3841" t="s">
        <v>101</v>
      </c>
      <c r="P3841" t="s">
        <v>2438</v>
      </c>
      <c r="Q3841" t="s">
        <v>4773</v>
      </c>
      <c r="R3841" t="s">
        <v>2436</v>
      </c>
    </row>
    <row r="3842" spans="1:18" x14ac:dyDescent="0.5">
      <c r="A3842" t="str">
        <f>"842400HD8"</f>
        <v>842400HD8</v>
      </c>
      <c r="B3842" t="s">
        <v>101</v>
      </c>
      <c r="C3842" t="s">
        <v>4774</v>
      </c>
      <c r="D3842" t="s">
        <v>2433</v>
      </c>
      <c r="E3842">
        <v>2.5</v>
      </c>
      <c r="F3842" s="2">
        <v>48000</v>
      </c>
      <c r="G3842" s="2">
        <v>47908</v>
      </c>
      <c r="H3842" t="s">
        <v>610</v>
      </c>
      <c r="I3842" t="s">
        <v>713</v>
      </c>
      <c r="J3842">
        <v>85.238</v>
      </c>
      <c r="K3842">
        <v>85.497</v>
      </c>
      <c r="L3842">
        <v>5.3179999999999996</v>
      </c>
      <c r="M3842">
        <v>5.2640000000000002</v>
      </c>
      <c r="N3842">
        <v>5.2640000000000002</v>
      </c>
      <c r="O3842" t="s">
        <v>101</v>
      </c>
      <c r="P3842" t="s">
        <v>1391</v>
      </c>
      <c r="Q3842" t="s">
        <v>2507</v>
      </c>
      <c r="R3842" t="s">
        <v>2436</v>
      </c>
    </row>
    <row r="3843" spans="1:18" x14ac:dyDescent="0.5">
      <c r="A3843" t="str">
        <f>"842400JE4"</f>
        <v>842400JE4</v>
      </c>
      <c r="B3843" t="s">
        <v>101</v>
      </c>
      <c r="C3843" t="s">
        <v>4775</v>
      </c>
      <c r="D3843" t="s">
        <v>2433</v>
      </c>
      <c r="E3843">
        <v>5.45</v>
      </c>
      <c r="F3843" s="2">
        <v>48000</v>
      </c>
      <c r="G3843" s="2">
        <v>47939</v>
      </c>
      <c r="H3843" t="s">
        <v>610</v>
      </c>
      <c r="I3843" t="s">
        <v>713</v>
      </c>
      <c r="J3843">
        <v>100.68</v>
      </c>
      <c r="K3843">
        <v>101.07599999999999</v>
      </c>
      <c r="L3843">
        <v>5.3170000000000002</v>
      </c>
      <c r="M3843">
        <v>5.24</v>
      </c>
      <c r="N3843">
        <v>5.2430000000000003</v>
      </c>
      <c r="O3843" t="s">
        <v>101</v>
      </c>
      <c r="P3843" t="s">
        <v>3939</v>
      </c>
      <c r="Q3843" t="s">
        <v>3160</v>
      </c>
      <c r="R3843" t="s">
        <v>2436</v>
      </c>
    </row>
    <row r="3844" spans="1:18" x14ac:dyDescent="0.5">
      <c r="A3844" t="str">
        <f>"961214ET6"</f>
        <v>961214ET6</v>
      </c>
      <c r="B3844" t="s">
        <v>101</v>
      </c>
      <c r="C3844" t="s">
        <v>4776</v>
      </c>
      <c r="D3844" t="s">
        <v>2433</v>
      </c>
      <c r="E3844">
        <v>2.15</v>
      </c>
      <c r="F3844" s="2">
        <v>48002</v>
      </c>
      <c r="G3844" s="2" t="s">
        <v>101</v>
      </c>
      <c r="H3844" t="s">
        <v>613</v>
      </c>
      <c r="I3844" t="s">
        <v>616</v>
      </c>
      <c r="J3844">
        <v>86.42</v>
      </c>
      <c r="K3844">
        <v>86.646000000000001</v>
      </c>
      <c r="L3844">
        <v>4.6900000000000004</v>
      </c>
      <c r="M3844">
        <v>4.6440000000000001</v>
      </c>
      <c r="N3844">
        <v>4.6440000000000001</v>
      </c>
      <c r="O3844" t="s">
        <v>101</v>
      </c>
      <c r="P3844" t="s">
        <v>4569</v>
      </c>
      <c r="Q3844" t="s">
        <v>2795</v>
      </c>
      <c r="R3844" t="s">
        <v>2436</v>
      </c>
    </row>
    <row r="3845" spans="1:18" x14ac:dyDescent="0.5">
      <c r="A3845" t="str">
        <f>"06368L3L8"</f>
        <v>06368L3L8</v>
      </c>
      <c r="B3845" t="s">
        <v>101</v>
      </c>
      <c r="C3845" t="s">
        <v>4777</v>
      </c>
      <c r="D3845" t="s">
        <v>2433</v>
      </c>
      <c r="E3845">
        <v>5.5110000000000001</v>
      </c>
      <c r="F3845" s="2">
        <v>48003</v>
      </c>
      <c r="G3845" s="2">
        <v>47942</v>
      </c>
      <c r="H3845" t="s">
        <v>610</v>
      </c>
      <c r="I3845" t="s">
        <v>713</v>
      </c>
      <c r="J3845">
        <v>102.502</v>
      </c>
      <c r="K3845">
        <v>102.756</v>
      </c>
      <c r="L3845">
        <v>5.0259999999999998</v>
      </c>
      <c r="M3845">
        <v>4.9779999999999998</v>
      </c>
      <c r="N3845">
        <v>4.9889999999999999</v>
      </c>
      <c r="O3845" t="s">
        <v>101</v>
      </c>
      <c r="P3845" t="s">
        <v>2454</v>
      </c>
      <c r="Q3845" t="s">
        <v>2454</v>
      </c>
      <c r="R3845" t="s">
        <v>2436</v>
      </c>
    </row>
    <row r="3846" spans="1:18" x14ac:dyDescent="0.5">
      <c r="A3846" t="str">
        <f>"25161FCW6"</f>
        <v>25161FCW6</v>
      </c>
      <c r="B3846" t="s">
        <v>101</v>
      </c>
      <c r="C3846" t="s">
        <v>4778</v>
      </c>
      <c r="D3846" t="s">
        <v>2433</v>
      </c>
      <c r="E3846">
        <v>5.65</v>
      </c>
      <c r="F3846" s="2">
        <v>48012</v>
      </c>
      <c r="G3846" s="2">
        <v>46187</v>
      </c>
      <c r="H3846" t="s">
        <v>641</v>
      </c>
      <c r="I3846" t="s">
        <v>611</v>
      </c>
      <c r="J3846">
        <v>98.5</v>
      </c>
      <c r="K3846">
        <v>100.905</v>
      </c>
      <c r="L3846">
        <v>5.9390000000000001</v>
      </c>
      <c r="M3846">
        <v>4.891</v>
      </c>
      <c r="N3846">
        <v>5.4749999999999996</v>
      </c>
      <c r="O3846" t="s">
        <v>101</v>
      </c>
      <c r="P3846" t="s">
        <v>2438</v>
      </c>
      <c r="Q3846" t="s">
        <v>722</v>
      </c>
      <c r="R3846" t="s">
        <v>2726</v>
      </c>
    </row>
    <row r="3847" spans="1:18" x14ac:dyDescent="0.5">
      <c r="A3847" t="str">
        <f>"04621WAD2"</f>
        <v>04621WAD2</v>
      </c>
      <c r="B3847" t="s">
        <v>101</v>
      </c>
      <c r="C3847" t="s">
        <v>4779</v>
      </c>
      <c r="D3847" t="s">
        <v>2433</v>
      </c>
      <c r="E3847">
        <v>3.15</v>
      </c>
      <c r="F3847" s="2">
        <v>48014</v>
      </c>
      <c r="G3847" s="2">
        <v>47922</v>
      </c>
      <c r="H3847" t="s">
        <v>670</v>
      </c>
      <c r="I3847" t="s">
        <v>611</v>
      </c>
      <c r="J3847">
        <v>89.567999999999998</v>
      </c>
      <c r="K3847">
        <v>89.822000000000003</v>
      </c>
      <c r="L3847">
        <v>5.1180000000000003</v>
      </c>
      <c r="M3847">
        <v>5.0670000000000002</v>
      </c>
      <c r="N3847">
        <v>5.0670000000000002</v>
      </c>
      <c r="O3847" t="s">
        <v>101</v>
      </c>
      <c r="P3847" t="s">
        <v>1702</v>
      </c>
      <c r="Q3847" t="s">
        <v>1702</v>
      </c>
      <c r="R3847" t="s">
        <v>2436</v>
      </c>
    </row>
    <row r="3848" spans="1:18" x14ac:dyDescent="0.5">
      <c r="A3848" t="str">
        <f>"059165EN6"</f>
        <v>059165EN6</v>
      </c>
      <c r="B3848" t="s">
        <v>101</v>
      </c>
      <c r="C3848" t="s">
        <v>4780</v>
      </c>
      <c r="D3848" t="s">
        <v>2433</v>
      </c>
      <c r="E3848">
        <v>2.25</v>
      </c>
      <c r="F3848" s="2">
        <v>48014</v>
      </c>
      <c r="G3848" s="2">
        <v>47922</v>
      </c>
      <c r="H3848" t="s">
        <v>627</v>
      </c>
      <c r="I3848" t="s">
        <v>611</v>
      </c>
      <c r="J3848">
        <v>86.126999999999995</v>
      </c>
      <c r="K3848">
        <v>86.472999999999999</v>
      </c>
      <c r="L3848">
        <v>4.8460000000000001</v>
      </c>
      <c r="M3848">
        <v>4.7750000000000004</v>
      </c>
      <c r="N3848">
        <v>4.7750000000000004</v>
      </c>
      <c r="O3848" t="s">
        <v>101</v>
      </c>
      <c r="P3848" t="s">
        <v>4569</v>
      </c>
      <c r="Q3848" t="s">
        <v>2454</v>
      </c>
      <c r="R3848" t="s">
        <v>2436</v>
      </c>
    </row>
    <row r="3849" spans="1:18" x14ac:dyDescent="0.5">
      <c r="A3849" t="str">
        <f>"209111GA5"</f>
        <v>209111GA5</v>
      </c>
      <c r="B3849" t="s">
        <v>101</v>
      </c>
      <c r="C3849" t="s">
        <v>4781</v>
      </c>
      <c r="D3849" t="s">
        <v>2433</v>
      </c>
      <c r="E3849">
        <v>2.4</v>
      </c>
      <c r="F3849" s="2">
        <v>48014</v>
      </c>
      <c r="G3849" s="2">
        <v>47922</v>
      </c>
      <c r="H3849" t="s">
        <v>627</v>
      </c>
      <c r="I3849" t="s">
        <v>713</v>
      </c>
      <c r="J3849">
        <v>87.271000000000001</v>
      </c>
      <c r="K3849">
        <v>87.617999999999995</v>
      </c>
      <c r="L3849">
        <v>4.7759999999999998</v>
      </c>
      <c r="M3849">
        <v>4.7069999999999999</v>
      </c>
      <c r="N3849">
        <v>4.7069999999999999</v>
      </c>
      <c r="O3849" t="s">
        <v>101</v>
      </c>
      <c r="P3849" t="s">
        <v>3878</v>
      </c>
      <c r="Q3849" t="s">
        <v>3411</v>
      </c>
      <c r="R3849" t="s">
        <v>2436</v>
      </c>
    </row>
    <row r="3850" spans="1:18" x14ac:dyDescent="0.5">
      <c r="A3850" t="str">
        <f>"45866FBA1"</f>
        <v>45866FBA1</v>
      </c>
      <c r="B3850" t="s">
        <v>101</v>
      </c>
      <c r="C3850" t="s">
        <v>4782</v>
      </c>
      <c r="D3850" t="s">
        <v>2433</v>
      </c>
      <c r="E3850">
        <v>5.25</v>
      </c>
      <c r="F3850" s="2">
        <v>48014</v>
      </c>
      <c r="G3850" s="2">
        <v>47953</v>
      </c>
      <c r="H3850" t="s">
        <v>627</v>
      </c>
      <c r="I3850" t="s">
        <v>713</v>
      </c>
      <c r="J3850">
        <v>102.101</v>
      </c>
      <c r="K3850">
        <v>102.31100000000001</v>
      </c>
      <c r="L3850">
        <v>4.8470000000000004</v>
      </c>
      <c r="M3850">
        <v>4.8070000000000004</v>
      </c>
      <c r="N3850">
        <v>4.8159999999999998</v>
      </c>
      <c r="O3850" t="s">
        <v>101</v>
      </c>
      <c r="P3850" t="s">
        <v>2581</v>
      </c>
      <c r="Q3850" t="s">
        <v>1702</v>
      </c>
      <c r="R3850" t="s">
        <v>2436</v>
      </c>
    </row>
    <row r="3851" spans="1:18" x14ac:dyDescent="0.5">
      <c r="A3851" t="str">
        <f>"637432NX9"</f>
        <v>637432NX9</v>
      </c>
      <c r="B3851" t="s">
        <v>101</v>
      </c>
      <c r="C3851" t="s">
        <v>4783</v>
      </c>
      <c r="D3851" t="s">
        <v>2433</v>
      </c>
      <c r="E3851">
        <v>1.65</v>
      </c>
      <c r="F3851" s="2">
        <v>48014</v>
      </c>
      <c r="G3851" s="2">
        <v>47922</v>
      </c>
      <c r="H3851" t="s">
        <v>641</v>
      </c>
      <c r="I3851" t="s">
        <v>713</v>
      </c>
      <c r="J3851">
        <v>82.176000000000002</v>
      </c>
      <c r="K3851">
        <v>83.021000000000001</v>
      </c>
      <c r="L3851">
        <v>5.0019999999999998</v>
      </c>
      <c r="M3851">
        <v>4.8250000000000002</v>
      </c>
      <c r="N3851">
        <v>4.8250000000000002</v>
      </c>
      <c r="O3851" t="s">
        <v>101</v>
      </c>
      <c r="P3851" t="s">
        <v>1702</v>
      </c>
      <c r="Q3851" t="s">
        <v>1702</v>
      </c>
      <c r="R3851" t="s">
        <v>2436</v>
      </c>
    </row>
    <row r="3852" spans="1:18" x14ac:dyDescent="0.5">
      <c r="A3852" t="str">
        <f>"67066GAN4"</f>
        <v>67066GAN4</v>
      </c>
      <c r="B3852" t="s">
        <v>101</v>
      </c>
      <c r="C3852" t="s">
        <v>4784</v>
      </c>
      <c r="D3852" t="s">
        <v>2433</v>
      </c>
      <c r="E3852">
        <v>2</v>
      </c>
      <c r="F3852" s="2">
        <v>48014</v>
      </c>
      <c r="G3852" s="2">
        <v>47922</v>
      </c>
      <c r="H3852" t="s">
        <v>624</v>
      </c>
      <c r="I3852" t="s">
        <v>616</v>
      </c>
      <c r="J3852">
        <v>86.358000000000004</v>
      </c>
      <c r="K3852">
        <v>86.671999999999997</v>
      </c>
      <c r="L3852">
        <v>4.5270000000000001</v>
      </c>
      <c r="M3852">
        <v>4.4640000000000004</v>
      </c>
      <c r="N3852">
        <v>4.4640000000000004</v>
      </c>
      <c r="O3852" t="s">
        <v>101</v>
      </c>
      <c r="P3852" t="s">
        <v>2765</v>
      </c>
      <c r="Q3852" t="s">
        <v>2454</v>
      </c>
      <c r="R3852" t="s">
        <v>2436</v>
      </c>
    </row>
    <row r="3853" spans="1:18" x14ac:dyDescent="0.5">
      <c r="A3853" t="str">
        <f>"744448CV1"</f>
        <v>744448CV1</v>
      </c>
      <c r="B3853" t="s">
        <v>101</v>
      </c>
      <c r="C3853" t="s">
        <v>4785</v>
      </c>
      <c r="D3853" t="s">
        <v>2433</v>
      </c>
      <c r="E3853">
        <v>1.875</v>
      </c>
      <c r="F3853" s="2">
        <v>48014</v>
      </c>
      <c r="G3853" s="2">
        <v>47832</v>
      </c>
      <c r="H3853" t="s">
        <v>641</v>
      </c>
      <c r="I3853" t="s">
        <v>611</v>
      </c>
      <c r="J3853">
        <v>83.644000000000005</v>
      </c>
      <c r="K3853">
        <v>84.031999999999996</v>
      </c>
      <c r="L3853">
        <v>4.9450000000000003</v>
      </c>
      <c r="M3853">
        <v>4.8650000000000002</v>
      </c>
      <c r="N3853">
        <v>4.8650000000000002</v>
      </c>
      <c r="O3853" t="s">
        <v>101</v>
      </c>
      <c r="P3853" t="s">
        <v>4569</v>
      </c>
      <c r="Q3853" t="s">
        <v>2454</v>
      </c>
      <c r="R3853" t="s">
        <v>2436</v>
      </c>
    </row>
    <row r="3854" spans="1:18" x14ac:dyDescent="0.5">
      <c r="A3854" t="str">
        <f>"744538AE9"</f>
        <v>744538AE9</v>
      </c>
      <c r="B3854" t="s">
        <v>101</v>
      </c>
      <c r="C3854" t="s">
        <v>4786</v>
      </c>
      <c r="D3854" t="s">
        <v>2433</v>
      </c>
      <c r="E3854">
        <v>2.2000000000000002</v>
      </c>
      <c r="F3854" s="2">
        <v>48014</v>
      </c>
      <c r="G3854" s="2">
        <v>47922</v>
      </c>
      <c r="H3854" t="s">
        <v>641</v>
      </c>
      <c r="I3854" t="s">
        <v>611</v>
      </c>
      <c r="J3854">
        <v>86.126000000000005</v>
      </c>
      <c r="K3854">
        <v>86.554000000000002</v>
      </c>
      <c r="L3854">
        <v>4.7919999999999998</v>
      </c>
      <c r="M3854">
        <v>4.7050000000000001</v>
      </c>
      <c r="N3854">
        <v>4.7050000000000001</v>
      </c>
      <c r="O3854" t="s">
        <v>101</v>
      </c>
      <c r="P3854" t="s">
        <v>3878</v>
      </c>
      <c r="Q3854" t="s">
        <v>3411</v>
      </c>
      <c r="R3854" t="s">
        <v>2436</v>
      </c>
    </row>
    <row r="3855" spans="1:18" x14ac:dyDescent="0.5">
      <c r="A3855" t="str">
        <f>"24422EVS5"</f>
        <v>24422EVS5</v>
      </c>
      <c r="B3855" t="s">
        <v>101</v>
      </c>
      <c r="C3855" t="s">
        <v>4787</v>
      </c>
      <c r="D3855" t="s">
        <v>2433</v>
      </c>
      <c r="E3855">
        <v>2</v>
      </c>
      <c r="F3855" s="2">
        <v>48016</v>
      </c>
      <c r="G3855" s="2">
        <v>47924</v>
      </c>
      <c r="H3855" t="s">
        <v>641</v>
      </c>
      <c r="I3855" t="s">
        <v>611</v>
      </c>
      <c r="J3855">
        <v>85.492000000000004</v>
      </c>
      <c r="K3855">
        <v>85.817999999999998</v>
      </c>
      <c r="L3855">
        <v>4.7</v>
      </c>
      <c r="M3855">
        <v>4.6340000000000003</v>
      </c>
      <c r="N3855">
        <v>4.6340000000000003</v>
      </c>
      <c r="O3855" t="s">
        <v>101</v>
      </c>
      <c r="P3855" t="s">
        <v>790</v>
      </c>
      <c r="Q3855" t="s">
        <v>858</v>
      </c>
      <c r="R3855" t="s">
        <v>2436</v>
      </c>
    </row>
    <row r="3856" spans="1:18" x14ac:dyDescent="0.5">
      <c r="A3856" t="str">
        <f>"437076DD1"</f>
        <v>437076DD1</v>
      </c>
      <c r="B3856" t="s">
        <v>101</v>
      </c>
      <c r="C3856" t="s">
        <v>4788</v>
      </c>
      <c r="D3856" t="s">
        <v>2433</v>
      </c>
      <c r="E3856">
        <v>4.8499999999999996</v>
      </c>
      <c r="F3856" s="2">
        <v>48024</v>
      </c>
      <c r="G3856" s="2">
        <v>47963</v>
      </c>
      <c r="H3856" t="s">
        <v>610</v>
      </c>
      <c r="I3856" t="s">
        <v>611</v>
      </c>
      <c r="J3856">
        <v>100.803</v>
      </c>
      <c r="K3856">
        <v>100.85599999999999</v>
      </c>
      <c r="L3856">
        <v>4.6970000000000001</v>
      </c>
      <c r="M3856">
        <v>4.6870000000000003</v>
      </c>
      <c r="N3856">
        <v>4.6900000000000004</v>
      </c>
      <c r="O3856" t="s">
        <v>101</v>
      </c>
      <c r="P3856" t="s">
        <v>2472</v>
      </c>
      <c r="Q3856" t="s">
        <v>2447</v>
      </c>
      <c r="R3856" t="s">
        <v>2436</v>
      </c>
    </row>
    <row r="3857" spans="1:18" x14ac:dyDescent="0.5">
      <c r="A3857" t="str">
        <f>"207597EN1"</f>
        <v>207597EN1</v>
      </c>
      <c r="B3857" t="s">
        <v>101</v>
      </c>
      <c r="C3857" t="s">
        <v>4789</v>
      </c>
      <c r="D3857" t="s">
        <v>2433</v>
      </c>
      <c r="E3857">
        <v>2.0499999999999998</v>
      </c>
      <c r="F3857" s="2">
        <v>48030</v>
      </c>
      <c r="G3857" s="2">
        <v>47939</v>
      </c>
      <c r="H3857" t="s">
        <v>641</v>
      </c>
      <c r="I3857" t="s">
        <v>611</v>
      </c>
      <c r="J3857">
        <v>84.793000000000006</v>
      </c>
      <c r="K3857">
        <v>85.228999999999999</v>
      </c>
      <c r="L3857">
        <v>4.8810000000000002</v>
      </c>
      <c r="M3857">
        <v>4.7930000000000001</v>
      </c>
      <c r="N3857">
        <v>4.7930000000000001</v>
      </c>
      <c r="O3857" t="s">
        <v>101</v>
      </c>
      <c r="P3857" t="s">
        <v>4569</v>
      </c>
      <c r="Q3857" t="s">
        <v>3178</v>
      </c>
      <c r="R3857" t="s">
        <v>2436</v>
      </c>
    </row>
    <row r="3858" spans="1:18" x14ac:dyDescent="0.5">
      <c r="A3858" t="str">
        <f>"94106LBY4"</f>
        <v>94106LBY4</v>
      </c>
      <c r="B3858" t="s">
        <v>101</v>
      </c>
      <c r="C3858" t="s">
        <v>4790</v>
      </c>
      <c r="D3858" t="s">
        <v>2433</v>
      </c>
      <c r="E3858">
        <v>4.95</v>
      </c>
      <c r="F3858" s="2">
        <v>48032</v>
      </c>
      <c r="G3858" s="2">
        <v>47971</v>
      </c>
      <c r="H3858" t="s">
        <v>627</v>
      </c>
      <c r="I3858" t="s">
        <v>713</v>
      </c>
      <c r="J3858">
        <v>100.828</v>
      </c>
      <c r="K3858">
        <v>101.068</v>
      </c>
      <c r="L3858">
        <v>4.7919999999999998</v>
      </c>
      <c r="M3858">
        <v>4.7469999999999999</v>
      </c>
      <c r="N3858">
        <v>4.7510000000000003</v>
      </c>
      <c r="O3858" t="s">
        <v>101</v>
      </c>
      <c r="P3858" t="s">
        <v>1702</v>
      </c>
      <c r="Q3858" t="s">
        <v>3241</v>
      </c>
      <c r="R3858" t="s">
        <v>2436</v>
      </c>
    </row>
    <row r="3859" spans="1:18" x14ac:dyDescent="0.5">
      <c r="A3859" t="str">
        <f>"86562MDN7"</f>
        <v>86562MDN7</v>
      </c>
      <c r="B3859" t="s">
        <v>101</v>
      </c>
      <c r="C3859" t="s">
        <v>4791</v>
      </c>
      <c r="D3859" t="s">
        <v>2433</v>
      </c>
      <c r="E3859">
        <v>5.4240000000000004</v>
      </c>
      <c r="F3859" s="2">
        <v>48038</v>
      </c>
      <c r="G3859" s="2" t="s">
        <v>101</v>
      </c>
      <c r="H3859" t="s">
        <v>641</v>
      </c>
      <c r="I3859" t="s">
        <v>713</v>
      </c>
      <c r="J3859">
        <v>102.166</v>
      </c>
      <c r="K3859">
        <v>102.414</v>
      </c>
      <c r="L3859">
        <v>5.0190000000000001</v>
      </c>
      <c r="M3859">
        <v>4.9729999999999999</v>
      </c>
      <c r="N3859">
        <v>4.9729999999999999</v>
      </c>
      <c r="O3859" t="s">
        <v>101</v>
      </c>
      <c r="P3859" t="s">
        <v>542</v>
      </c>
      <c r="Q3859" t="s">
        <v>228</v>
      </c>
      <c r="R3859" t="s">
        <v>2436</v>
      </c>
    </row>
    <row r="3860" spans="1:18" x14ac:dyDescent="0.5">
      <c r="A3860" t="str">
        <f>"02665WFL0"</f>
        <v>02665WFL0</v>
      </c>
      <c r="B3860" t="s">
        <v>101</v>
      </c>
      <c r="C3860" t="s">
        <v>4792</v>
      </c>
      <c r="D3860" t="s">
        <v>2433</v>
      </c>
      <c r="E3860">
        <v>5.05</v>
      </c>
      <c r="F3860" s="2">
        <v>48039</v>
      </c>
      <c r="G3860" s="2" t="s">
        <v>101</v>
      </c>
      <c r="H3860" t="s">
        <v>627</v>
      </c>
      <c r="I3860" t="s">
        <v>713</v>
      </c>
      <c r="J3860">
        <v>100.20099999999999</v>
      </c>
      <c r="K3860">
        <v>100.70699999999999</v>
      </c>
      <c r="L3860">
        <v>5.0110000000000001</v>
      </c>
      <c r="M3860">
        <v>4.9169999999999998</v>
      </c>
      <c r="N3860">
        <v>4.9169999999999998</v>
      </c>
      <c r="O3860" t="s">
        <v>101</v>
      </c>
      <c r="P3860" t="s">
        <v>4433</v>
      </c>
      <c r="Q3860" t="s">
        <v>1999</v>
      </c>
      <c r="R3860" t="s">
        <v>2436</v>
      </c>
    </row>
    <row r="3861" spans="1:18" x14ac:dyDescent="0.5">
      <c r="A3861" t="str">
        <f>"05964HBG9"</f>
        <v>05964HBG9</v>
      </c>
      <c r="B3861" t="s">
        <v>101</v>
      </c>
      <c r="C3861" t="s">
        <v>4793</v>
      </c>
      <c r="D3861" t="s">
        <v>2433</v>
      </c>
      <c r="E3861">
        <v>5.4390000000000001</v>
      </c>
      <c r="F3861" s="2">
        <v>48044</v>
      </c>
      <c r="G3861" s="2" t="s">
        <v>101</v>
      </c>
      <c r="H3861" t="s">
        <v>610</v>
      </c>
      <c r="I3861" t="s">
        <v>658</v>
      </c>
      <c r="J3861">
        <v>101.82</v>
      </c>
      <c r="K3861">
        <v>102.02</v>
      </c>
      <c r="L3861">
        <v>5.0979999999999999</v>
      </c>
      <c r="M3861">
        <v>5.0609999999999999</v>
      </c>
      <c r="N3861">
        <v>5.0609999999999999</v>
      </c>
      <c r="O3861" t="s">
        <v>101</v>
      </c>
      <c r="P3861" t="s">
        <v>542</v>
      </c>
      <c r="Q3861" t="s">
        <v>542</v>
      </c>
      <c r="R3861" t="s">
        <v>2436</v>
      </c>
    </row>
    <row r="3862" spans="1:18" x14ac:dyDescent="0.5">
      <c r="A3862" t="str">
        <f>"79466LAJ3"</f>
        <v>79466LAJ3</v>
      </c>
      <c r="B3862" t="s">
        <v>101</v>
      </c>
      <c r="C3862" t="s">
        <v>4794</v>
      </c>
      <c r="D3862" t="s">
        <v>2433</v>
      </c>
      <c r="E3862">
        <v>1.95</v>
      </c>
      <c r="F3862" s="2">
        <v>48044</v>
      </c>
      <c r="G3862" s="2">
        <v>47953</v>
      </c>
      <c r="H3862" t="s">
        <v>641</v>
      </c>
      <c r="I3862" t="s">
        <v>658</v>
      </c>
      <c r="J3862">
        <v>85.341999999999999</v>
      </c>
      <c r="K3862">
        <v>85.515000000000001</v>
      </c>
      <c r="L3862">
        <v>4.6449999999999996</v>
      </c>
      <c r="M3862">
        <v>4.6100000000000003</v>
      </c>
      <c r="N3862">
        <v>4.6100000000000003</v>
      </c>
      <c r="O3862" t="s">
        <v>101</v>
      </c>
      <c r="P3862" t="s">
        <v>4569</v>
      </c>
      <c r="Q3862" t="s">
        <v>3481</v>
      </c>
      <c r="R3862" t="s">
        <v>2436</v>
      </c>
    </row>
    <row r="3863" spans="1:18" x14ac:dyDescent="0.5">
      <c r="A3863" t="str">
        <f>"87612EAF3"</f>
        <v>87612EAF3</v>
      </c>
      <c r="B3863" t="s">
        <v>101</v>
      </c>
      <c r="C3863" t="s">
        <v>4795</v>
      </c>
      <c r="D3863" t="s">
        <v>2433</v>
      </c>
      <c r="E3863">
        <v>7</v>
      </c>
      <c r="F3863" s="2">
        <v>48044</v>
      </c>
      <c r="G3863" s="2" t="s">
        <v>101</v>
      </c>
      <c r="H3863" t="s">
        <v>610</v>
      </c>
      <c r="I3863" t="s">
        <v>611</v>
      </c>
      <c r="J3863">
        <v>111.646</v>
      </c>
      <c r="K3863">
        <v>112.554</v>
      </c>
      <c r="L3863">
        <v>4.843</v>
      </c>
      <c r="M3863">
        <v>4.6870000000000003</v>
      </c>
      <c r="N3863">
        <v>4.6870000000000003</v>
      </c>
      <c r="O3863" t="s">
        <v>101</v>
      </c>
      <c r="P3863" t="s">
        <v>2438</v>
      </c>
      <c r="Q3863" t="s">
        <v>4796</v>
      </c>
      <c r="R3863" t="s">
        <v>2436</v>
      </c>
    </row>
    <row r="3864" spans="1:18" x14ac:dyDescent="0.5">
      <c r="A3864" t="str">
        <f>"06406RAW7"</f>
        <v>06406RAW7</v>
      </c>
      <c r="B3864" t="s">
        <v>101</v>
      </c>
      <c r="C3864" t="s">
        <v>4797</v>
      </c>
      <c r="D3864" t="s">
        <v>2433</v>
      </c>
      <c r="E3864">
        <v>1.8</v>
      </c>
      <c r="F3864" s="2">
        <v>48057</v>
      </c>
      <c r="G3864" s="2">
        <v>47966</v>
      </c>
      <c r="H3864" t="s">
        <v>624</v>
      </c>
      <c r="I3864" t="s">
        <v>611</v>
      </c>
      <c r="J3864">
        <v>84.472999999999999</v>
      </c>
      <c r="K3864">
        <v>84.784000000000006</v>
      </c>
      <c r="L3864">
        <v>4.6399999999999997</v>
      </c>
      <c r="M3864">
        <v>4.5780000000000003</v>
      </c>
      <c r="N3864">
        <v>4.5780000000000003</v>
      </c>
      <c r="O3864" t="s">
        <v>101</v>
      </c>
      <c r="P3864" t="s">
        <v>2289</v>
      </c>
      <c r="Q3864" t="s">
        <v>2566</v>
      </c>
      <c r="R3864" t="s">
        <v>2436</v>
      </c>
    </row>
    <row r="3865" spans="1:18" x14ac:dyDescent="0.5">
      <c r="A3865" t="str">
        <f>"0641594B9"</f>
        <v>0641594B9</v>
      </c>
      <c r="B3865" t="s">
        <v>101</v>
      </c>
      <c r="C3865" t="s">
        <v>4798</v>
      </c>
      <c r="D3865" t="s">
        <v>2433</v>
      </c>
      <c r="E3865">
        <v>2.15</v>
      </c>
      <c r="F3865" s="2">
        <v>48061</v>
      </c>
      <c r="G3865" s="2" t="s">
        <v>101</v>
      </c>
      <c r="H3865" t="s">
        <v>610</v>
      </c>
      <c r="I3865" t="s">
        <v>713</v>
      </c>
      <c r="J3865">
        <v>84.731999999999999</v>
      </c>
      <c r="K3865">
        <v>84.867000000000004</v>
      </c>
      <c r="L3865">
        <v>4.9690000000000003</v>
      </c>
      <c r="M3865">
        <v>4.9420000000000002</v>
      </c>
      <c r="N3865">
        <v>4.9420000000000002</v>
      </c>
      <c r="O3865" t="s">
        <v>101</v>
      </c>
      <c r="P3865" t="s">
        <v>3932</v>
      </c>
      <c r="Q3865" t="s">
        <v>2454</v>
      </c>
      <c r="R3865" t="s">
        <v>2436</v>
      </c>
    </row>
    <row r="3866" spans="1:18" x14ac:dyDescent="0.5">
      <c r="A3866" t="str">
        <f>"26884ABN2"</f>
        <v>26884ABN2</v>
      </c>
      <c r="B3866" t="s">
        <v>101</v>
      </c>
      <c r="C3866" t="s">
        <v>4799</v>
      </c>
      <c r="D3866" t="s">
        <v>2433</v>
      </c>
      <c r="E3866">
        <v>1.85</v>
      </c>
      <c r="F3866" s="2">
        <v>48061</v>
      </c>
      <c r="G3866" s="2">
        <v>47969</v>
      </c>
      <c r="H3866" t="s">
        <v>627</v>
      </c>
      <c r="I3866" t="s">
        <v>713</v>
      </c>
      <c r="J3866">
        <v>83.97</v>
      </c>
      <c r="K3866">
        <v>84.34</v>
      </c>
      <c r="L3866">
        <v>4.7930000000000001</v>
      </c>
      <c r="M3866">
        <v>4.718</v>
      </c>
      <c r="N3866">
        <v>4.718</v>
      </c>
      <c r="O3866" t="s">
        <v>101</v>
      </c>
      <c r="P3866" t="s">
        <v>1702</v>
      </c>
      <c r="Q3866" t="s">
        <v>2507</v>
      </c>
      <c r="R3866" t="s">
        <v>2436</v>
      </c>
    </row>
    <row r="3867" spans="1:18" x14ac:dyDescent="0.5">
      <c r="A3867" t="str">
        <f>"037833EJ5"</f>
        <v>037833EJ5</v>
      </c>
      <c r="B3867" t="s">
        <v>101</v>
      </c>
      <c r="C3867" t="s">
        <v>4800</v>
      </c>
      <c r="D3867" t="s">
        <v>2433</v>
      </c>
      <c r="E3867">
        <v>1.7</v>
      </c>
      <c r="F3867" s="2">
        <v>48065</v>
      </c>
      <c r="G3867" s="2">
        <v>47973</v>
      </c>
      <c r="H3867" t="s">
        <v>104</v>
      </c>
      <c r="I3867" t="s">
        <v>509</v>
      </c>
      <c r="J3867">
        <v>84.662000000000006</v>
      </c>
      <c r="K3867">
        <v>84.95</v>
      </c>
      <c r="L3867">
        <v>4.484</v>
      </c>
      <c r="M3867">
        <v>4.4269999999999996</v>
      </c>
      <c r="N3867">
        <v>4.4269999999999996</v>
      </c>
      <c r="O3867" t="s">
        <v>101</v>
      </c>
      <c r="P3867" t="s">
        <v>4616</v>
      </c>
      <c r="Q3867" t="s">
        <v>2454</v>
      </c>
      <c r="R3867" t="s">
        <v>2436</v>
      </c>
    </row>
    <row r="3868" spans="1:18" x14ac:dyDescent="0.5">
      <c r="A3868" t="str">
        <f>"904764BQ9"</f>
        <v>904764BQ9</v>
      </c>
      <c r="B3868" t="s">
        <v>101</v>
      </c>
      <c r="C3868" t="s">
        <v>4801</v>
      </c>
      <c r="D3868" t="s">
        <v>2433</v>
      </c>
      <c r="E3868">
        <v>1.75</v>
      </c>
      <c r="F3868" s="2">
        <v>48072</v>
      </c>
      <c r="G3868" s="2">
        <v>47980</v>
      </c>
      <c r="H3868" t="s">
        <v>641</v>
      </c>
      <c r="I3868" t="s">
        <v>658</v>
      </c>
      <c r="J3868">
        <v>84.426000000000002</v>
      </c>
      <c r="K3868">
        <v>84.777000000000001</v>
      </c>
      <c r="L3868">
        <v>4.5780000000000003</v>
      </c>
      <c r="M3868">
        <v>4.508</v>
      </c>
      <c r="N3868">
        <v>4.508</v>
      </c>
      <c r="O3868" t="s">
        <v>101</v>
      </c>
      <c r="P3868" t="s">
        <v>4170</v>
      </c>
      <c r="Q3868" t="s">
        <v>2635</v>
      </c>
      <c r="R3868" t="s">
        <v>2436</v>
      </c>
    </row>
    <row r="3869" spans="1:18" x14ac:dyDescent="0.5">
      <c r="A3869" t="str">
        <f>"12201PAB2"</f>
        <v>12201PAB2</v>
      </c>
      <c r="B3869" t="s">
        <v>101</v>
      </c>
      <c r="C3869" t="s">
        <v>4802</v>
      </c>
      <c r="D3869" t="s">
        <v>2433</v>
      </c>
      <c r="E3869">
        <v>7.2</v>
      </c>
      <c r="F3869" s="2">
        <v>48075</v>
      </c>
      <c r="G3869" s="2" t="s">
        <v>101</v>
      </c>
      <c r="H3869" t="s">
        <v>610</v>
      </c>
      <c r="I3869" t="s">
        <v>713</v>
      </c>
      <c r="J3869">
        <v>112.619</v>
      </c>
      <c r="K3869">
        <v>113.026</v>
      </c>
      <c r="L3869">
        <v>4.8869999999999996</v>
      </c>
      <c r="M3869">
        <v>4.8179999999999996</v>
      </c>
      <c r="N3869">
        <v>4.8179999999999996</v>
      </c>
      <c r="O3869" t="s">
        <v>101</v>
      </c>
      <c r="P3869" t="s">
        <v>858</v>
      </c>
      <c r="Q3869" t="s">
        <v>2507</v>
      </c>
      <c r="R3869" t="s">
        <v>2436</v>
      </c>
    </row>
    <row r="3870" spans="1:18" x14ac:dyDescent="0.5">
      <c r="A3870" t="str">
        <f>"26442UAL8"</f>
        <v>26442UAL8</v>
      </c>
      <c r="B3870" t="s">
        <v>101</v>
      </c>
      <c r="C3870" t="s">
        <v>4803</v>
      </c>
      <c r="D3870" t="s">
        <v>2433</v>
      </c>
      <c r="E3870">
        <v>2</v>
      </c>
      <c r="F3870" s="2">
        <v>48075</v>
      </c>
      <c r="G3870" s="2">
        <v>47983</v>
      </c>
      <c r="H3870" t="s">
        <v>624</v>
      </c>
      <c r="I3870" t="s">
        <v>611</v>
      </c>
      <c r="J3870">
        <v>84.394999999999996</v>
      </c>
      <c r="K3870">
        <v>84.674999999999997</v>
      </c>
      <c r="L3870">
        <v>4.8559999999999999</v>
      </c>
      <c r="M3870">
        <v>4.8</v>
      </c>
      <c r="N3870">
        <v>4.8</v>
      </c>
      <c r="O3870" t="s">
        <v>101</v>
      </c>
      <c r="P3870" t="s">
        <v>4569</v>
      </c>
      <c r="Q3870" t="s">
        <v>1702</v>
      </c>
      <c r="R3870" t="s">
        <v>2436</v>
      </c>
    </row>
    <row r="3871" spans="1:18" x14ac:dyDescent="0.5">
      <c r="A3871" t="str">
        <f>"30303M8T2"</f>
        <v>30303M8T2</v>
      </c>
      <c r="B3871" t="s">
        <v>101</v>
      </c>
      <c r="C3871" t="s">
        <v>4804</v>
      </c>
      <c r="D3871" t="s">
        <v>2433</v>
      </c>
      <c r="E3871">
        <v>4.55</v>
      </c>
      <c r="F3871" s="2">
        <v>48075</v>
      </c>
      <c r="G3871" s="2">
        <v>48014</v>
      </c>
      <c r="H3871" t="s">
        <v>624</v>
      </c>
      <c r="I3871" t="s">
        <v>616</v>
      </c>
      <c r="J3871">
        <v>99.385000000000005</v>
      </c>
      <c r="K3871">
        <v>99.566000000000003</v>
      </c>
      <c r="L3871">
        <v>4.6609999999999996</v>
      </c>
      <c r="M3871">
        <v>4.6280000000000001</v>
      </c>
      <c r="N3871">
        <v>4.6280000000000001</v>
      </c>
      <c r="O3871" t="s">
        <v>101</v>
      </c>
      <c r="P3871" t="s">
        <v>2765</v>
      </c>
      <c r="Q3871" t="s">
        <v>2454</v>
      </c>
      <c r="R3871" t="s">
        <v>2436</v>
      </c>
    </row>
    <row r="3872" spans="1:18" x14ac:dyDescent="0.5">
      <c r="A3872" t="str">
        <f>"67021CAR8"</f>
        <v>67021CAR8</v>
      </c>
      <c r="B3872" t="s">
        <v>101</v>
      </c>
      <c r="C3872" t="s">
        <v>4805</v>
      </c>
      <c r="D3872" t="s">
        <v>2433</v>
      </c>
      <c r="E3872">
        <v>1.95</v>
      </c>
      <c r="F3872" s="2">
        <v>48075</v>
      </c>
      <c r="G3872" s="2">
        <v>47983</v>
      </c>
      <c r="H3872" t="s">
        <v>610</v>
      </c>
      <c r="I3872" t="s">
        <v>713</v>
      </c>
      <c r="J3872">
        <v>83.834999999999994</v>
      </c>
      <c r="K3872">
        <v>84.358000000000004</v>
      </c>
      <c r="L3872">
        <v>4.9139999999999997</v>
      </c>
      <c r="M3872">
        <v>4.8090000000000002</v>
      </c>
      <c r="N3872">
        <v>4.8090000000000002</v>
      </c>
      <c r="O3872" t="s">
        <v>101</v>
      </c>
      <c r="P3872" t="s">
        <v>3878</v>
      </c>
      <c r="Q3872" t="s">
        <v>2566</v>
      </c>
      <c r="R3872" t="s">
        <v>2436</v>
      </c>
    </row>
    <row r="3873" spans="1:18" x14ac:dyDescent="0.5">
      <c r="A3873" t="str">
        <f>"74456QCH7"</f>
        <v>74456QCH7</v>
      </c>
      <c r="B3873" t="s">
        <v>101</v>
      </c>
      <c r="C3873" t="s">
        <v>4806</v>
      </c>
      <c r="D3873" t="s">
        <v>2433</v>
      </c>
      <c r="E3873">
        <v>1.9</v>
      </c>
      <c r="F3873" s="2">
        <v>48075</v>
      </c>
      <c r="G3873" s="2">
        <v>47983</v>
      </c>
      <c r="H3873" t="s">
        <v>641</v>
      </c>
      <c r="I3873" t="s">
        <v>611</v>
      </c>
      <c r="J3873">
        <v>84.022999999999996</v>
      </c>
      <c r="K3873">
        <v>84.369</v>
      </c>
      <c r="L3873">
        <v>4.8209999999999997</v>
      </c>
      <c r="M3873">
        <v>4.7510000000000003</v>
      </c>
      <c r="N3873">
        <v>4.7510000000000003</v>
      </c>
      <c r="O3873" t="s">
        <v>101</v>
      </c>
      <c r="P3873" t="s">
        <v>3878</v>
      </c>
      <c r="Q3873" t="s">
        <v>2747</v>
      </c>
      <c r="R3873" t="s">
        <v>2436</v>
      </c>
    </row>
    <row r="3874" spans="1:18" x14ac:dyDescent="0.5">
      <c r="A3874" t="str">
        <f>"773903AL3"</f>
        <v>773903AL3</v>
      </c>
      <c r="B3874" t="s">
        <v>101</v>
      </c>
      <c r="C3874" t="s">
        <v>4807</v>
      </c>
      <c r="D3874" t="s">
        <v>2433</v>
      </c>
      <c r="E3874">
        <v>1.75</v>
      </c>
      <c r="F3874" s="2">
        <v>48075</v>
      </c>
      <c r="G3874" s="2">
        <v>47983</v>
      </c>
      <c r="H3874" t="s">
        <v>627</v>
      </c>
      <c r="I3874" t="s">
        <v>713</v>
      </c>
      <c r="J3874">
        <v>83.753</v>
      </c>
      <c r="K3874">
        <v>84.051000000000002</v>
      </c>
      <c r="L3874">
        <v>4.71</v>
      </c>
      <c r="M3874">
        <v>4.6500000000000004</v>
      </c>
      <c r="N3874">
        <v>4.6500000000000004</v>
      </c>
      <c r="O3874" t="s">
        <v>101</v>
      </c>
      <c r="P3874" t="s">
        <v>1391</v>
      </c>
      <c r="Q3874" t="s">
        <v>2747</v>
      </c>
      <c r="R3874" t="s">
        <v>2436</v>
      </c>
    </row>
    <row r="3875" spans="1:18" x14ac:dyDescent="0.5">
      <c r="A3875" t="str">
        <f>"717081FB4"</f>
        <v>717081FB4</v>
      </c>
      <c r="B3875" t="s">
        <v>101</v>
      </c>
      <c r="C3875" t="s">
        <v>4808</v>
      </c>
      <c r="D3875" t="s">
        <v>2433</v>
      </c>
      <c r="E3875">
        <v>1.75</v>
      </c>
      <c r="F3875" s="2">
        <v>48078</v>
      </c>
      <c r="G3875" s="2">
        <v>47986</v>
      </c>
      <c r="H3875" t="s">
        <v>610</v>
      </c>
      <c r="I3875" t="s">
        <v>611</v>
      </c>
      <c r="J3875">
        <v>84.215000000000003</v>
      </c>
      <c r="K3875">
        <v>84.456000000000003</v>
      </c>
      <c r="L3875">
        <v>4.6139999999999999</v>
      </c>
      <c r="M3875">
        <v>4.5650000000000004</v>
      </c>
      <c r="N3875">
        <v>4.5650000000000004</v>
      </c>
      <c r="O3875" t="s">
        <v>101</v>
      </c>
      <c r="P3875" t="s">
        <v>1391</v>
      </c>
      <c r="Q3875" t="s">
        <v>3178</v>
      </c>
      <c r="R3875" t="s">
        <v>2436</v>
      </c>
    </row>
    <row r="3876" spans="1:18" x14ac:dyDescent="0.5">
      <c r="A3876" t="str">
        <f>"03740LAA0"</f>
        <v>03740LAA0</v>
      </c>
      <c r="B3876" t="s">
        <v>101</v>
      </c>
      <c r="C3876" t="s">
        <v>4809</v>
      </c>
      <c r="D3876" t="s">
        <v>2433</v>
      </c>
      <c r="E3876">
        <v>2.0499999999999998</v>
      </c>
      <c r="F3876" s="2">
        <v>48083</v>
      </c>
      <c r="G3876" s="2">
        <v>47991</v>
      </c>
      <c r="H3876" t="s">
        <v>677</v>
      </c>
      <c r="I3876" t="s">
        <v>713</v>
      </c>
      <c r="J3876">
        <v>84.554000000000002</v>
      </c>
      <c r="K3876">
        <v>84.722999999999999</v>
      </c>
      <c r="L3876">
        <v>4.87</v>
      </c>
      <c r="M3876">
        <v>4.8360000000000003</v>
      </c>
      <c r="N3876">
        <v>4.8360000000000003</v>
      </c>
      <c r="O3876" t="s">
        <v>101</v>
      </c>
      <c r="P3876" t="s">
        <v>2447</v>
      </c>
      <c r="Q3876" t="s">
        <v>2447</v>
      </c>
      <c r="R3876" t="s">
        <v>2436</v>
      </c>
    </row>
    <row r="3877" spans="1:18" x14ac:dyDescent="0.5">
      <c r="A3877" t="str">
        <f>"48130CRF4"</f>
        <v>48130CRF4</v>
      </c>
      <c r="B3877" t="s">
        <v>101</v>
      </c>
      <c r="C3877" t="s">
        <v>4810</v>
      </c>
      <c r="D3877" t="s">
        <v>2433</v>
      </c>
      <c r="E3877">
        <v>5</v>
      </c>
      <c r="F3877" s="2">
        <v>48089</v>
      </c>
      <c r="G3877" s="2">
        <v>46263</v>
      </c>
      <c r="H3877" t="s">
        <v>641</v>
      </c>
      <c r="I3877" t="s">
        <v>611</v>
      </c>
      <c r="J3877">
        <v>98.65</v>
      </c>
      <c r="K3877">
        <v>99.319000000000003</v>
      </c>
      <c r="L3877">
        <v>5.2480000000000002</v>
      </c>
      <c r="M3877">
        <v>5.1239999999999997</v>
      </c>
      <c r="N3877">
        <v>5.125</v>
      </c>
      <c r="O3877" t="s">
        <v>101</v>
      </c>
      <c r="P3877" t="s">
        <v>2595</v>
      </c>
      <c r="Q3877" t="s">
        <v>2790</v>
      </c>
      <c r="R3877" t="s">
        <v>2436</v>
      </c>
    </row>
    <row r="3878" spans="1:18" x14ac:dyDescent="0.5">
      <c r="A3878" t="str">
        <f>"438516CF1"</f>
        <v>438516CF1</v>
      </c>
      <c r="B3878" t="s">
        <v>101</v>
      </c>
      <c r="C3878" t="s">
        <v>4811</v>
      </c>
      <c r="D3878" t="s">
        <v>2433</v>
      </c>
      <c r="E3878">
        <v>1.75</v>
      </c>
      <c r="F3878" s="2">
        <v>48092</v>
      </c>
      <c r="G3878" s="2">
        <v>48000</v>
      </c>
      <c r="H3878" t="s">
        <v>610</v>
      </c>
      <c r="I3878" t="s">
        <v>611</v>
      </c>
      <c r="J3878">
        <v>83.058999999999997</v>
      </c>
      <c r="K3878">
        <v>83.248999999999995</v>
      </c>
      <c r="L3878">
        <v>4.83</v>
      </c>
      <c r="M3878">
        <v>4.7919999999999998</v>
      </c>
      <c r="N3878">
        <v>4.7919999999999998</v>
      </c>
      <c r="O3878" t="s">
        <v>101</v>
      </c>
      <c r="P3878" t="s">
        <v>2438</v>
      </c>
      <c r="Q3878" t="s">
        <v>2454</v>
      </c>
      <c r="R3878" t="s">
        <v>2436</v>
      </c>
    </row>
    <row r="3879" spans="1:18" x14ac:dyDescent="0.5">
      <c r="A3879" t="str">
        <f>"438516CR5"</f>
        <v>438516CR5</v>
      </c>
      <c r="B3879" t="s">
        <v>101</v>
      </c>
      <c r="C3879" t="s">
        <v>4812</v>
      </c>
      <c r="D3879" t="s">
        <v>2433</v>
      </c>
      <c r="E3879">
        <v>4.95</v>
      </c>
      <c r="F3879" s="2">
        <v>48092</v>
      </c>
      <c r="G3879" s="2">
        <v>48030</v>
      </c>
      <c r="H3879" t="s">
        <v>610</v>
      </c>
      <c r="I3879" t="s">
        <v>611</v>
      </c>
      <c r="J3879">
        <v>100.839</v>
      </c>
      <c r="K3879">
        <v>101.18600000000001</v>
      </c>
      <c r="L3879">
        <v>4.7949999999999999</v>
      </c>
      <c r="M3879">
        <v>4.7309999999999999</v>
      </c>
      <c r="N3879">
        <v>4.7350000000000003</v>
      </c>
      <c r="O3879" t="s">
        <v>101</v>
      </c>
      <c r="P3879" t="s">
        <v>1702</v>
      </c>
      <c r="Q3879" t="s">
        <v>2564</v>
      </c>
      <c r="R3879" t="s">
        <v>2436</v>
      </c>
    </row>
    <row r="3880" spans="1:18" x14ac:dyDescent="0.5">
      <c r="A3880" t="str">
        <f>"06048WN55"</f>
        <v>06048WN55</v>
      </c>
      <c r="B3880" t="s">
        <v>101</v>
      </c>
      <c r="C3880" t="s">
        <v>4813</v>
      </c>
      <c r="D3880" t="s">
        <v>2433</v>
      </c>
      <c r="E3880">
        <v>2</v>
      </c>
      <c r="F3880" s="2">
        <v>48093</v>
      </c>
      <c r="G3880" s="2">
        <v>45902</v>
      </c>
      <c r="H3880" t="s">
        <v>641</v>
      </c>
      <c r="I3880" t="s">
        <v>713</v>
      </c>
      <c r="J3880">
        <v>82.25</v>
      </c>
      <c r="K3880">
        <v>83.5</v>
      </c>
      <c r="L3880">
        <v>5.2729999999999997</v>
      </c>
      <c r="M3880">
        <v>5.0170000000000003</v>
      </c>
      <c r="N3880">
        <v>5.0170000000000003</v>
      </c>
      <c r="O3880" t="s">
        <v>101</v>
      </c>
      <c r="P3880" t="s">
        <v>1236</v>
      </c>
      <c r="Q3880" t="s">
        <v>4814</v>
      </c>
      <c r="R3880" t="s">
        <v>2436</v>
      </c>
    </row>
    <row r="3881" spans="1:18" x14ac:dyDescent="0.5">
      <c r="A3881" t="str">
        <f>"24422EXX2"</f>
        <v>24422EXX2</v>
      </c>
      <c r="B3881" t="s">
        <v>101</v>
      </c>
      <c r="C3881" t="s">
        <v>4815</v>
      </c>
      <c r="D3881" t="s">
        <v>2433</v>
      </c>
      <c r="E3881">
        <v>4.4000000000000004</v>
      </c>
      <c r="F3881" s="2">
        <v>48099</v>
      </c>
      <c r="G3881" s="2" t="s">
        <v>105</v>
      </c>
      <c r="H3881" t="s">
        <v>641</v>
      </c>
      <c r="I3881" t="s">
        <v>611</v>
      </c>
      <c r="J3881">
        <v>98.174000000000007</v>
      </c>
      <c r="K3881">
        <v>98.427999999999997</v>
      </c>
      <c r="L3881">
        <v>4.7300000000000004</v>
      </c>
      <c r="M3881">
        <v>4.6840000000000002</v>
      </c>
      <c r="N3881">
        <v>4.6840000000000002</v>
      </c>
      <c r="O3881" t="s">
        <v>101</v>
      </c>
      <c r="P3881" t="s">
        <v>3939</v>
      </c>
      <c r="Q3881" t="s">
        <v>2507</v>
      </c>
      <c r="R3881" t="s">
        <v>2713</v>
      </c>
    </row>
    <row r="3882" spans="1:18" x14ac:dyDescent="0.5">
      <c r="A3882" t="str">
        <f>"89114TZJ4"</f>
        <v>89114TZJ4</v>
      </c>
      <c r="B3882" t="s">
        <v>101</v>
      </c>
      <c r="C3882" t="s">
        <v>4816</v>
      </c>
      <c r="D3882" t="s">
        <v>2433</v>
      </c>
      <c r="E3882">
        <v>2</v>
      </c>
      <c r="F3882" s="2">
        <v>48101</v>
      </c>
      <c r="G3882" s="2" t="s">
        <v>101</v>
      </c>
      <c r="H3882" t="s">
        <v>610</v>
      </c>
      <c r="I3882" t="s">
        <v>713</v>
      </c>
      <c r="J3882">
        <v>84.555000000000007</v>
      </c>
      <c r="K3882">
        <v>84.819000000000003</v>
      </c>
      <c r="L3882">
        <v>4.7960000000000003</v>
      </c>
      <c r="M3882">
        <v>4.7430000000000003</v>
      </c>
      <c r="N3882">
        <v>4.7430000000000003</v>
      </c>
      <c r="O3882" t="s">
        <v>101</v>
      </c>
      <c r="P3882" t="s">
        <v>1702</v>
      </c>
      <c r="Q3882" t="s">
        <v>2454</v>
      </c>
      <c r="R3882" t="s">
        <v>2436</v>
      </c>
    </row>
    <row r="3883" spans="1:18" x14ac:dyDescent="0.5">
      <c r="A3883" t="str">
        <f>"89236TJQ9"</f>
        <v>89236TJQ9</v>
      </c>
      <c r="B3883" t="s">
        <v>101</v>
      </c>
      <c r="C3883" t="s">
        <v>4817</v>
      </c>
      <c r="D3883" t="s">
        <v>2433</v>
      </c>
      <c r="E3883">
        <v>1.9</v>
      </c>
      <c r="F3883" s="2">
        <v>48103</v>
      </c>
      <c r="G3883" s="2" t="s">
        <v>101</v>
      </c>
      <c r="H3883" t="s">
        <v>641</v>
      </c>
      <c r="I3883" t="s">
        <v>658</v>
      </c>
      <c r="J3883">
        <v>83.581000000000003</v>
      </c>
      <c r="K3883">
        <v>84.105000000000004</v>
      </c>
      <c r="L3883">
        <v>4.8780000000000001</v>
      </c>
      <c r="M3883">
        <v>4.7729999999999997</v>
      </c>
      <c r="N3883">
        <v>4.7729999999999997</v>
      </c>
      <c r="O3883" t="s">
        <v>101</v>
      </c>
      <c r="P3883" t="s">
        <v>2595</v>
      </c>
      <c r="Q3883" t="s">
        <v>2940</v>
      </c>
      <c r="R3883" t="s">
        <v>2436</v>
      </c>
    </row>
    <row r="3884" spans="1:18" x14ac:dyDescent="0.5">
      <c r="A3884" t="str">
        <f>"032095AL5"</f>
        <v>032095AL5</v>
      </c>
      <c r="B3884" t="s">
        <v>101</v>
      </c>
      <c r="C3884" t="s">
        <v>4818</v>
      </c>
      <c r="D3884" t="s">
        <v>2433</v>
      </c>
      <c r="E3884">
        <v>2.2000000000000002</v>
      </c>
      <c r="F3884" s="2">
        <v>48106</v>
      </c>
      <c r="G3884" s="2">
        <v>48014</v>
      </c>
      <c r="H3884" t="s">
        <v>627</v>
      </c>
      <c r="I3884" t="s">
        <v>713</v>
      </c>
      <c r="J3884">
        <v>85.066000000000003</v>
      </c>
      <c r="K3884">
        <v>85.275999999999996</v>
      </c>
      <c r="L3884">
        <v>4.9080000000000004</v>
      </c>
      <c r="M3884">
        <v>4.867</v>
      </c>
      <c r="N3884">
        <v>4.867</v>
      </c>
      <c r="O3884" t="s">
        <v>101</v>
      </c>
      <c r="P3884" t="s">
        <v>3878</v>
      </c>
      <c r="Q3884" t="s">
        <v>2581</v>
      </c>
      <c r="R3884" t="s">
        <v>2436</v>
      </c>
    </row>
    <row r="3885" spans="1:18" x14ac:dyDescent="0.5">
      <c r="A3885" t="str">
        <f>"437076CJ9"</f>
        <v>437076CJ9</v>
      </c>
      <c r="B3885" t="s">
        <v>101</v>
      </c>
      <c r="C3885" t="s">
        <v>4819</v>
      </c>
      <c r="D3885" t="s">
        <v>2433</v>
      </c>
      <c r="E3885">
        <v>1.875</v>
      </c>
      <c r="F3885" s="2">
        <v>48106</v>
      </c>
      <c r="G3885" s="2">
        <v>48014</v>
      </c>
      <c r="H3885" t="s">
        <v>610</v>
      </c>
      <c r="I3885" t="s">
        <v>611</v>
      </c>
      <c r="J3885">
        <v>83.733000000000004</v>
      </c>
      <c r="K3885">
        <v>83.903999999999996</v>
      </c>
      <c r="L3885">
        <v>4.8159999999999998</v>
      </c>
      <c r="M3885">
        <v>4.782</v>
      </c>
      <c r="N3885">
        <v>4.782</v>
      </c>
      <c r="O3885" t="s">
        <v>101</v>
      </c>
      <c r="P3885" t="s">
        <v>2454</v>
      </c>
      <c r="Q3885" t="s">
        <v>2447</v>
      </c>
      <c r="R3885" t="s">
        <v>2436</v>
      </c>
    </row>
    <row r="3886" spans="1:18" x14ac:dyDescent="0.5">
      <c r="A3886" t="str">
        <f>"882508BL7"</f>
        <v>882508BL7</v>
      </c>
      <c r="B3886" t="s">
        <v>101</v>
      </c>
      <c r="C3886" t="s">
        <v>4820</v>
      </c>
      <c r="D3886" t="s">
        <v>2433</v>
      </c>
      <c r="E3886">
        <v>1.9</v>
      </c>
      <c r="F3886" s="2">
        <v>48106</v>
      </c>
      <c r="G3886" s="2">
        <v>48014</v>
      </c>
      <c r="H3886" t="s">
        <v>624</v>
      </c>
      <c r="I3886" t="s">
        <v>658</v>
      </c>
      <c r="J3886">
        <v>85.093999999999994</v>
      </c>
      <c r="K3886">
        <v>85.373999999999995</v>
      </c>
      <c r="L3886">
        <v>4.5739999999999998</v>
      </c>
      <c r="M3886">
        <v>4.5190000000000001</v>
      </c>
      <c r="N3886">
        <v>4.5190000000000001</v>
      </c>
      <c r="O3886" t="s">
        <v>101</v>
      </c>
      <c r="P3886" t="s">
        <v>2765</v>
      </c>
      <c r="Q3886" t="s">
        <v>2564</v>
      </c>
      <c r="R3886" t="s">
        <v>2436</v>
      </c>
    </row>
    <row r="3887" spans="1:18" x14ac:dyDescent="0.5">
      <c r="A3887" t="str">
        <f>"976826BP1"</f>
        <v>976826BP1</v>
      </c>
      <c r="B3887" t="s">
        <v>101</v>
      </c>
      <c r="C3887" t="s">
        <v>4821</v>
      </c>
      <c r="D3887" t="s">
        <v>2433</v>
      </c>
      <c r="E3887">
        <v>1.95</v>
      </c>
      <c r="F3887" s="2">
        <v>48107</v>
      </c>
      <c r="G3887" s="2">
        <v>48015</v>
      </c>
      <c r="H3887" t="s">
        <v>670</v>
      </c>
      <c r="I3887" t="s">
        <v>713</v>
      </c>
      <c r="J3887">
        <v>83.489000000000004</v>
      </c>
      <c r="K3887">
        <v>84.111999999999995</v>
      </c>
      <c r="L3887">
        <v>4.9470000000000001</v>
      </c>
      <c r="M3887">
        <v>4.8220000000000001</v>
      </c>
      <c r="N3887">
        <v>4.8220000000000001</v>
      </c>
      <c r="O3887" t="s">
        <v>101</v>
      </c>
      <c r="P3887" t="s">
        <v>2566</v>
      </c>
      <c r="Q3887" t="s">
        <v>1702</v>
      </c>
      <c r="R3887" t="s">
        <v>2436</v>
      </c>
    </row>
    <row r="3888" spans="1:18" x14ac:dyDescent="0.5">
      <c r="A3888" t="str">
        <f>"4581X0ER5"</f>
        <v>4581X0ER5</v>
      </c>
      <c r="B3888" t="s">
        <v>101</v>
      </c>
      <c r="C3888" t="s">
        <v>4822</v>
      </c>
      <c r="D3888" t="s">
        <v>2433</v>
      </c>
      <c r="E3888">
        <v>3.625</v>
      </c>
      <c r="F3888" s="2">
        <v>48108</v>
      </c>
      <c r="G3888" s="2" t="s">
        <v>105</v>
      </c>
      <c r="H3888" t="s">
        <v>104</v>
      </c>
      <c r="I3888" t="s">
        <v>104</v>
      </c>
      <c r="J3888">
        <v>95.87</v>
      </c>
      <c r="K3888">
        <v>96.995999999999995</v>
      </c>
      <c r="L3888">
        <v>4.3600000000000003</v>
      </c>
      <c r="M3888">
        <v>4.1559999999999997</v>
      </c>
      <c r="N3888">
        <v>4.1559999999999997</v>
      </c>
      <c r="O3888" t="s">
        <v>101</v>
      </c>
      <c r="P3888" t="s">
        <v>2618</v>
      </c>
      <c r="Q3888" t="s">
        <v>2618</v>
      </c>
      <c r="R3888" t="s">
        <v>2713</v>
      </c>
    </row>
    <row r="3889" spans="1:18" x14ac:dyDescent="0.5">
      <c r="A3889" t="str">
        <f>"86562MCJ7"</f>
        <v>86562MCJ7</v>
      </c>
      <c r="B3889" t="s">
        <v>101</v>
      </c>
      <c r="C3889" t="s">
        <v>4823</v>
      </c>
      <c r="D3889" t="s">
        <v>2433</v>
      </c>
      <c r="E3889">
        <v>2.222</v>
      </c>
      <c r="F3889" s="2">
        <v>48108</v>
      </c>
      <c r="G3889" s="2" t="s">
        <v>101</v>
      </c>
      <c r="H3889" t="s">
        <v>641</v>
      </c>
      <c r="I3889" t="s">
        <v>713</v>
      </c>
      <c r="J3889">
        <v>84.588999999999999</v>
      </c>
      <c r="K3889">
        <v>84.873999999999995</v>
      </c>
      <c r="L3889">
        <v>5.024</v>
      </c>
      <c r="M3889">
        <v>4.9690000000000003</v>
      </c>
      <c r="N3889">
        <v>4.9690000000000003</v>
      </c>
      <c r="O3889" t="s">
        <v>101</v>
      </c>
      <c r="P3889" t="s">
        <v>228</v>
      </c>
      <c r="Q3889" t="s">
        <v>542</v>
      </c>
      <c r="R3889" t="s">
        <v>2436</v>
      </c>
    </row>
    <row r="3890" spans="1:18" x14ac:dyDescent="0.5">
      <c r="A3890" t="str">
        <f>"66989HAU2"</f>
        <v>66989HAU2</v>
      </c>
      <c r="B3890" t="s">
        <v>101</v>
      </c>
      <c r="C3890" t="s">
        <v>4824</v>
      </c>
      <c r="D3890" t="s">
        <v>2433</v>
      </c>
      <c r="E3890">
        <v>4</v>
      </c>
      <c r="F3890" s="2">
        <v>48109</v>
      </c>
      <c r="G3890" s="2">
        <v>48047</v>
      </c>
      <c r="H3890" t="s">
        <v>624</v>
      </c>
      <c r="I3890" t="s">
        <v>616</v>
      </c>
      <c r="J3890">
        <v>96.793999999999997</v>
      </c>
      <c r="K3890">
        <v>97.052999999999997</v>
      </c>
      <c r="L3890">
        <v>4.5739999999999998</v>
      </c>
      <c r="M3890">
        <v>4.5270000000000001</v>
      </c>
      <c r="N3890">
        <v>4.5270000000000001</v>
      </c>
      <c r="O3890" t="s">
        <v>101</v>
      </c>
      <c r="P3890" t="s">
        <v>2581</v>
      </c>
      <c r="Q3890" t="s">
        <v>2454</v>
      </c>
      <c r="R3890" t="s">
        <v>2726</v>
      </c>
    </row>
    <row r="3891" spans="1:18" x14ac:dyDescent="0.5">
      <c r="A3891" t="str">
        <f>"931142ET6"</f>
        <v>931142ET6</v>
      </c>
      <c r="B3891" t="s">
        <v>101</v>
      </c>
      <c r="C3891" t="s">
        <v>4825</v>
      </c>
      <c r="D3891" t="s">
        <v>2433</v>
      </c>
      <c r="E3891">
        <v>1.8</v>
      </c>
      <c r="F3891" s="2">
        <v>48113</v>
      </c>
      <c r="G3891" s="2">
        <v>48021</v>
      </c>
      <c r="H3891" t="s">
        <v>613</v>
      </c>
      <c r="I3891" t="s">
        <v>628</v>
      </c>
      <c r="J3891">
        <v>85.093000000000004</v>
      </c>
      <c r="K3891">
        <v>85.247</v>
      </c>
      <c r="L3891">
        <v>4.4569999999999999</v>
      </c>
      <c r="M3891">
        <v>4.4269999999999996</v>
      </c>
      <c r="N3891">
        <v>4.4269999999999996</v>
      </c>
      <c r="O3891" t="s">
        <v>101</v>
      </c>
      <c r="P3891" t="s">
        <v>2472</v>
      </c>
      <c r="Q3891" t="s">
        <v>2447</v>
      </c>
      <c r="R3891" t="s">
        <v>2436</v>
      </c>
    </row>
    <row r="3892" spans="1:18" x14ac:dyDescent="0.5">
      <c r="A3892" t="str">
        <f>"06048WN97"</f>
        <v>06048WN97</v>
      </c>
      <c r="B3892" t="s">
        <v>101</v>
      </c>
      <c r="C3892" t="s">
        <v>4826</v>
      </c>
      <c r="D3892" t="s">
        <v>2433</v>
      </c>
      <c r="E3892">
        <v>2</v>
      </c>
      <c r="F3892" s="2">
        <v>48114</v>
      </c>
      <c r="G3892" s="2">
        <v>45739</v>
      </c>
      <c r="H3892" t="s">
        <v>641</v>
      </c>
      <c r="I3892" t="s">
        <v>713</v>
      </c>
      <c r="J3892">
        <v>82.766999999999996</v>
      </c>
      <c r="K3892">
        <v>84.32</v>
      </c>
      <c r="L3892">
        <v>5.14</v>
      </c>
      <c r="M3892">
        <v>4.8280000000000003</v>
      </c>
      <c r="N3892">
        <v>4.8280000000000003</v>
      </c>
      <c r="O3892" t="s">
        <v>101</v>
      </c>
      <c r="P3892" t="s">
        <v>2595</v>
      </c>
      <c r="Q3892" t="s">
        <v>4827</v>
      </c>
      <c r="R3892" t="s">
        <v>2436</v>
      </c>
    </row>
    <row r="3893" spans="1:18" x14ac:dyDescent="0.5">
      <c r="A3893" t="str">
        <f>"032654AV7"</f>
        <v>032654AV7</v>
      </c>
      <c r="B3893" t="s">
        <v>101</v>
      </c>
      <c r="C3893" t="s">
        <v>4828</v>
      </c>
      <c r="D3893" t="s">
        <v>2433</v>
      </c>
      <c r="E3893">
        <v>2.1</v>
      </c>
      <c r="F3893" s="2">
        <v>48122</v>
      </c>
      <c r="G3893" s="2">
        <v>48030</v>
      </c>
      <c r="H3893" t="s">
        <v>610</v>
      </c>
      <c r="I3893" t="s">
        <v>713</v>
      </c>
      <c r="J3893">
        <v>85.233000000000004</v>
      </c>
      <c r="K3893">
        <v>85.537000000000006</v>
      </c>
      <c r="L3893">
        <v>4.7489999999999997</v>
      </c>
      <c r="M3893">
        <v>4.6890000000000001</v>
      </c>
      <c r="N3893">
        <v>4.6890000000000001</v>
      </c>
      <c r="O3893" t="s">
        <v>101</v>
      </c>
      <c r="P3893" t="s">
        <v>2776</v>
      </c>
      <c r="Q3893" t="s">
        <v>3411</v>
      </c>
      <c r="R3893" t="s">
        <v>2436</v>
      </c>
    </row>
    <row r="3894" spans="1:18" x14ac:dyDescent="0.5">
      <c r="A3894" t="str">
        <f>"00440KAC7"</f>
        <v>00440KAC7</v>
      </c>
      <c r="B3894" t="s">
        <v>101</v>
      </c>
      <c r="C3894" t="s">
        <v>4829</v>
      </c>
      <c r="D3894" t="s">
        <v>2433</v>
      </c>
      <c r="E3894">
        <v>4.25</v>
      </c>
      <c r="F3894" s="2">
        <v>48125</v>
      </c>
      <c r="G3894" s="2">
        <v>48064</v>
      </c>
      <c r="H3894" t="s">
        <v>624</v>
      </c>
      <c r="I3894" t="s">
        <v>616</v>
      </c>
      <c r="J3894">
        <v>97.293000000000006</v>
      </c>
      <c r="K3894">
        <v>97.402000000000001</v>
      </c>
      <c r="L3894">
        <v>4.734</v>
      </c>
      <c r="M3894">
        <v>4.7140000000000004</v>
      </c>
      <c r="N3894">
        <v>4.7140000000000004</v>
      </c>
      <c r="O3894" t="s">
        <v>101</v>
      </c>
      <c r="P3894" t="s">
        <v>2581</v>
      </c>
      <c r="Q3894" t="s">
        <v>2454</v>
      </c>
      <c r="R3894" t="s">
        <v>2726</v>
      </c>
    </row>
    <row r="3895" spans="1:18" x14ac:dyDescent="0.5">
      <c r="A3895" t="str">
        <f>"298785KE5"</f>
        <v>298785KE5</v>
      </c>
      <c r="B3895" t="s">
        <v>101</v>
      </c>
      <c r="C3895" t="s">
        <v>4830</v>
      </c>
      <c r="D3895" t="s">
        <v>2433</v>
      </c>
      <c r="E3895">
        <v>4.375</v>
      </c>
      <c r="F3895" s="2">
        <v>48131</v>
      </c>
      <c r="G3895" s="2" t="s">
        <v>105</v>
      </c>
      <c r="H3895" t="s">
        <v>104</v>
      </c>
      <c r="I3895" t="s">
        <v>104</v>
      </c>
      <c r="J3895">
        <v>100.735</v>
      </c>
      <c r="K3895">
        <v>101.232</v>
      </c>
      <c r="L3895">
        <v>4.2450000000000001</v>
      </c>
      <c r="M3895">
        <v>4.1580000000000004</v>
      </c>
      <c r="N3895">
        <v>4.1580000000000004</v>
      </c>
      <c r="O3895" t="s">
        <v>101</v>
      </c>
      <c r="P3895" t="s">
        <v>4590</v>
      </c>
      <c r="Q3895" t="s">
        <v>4831</v>
      </c>
      <c r="R3895" t="s">
        <v>2885</v>
      </c>
    </row>
    <row r="3896" spans="1:18" x14ac:dyDescent="0.5">
      <c r="A3896" t="str">
        <f>"89236TMT9"</f>
        <v>89236TMT9</v>
      </c>
      <c r="B3896" t="s">
        <v>101</v>
      </c>
      <c r="C3896" t="s">
        <v>4832</v>
      </c>
      <c r="D3896" t="s">
        <v>2433</v>
      </c>
      <c r="E3896">
        <v>4.5999999999999996</v>
      </c>
      <c r="F3896" s="2">
        <v>48131</v>
      </c>
      <c r="G3896" s="2" t="s">
        <v>101</v>
      </c>
      <c r="H3896" t="s">
        <v>641</v>
      </c>
      <c r="I3896" t="s">
        <v>658</v>
      </c>
      <c r="J3896">
        <v>98.459000000000003</v>
      </c>
      <c r="K3896">
        <v>98.658000000000001</v>
      </c>
      <c r="L3896">
        <v>4.8760000000000003</v>
      </c>
      <c r="M3896">
        <v>4.84</v>
      </c>
      <c r="N3896">
        <v>4.84</v>
      </c>
      <c r="O3896" t="s">
        <v>101</v>
      </c>
      <c r="P3896" t="s">
        <v>715</v>
      </c>
      <c r="Q3896" t="s">
        <v>764</v>
      </c>
      <c r="R3896" t="s">
        <v>2726</v>
      </c>
    </row>
    <row r="3897" spans="1:18" x14ac:dyDescent="0.5">
      <c r="A3897" t="str">
        <f>"136375BG6"</f>
        <v>136375BG6</v>
      </c>
      <c r="B3897" t="s">
        <v>101</v>
      </c>
      <c r="C3897" t="s">
        <v>4833</v>
      </c>
      <c r="D3897" t="s">
        <v>2433</v>
      </c>
      <c r="E3897">
        <v>7.375</v>
      </c>
      <c r="F3897" s="2">
        <v>48136</v>
      </c>
      <c r="G3897" s="2" t="s">
        <v>101</v>
      </c>
      <c r="H3897" t="s">
        <v>610</v>
      </c>
      <c r="I3897" t="s">
        <v>713</v>
      </c>
      <c r="J3897">
        <v>111.334</v>
      </c>
      <c r="K3897">
        <v>113.54300000000001</v>
      </c>
      <c r="L3897">
        <v>5.3129999999999997</v>
      </c>
      <c r="M3897">
        <v>4.9409999999999998</v>
      </c>
      <c r="N3897">
        <v>4.9409999999999998</v>
      </c>
      <c r="O3897" t="s">
        <v>101</v>
      </c>
      <c r="P3897" t="s">
        <v>2527</v>
      </c>
      <c r="Q3897" t="s">
        <v>4834</v>
      </c>
      <c r="R3897" t="s">
        <v>2436</v>
      </c>
    </row>
    <row r="3898" spans="1:18" x14ac:dyDescent="0.5">
      <c r="A3898" t="str">
        <f>"20825UAC8"</f>
        <v>20825UAC8</v>
      </c>
      <c r="B3898" t="s">
        <v>101</v>
      </c>
      <c r="C3898" t="s">
        <v>4835</v>
      </c>
      <c r="D3898" t="s">
        <v>2433</v>
      </c>
      <c r="E3898">
        <v>7.25</v>
      </c>
      <c r="F3898" s="2">
        <v>48136</v>
      </c>
      <c r="G3898" s="2" t="s">
        <v>101</v>
      </c>
      <c r="H3898" t="s">
        <v>610</v>
      </c>
      <c r="I3898" t="s">
        <v>713</v>
      </c>
      <c r="J3898">
        <v>114.827</v>
      </c>
      <c r="K3898">
        <v>115.336</v>
      </c>
      <c r="L3898">
        <v>4.6139999999999999</v>
      </c>
      <c r="M3898">
        <v>4.532</v>
      </c>
      <c r="N3898">
        <v>4.532</v>
      </c>
      <c r="O3898" t="s">
        <v>101</v>
      </c>
      <c r="P3898" t="s">
        <v>2460</v>
      </c>
      <c r="Q3898" t="s">
        <v>2948</v>
      </c>
      <c r="R3898" t="s">
        <v>2436</v>
      </c>
    </row>
    <row r="3899" spans="1:18" x14ac:dyDescent="0.5">
      <c r="A3899" t="str">
        <f>"883556CL4"</f>
        <v>883556CL4</v>
      </c>
      <c r="B3899" t="s">
        <v>101</v>
      </c>
      <c r="C3899" t="s">
        <v>4836</v>
      </c>
      <c r="D3899" t="s">
        <v>2433</v>
      </c>
      <c r="E3899">
        <v>2</v>
      </c>
      <c r="F3899" s="2">
        <v>48136</v>
      </c>
      <c r="G3899" s="2">
        <v>48044</v>
      </c>
      <c r="H3899" t="s">
        <v>627</v>
      </c>
      <c r="I3899" t="s">
        <v>713</v>
      </c>
      <c r="J3899">
        <v>84.808999999999997</v>
      </c>
      <c r="K3899">
        <v>85.024000000000001</v>
      </c>
      <c r="L3899">
        <v>4.7069999999999999</v>
      </c>
      <c r="M3899">
        <v>4.665</v>
      </c>
      <c r="N3899">
        <v>4.665</v>
      </c>
      <c r="O3899" t="s">
        <v>101</v>
      </c>
      <c r="P3899" t="s">
        <v>2472</v>
      </c>
      <c r="Q3899" t="s">
        <v>2472</v>
      </c>
      <c r="R3899" t="s">
        <v>2436</v>
      </c>
    </row>
    <row r="3900" spans="1:18" x14ac:dyDescent="0.5">
      <c r="A3900" t="str">
        <f>"713448FE3"</f>
        <v>713448FE3</v>
      </c>
      <c r="B3900" t="s">
        <v>101</v>
      </c>
      <c r="C3900" t="s">
        <v>4837</v>
      </c>
      <c r="D3900" t="s">
        <v>2433</v>
      </c>
      <c r="E3900">
        <v>1.95</v>
      </c>
      <c r="F3900" s="2">
        <v>48142</v>
      </c>
      <c r="G3900" s="2">
        <v>48050</v>
      </c>
      <c r="H3900" t="s">
        <v>641</v>
      </c>
      <c r="I3900" t="s">
        <v>658</v>
      </c>
      <c r="J3900">
        <v>84.555000000000007</v>
      </c>
      <c r="K3900">
        <v>84.763999999999996</v>
      </c>
      <c r="L3900">
        <v>4.6950000000000003</v>
      </c>
      <c r="M3900">
        <v>4.6539999999999999</v>
      </c>
      <c r="N3900">
        <v>4.6539999999999999</v>
      </c>
      <c r="O3900" t="s">
        <v>101</v>
      </c>
      <c r="P3900" t="s">
        <v>4616</v>
      </c>
      <c r="Q3900" t="s">
        <v>2454</v>
      </c>
      <c r="R3900" t="s">
        <v>2436</v>
      </c>
    </row>
    <row r="3901" spans="1:18" x14ac:dyDescent="0.5">
      <c r="A3901" t="str">
        <f>"02665WFU0"</f>
        <v>02665WFU0</v>
      </c>
      <c r="B3901" t="s">
        <v>101</v>
      </c>
      <c r="C3901" t="s">
        <v>4838</v>
      </c>
      <c r="D3901" t="s">
        <v>2433</v>
      </c>
      <c r="E3901">
        <v>4.8499999999999996</v>
      </c>
      <c r="F3901" s="2">
        <v>48144</v>
      </c>
      <c r="G3901" s="2" t="s">
        <v>101</v>
      </c>
      <c r="H3901" t="s">
        <v>627</v>
      </c>
      <c r="I3901" t="s">
        <v>713</v>
      </c>
      <c r="J3901">
        <v>99.052000000000007</v>
      </c>
      <c r="K3901">
        <v>99.299000000000007</v>
      </c>
      <c r="L3901">
        <v>5.0190000000000001</v>
      </c>
      <c r="M3901">
        <v>4.9749999999999996</v>
      </c>
      <c r="N3901">
        <v>4.9749999999999996</v>
      </c>
      <c r="O3901" t="s">
        <v>101</v>
      </c>
      <c r="P3901" t="s">
        <v>663</v>
      </c>
      <c r="Q3901" t="s">
        <v>4839</v>
      </c>
      <c r="R3901" t="s">
        <v>2726</v>
      </c>
    </row>
    <row r="3902" spans="1:18" x14ac:dyDescent="0.5">
      <c r="A3902" t="str">
        <f>"872898AC5"</f>
        <v>872898AC5</v>
      </c>
      <c r="B3902" t="s">
        <v>101</v>
      </c>
      <c r="C3902" t="s">
        <v>4840</v>
      </c>
      <c r="D3902" t="s">
        <v>2433</v>
      </c>
      <c r="E3902">
        <v>2.5</v>
      </c>
      <c r="F3902" s="2">
        <v>48146</v>
      </c>
      <c r="G3902" s="2">
        <v>48054</v>
      </c>
      <c r="H3902" t="s">
        <v>624</v>
      </c>
      <c r="I3902" t="s">
        <v>616</v>
      </c>
      <c r="J3902">
        <v>87.804000000000002</v>
      </c>
      <c r="K3902">
        <v>88.046000000000006</v>
      </c>
      <c r="L3902">
        <v>4.6619999999999999</v>
      </c>
      <c r="M3902">
        <v>4.6159999999999997</v>
      </c>
      <c r="N3902">
        <v>4.6159999999999997</v>
      </c>
      <c r="O3902" t="s">
        <v>101</v>
      </c>
      <c r="P3902" t="s">
        <v>2687</v>
      </c>
      <c r="Q3902" t="s">
        <v>2687</v>
      </c>
      <c r="R3902" t="s">
        <v>2436</v>
      </c>
    </row>
    <row r="3903" spans="1:18" x14ac:dyDescent="0.5">
      <c r="A3903" t="str">
        <f>"06055JGP8"</f>
        <v>06055JGP8</v>
      </c>
      <c r="B3903" t="s">
        <v>101</v>
      </c>
      <c r="C3903" t="s">
        <v>4841</v>
      </c>
      <c r="D3903" t="s">
        <v>2433</v>
      </c>
      <c r="E3903">
        <v>5.05</v>
      </c>
      <c r="F3903" s="2">
        <v>48150</v>
      </c>
      <c r="G3903" s="2">
        <v>45959</v>
      </c>
      <c r="H3903" t="s">
        <v>641</v>
      </c>
      <c r="I3903" t="s">
        <v>713</v>
      </c>
      <c r="J3903">
        <v>99.88</v>
      </c>
      <c r="K3903">
        <v>100.157</v>
      </c>
      <c r="L3903">
        <v>5.07</v>
      </c>
      <c r="M3903">
        <v>4.7850000000000001</v>
      </c>
      <c r="N3903">
        <v>5.0209999999999999</v>
      </c>
      <c r="O3903" t="s">
        <v>101</v>
      </c>
      <c r="P3903" t="s">
        <v>4842</v>
      </c>
      <c r="Q3903" t="s">
        <v>4843</v>
      </c>
      <c r="R3903" t="s">
        <v>2726</v>
      </c>
    </row>
    <row r="3904" spans="1:18" x14ac:dyDescent="0.5">
      <c r="A3904" t="str">
        <f>"036752BC6"</f>
        <v>036752BC6</v>
      </c>
      <c r="B3904" t="s">
        <v>101</v>
      </c>
      <c r="C3904" t="s">
        <v>4844</v>
      </c>
      <c r="D3904" t="s">
        <v>2433</v>
      </c>
      <c r="E3904">
        <v>4.95</v>
      </c>
      <c r="F3904" s="2">
        <v>48153</v>
      </c>
      <c r="G3904" s="2">
        <v>48092</v>
      </c>
      <c r="H3904" t="s">
        <v>677</v>
      </c>
      <c r="I3904" t="s">
        <v>611</v>
      </c>
      <c r="J3904">
        <v>99.460999999999999</v>
      </c>
      <c r="K3904">
        <v>99.65</v>
      </c>
      <c r="L3904">
        <v>5.0449999999999999</v>
      </c>
      <c r="M3904">
        <v>5.0119999999999996</v>
      </c>
      <c r="N3904">
        <v>5.0119999999999996</v>
      </c>
      <c r="O3904" t="s">
        <v>101</v>
      </c>
      <c r="P3904" t="s">
        <v>1702</v>
      </c>
      <c r="Q3904" t="s">
        <v>2507</v>
      </c>
      <c r="R3904" t="s">
        <v>2726</v>
      </c>
    </row>
    <row r="3905" spans="1:18" x14ac:dyDescent="0.5">
      <c r="A3905" t="str">
        <f>"718172DP1"</f>
        <v>718172DP1</v>
      </c>
      <c r="B3905" t="s">
        <v>101</v>
      </c>
      <c r="C3905" t="s">
        <v>4845</v>
      </c>
      <c r="D3905" t="s">
        <v>2433</v>
      </c>
      <c r="E3905">
        <v>4.75</v>
      </c>
      <c r="F3905" s="2">
        <v>48153</v>
      </c>
      <c r="G3905" s="2">
        <v>48092</v>
      </c>
      <c r="H3905" t="s">
        <v>610</v>
      </c>
      <c r="I3905" t="s">
        <v>713</v>
      </c>
      <c r="J3905">
        <v>98.787000000000006</v>
      </c>
      <c r="K3905">
        <v>99.052999999999997</v>
      </c>
      <c r="L3905">
        <v>4.9660000000000002</v>
      </c>
      <c r="M3905">
        <v>4.9180000000000001</v>
      </c>
      <c r="N3905">
        <v>4.9180000000000001</v>
      </c>
      <c r="O3905" t="s">
        <v>101</v>
      </c>
      <c r="P3905" t="s">
        <v>2581</v>
      </c>
      <c r="Q3905" t="s">
        <v>2786</v>
      </c>
      <c r="R3905" t="s">
        <v>2436</v>
      </c>
    </row>
    <row r="3906" spans="1:18" x14ac:dyDescent="0.5">
      <c r="A3906" t="str">
        <f>"494368CD3"</f>
        <v>494368CD3</v>
      </c>
      <c r="B3906" t="s">
        <v>101</v>
      </c>
      <c r="C3906" t="s">
        <v>4846</v>
      </c>
      <c r="D3906" t="s">
        <v>2433</v>
      </c>
      <c r="E3906">
        <v>2</v>
      </c>
      <c r="F3906" s="2">
        <v>48154</v>
      </c>
      <c r="G3906" s="2">
        <v>48062</v>
      </c>
      <c r="H3906" t="s">
        <v>610</v>
      </c>
      <c r="I3906" t="s">
        <v>611</v>
      </c>
      <c r="J3906">
        <v>85.688999999999993</v>
      </c>
      <c r="K3906">
        <v>86.007000000000005</v>
      </c>
      <c r="L3906">
        <v>4.5190000000000001</v>
      </c>
      <c r="M3906">
        <v>4.4580000000000002</v>
      </c>
      <c r="N3906">
        <v>4.4580000000000002</v>
      </c>
      <c r="O3906" t="s">
        <v>101</v>
      </c>
      <c r="P3906" t="s">
        <v>4569</v>
      </c>
      <c r="Q3906" t="s">
        <v>1999</v>
      </c>
      <c r="R3906" t="s">
        <v>2436</v>
      </c>
    </row>
    <row r="3907" spans="1:18" x14ac:dyDescent="0.5">
      <c r="A3907" t="str">
        <f>"459058KA0"</f>
        <v>459058KA0</v>
      </c>
      <c r="B3907" t="s">
        <v>101</v>
      </c>
      <c r="C3907" t="s">
        <v>4847</v>
      </c>
      <c r="D3907" t="s">
        <v>2433</v>
      </c>
      <c r="E3907">
        <v>1.625</v>
      </c>
      <c r="F3907" s="2">
        <v>48155</v>
      </c>
      <c r="G3907" s="2" t="s">
        <v>105</v>
      </c>
      <c r="H3907" t="s">
        <v>104</v>
      </c>
      <c r="I3907" t="s">
        <v>104</v>
      </c>
      <c r="J3907">
        <v>84.278000000000006</v>
      </c>
      <c r="K3907">
        <v>85.149000000000001</v>
      </c>
      <c r="L3907">
        <v>4.3780000000000001</v>
      </c>
      <c r="M3907">
        <v>4.2110000000000003</v>
      </c>
      <c r="N3907">
        <v>4.2110000000000003</v>
      </c>
      <c r="O3907" t="s">
        <v>101</v>
      </c>
      <c r="P3907" t="s">
        <v>2618</v>
      </c>
      <c r="Q3907" t="s">
        <v>4275</v>
      </c>
      <c r="R3907" t="s">
        <v>2713</v>
      </c>
    </row>
    <row r="3908" spans="1:18" x14ac:dyDescent="0.5">
      <c r="A3908" t="str">
        <f>"78016EYH4"</f>
        <v>78016EYH4</v>
      </c>
      <c r="B3908" t="s">
        <v>101</v>
      </c>
      <c r="C3908" t="s">
        <v>4848</v>
      </c>
      <c r="D3908" t="s">
        <v>2433</v>
      </c>
      <c r="E3908">
        <v>2.2999999999999998</v>
      </c>
      <c r="F3908" s="2">
        <v>48155</v>
      </c>
      <c r="G3908" s="2" t="s">
        <v>101</v>
      </c>
      <c r="H3908" t="s">
        <v>641</v>
      </c>
      <c r="I3908" t="s">
        <v>611</v>
      </c>
      <c r="J3908">
        <v>85.334000000000003</v>
      </c>
      <c r="K3908">
        <v>85.753</v>
      </c>
      <c r="L3908">
        <v>4.9139999999999997</v>
      </c>
      <c r="M3908">
        <v>4.8330000000000002</v>
      </c>
      <c r="N3908">
        <v>4.8330000000000002</v>
      </c>
      <c r="O3908" t="s">
        <v>101</v>
      </c>
      <c r="P3908" t="s">
        <v>1702</v>
      </c>
      <c r="Q3908" t="s">
        <v>3920</v>
      </c>
      <c r="R3908" t="s">
        <v>2436</v>
      </c>
    </row>
    <row r="3909" spans="1:18" x14ac:dyDescent="0.5">
      <c r="A3909" t="str">
        <f>"74460DAJ8"</f>
        <v>74460DAJ8</v>
      </c>
      <c r="B3909" t="s">
        <v>101</v>
      </c>
      <c r="C3909" t="s">
        <v>4849</v>
      </c>
      <c r="D3909" t="s">
        <v>2433</v>
      </c>
      <c r="E3909">
        <v>2.25</v>
      </c>
      <c r="F3909" s="2">
        <v>48161</v>
      </c>
      <c r="G3909" s="2">
        <v>48069</v>
      </c>
      <c r="H3909" t="s">
        <v>610</v>
      </c>
      <c r="I3909" t="s">
        <v>611</v>
      </c>
      <c r="J3909">
        <v>85.103999999999999</v>
      </c>
      <c r="K3909">
        <v>85.334000000000003</v>
      </c>
      <c r="L3909">
        <v>4.8979999999999997</v>
      </c>
      <c r="M3909">
        <v>4.8540000000000001</v>
      </c>
      <c r="N3909">
        <v>4.8540000000000001</v>
      </c>
      <c r="O3909" t="s">
        <v>101</v>
      </c>
      <c r="P3909" t="s">
        <v>1702</v>
      </c>
      <c r="Q3909" t="s">
        <v>2454</v>
      </c>
      <c r="R3909" t="s">
        <v>2436</v>
      </c>
    </row>
    <row r="3910" spans="1:18" x14ac:dyDescent="0.5">
      <c r="A3910" t="str">
        <f>"171232AE1"</f>
        <v>171232AE1</v>
      </c>
      <c r="B3910" t="s">
        <v>101</v>
      </c>
      <c r="C3910" t="s">
        <v>4850</v>
      </c>
      <c r="D3910" t="s">
        <v>2433</v>
      </c>
      <c r="E3910">
        <v>6.8</v>
      </c>
      <c r="F3910" s="2">
        <v>48167</v>
      </c>
      <c r="G3910" s="2" t="s">
        <v>101</v>
      </c>
      <c r="H3910" t="s">
        <v>610</v>
      </c>
      <c r="I3910" t="s">
        <v>611</v>
      </c>
      <c r="J3910">
        <v>109.828</v>
      </c>
      <c r="K3910">
        <v>111.97</v>
      </c>
      <c r="L3910">
        <v>5.0460000000000003</v>
      </c>
      <c r="M3910">
        <v>4.6890000000000001</v>
      </c>
      <c r="N3910">
        <v>4.6890000000000001</v>
      </c>
      <c r="O3910" t="s">
        <v>101</v>
      </c>
      <c r="P3910" t="s">
        <v>2527</v>
      </c>
      <c r="Q3910" t="s">
        <v>3406</v>
      </c>
      <c r="R3910" t="s">
        <v>2436</v>
      </c>
    </row>
    <row r="3911" spans="1:18" x14ac:dyDescent="0.5">
      <c r="A3911" t="str">
        <f>"571748CB6"</f>
        <v>571748CB6</v>
      </c>
      <c r="B3911" t="s">
        <v>101</v>
      </c>
      <c r="C3911" t="s">
        <v>4851</v>
      </c>
      <c r="D3911" t="s">
        <v>2433</v>
      </c>
      <c r="E3911">
        <v>4.8499999999999996</v>
      </c>
      <c r="F3911" s="2">
        <v>48167</v>
      </c>
      <c r="G3911" s="2">
        <v>48106</v>
      </c>
      <c r="H3911" t="s">
        <v>627</v>
      </c>
      <c r="I3911" t="s">
        <v>713</v>
      </c>
      <c r="J3911">
        <v>99.647999999999996</v>
      </c>
      <c r="K3911">
        <v>99.790999999999997</v>
      </c>
      <c r="L3911">
        <v>4.9109999999999996</v>
      </c>
      <c r="M3911">
        <v>4.8860000000000001</v>
      </c>
      <c r="N3911">
        <v>4.8860000000000001</v>
      </c>
      <c r="O3911" t="s">
        <v>101</v>
      </c>
      <c r="P3911" t="s">
        <v>2472</v>
      </c>
      <c r="Q3911" t="s">
        <v>2786</v>
      </c>
      <c r="R3911" t="s">
        <v>2436</v>
      </c>
    </row>
    <row r="3912" spans="1:18" x14ac:dyDescent="0.5">
      <c r="A3912" t="str">
        <f>"695114BT4"</f>
        <v>695114BT4</v>
      </c>
      <c r="B3912" t="s">
        <v>101</v>
      </c>
      <c r="C3912" t="s">
        <v>4852</v>
      </c>
      <c r="D3912" t="s">
        <v>2433</v>
      </c>
      <c r="E3912">
        <v>7.7</v>
      </c>
      <c r="F3912" s="2">
        <v>48167</v>
      </c>
      <c r="G3912" s="2" t="s">
        <v>101</v>
      </c>
      <c r="H3912" t="s">
        <v>610</v>
      </c>
      <c r="I3912" t="s">
        <v>611</v>
      </c>
      <c r="J3912">
        <v>114.98099999999999</v>
      </c>
      <c r="K3912">
        <v>115.372</v>
      </c>
      <c r="L3912">
        <v>5.0279999999999996</v>
      </c>
      <c r="M3912">
        <v>4.9640000000000004</v>
      </c>
      <c r="N3912">
        <v>4.9640000000000004</v>
      </c>
      <c r="O3912" t="s">
        <v>101</v>
      </c>
      <c r="P3912" t="s">
        <v>1391</v>
      </c>
      <c r="Q3912" t="s">
        <v>3160</v>
      </c>
      <c r="R3912" t="s">
        <v>2436</v>
      </c>
    </row>
    <row r="3913" spans="1:18" x14ac:dyDescent="0.5">
      <c r="A3913" t="str">
        <f>"881685AX9"</f>
        <v>881685AX9</v>
      </c>
      <c r="B3913" t="s">
        <v>101</v>
      </c>
      <c r="C3913" t="s">
        <v>4853</v>
      </c>
      <c r="D3913" t="s">
        <v>2433</v>
      </c>
      <c r="E3913">
        <v>8.625</v>
      </c>
      <c r="F3913" s="2">
        <v>48167</v>
      </c>
      <c r="G3913" s="2" t="s">
        <v>101</v>
      </c>
      <c r="H3913" t="s">
        <v>613</v>
      </c>
      <c r="I3913" t="s">
        <v>616</v>
      </c>
      <c r="J3913">
        <v>123.384</v>
      </c>
      <c r="K3913">
        <v>125.012</v>
      </c>
      <c r="L3913">
        <v>4.5250000000000004</v>
      </c>
      <c r="M3913">
        <v>4.2759999999999998</v>
      </c>
      <c r="N3913">
        <v>4.2759999999999998</v>
      </c>
      <c r="O3913" t="s">
        <v>101</v>
      </c>
      <c r="P3913" t="s">
        <v>3126</v>
      </c>
      <c r="Q3913" t="s">
        <v>3126</v>
      </c>
      <c r="R3913" t="s">
        <v>2436</v>
      </c>
    </row>
    <row r="3914" spans="1:18" x14ac:dyDescent="0.5">
      <c r="A3914" t="str">
        <f>"57636QAU8"</f>
        <v>57636QAU8</v>
      </c>
      <c r="B3914" t="s">
        <v>101</v>
      </c>
      <c r="C3914" t="s">
        <v>4854</v>
      </c>
      <c r="D3914" t="s">
        <v>2433</v>
      </c>
      <c r="E3914">
        <v>2</v>
      </c>
      <c r="F3914" s="2">
        <v>48170</v>
      </c>
      <c r="G3914" s="2">
        <v>48078</v>
      </c>
      <c r="H3914" t="s">
        <v>624</v>
      </c>
      <c r="I3914" t="s">
        <v>658</v>
      </c>
      <c r="J3914">
        <v>84.543999999999997</v>
      </c>
      <c r="K3914">
        <v>84.77</v>
      </c>
      <c r="L3914">
        <v>4.7229999999999999</v>
      </c>
      <c r="M3914">
        <v>4.68</v>
      </c>
      <c r="N3914">
        <v>4.68</v>
      </c>
      <c r="O3914" t="s">
        <v>101</v>
      </c>
      <c r="P3914" t="s">
        <v>1702</v>
      </c>
      <c r="Q3914" t="s">
        <v>4855</v>
      </c>
      <c r="R3914" t="s">
        <v>2436</v>
      </c>
    </row>
    <row r="3915" spans="1:18" x14ac:dyDescent="0.5">
      <c r="A3915" t="str">
        <f>"74164MAB4"</f>
        <v>74164MAB4</v>
      </c>
      <c r="B3915" t="s">
        <v>101</v>
      </c>
      <c r="C3915" t="s">
        <v>4856</v>
      </c>
      <c r="D3915" t="s">
        <v>2433</v>
      </c>
      <c r="E3915">
        <v>2.8</v>
      </c>
      <c r="F3915" s="2">
        <v>48171</v>
      </c>
      <c r="G3915" s="2">
        <v>48079</v>
      </c>
      <c r="H3915" t="s">
        <v>670</v>
      </c>
      <c r="I3915" t="s">
        <v>713</v>
      </c>
      <c r="J3915">
        <v>86.558000000000007</v>
      </c>
      <c r="K3915">
        <v>86.998000000000005</v>
      </c>
      <c r="L3915">
        <v>5.2060000000000004</v>
      </c>
      <c r="M3915">
        <v>5.12</v>
      </c>
      <c r="N3915">
        <v>5.12</v>
      </c>
      <c r="O3915" t="s">
        <v>101</v>
      </c>
      <c r="P3915" t="s">
        <v>2522</v>
      </c>
      <c r="Q3915" t="s">
        <v>2566</v>
      </c>
      <c r="R3915" t="s">
        <v>2436</v>
      </c>
    </row>
    <row r="3916" spans="1:18" x14ac:dyDescent="0.5">
      <c r="A3916" t="str">
        <f>"12201PAN6"</f>
        <v>12201PAN6</v>
      </c>
      <c r="B3916" t="s">
        <v>101</v>
      </c>
      <c r="C3916" t="s">
        <v>4857</v>
      </c>
      <c r="D3916" t="s">
        <v>2433</v>
      </c>
      <c r="E3916">
        <v>7.4</v>
      </c>
      <c r="F3916" s="2">
        <v>48183</v>
      </c>
      <c r="G3916" s="2" t="s">
        <v>101</v>
      </c>
      <c r="H3916" t="s">
        <v>610</v>
      </c>
      <c r="I3916" t="s">
        <v>713</v>
      </c>
      <c r="J3916">
        <v>114.875</v>
      </c>
      <c r="K3916">
        <v>115.883</v>
      </c>
      <c r="L3916">
        <v>4.7830000000000004</v>
      </c>
      <c r="M3916">
        <v>4.6210000000000004</v>
      </c>
      <c r="N3916">
        <v>4.6210000000000004</v>
      </c>
      <c r="O3916" t="s">
        <v>101</v>
      </c>
      <c r="P3916" t="s">
        <v>2942</v>
      </c>
      <c r="Q3916" t="s">
        <v>4858</v>
      </c>
      <c r="R3916" t="s">
        <v>2436</v>
      </c>
    </row>
    <row r="3917" spans="1:18" x14ac:dyDescent="0.5">
      <c r="A3917" t="str">
        <f>"25731VAA2"</f>
        <v>25731VAA2</v>
      </c>
      <c r="B3917" t="s">
        <v>101</v>
      </c>
      <c r="C3917" t="s">
        <v>4859</v>
      </c>
      <c r="D3917" t="s">
        <v>2433</v>
      </c>
      <c r="E3917">
        <v>2.2999999999999998</v>
      </c>
      <c r="F3917" s="2">
        <v>48183</v>
      </c>
      <c r="G3917" s="2">
        <v>48092</v>
      </c>
      <c r="H3917" t="s">
        <v>610</v>
      </c>
      <c r="I3917" t="s">
        <v>611</v>
      </c>
      <c r="J3917">
        <v>85.245999999999995</v>
      </c>
      <c r="K3917">
        <v>85.778999999999996</v>
      </c>
      <c r="L3917">
        <v>4.9029999999999996</v>
      </c>
      <c r="M3917">
        <v>4.8010000000000002</v>
      </c>
      <c r="N3917">
        <v>4.8010000000000002</v>
      </c>
      <c r="O3917" t="s">
        <v>101</v>
      </c>
      <c r="P3917" t="s">
        <v>3878</v>
      </c>
      <c r="Q3917" t="s">
        <v>4522</v>
      </c>
      <c r="R3917" t="s">
        <v>2436</v>
      </c>
    </row>
    <row r="3918" spans="1:18" x14ac:dyDescent="0.5">
      <c r="A3918" t="str">
        <f>"808513BT1"</f>
        <v>808513BT1</v>
      </c>
      <c r="B3918" t="s">
        <v>101</v>
      </c>
      <c r="C3918" t="s">
        <v>4860</v>
      </c>
      <c r="D3918" t="s">
        <v>2433</v>
      </c>
      <c r="E3918">
        <v>1.95</v>
      </c>
      <c r="F3918" s="2">
        <v>48183</v>
      </c>
      <c r="G3918" s="2">
        <v>48092</v>
      </c>
      <c r="H3918" t="s">
        <v>610</v>
      </c>
      <c r="I3918" t="s">
        <v>713</v>
      </c>
      <c r="J3918">
        <v>83.082999999999998</v>
      </c>
      <c r="K3918">
        <v>83.301000000000002</v>
      </c>
      <c r="L3918">
        <v>4.9390000000000001</v>
      </c>
      <c r="M3918">
        <v>4.8959999999999999</v>
      </c>
      <c r="N3918">
        <v>4.8959999999999999</v>
      </c>
      <c r="O3918" t="s">
        <v>101</v>
      </c>
      <c r="P3918" t="s">
        <v>2581</v>
      </c>
      <c r="Q3918" t="s">
        <v>3411</v>
      </c>
      <c r="R3918" t="s">
        <v>2436</v>
      </c>
    </row>
    <row r="3919" spans="1:18" x14ac:dyDescent="0.5">
      <c r="A3919" t="str">
        <f>"03740LAC6"</f>
        <v>03740LAC6</v>
      </c>
      <c r="B3919" t="s">
        <v>101</v>
      </c>
      <c r="C3919" t="s">
        <v>4861</v>
      </c>
      <c r="D3919" t="s">
        <v>2433</v>
      </c>
      <c r="E3919">
        <v>2.6</v>
      </c>
      <c r="F3919" s="2">
        <v>48184</v>
      </c>
      <c r="G3919" s="2">
        <v>48093</v>
      </c>
      <c r="H3919" t="s">
        <v>677</v>
      </c>
      <c r="I3919" t="s">
        <v>713</v>
      </c>
      <c r="J3919">
        <v>86.584000000000003</v>
      </c>
      <c r="K3919">
        <v>86.759</v>
      </c>
      <c r="L3919">
        <v>4.9720000000000004</v>
      </c>
      <c r="M3919">
        <v>4.9379999999999997</v>
      </c>
      <c r="N3919">
        <v>4.9379999999999997</v>
      </c>
      <c r="O3919" t="s">
        <v>101</v>
      </c>
      <c r="P3919" t="s">
        <v>2447</v>
      </c>
      <c r="Q3919" t="s">
        <v>4862</v>
      </c>
      <c r="R3919" t="s">
        <v>2436</v>
      </c>
    </row>
    <row r="3920" spans="1:18" x14ac:dyDescent="0.5">
      <c r="A3920" t="str">
        <f>"58933YBE4"</f>
        <v>58933YBE4</v>
      </c>
      <c r="B3920" t="s">
        <v>101</v>
      </c>
      <c r="C3920" t="s">
        <v>4863</v>
      </c>
      <c r="D3920" t="s">
        <v>2433</v>
      </c>
      <c r="E3920">
        <v>2.15</v>
      </c>
      <c r="F3920" s="2">
        <v>48192</v>
      </c>
      <c r="G3920" s="2">
        <v>48101</v>
      </c>
      <c r="H3920" t="s">
        <v>641</v>
      </c>
      <c r="I3920" t="s">
        <v>658</v>
      </c>
      <c r="J3920">
        <v>85.293000000000006</v>
      </c>
      <c r="K3920">
        <v>85.418999999999997</v>
      </c>
      <c r="L3920">
        <v>4.7210000000000001</v>
      </c>
      <c r="M3920">
        <v>4.6970000000000001</v>
      </c>
      <c r="N3920">
        <v>4.6970000000000001</v>
      </c>
      <c r="O3920" t="s">
        <v>101</v>
      </c>
      <c r="P3920" t="s">
        <v>1702</v>
      </c>
      <c r="Q3920" t="s">
        <v>2454</v>
      </c>
      <c r="R3920" t="s">
        <v>2436</v>
      </c>
    </row>
    <row r="3921" spans="1:18" x14ac:dyDescent="0.5">
      <c r="A3921" t="str">
        <f>"26444HAK7"</f>
        <v>26444HAK7</v>
      </c>
      <c r="B3921" t="s">
        <v>101</v>
      </c>
      <c r="C3921" t="s">
        <v>4864</v>
      </c>
      <c r="D3921" t="s">
        <v>2433</v>
      </c>
      <c r="E3921">
        <v>2.4</v>
      </c>
      <c r="F3921" s="2">
        <v>48197</v>
      </c>
      <c r="G3921" s="2">
        <v>48106</v>
      </c>
      <c r="H3921" t="s">
        <v>641</v>
      </c>
      <c r="I3921" t="s">
        <v>611</v>
      </c>
      <c r="J3921">
        <v>85.915000000000006</v>
      </c>
      <c r="K3921">
        <v>86.132000000000005</v>
      </c>
      <c r="L3921">
        <v>4.87</v>
      </c>
      <c r="M3921">
        <v>4.8289999999999997</v>
      </c>
      <c r="N3921">
        <v>4.8289999999999997</v>
      </c>
      <c r="O3921" t="s">
        <v>101</v>
      </c>
      <c r="P3921" t="s">
        <v>2765</v>
      </c>
      <c r="Q3921" t="s">
        <v>2581</v>
      </c>
      <c r="R3921" t="s">
        <v>2436</v>
      </c>
    </row>
    <row r="3922" spans="1:18" x14ac:dyDescent="0.5">
      <c r="A3922" t="str">
        <f>"539830CG2"</f>
        <v>539830CG2</v>
      </c>
      <c r="B3922" t="s">
        <v>101</v>
      </c>
      <c r="C3922" t="s">
        <v>4865</v>
      </c>
      <c r="D3922" t="s">
        <v>2433</v>
      </c>
      <c r="E3922">
        <v>4.7</v>
      </c>
      <c r="F3922" s="2">
        <v>48197</v>
      </c>
      <c r="G3922" s="2">
        <v>48136</v>
      </c>
      <c r="H3922" t="s">
        <v>610</v>
      </c>
      <c r="I3922" t="s">
        <v>713</v>
      </c>
      <c r="J3922">
        <v>99.367000000000004</v>
      </c>
      <c r="K3922">
        <v>99.516000000000005</v>
      </c>
      <c r="L3922">
        <v>4.8090000000000002</v>
      </c>
      <c r="M3922">
        <v>4.7830000000000004</v>
      </c>
      <c r="N3922">
        <v>4.7830000000000004</v>
      </c>
      <c r="O3922" t="s">
        <v>101</v>
      </c>
      <c r="P3922" t="s">
        <v>1702</v>
      </c>
      <c r="Q3922" t="s">
        <v>2581</v>
      </c>
      <c r="R3922" t="s">
        <v>2436</v>
      </c>
    </row>
    <row r="3923" spans="1:18" x14ac:dyDescent="0.5">
      <c r="A3923" t="str">
        <f>"571748BP6"</f>
        <v>571748BP6</v>
      </c>
      <c r="B3923" t="s">
        <v>101</v>
      </c>
      <c r="C3923" t="s">
        <v>4866</v>
      </c>
      <c r="D3923" t="s">
        <v>2433</v>
      </c>
      <c r="E3923">
        <v>2.375</v>
      </c>
      <c r="F3923" s="2">
        <v>48197</v>
      </c>
      <c r="G3923" s="2">
        <v>48106</v>
      </c>
      <c r="H3923" t="s">
        <v>627</v>
      </c>
      <c r="I3923" t="s">
        <v>713</v>
      </c>
      <c r="J3923">
        <v>85.227999999999994</v>
      </c>
      <c r="K3923">
        <v>85.492999999999995</v>
      </c>
      <c r="L3923">
        <v>4.9749999999999996</v>
      </c>
      <c r="M3923">
        <v>4.9240000000000004</v>
      </c>
      <c r="N3923">
        <v>4.9240000000000004</v>
      </c>
      <c r="O3923" t="s">
        <v>101</v>
      </c>
      <c r="P3923" t="s">
        <v>2472</v>
      </c>
      <c r="Q3923" t="s">
        <v>2454</v>
      </c>
      <c r="R3923" t="s">
        <v>2436</v>
      </c>
    </row>
    <row r="3924" spans="1:18" x14ac:dyDescent="0.5">
      <c r="A3924" t="str">
        <f>"291011BR4"</f>
        <v>291011BR4</v>
      </c>
      <c r="B3924" t="s">
        <v>101</v>
      </c>
      <c r="C3924" t="s">
        <v>4867</v>
      </c>
      <c r="D3924" t="s">
        <v>2433</v>
      </c>
      <c r="E3924">
        <v>2.2000000000000002</v>
      </c>
      <c r="F3924" s="2">
        <v>48203</v>
      </c>
      <c r="G3924" s="2">
        <v>48112</v>
      </c>
      <c r="H3924" t="s">
        <v>610</v>
      </c>
      <c r="I3924" t="s">
        <v>611</v>
      </c>
      <c r="J3924">
        <v>85.450999999999993</v>
      </c>
      <c r="K3924">
        <v>85.792000000000002</v>
      </c>
      <c r="L3924">
        <v>4.7350000000000003</v>
      </c>
      <c r="M3924">
        <v>4.67</v>
      </c>
      <c r="N3924">
        <v>4.67</v>
      </c>
      <c r="O3924" t="s">
        <v>101</v>
      </c>
      <c r="P3924" t="s">
        <v>2747</v>
      </c>
      <c r="Q3924" t="s">
        <v>2507</v>
      </c>
      <c r="R3924" t="s">
        <v>2436</v>
      </c>
    </row>
    <row r="3925" spans="1:18" x14ac:dyDescent="0.5">
      <c r="A3925" t="str">
        <f>"48130CXA8"</f>
        <v>48130CXA8</v>
      </c>
      <c r="B3925" t="s">
        <v>101</v>
      </c>
      <c r="C3925" t="s">
        <v>4868</v>
      </c>
      <c r="D3925" t="s">
        <v>2433</v>
      </c>
      <c r="E3925">
        <v>5</v>
      </c>
      <c r="F3925" s="2">
        <v>48205</v>
      </c>
      <c r="G3925" s="2">
        <v>46379</v>
      </c>
      <c r="H3925" t="s">
        <v>641</v>
      </c>
      <c r="I3925" t="s">
        <v>611</v>
      </c>
      <c r="J3925">
        <v>98.942999999999998</v>
      </c>
      <c r="K3925">
        <v>100.39700000000001</v>
      </c>
      <c r="L3925">
        <v>5.1849999999999996</v>
      </c>
      <c r="M3925">
        <v>4.75</v>
      </c>
      <c r="N3925">
        <v>4.9260000000000002</v>
      </c>
      <c r="O3925" t="s">
        <v>101</v>
      </c>
      <c r="P3925" t="s">
        <v>2438</v>
      </c>
      <c r="Q3925" t="s">
        <v>4869</v>
      </c>
      <c r="R3925" t="s">
        <v>2436</v>
      </c>
    </row>
    <row r="3926" spans="1:18" x14ac:dyDescent="0.5">
      <c r="A3926" t="str">
        <f>"48130CXJ9"</f>
        <v>48130CXJ9</v>
      </c>
      <c r="B3926" t="s">
        <v>101</v>
      </c>
      <c r="C3926" t="s">
        <v>4870</v>
      </c>
      <c r="D3926" t="s">
        <v>2433</v>
      </c>
      <c r="E3926">
        <v>5.2</v>
      </c>
      <c r="F3926" s="2">
        <v>48205</v>
      </c>
      <c r="G3926" s="2">
        <v>46379</v>
      </c>
      <c r="H3926" t="s">
        <v>641</v>
      </c>
      <c r="I3926" t="s">
        <v>611</v>
      </c>
      <c r="J3926">
        <v>100.13200000000001</v>
      </c>
      <c r="K3926">
        <v>100.646</v>
      </c>
      <c r="L3926">
        <v>5.1070000000000002</v>
      </c>
      <c r="M3926">
        <v>4.8</v>
      </c>
      <c r="N3926">
        <v>5.0810000000000004</v>
      </c>
      <c r="O3926" t="s">
        <v>101</v>
      </c>
      <c r="P3926" t="s">
        <v>2595</v>
      </c>
      <c r="Q3926" t="s">
        <v>4871</v>
      </c>
      <c r="R3926" t="s">
        <v>2726</v>
      </c>
    </row>
    <row r="3927" spans="1:18" x14ac:dyDescent="0.5">
      <c r="A3927" t="str">
        <f>"595620AB1"</f>
        <v>595620AB1</v>
      </c>
      <c r="B3927" t="s">
        <v>101</v>
      </c>
      <c r="C3927" t="s">
        <v>4872</v>
      </c>
      <c r="D3927" t="s">
        <v>2433</v>
      </c>
      <c r="E3927">
        <v>6.75</v>
      </c>
      <c r="F3927" s="2">
        <v>48212</v>
      </c>
      <c r="G3927" s="2" t="s">
        <v>101</v>
      </c>
      <c r="H3927" t="s">
        <v>613</v>
      </c>
      <c r="I3927" t="s">
        <v>611</v>
      </c>
      <c r="J3927">
        <v>110.907</v>
      </c>
      <c r="K3927">
        <v>111.39700000000001</v>
      </c>
      <c r="L3927">
        <v>4.8460000000000001</v>
      </c>
      <c r="M3927">
        <v>4.766</v>
      </c>
      <c r="N3927">
        <v>4.766</v>
      </c>
      <c r="O3927" t="s">
        <v>101</v>
      </c>
      <c r="P3927" t="s">
        <v>3939</v>
      </c>
      <c r="Q3927" t="s">
        <v>2507</v>
      </c>
      <c r="R3927" t="s">
        <v>2436</v>
      </c>
    </row>
    <row r="3928" spans="1:18" x14ac:dyDescent="0.5">
      <c r="A3928" t="str">
        <f>"191216DP2"</f>
        <v>191216DP2</v>
      </c>
      <c r="B3928" t="s">
        <v>101</v>
      </c>
      <c r="C3928" t="s">
        <v>4873</v>
      </c>
      <c r="D3928" t="s">
        <v>2433</v>
      </c>
      <c r="E3928">
        <v>2.25</v>
      </c>
      <c r="F3928" s="2">
        <v>48218</v>
      </c>
      <c r="G3928" s="2" t="s">
        <v>101</v>
      </c>
      <c r="H3928" t="s">
        <v>641</v>
      </c>
      <c r="I3928" t="s">
        <v>658</v>
      </c>
      <c r="J3928">
        <v>86.45</v>
      </c>
      <c r="K3928">
        <v>86.835999999999999</v>
      </c>
      <c r="L3928">
        <v>4.5880000000000001</v>
      </c>
      <c r="M3928">
        <v>4.5149999999999997</v>
      </c>
      <c r="N3928">
        <v>4.5149999999999997</v>
      </c>
      <c r="O3928" t="s">
        <v>101</v>
      </c>
      <c r="P3928" t="s">
        <v>4874</v>
      </c>
      <c r="Q3928" t="s">
        <v>2454</v>
      </c>
      <c r="R3928" t="s">
        <v>2436</v>
      </c>
    </row>
    <row r="3929" spans="1:18" x14ac:dyDescent="0.5">
      <c r="A3929" t="str">
        <f>"10373QBT6"</f>
        <v>10373QBT6</v>
      </c>
      <c r="B3929" t="s">
        <v>101</v>
      </c>
      <c r="C3929" t="s">
        <v>4875</v>
      </c>
      <c r="D3929" t="s">
        <v>2433</v>
      </c>
      <c r="E3929">
        <v>2.7210000000000001</v>
      </c>
      <c r="F3929" s="2">
        <v>48225</v>
      </c>
      <c r="G3929" s="2">
        <v>48133</v>
      </c>
      <c r="H3929" t="s">
        <v>641</v>
      </c>
      <c r="I3929" t="s">
        <v>713</v>
      </c>
      <c r="J3929">
        <v>86.837999999999994</v>
      </c>
      <c r="K3929">
        <v>86.994</v>
      </c>
      <c r="L3929">
        <v>5.0199999999999996</v>
      </c>
      <c r="M3929">
        <v>4.99</v>
      </c>
      <c r="N3929">
        <v>4.99</v>
      </c>
      <c r="O3929" t="s">
        <v>101</v>
      </c>
      <c r="P3929" t="s">
        <v>3364</v>
      </c>
      <c r="Q3929" t="s">
        <v>2527</v>
      </c>
      <c r="R3929" t="s">
        <v>2436</v>
      </c>
    </row>
    <row r="3930" spans="1:18" x14ac:dyDescent="0.5">
      <c r="A3930" t="str">
        <f>"89114TZQ8"</f>
        <v>89114TZQ8</v>
      </c>
      <c r="B3930" t="s">
        <v>101</v>
      </c>
      <c r="C3930" t="s">
        <v>4876</v>
      </c>
      <c r="D3930" t="s">
        <v>2433</v>
      </c>
      <c r="E3930">
        <v>2.4500000000000002</v>
      </c>
      <c r="F3930" s="2">
        <v>48225</v>
      </c>
      <c r="G3930" s="2" t="s">
        <v>101</v>
      </c>
      <c r="H3930" t="s">
        <v>610</v>
      </c>
      <c r="I3930" t="s">
        <v>713</v>
      </c>
      <c r="J3930">
        <v>84.606999999999999</v>
      </c>
      <c r="K3930">
        <v>84.932000000000002</v>
      </c>
      <c r="L3930">
        <v>5.15</v>
      </c>
      <c r="M3930">
        <v>5.0880000000000001</v>
      </c>
      <c r="N3930">
        <v>5.0880000000000001</v>
      </c>
      <c r="O3930" t="s">
        <v>101</v>
      </c>
      <c r="P3930" t="s">
        <v>1702</v>
      </c>
      <c r="Q3930" t="s">
        <v>2454</v>
      </c>
      <c r="R3930" t="s">
        <v>2436</v>
      </c>
    </row>
    <row r="3931" spans="1:18" x14ac:dyDescent="0.5">
      <c r="A3931" t="str">
        <f>"89236TJW6"</f>
        <v>89236TJW6</v>
      </c>
      <c r="B3931" t="s">
        <v>101</v>
      </c>
      <c r="C3931" t="s">
        <v>4877</v>
      </c>
      <c r="D3931" t="s">
        <v>2433</v>
      </c>
      <c r="E3931">
        <v>2.4</v>
      </c>
      <c r="F3931" s="2">
        <v>48226</v>
      </c>
      <c r="G3931" s="2" t="s">
        <v>101</v>
      </c>
      <c r="H3931" t="s">
        <v>641</v>
      </c>
      <c r="I3931" t="s">
        <v>658</v>
      </c>
      <c r="J3931">
        <v>85.221000000000004</v>
      </c>
      <c r="K3931">
        <v>85.727999999999994</v>
      </c>
      <c r="L3931">
        <v>4.976</v>
      </c>
      <c r="M3931">
        <v>4.88</v>
      </c>
      <c r="N3931">
        <v>4.88</v>
      </c>
      <c r="O3931" t="s">
        <v>101</v>
      </c>
      <c r="P3931" t="s">
        <v>4569</v>
      </c>
      <c r="Q3931" t="s">
        <v>554</v>
      </c>
      <c r="R3931" t="s">
        <v>2436</v>
      </c>
    </row>
    <row r="3932" spans="1:18" x14ac:dyDescent="0.5">
      <c r="A3932" t="str">
        <f>"053484AB7"</f>
        <v>053484AB7</v>
      </c>
      <c r="B3932" t="s">
        <v>101</v>
      </c>
      <c r="C3932" t="s">
        <v>4878</v>
      </c>
      <c r="D3932" t="s">
        <v>2433</v>
      </c>
      <c r="E3932">
        <v>2.0499999999999998</v>
      </c>
      <c r="F3932" s="2">
        <v>48228</v>
      </c>
      <c r="G3932" s="2">
        <v>48136</v>
      </c>
      <c r="H3932" t="s">
        <v>627</v>
      </c>
      <c r="I3932" t="s">
        <v>713</v>
      </c>
      <c r="J3932">
        <v>84.058000000000007</v>
      </c>
      <c r="K3932">
        <v>84.373999999999995</v>
      </c>
      <c r="L3932">
        <v>4.8120000000000003</v>
      </c>
      <c r="M3932">
        <v>4.7519999999999998</v>
      </c>
      <c r="N3932">
        <v>4.7519999999999998</v>
      </c>
      <c r="O3932" t="s">
        <v>101</v>
      </c>
      <c r="P3932" t="s">
        <v>1702</v>
      </c>
      <c r="Q3932" t="s">
        <v>2454</v>
      </c>
      <c r="R3932" t="s">
        <v>2436</v>
      </c>
    </row>
    <row r="3933" spans="1:18" x14ac:dyDescent="0.5">
      <c r="A3933" t="str">
        <f>"20826FBK1"</f>
        <v>20826FBK1</v>
      </c>
      <c r="B3933" t="s">
        <v>101</v>
      </c>
      <c r="C3933" t="s">
        <v>4879</v>
      </c>
      <c r="D3933" t="s">
        <v>2433</v>
      </c>
      <c r="E3933">
        <v>4.8499999999999996</v>
      </c>
      <c r="F3933" s="2">
        <v>48228</v>
      </c>
      <c r="G3933" s="2">
        <v>48167</v>
      </c>
      <c r="H3933" t="s">
        <v>610</v>
      </c>
      <c r="I3933" t="s">
        <v>713</v>
      </c>
      <c r="J3933">
        <v>99.212000000000003</v>
      </c>
      <c r="K3933">
        <v>99.41</v>
      </c>
      <c r="L3933">
        <v>4.9850000000000003</v>
      </c>
      <c r="M3933">
        <v>4.95</v>
      </c>
      <c r="N3933">
        <v>4.95</v>
      </c>
      <c r="O3933" t="s">
        <v>101</v>
      </c>
      <c r="P3933" t="s">
        <v>485</v>
      </c>
      <c r="Q3933" t="s">
        <v>2750</v>
      </c>
      <c r="R3933" t="s">
        <v>2436</v>
      </c>
    </row>
    <row r="3934" spans="1:18" x14ac:dyDescent="0.5">
      <c r="A3934" t="str">
        <f>"459058LQ4"</f>
        <v>459058LQ4</v>
      </c>
      <c r="B3934" t="s">
        <v>101</v>
      </c>
      <c r="C3934" t="s">
        <v>4880</v>
      </c>
      <c r="D3934" t="s">
        <v>2433</v>
      </c>
      <c r="E3934">
        <v>4.625</v>
      </c>
      <c r="F3934" s="2">
        <v>48228</v>
      </c>
      <c r="G3934" s="2" t="s">
        <v>105</v>
      </c>
      <c r="H3934" t="s">
        <v>104</v>
      </c>
      <c r="I3934" t="s">
        <v>104</v>
      </c>
      <c r="J3934">
        <v>101.393</v>
      </c>
      <c r="K3934">
        <v>102.074</v>
      </c>
      <c r="L3934">
        <v>4.3860000000000001</v>
      </c>
      <c r="M3934">
        <v>4.2709999999999999</v>
      </c>
      <c r="N3934">
        <v>4.2709999999999999</v>
      </c>
      <c r="O3934" t="s">
        <v>101</v>
      </c>
      <c r="P3934" t="s">
        <v>2618</v>
      </c>
      <c r="Q3934" t="s">
        <v>4881</v>
      </c>
      <c r="R3934" t="s">
        <v>2713</v>
      </c>
    </row>
    <row r="3935" spans="1:18" x14ac:dyDescent="0.5">
      <c r="A3935" t="str">
        <f>"57636QBB9"</f>
        <v>57636QBB9</v>
      </c>
      <c r="B3935" t="s">
        <v>101</v>
      </c>
      <c r="C3935" t="s">
        <v>4882</v>
      </c>
      <c r="D3935" t="s">
        <v>2433</v>
      </c>
      <c r="E3935">
        <v>4.3499999999999996</v>
      </c>
      <c r="F3935" s="2">
        <v>48228</v>
      </c>
      <c r="G3935" s="2">
        <v>48167</v>
      </c>
      <c r="H3935" t="s">
        <v>624</v>
      </c>
      <c r="I3935" t="s">
        <v>658</v>
      </c>
      <c r="J3935">
        <v>97.427999999999997</v>
      </c>
      <c r="K3935">
        <v>97.665000000000006</v>
      </c>
      <c r="L3935">
        <v>4.7939999999999996</v>
      </c>
      <c r="M3935">
        <v>4.7530000000000001</v>
      </c>
      <c r="N3935">
        <v>4.7530000000000001</v>
      </c>
      <c r="O3935" t="s">
        <v>101</v>
      </c>
      <c r="P3935" t="s">
        <v>1702</v>
      </c>
      <c r="Q3935" t="s">
        <v>2454</v>
      </c>
      <c r="R3935" t="s">
        <v>2726</v>
      </c>
    </row>
    <row r="3936" spans="1:18" x14ac:dyDescent="0.5">
      <c r="A3936" t="str">
        <f>"74340XCB5"</f>
        <v>74340XCB5</v>
      </c>
      <c r="B3936" t="s">
        <v>101</v>
      </c>
      <c r="C3936" t="s">
        <v>4883</v>
      </c>
      <c r="D3936" t="s">
        <v>2433</v>
      </c>
      <c r="E3936">
        <v>2.25</v>
      </c>
      <c r="F3936" s="2">
        <v>48228</v>
      </c>
      <c r="G3936" s="2">
        <v>48136</v>
      </c>
      <c r="H3936" t="s">
        <v>610</v>
      </c>
      <c r="I3936" t="s">
        <v>611</v>
      </c>
      <c r="J3936">
        <v>84.5</v>
      </c>
      <c r="K3936">
        <v>84.706999999999994</v>
      </c>
      <c r="L3936">
        <v>4.9480000000000004</v>
      </c>
      <c r="M3936">
        <v>4.9080000000000004</v>
      </c>
      <c r="N3936">
        <v>4.9080000000000004</v>
      </c>
      <c r="O3936" t="s">
        <v>101</v>
      </c>
      <c r="P3936" t="s">
        <v>1391</v>
      </c>
      <c r="Q3936" t="s">
        <v>2507</v>
      </c>
      <c r="R3936" t="s">
        <v>2436</v>
      </c>
    </row>
    <row r="3937" spans="1:18" x14ac:dyDescent="0.5">
      <c r="A3937" t="str">
        <f>"828807DQ7"</f>
        <v>828807DQ7</v>
      </c>
      <c r="B3937" t="s">
        <v>101</v>
      </c>
      <c r="C3937" t="s">
        <v>4884</v>
      </c>
      <c r="D3937" t="s">
        <v>2433</v>
      </c>
      <c r="E3937">
        <v>2.25</v>
      </c>
      <c r="F3937" s="2">
        <v>48228</v>
      </c>
      <c r="G3937" s="2">
        <v>48136</v>
      </c>
      <c r="H3937" t="s">
        <v>627</v>
      </c>
      <c r="I3937" t="s">
        <v>713</v>
      </c>
      <c r="J3937">
        <v>84.12</v>
      </c>
      <c r="K3937">
        <v>84.308000000000007</v>
      </c>
      <c r="L3937">
        <v>5.0209999999999999</v>
      </c>
      <c r="M3937">
        <v>4.9850000000000003</v>
      </c>
      <c r="N3937">
        <v>4.9850000000000003</v>
      </c>
      <c r="O3937" t="s">
        <v>101</v>
      </c>
      <c r="P3937" t="s">
        <v>1702</v>
      </c>
      <c r="Q3937" t="s">
        <v>2581</v>
      </c>
      <c r="R3937" t="s">
        <v>2436</v>
      </c>
    </row>
    <row r="3938" spans="1:18" x14ac:dyDescent="0.5">
      <c r="A3938" t="str">
        <f>"86562MDT4"</f>
        <v>86562MDT4</v>
      </c>
      <c r="B3938" t="s">
        <v>101</v>
      </c>
      <c r="C3938" t="s">
        <v>4885</v>
      </c>
      <c r="D3938" t="s">
        <v>2433</v>
      </c>
      <c r="E3938">
        <v>5.4539999999999997</v>
      </c>
      <c r="F3938" s="2">
        <v>48228</v>
      </c>
      <c r="G3938" s="2" t="s">
        <v>101</v>
      </c>
      <c r="H3938" t="s">
        <v>641</v>
      </c>
      <c r="I3938" t="s">
        <v>713</v>
      </c>
      <c r="J3938">
        <v>101.855</v>
      </c>
      <c r="K3938">
        <v>102.059</v>
      </c>
      <c r="L3938">
        <v>5.1280000000000001</v>
      </c>
      <c r="M3938">
        <v>5.093</v>
      </c>
      <c r="N3938">
        <v>5.093</v>
      </c>
      <c r="O3938" t="s">
        <v>101</v>
      </c>
      <c r="P3938" t="s">
        <v>542</v>
      </c>
      <c r="Q3938" t="s">
        <v>2687</v>
      </c>
      <c r="R3938" t="s">
        <v>2436</v>
      </c>
    </row>
    <row r="3939" spans="1:18" x14ac:dyDescent="0.5">
      <c r="A3939" t="str">
        <f>"91324PFH0"</f>
        <v>91324PFH0</v>
      </c>
      <c r="B3939" t="s">
        <v>101</v>
      </c>
      <c r="C3939" t="s">
        <v>4886</v>
      </c>
      <c r="D3939" t="s">
        <v>2433</v>
      </c>
      <c r="E3939">
        <v>4.95</v>
      </c>
      <c r="F3939" s="2">
        <v>48228</v>
      </c>
      <c r="G3939" s="2">
        <v>48167</v>
      </c>
      <c r="H3939" t="s">
        <v>610</v>
      </c>
      <c r="I3939" t="s">
        <v>658</v>
      </c>
      <c r="J3939">
        <v>99.85</v>
      </c>
      <c r="K3939">
        <v>100.087</v>
      </c>
      <c r="L3939">
        <v>4.9749999999999996</v>
      </c>
      <c r="M3939">
        <v>4.9340000000000002</v>
      </c>
      <c r="N3939">
        <v>4.9340000000000002</v>
      </c>
      <c r="O3939" t="s">
        <v>101</v>
      </c>
      <c r="P3939" t="s">
        <v>2472</v>
      </c>
      <c r="Q3939" t="s">
        <v>2454</v>
      </c>
      <c r="R3939" t="s">
        <v>2726</v>
      </c>
    </row>
    <row r="3940" spans="1:18" x14ac:dyDescent="0.5">
      <c r="A3940" t="str">
        <f>"06406RBB2"</f>
        <v>06406RBB2</v>
      </c>
      <c r="B3940" t="s">
        <v>101</v>
      </c>
      <c r="C3940" t="s">
        <v>4887</v>
      </c>
      <c r="D3940" t="s">
        <v>2433</v>
      </c>
      <c r="E3940">
        <v>2.5</v>
      </c>
      <c r="F3940" s="2">
        <v>48239</v>
      </c>
      <c r="G3940" s="2">
        <v>48148</v>
      </c>
      <c r="H3940" t="s">
        <v>624</v>
      </c>
      <c r="I3940" t="s">
        <v>611</v>
      </c>
      <c r="J3940">
        <v>86.236999999999995</v>
      </c>
      <c r="K3940">
        <v>86.501999999999995</v>
      </c>
      <c r="L3940">
        <v>4.8810000000000002</v>
      </c>
      <c r="M3940">
        <v>4.8310000000000004</v>
      </c>
      <c r="N3940">
        <v>4.8310000000000004</v>
      </c>
      <c r="O3940" t="s">
        <v>101</v>
      </c>
      <c r="P3940" t="s">
        <v>2758</v>
      </c>
      <c r="Q3940" t="s">
        <v>2678</v>
      </c>
      <c r="R3940" t="s">
        <v>2436</v>
      </c>
    </row>
    <row r="3941" spans="1:18" x14ac:dyDescent="0.5">
      <c r="A3941" t="str">
        <f>"168863DN5"</f>
        <v>168863DN5</v>
      </c>
      <c r="B3941" t="s">
        <v>101</v>
      </c>
      <c r="C3941" t="s">
        <v>4888</v>
      </c>
      <c r="D3941" t="s">
        <v>2433</v>
      </c>
      <c r="E3941">
        <v>2.5499999999999998</v>
      </c>
      <c r="F3941" s="2">
        <v>48240</v>
      </c>
      <c r="G3941" s="2">
        <v>48148</v>
      </c>
      <c r="H3941" t="s">
        <v>610</v>
      </c>
      <c r="I3941" t="s">
        <v>611</v>
      </c>
      <c r="J3941" t="s">
        <v>101</v>
      </c>
      <c r="K3941">
        <v>86.238</v>
      </c>
      <c r="L3941" t="s">
        <v>101</v>
      </c>
      <c r="M3941">
        <v>4.9340000000000002</v>
      </c>
      <c r="N3941">
        <v>4.9340000000000002</v>
      </c>
      <c r="O3941" t="s">
        <v>101</v>
      </c>
      <c r="P3941" t="s">
        <v>448</v>
      </c>
      <c r="Q3941" t="s">
        <v>542</v>
      </c>
      <c r="R3941" t="s">
        <v>2436</v>
      </c>
    </row>
    <row r="3942" spans="1:18" x14ac:dyDescent="0.5">
      <c r="A3942" t="str">
        <f>"11272BAA1"</f>
        <v>11272BAA1</v>
      </c>
      <c r="B3942" t="s">
        <v>101</v>
      </c>
      <c r="C3942" t="s">
        <v>4889</v>
      </c>
      <c r="D3942" t="s">
        <v>2433</v>
      </c>
      <c r="E3942">
        <v>2.34</v>
      </c>
      <c r="F3942" s="2">
        <v>48243</v>
      </c>
      <c r="G3942" s="2">
        <v>48151</v>
      </c>
      <c r="H3942" t="s">
        <v>627</v>
      </c>
      <c r="I3942" t="s">
        <v>713</v>
      </c>
      <c r="J3942">
        <v>83.608999999999995</v>
      </c>
      <c r="K3942">
        <v>84.135000000000005</v>
      </c>
      <c r="L3942">
        <v>5.2030000000000003</v>
      </c>
      <c r="M3942">
        <v>5.1020000000000003</v>
      </c>
      <c r="N3942">
        <v>5.1020000000000003</v>
      </c>
      <c r="O3942" t="s">
        <v>101</v>
      </c>
      <c r="P3942" t="s">
        <v>2566</v>
      </c>
      <c r="Q3942" t="s">
        <v>3411</v>
      </c>
      <c r="R3942" t="s">
        <v>2436</v>
      </c>
    </row>
    <row r="3943" spans="1:18" x14ac:dyDescent="0.5">
      <c r="A3943" t="str">
        <f>"61766YRL7"</f>
        <v>61766YRL7</v>
      </c>
      <c r="B3943" t="s">
        <v>101</v>
      </c>
      <c r="C3943" t="s">
        <v>4890</v>
      </c>
      <c r="D3943" t="s">
        <v>2433</v>
      </c>
      <c r="E3943">
        <v>4.9000000000000004</v>
      </c>
      <c r="F3943" s="2">
        <v>48243</v>
      </c>
      <c r="G3943" s="2">
        <v>46782</v>
      </c>
      <c r="H3943" t="s">
        <v>641</v>
      </c>
      <c r="I3943" t="s">
        <v>713</v>
      </c>
      <c r="J3943">
        <v>98.1</v>
      </c>
      <c r="K3943">
        <v>99.373999999999995</v>
      </c>
      <c r="L3943">
        <v>5.2309999999999999</v>
      </c>
      <c r="M3943">
        <v>5.008</v>
      </c>
      <c r="N3943">
        <v>5.008</v>
      </c>
      <c r="O3943" t="s">
        <v>101</v>
      </c>
      <c r="P3943" t="s">
        <v>2595</v>
      </c>
      <c r="Q3943" t="s">
        <v>2552</v>
      </c>
      <c r="R3943" t="s">
        <v>2436</v>
      </c>
    </row>
    <row r="3944" spans="1:18" x14ac:dyDescent="0.5">
      <c r="A3944" t="str">
        <f>"89115A3G5"</f>
        <v>89115A3G5</v>
      </c>
      <c r="B3944" t="s">
        <v>101</v>
      </c>
      <c r="C3944" t="s">
        <v>4891</v>
      </c>
      <c r="D3944" t="s">
        <v>2433</v>
      </c>
      <c r="E3944">
        <v>5.298</v>
      </c>
      <c r="F3944" s="2">
        <v>48243</v>
      </c>
      <c r="G3944" s="2" t="s">
        <v>101</v>
      </c>
      <c r="H3944" t="s">
        <v>610</v>
      </c>
      <c r="I3944" t="s">
        <v>713</v>
      </c>
      <c r="J3944">
        <v>100.93300000000001</v>
      </c>
      <c r="K3944">
        <v>101.176</v>
      </c>
      <c r="L3944">
        <v>5.1340000000000003</v>
      </c>
      <c r="M3944">
        <v>5.0919999999999996</v>
      </c>
      <c r="N3944">
        <v>5.0919999999999996</v>
      </c>
      <c r="O3944" t="s">
        <v>101</v>
      </c>
      <c r="P3944" t="s">
        <v>1702</v>
      </c>
      <c r="Q3944" t="s">
        <v>2454</v>
      </c>
      <c r="R3944" t="s">
        <v>2436</v>
      </c>
    </row>
    <row r="3945" spans="1:18" x14ac:dyDescent="0.5">
      <c r="A3945" t="str">
        <f>"837004BV1"</f>
        <v>837004BV1</v>
      </c>
      <c r="B3945" t="s">
        <v>101</v>
      </c>
      <c r="C3945" t="s">
        <v>4892</v>
      </c>
      <c r="D3945" t="s">
        <v>2433</v>
      </c>
      <c r="E3945">
        <v>6.625</v>
      </c>
      <c r="F3945" s="2">
        <v>48245</v>
      </c>
      <c r="G3945" s="2" t="s">
        <v>101</v>
      </c>
      <c r="H3945" t="s">
        <v>610</v>
      </c>
      <c r="I3945" t="s">
        <v>611</v>
      </c>
      <c r="J3945">
        <v>109.148</v>
      </c>
      <c r="K3945">
        <v>109.599</v>
      </c>
      <c r="L3945">
        <v>5.0350000000000001</v>
      </c>
      <c r="M3945">
        <v>4.9610000000000003</v>
      </c>
      <c r="N3945">
        <v>4.9610000000000003</v>
      </c>
      <c r="O3945" t="s">
        <v>101</v>
      </c>
      <c r="P3945" t="s">
        <v>1064</v>
      </c>
      <c r="Q3945" t="s">
        <v>2506</v>
      </c>
      <c r="R3945" t="s">
        <v>2436</v>
      </c>
    </row>
    <row r="3946" spans="1:18" x14ac:dyDescent="0.5">
      <c r="A3946" t="str">
        <f>"278865BM1"</f>
        <v>278865BM1</v>
      </c>
      <c r="B3946" t="s">
        <v>101</v>
      </c>
      <c r="C3946" t="s">
        <v>4893</v>
      </c>
      <c r="D3946" t="s">
        <v>2433</v>
      </c>
      <c r="E3946">
        <v>2.125</v>
      </c>
      <c r="F3946" s="2">
        <v>48245</v>
      </c>
      <c r="G3946" s="2">
        <v>48153</v>
      </c>
      <c r="H3946" t="s">
        <v>627</v>
      </c>
      <c r="I3946" t="s">
        <v>713</v>
      </c>
      <c r="J3946">
        <v>84.304000000000002</v>
      </c>
      <c r="K3946">
        <v>84.566000000000003</v>
      </c>
      <c r="L3946">
        <v>4.8310000000000004</v>
      </c>
      <c r="M3946">
        <v>4.782</v>
      </c>
      <c r="N3946">
        <v>4.782</v>
      </c>
      <c r="O3946" t="s">
        <v>101</v>
      </c>
      <c r="P3946" t="s">
        <v>1236</v>
      </c>
      <c r="Q3946" t="s">
        <v>2454</v>
      </c>
      <c r="R3946" t="s">
        <v>2436</v>
      </c>
    </row>
    <row r="3947" spans="1:18" x14ac:dyDescent="0.5">
      <c r="A3947" t="str">
        <f>"438516CZ7"</f>
        <v>438516CZ7</v>
      </c>
      <c r="B3947" t="s">
        <v>101</v>
      </c>
      <c r="C3947" t="s">
        <v>4894</v>
      </c>
      <c r="D3947" t="s">
        <v>2433</v>
      </c>
      <c r="E3947">
        <v>4.75</v>
      </c>
      <c r="F3947" s="2">
        <v>48245</v>
      </c>
      <c r="G3947" s="2">
        <v>48183</v>
      </c>
      <c r="H3947" t="s">
        <v>610</v>
      </c>
      <c r="I3947" t="s">
        <v>611</v>
      </c>
      <c r="J3947">
        <v>98.947000000000003</v>
      </c>
      <c r="K3947">
        <v>99.200999999999993</v>
      </c>
      <c r="L3947">
        <v>4.931</v>
      </c>
      <c r="M3947">
        <v>4.8869999999999996</v>
      </c>
      <c r="N3947">
        <v>4.8869999999999996</v>
      </c>
      <c r="O3947" t="s">
        <v>101</v>
      </c>
      <c r="P3947" t="s">
        <v>1702</v>
      </c>
      <c r="Q3947" t="s">
        <v>2564</v>
      </c>
      <c r="R3947" t="s">
        <v>2436</v>
      </c>
    </row>
    <row r="3948" spans="1:18" x14ac:dyDescent="0.5">
      <c r="A3948" t="str">
        <f>"742718FW4"</f>
        <v>742718FW4</v>
      </c>
      <c r="B3948" t="s">
        <v>101</v>
      </c>
      <c r="C3948" t="s">
        <v>4895</v>
      </c>
      <c r="D3948" t="s">
        <v>2433</v>
      </c>
      <c r="E3948">
        <v>2.2999999999999998</v>
      </c>
      <c r="F3948" s="2">
        <v>48245</v>
      </c>
      <c r="G3948" s="2" t="s">
        <v>101</v>
      </c>
      <c r="H3948" t="s">
        <v>624</v>
      </c>
      <c r="I3948" t="s">
        <v>616</v>
      </c>
      <c r="J3948">
        <v>87.003</v>
      </c>
      <c r="K3948">
        <v>87.283000000000001</v>
      </c>
      <c r="L3948">
        <v>4.5170000000000003</v>
      </c>
      <c r="M3948">
        <v>4.4649999999999999</v>
      </c>
      <c r="N3948">
        <v>4.4649999999999999</v>
      </c>
      <c r="O3948" t="s">
        <v>101</v>
      </c>
      <c r="P3948" t="s">
        <v>2566</v>
      </c>
      <c r="Q3948" t="s">
        <v>3178</v>
      </c>
      <c r="R3948" t="s">
        <v>2436</v>
      </c>
    </row>
    <row r="3949" spans="1:18" x14ac:dyDescent="0.5">
      <c r="A3949" t="str">
        <f>"828807DT1"</f>
        <v>828807DT1</v>
      </c>
      <c r="B3949" t="s">
        <v>101</v>
      </c>
      <c r="C3949" t="s">
        <v>4896</v>
      </c>
      <c r="D3949" t="s">
        <v>2433</v>
      </c>
      <c r="E3949">
        <v>2.65</v>
      </c>
      <c r="F3949" s="2">
        <v>48245</v>
      </c>
      <c r="G3949" s="2">
        <v>48153</v>
      </c>
      <c r="H3949" t="s">
        <v>627</v>
      </c>
      <c r="I3949" t="s">
        <v>713</v>
      </c>
      <c r="J3949">
        <v>86.134</v>
      </c>
      <c r="K3949">
        <v>86.341999999999999</v>
      </c>
      <c r="L3949">
        <v>5.0590000000000002</v>
      </c>
      <c r="M3949">
        <v>5.0199999999999996</v>
      </c>
      <c r="N3949">
        <v>5.0199999999999996</v>
      </c>
      <c r="O3949" t="s">
        <v>101</v>
      </c>
      <c r="P3949" t="s">
        <v>4897</v>
      </c>
      <c r="Q3949" t="s">
        <v>3459</v>
      </c>
      <c r="R3949" t="s">
        <v>2436</v>
      </c>
    </row>
    <row r="3950" spans="1:18" x14ac:dyDescent="0.5">
      <c r="A3950" t="str">
        <f>"842400HM8"</f>
        <v>842400HM8</v>
      </c>
      <c r="B3950" t="s">
        <v>101</v>
      </c>
      <c r="C3950" t="s">
        <v>4898</v>
      </c>
      <c r="D3950" t="s">
        <v>2433</v>
      </c>
      <c r="E3950">
        <v>2.75</v>
      </c>
      <c r="F3950" s="2">
        <v>48245</v>
      </c>
      <c r="G3950" s="2">
        <v>48153</v>
      </c>
      <c r="H3950" t="s">
        <v>610</v>
      </c>
      <c r="I3950" t="s">
        <v>713</v>
      </c>
      <c r="J3950">
        <v>84.36</v>
      </c>
      <c r="K3950">
        <v>84.725999999999999</v>
      </c>
      <c r="L3950">
        <v>5.5090000000000003</v>
      </c>
      <c r="M3950">
        <v>5.4379999999999997</v>
      </c>
      <c r="N3950">
        <v>5.4379999999999997</v>
      </c>
      <c r="O3950" t="s">
        <v>101</v>
      </c>
      <c r="P3950" t="s">
        <v>1391</v>
      </c>
      <c r="Q3950" t="s">
        <v>4103</v>
      </c>
      <c r="R3950" t="s">
        <v>2436</v>
      </c>
    </row>
    <row r="3951" spans="1:18" x14ac:dyDescent="0.5">
      <c r="A3951" t="str">
        <f>"06417XAE1"</f>
        <v>06417XAE1</v>
      </c>
      <c r="B3951" t="s">
        <v>101</v>
      </c>
      <c r="C3951" t="s">
        <v>4899</v>
      </c>
      <c r="D3951" t="s">
        <v>2433</v>
      </c>
      <c r="E3951">
        <v>2.4500000000000002</v>
      </c>
      <c r="F3951" s="2">
        <v>48246</v>
      </c>
      <c r="G3951" s="2" t="s">
        <v>101</v>
      </c>
      <c r="H3951" t="s">
        <v>610</v>
      </c>
      <c r="I3951" t="s">
        <v>713</v>
      </c>
      <c r="J3951">
        <v>84.912000000000006</v>
      </c>
      <c r="K3951">
        <v>85.271000000000001</v>
      </c>
      <c r="L3951">
        <v>5.0720000000000001</v>
      </c>
      <c r="M3951">
        <v>5.0039999999999996</v>
      </c>
      <c r="N3951">
        <v>5.0039999999999996</v>
      </c>
      <c r="O3951" t="s">
        <v>101</v>
      </c>
      <c r="P3951" t="s">
        <v>1702</v>
      </c>
      <c r="Q3951" t="s">
        <v>1702</v>
      </c>
      <c r="R3951" t="s">
        <v>2436</v>
      </c>
    </row>
    <row r="3952" spans="1:18" x14ac:dyDescent="0.5">
      <c r="A3952" t="str">
        <f>"341081GG6"</f>
        <v>341081GG6</v>
      </c>
      <c r="B3952" t="s">
        <v>101</v>
      </c>
      <c r="C3952" t="s">
        <v>4900</v>
      </c>
      <c r="D3952" t="s">
        <v>2433</v>
      </c>
      <c r="E3952">
        <v>2.4500000000000002</v>
      </c>
      <c r="F3952" s="2">
        <v>48247</v>
      </c>
      <c r="G3952" s="2">
        <v>48155</v>
      </c>
      <c r="H3952" t="s">
        <v>613</v>
      </c>
      <c r="I3952" t="s">
        <v>658</v>
      </c>
      <c r="J3952">
        <v>85.766999999999996</v>
      </c>
      <c r="K3952">
        <v>86.120999999999995</v>
      </c>
      <c r="L3952">
        <v>4.9089999999999998</v>
      </c>
      <c r="M3952">
        <v>4.8419999999999996</v>
      </c>
      <c r="N3952">
        <v>4.8419999999999996</v>
      </c>
      <c r="O3952" t="s">
        <v>101</v>
      </c>
      <c r="P3952" t="s">
        <v>2765</v>
      </c>
      <c r="Q3952" t="s">
        <v>2564</v>
      </c>
      <c r="R3952" t="s">
        <v>2436</v>
      </c>
    </row>
    <row r="3953" spans="1:18" x14ac:dyDescent="0.5">
      <c r="A3953" t="str">
        <f>"48130CYD1"</f>
        <v>48130CYD1</v>
      </c>
      <c r="B3953" t="s">
        <v>101</v>
      </c>
      <c r="C3953" t="s">
        <v>4901</v>
      </c>
      <c r="D3953" t="s">
        <v>2433</v>
      </c>
      <c r="E3953">
        <v>5.15</v>
      </c>
      <c r="F3953" s="2">
        <v>48248</v>
      </c>
      <c r="G3953" s="2">
        <v>46422</v>
      </c>
      <c r="H3953" t="s">
        <v>641</v>
      </c>
      <c r="I3953" t="s">
        <v>611</v>
      </c>
      <c r="J3953">
        <v>97</v>
      </c>
      <c r="K3953">
        <v>100.711</v>
      </c>
      <c r="L3953">
        <v>5.681</v>
      </c>
      <c r="M3953">
        <v>4.75</v>
      </c>
      <c r="N3953">
        <v>5.0259999999999998</v>
      </c>
      <c r="O3953" t="s">
        <v>101</v>
      </c>
      <c r="P3953" t="s">
        <v>1391</v>
      </c>
      <c r="Q3953" t="s">
        <v>4902</v>
      </c>
      <c r="R3953" t="s">
        <v>2726</v>
      </c>
    </row>
    <row r="3954" spans="1:18" x14ac:dyDescent="0.5">
      <c r="A3954" t="str">
        <f>"902133AY3"</f>
        <v>902133AY3</v>
      </c>
      <c r="B3954" t="s">
        <v>101</v>
      </c>
      <c r="C3954" t="s">
        <v>4903</v>
      </c>
      <c r="D3954" t="s">
        <v>2433</v>
      </c>
      <c r="E3954">
        <v>2.5</v>
      </c>
      <c r="F3954" s="2">
        <v>48248</v>
      </c>
      <c r="G3954" s="2">
        <v>48156</v>
      </c>
      <c r="H3954" t="s">
        <v>627</v>
      </c>
      <c r="I3954" t="s">
        <v>713</v>
      </c>
      <c r="J3954">
        <v>85.98</v>
      </c>
      <c r="K3954">
        <v>86.363</v>
      </c>
      <c r="L3954">
        <v>4.9219999999999997</v>
      </c>
      <c r="M3954">
        <v>4.8499999999999996</v>
      </c>
      <c r="N3954">
        <v>4.8499999999999996</v>
      </c>
      <c r="O3954" t="s">
        <v>101</v>
      </c>
      <c r="P3954" t="s">
        <v>4569</v>
      </c>
      <c r="Q3954" t="s">
        <v>2454</v>
      </c>
      <c r="R3954" t="s">
        <v>2436</v>
      </c>
    </row>
    <row r="3955" spans="1:18" x14ac:dyDescent="0.5">
      <c r="A3955" t="str">
        <f>"459200KN0"</f>
        <v>459200KN0</v>
      </c>
      <c r="B3955" t="s">
        <v>101</v>
      </c>
      <c r="C3955" t="s">
        <v>4904</v>
      </c>
      <c r="D3955" t="s">
        <v>2433</v>
      </c>
      <c r="E3955">
        <v>2.72</v>
      </c>
      <c r="F3955" s="2">
        <v>48253</v>
      </c>
      <c r="G3955" s="2">
        <v>48161</v>
      </c>
      <c r="H3955" t="s">
        <v>627</v>
      </c>
      <c r="I3955" t="s">
        <v>713</v>
      </c>
      <c r="J3955">
        <v>87.331000000000003</v>
      </c>
      <c r="K3955">
        <v>87.677000000000007</v>
      </c>
      <c r="L3955">
        <v>4.9039999999999999</v>
      </c>
      <c r="M3955">
        <v>4.8390000000000004</v>
      </c>
      <c r="N3955">
        <v>4.8390000000000004</v>
      </c>
      <c r="O3955" t="s">
        <v>101</v>
      </c>
      <c r="P3955" t="s">
        <v>4170</v>
      </c>
      <c r="Q3955" t="s">
        <v>3040</v>
      </c>
      <c r="R3955" t="s">
        <v>2436</v>
      </c>
    </row>
    <row r="3956" spans="1:18" x14ac:dyDescent="0.5">
      <c r="A3956" t="str">
        <f>"06055JJR1"</f>
        <v>06055JJR1</v>
      </c>
      <c r="B3956" t="s">
        <v>101</v>
      </c>
      <c r="C3956" t="s">
        <v>4905</v>
      </c>
      <c r="D3956" t="s">
        <v>2433</v>
      </c>
      <c r="E3956">
        <v>5.5</v>
      </c>
      <c r="F3956" s="2">
        <v>48254</v>
      </c>
      <c r="G3956" s="2">
        <v>46063</v>
      </c>
      <c r="H3956" t="s">
        <v>641</v>
      </c>
      <c r="I3956" t="s">
        <v>713</v>
      </c>
      <c r="J3956">
        <v>99.855000000000004</v>
      </c>
      <c r="K3956">
        <v>100.61</v>
      </c>
      <c r="L3956">
        <v>5.5250000000000004</v>
      </c>
      <c r="M3956">
        <v>4.8019999999999996</v>
      </c>
      <c r="N3956">
        <v>5.3920000000000003</v>
      </c>
      <c r="O3956" t="s">
        <v>101</v>
      </c>
      <c r="P3956" t="s">
        <v>4906</v>
      </c>
      <c r="Q3956" t="s">
        <v>4907</v>
      </c>
      <c r="R3956" t="s">
        <v>2726</v>
      </c>
    </row>
    <row r="3957" spans="1:18" x14ac:dyDescent="0.5">
      <c r="A3957" t="str">
        <f>"459200LH2"</f>
        <v>459200LH2</v>
      </c>
      <c r="B3957" t="s">
        <v>101</v>
      </c>
      <c r="C3957" t="s">
        <v>4908</v>
      </c>
      <c r="D3957" t="s">
        <v>2433</v>
      </c>
      <c r="E3957">
        <v>5</v>
      </c>
      <c r="F3957" s="2">
        <v>48254</v>
      </c>
      <c r="G3957" s="2">
        <v>48192</v>
      </c>
      <c r="H3957" t="s">
        <v>627</v>
      </c>
      <c r="I3957" t="s">
        <v>713</v>
      </c>
      <c r="J3957">
        <v>99.769000000000005</v>
      </c>
      <c r="K3957">
        <v>100.10899999999999</v>
      </c>
      <c r="L3957">
        <v>5.0389999999999997</v>
      </c>
      <c r="M3957">
        <v>4.9800000000000004</v>
      </c>
      <c r="N3957">
        <v>4.9800000000000004</v>
      </c>
      <c r="O3957" t="s">
        <v>101</v>
      </c>
      <c r="P3957" t="s">
        <v>2635</v>
      </c>
      <c r="Q3957" t="s">
        <v>4909</v>
      </c>
      <c r="R3957" t="s">
        <v>2436</v>
      </c>
    </row>
    <row r="3958" spans="1:18" x14ac:dyDescent="0.5">
      <c r="A3958" t="str">
        <f>"532457CW6"</f>
        <v>532457CW6</v>
      </c>
      <c r="B3958" t="s">
        <v>101</v>
      </c>
      <c r="C3958" t="s">
        <v>4910</v>
      </c>
      <c r="D3958" t="s">
        <v>2433</v>
      </c>
      <c r="E3958">
        <v>4.9000000000000004</v>
      </c>
      <c r="F3958" s="2">
        <v>48256</v>
      </c>
      <c r="G3958" s="2">
        <v>48194</v>
      </c>
      <c r="H3958" t="s">
        <v>624</v>
      </c>
      <c r="I3958" t="s">
        <v>658</v>
      </c>
      <c r="J3958">
        <v>100.819</v>
      </c>
      <c r="K3958">
        <v>100.901</v>
      </c>
      <c r="L3958">
        <v>4.7569999999999997</v>
      </c>
      <c r="M3958">
        <v>4.7430000000000003</v>
      </c>
      <c r="N3958">
        <v>4.7450000000000001</v>
      </c>
      <c r="O3958" t="s">
        <v>101</v>
      </c>
      <c r="P3958" t="s">
        <v>2581</v>
      </c>
      <c r="Q3958" t="s">
        <v>2454</v>
      </c>
      <c r="R3958" t="s">
        <v>2436</v>
      </c>
    </row>
    <row r="3959" spans="1:18" x14ac:dyDescent="0.5">
      <c r="A3959" t="str">
        <f>"48130CYP4"</f>
        <v>48130CYP4</v>
      </c>
      <c r="B3959" t="s">
        <v>101</v>
      </c>
      <c r="C3959" t="s">
        <v>4911</v>
      </c>
      <c r="D3959" t="s">
        <v>2433</v>
      </c>
      <c r="E3959">
        <v>5.15</v>
      </c>
      <c r="F3959" s="2">
        <v>48257</v>
      </c>
      <c r="G3959" s="2">
        <v>46432</v>
      </c>
      <c r="H3959" t="s">
        <v>641</v>
      </c>
      <c r="I3959" t="s">
        <v>611</v>
      </c>
      <c r="J3959">
        <v>95</v>
      </c>
      <c r="K3959">
        <v>100.72199999999999</v>
      </c>
      <c r="L3959">
        <v>6.0439999999999996</v>
      </c>
      <c r="M3959">
        <v>4.75</v>
      </c>
      <c r="N3959">
        <v>5.024</v>
      </c>
      <c r="O3959" t="s">
        <v>101</v>
      </c>
      <c r="P3959" t="s">
        <v>2438</v>
      </c>
      <c r="Q3959" t="s">
        <v>2873</v>
      </c>
      <c r="R3959" t="s">
        <v>2726</v>
      </c>
    </row>
    <row r="3960" spans="1:18" x14ac:dyDescent="0.5">
      <c r="A3960" t="str">
        <f>"48130CYQ2"</f>
        <v>48130CYQ2</v>
      </c>
      <c r="B3960" t="s">
        <v>101</v>
      </c>
      <c r="C3960" t="s">
        <v>4912</v>
      </c>
      <c r="D3960" t="s">
        <v>2433</v>
      </c>
      <c r="E3960">
        <v>5.35</v>
      </c>
      <c r="F3960" s="2">
        <v>48257</v>
      </c>
      <c r="G3960" s="2">
        <v>46432</v>
      </c>
      <c r="H3960" t="s">
        <v>641</v>
      </c>
      <c r="I3960" t="s">
        <v>611</v>
      </c>
      <c r="J3960">
        <v>97</v>
      </c>
      <c r="K3960">
        <v>101.08499999999999</v>
      </c>
      <c r="L3960">
        <v>5.883</v>
      </c>
      <c r="M3960">
        <v>4.75</v>
      </c>
      <c r="N3960">
        <v>5.1609999999999996</v>
      </c>
      <c r="O3960" t="s">
        <v>101</v>
      </c>
      <c r="P3960" t="s">
        <v>1391</v>
      </c>
      <c r="Q3960" t="s">
        <v>4913</v>
      </c>
      <c r="R3960" t="s">
        <v>2726</v>
      </c>
    </row>
    <row r="3961" spans="1:18" x14ac:dyDescent="0.5">
      <c r="A3961" t="str">
        <f>"907818FX1"</f>
        <v>907818FX1</v>
      </c>
      <c r="B3961" t="s">
        <v>101</v>
      </c>
      <c r="C3961" t="s">
        <v>4914</v>
      </c>
      <c r="D3961" t="s">
        <v>2433</v>
      </c>
      <c r="E3961">
        <v>2.8</v>
      </c>
      <c r="F3961" s="2">
        <v>48258</v>
      </c>
      <c r="G3961" s="2">
        <v>48166</v>
      </c>
      <c r="H3961" t="s">
        <v>627</v>
      </c>
      <c r="I3961" t="s">
        <v>713</v>
      </c>
      <c r="J3961">
        <v>87.962999999999994</v>
      </c>
      <c r="K3961">
        <v>88.141999999999996</v>
      </c>
      <c r="L3961">
        <v>4.8689999999999998</v>
      </c>
      <c r="M3961">
        <v>4.8360000000000003</v>
      </c>
      <c r="N3961">
        <v>4.8360000000000003</v>
      </c>
      <c r="O3961" t="s">
        <v>101</v>
      </c>
      <c r="P3961" t="s">
        <v>3939</v>
      </c>
      <c r="Q3961" t="s">
        <v>3075</v>
      </c>
      <c r="R3961" t="s">
        <v>2436</v>
      </c>
    </row>
    <row r="3962" spans="1:18" x14ac:dyDescent="0.5">
      <c r="A3962" t="str">
        <f>"59523UAW7"</f>
        <v>59523UAW7</v>
      </c>
      <c r="B3962" t="s">
        <v>101</v>
      </c>
      <c r="C3962" t="s">
        <v>4915</v>
      </c>
      <c r="D3962" t="s">
        <v>2433</v>
      </c>
      <c r="E3962">
        <v>5.3</v>
      </c>
      <c r="F3962" s="2">
        <v>48259</v>
      </c>
      <c r="G3962" s="2">
        <v>48197</v>
      </c>
      <c r="H3962" t="s">
        <v>627</v>
      </c>
      <c r="I3962" t="s">
        <v>713</v>
      </c>
      <c r="J3962">
        <v>100.94499999999999</v>
      </c>
      <c r="K3962">
        <v>101.169</v>
      </c>
      <c r="L3962">
        <v>5.133</v>
      </c>
      <c r="M3962">
        <v>5.0940000000000003</v>
      </c>
      <c r="N3962">
        <v>5.0970000000000004</v>
      </c>
      <c r="O3962" t="s">
        <v>101</v>
      </c>
      <c r="P3962" t="s">
        <v>1999</v>
      </c>
      <c r="Q3962" t="s">
        <v>2454</v>
      </c>
      <c r="R3962" t="s">
        <v>2436</v>
      </c>
    </row>
    <row r="3963" spans="1:18" x14ac:dyDescent="0.5">
      <c r="A3963" t="str">
        <f>"756109CE2"</f>
        <v>756109CE2</v>
      </c>
      <c r="B3963" t="s">
        <v>101</v>
      </c>
      <c r="C3963" t="s">
        <v>4916</v>
      </c>
      <c r="D3963" t="s">
        <v>2433</v>
      </c>
      <c r="E3963">
        <v>2.7</v>
      </c>
      <c r="F3963" s="2">
        <v>48259</v>
      </c>
      <c r="G3963" s="2">
        <v>48167</v>
      </c>
      <c r="H3963" t="s">
        <v>627</v>
      </c>
      <c r="I3963" t="s">
        <v>713</v>
      </c>
      <c r="J3963">
        <v>86.016999999999996</v>
      </c>
      <c r="K3963">
        <v>86.349000000000004</v>
      </c>
      <c r="L3963">
        <v>5.1239999999999997</v>
      </c>
      <c r="M3963">
        <v>5.0609999999999999</v>
      </c>
      <c r="N3963">
        <v>5.0609999999999999</v>
      </c>
      <c r="O3963" t="s">
        <v>101</v>
      </c>
      <c r="P3963" t="s">
        <v>1702</v>
      </c>
      <c r="Q3963" t="s">
        <v>2454</v>
      </c>
      <c r="R3963" t="s">
        <v>2436</v>
      </c>
    </row>
    <row r="3964" spans="1:18" x14ac:dyDescent="0.5">
      <c r="A3964" t="str">
        <f>"25161FQU5"</f>
        <v>25161FQU5</v>
      </c>
      <c r="B3964" t="s">
        <v>101</v>
      </c>
      <c r="C3964" t="s">
        <v>4917</v>
      </c>
      <c r="D3964" t="s">
        <v>2433</v>
      </c>
      <c r="E3964">
        <v>5.45</v>
      </c>
      <c r="F3964" s="2">
        <v>48262</v>
      </c>
      <c r="G3964" s="2">
        <v>46436</v>
      </c>
      <c r="H3964" t="s">
        <v>641</v>
      </c>
      <c r="I3964" t="s">
        <v>611</v>
      </c>
      <c r="J3964">
        <v>96</v>
      </c>
      <c r="K3964">
        <v>100.65</v>
      </c>
      <c r="L3964">
        <v>6.1749999999999998</v>
      </c>
      <c r="M3964">
        <v>5.0839999999999996</v>
      </c>
      <c r="N3964">
        <v>5.3339999999999996</v>
      </c>
      <c r="O3964" t="s">
        <v>101</v>
      </c>
      <c r="P3964" t="s">
        <v>2438</v>
      </c>
      <c r="Q3964" t="s">
        <v>3777</v>
      </c>
      <c r="R3964" t="s">
        <v>2439</v>
      </c>
    </row>
    <row r="3965" spans="1:18" x14ac:dyDescent="0.5">
      <c r="A3965" t="str">
        <f>"17275RBY7"</f>
        <v>17275RBY7</v>
      </c>
      <c r="B3965" t="s">
        <v>101</v>
      </c>
      <c r="C3965" t="s">
        <v>4918</v>
      </c>
      <c r="D3965" t="s">
        <v>2433</v>
      </c>
      <c r="E3965">
        <v>4.95</v>
      </c>
      <c r="F3965" s="2">
        <v>48268</v>
      </c>
      <c r="G3965" s="2">
        <v>48206</v>
      </c>
      <c r="H3965" t="s">
        <v>641</v>
      </c>
      <c r="I3965" t="s">
        <v>616</v>
      </c>
      <c r="J3965">
        <v>100.535</v>
      </c>
      <c r="K3965">
        <v>100.892</v>
      </c>
      <c r="L3965">
        <v>4.8570000000000002</v>
      </c>
      <c r="M3965">
        <v>4.7949999999999999</v>
      </c>
      <c r="N3965">
        <v>4.7969999999999997</v>
      </c>
      <c r="O3965" t="s">
        <v>101</v>
      </c>
      <c r="P3965" t="s">
        <v>3878</v>
      </c>
      <c r="Q3965" t="s">
        <v>3411</v>
      </c>
      <c r="R3965" t="s">
        <v>2436</v>
      </c>
    </row>
    <row r="3966" spans="1:18" x14ac:dyDescent="0.5">
      <c r="A3966" t="str">
        <f>"427866BM9"</f>
        <v>427866BM9</v>
      </c>
      <c r="B3966" t="s">
        <v>101</v>
      </c>
      <c r="C3966" t="s">
        <v>4919</v>
      </c>
      <c r="D3966" t="s">
        <v>2433</v>
      </c>
      <c r="E3966">
        <v>4.95</v>
      </c>
      <c r="F3966" s="2">
        <v>48268</v>
      </c>
      <c r="G3966" s="2">
        <v>48206</v>
      </c>
      <c r="H3966" t="s">
        <v>641</v>
      </c>
      <c r="I3966" t="s">
        <v>611</v>
      </c>
      <c r="J3966">
        <v>100.218</v>
      </c>
      <c r="K3966">
        <v>100.532</v>
      </c>
      <c r="L3966">
        <v>4.9119999999999999</v>
      </c>
      <c r="M3966">
        <v>4.8570000000000002</v>
      </c>
      <c r="N3966">
        <v>4.8579999999999997</v>
      </c>
      <c r="O3966" t="s">
        <v>101</v>
      </c>
      <c r="P3966" t="s">
        <v>3878</v>
      </c>
      <c r="Q3966" t="s">
        <v>2454</v>
      </c>
      <c r="R3966" t="s">
        <v>2436</v>
      </c>
    </row>
    <row r="3967" spans="1:18" x14ac:dyDescent="0.5">
      <c r="A3967" t="str">
        <f>"09247XAS0"</f>
        <v>09247XAS0</v>
      </c>
      <c r="B3967" t="s">
        <v>101</v>
      </c>
      <c r="C3967" t="s">
        <v>4920</v>
      </c>
      <c r="D3967" t="s">
        <v>2433</v>
      </c>
      <c r="E3967">
        <v>2.1</v>
      </c>
      <c r="F3967" s="2">
        <v>48269</v>
      </c>
      <c r="G3967" s="2">
        <v>48177</v>
      </c>
      <c r="H3967" t="s">
        <v>624</v>
      </c>
      <c r="I3967" t="s">
        <v>616</v>
      </c>
      <c r="J3967">
        <v>83.73</v>
      </c>
      <c r="K3967">
        <v>83.956999999999994</v>
      </c>
      <c r="L3967">
        <v>4.8879999999999999</v>
      </c>
      <c r="M3967">
        <v>4.8449999999999998</v>
      </c>
      <c r="N3967">
        <v>4.8449999999999998</v>
      </c>
      <c r="O3967" t="s">
        <v>101</v>
      </c>
      <c r="P3967" t="s">
        <v>4921</v>
      </c>
      <c r="Q3967" t="s">
        <v>2454</v>
      </c>
      <c r="R3967" t="s">
        <v>2436</v>
      </c>
    </row>
    <row r="3968" spans="1:18" x14ac:dyDescent="0.5">
      <c r="A3968" t="str">
        <f>"25161F3N6"</f>
        <v>25161F3N6</v>
      </c>
      <c r="B3968" t="s">
        <v>101</v>
      </c>
      <c r="C3968" t="s">
        <v>4922</v>
      </c>
      <c r="D3968" t="s">
        <v>2433</v>
      </c>
      <c r="E3968">
        <v>5.55</v>
      </c>
      <c r="F3968" s="2">
        <v>48271</v>
      </c>
      <c r="G3968" s="2">
        <v>46446</v>
      </c>
      <c r="H3968" t="s">
        <v>641</v>
      </c>
      <c r="I3968" t="s">
        <v>611</v>
      </c>
      <c r="J3968">
        <v>97</v>
      </c>
      <c r="K3968">
        <v>100.85</v>
      </c>
      <c r="L3968">
        <v>6.0910000000000002</v>
      </c>
      <c r="M3968">
        <v>5.0810000000000004</v>
      </c>
      <c r="N3968">
        <v>5.4</v>
      </c>
      <c r="O3968" t="s">
        <v>101</v>
      </c>
      <c r="P3968" t="s">
        <v>2438</v>
      </c>
      <c r="Q3968" t="s">
        <v>4339</v>
      </c>
      <c r="R3968" t="s">
        <v>2439</v>
      </c>
    </row>
    <row r="3969" spans="1:18" x14ac:dyDescent="0.5">
      <c r="A3969" t="str">
        <f>"48130CZQ1"</f>
        <v>48130CZQ1</v>
      </c>
      <c r="B3969" t="s">
        <v>101</v>
      </c>
      <c r="C3969" t="s">
        <v>4923</v>
      </c>
      <c r="D3969" t="s">
        <v>2433</v>
      </c>
      <c r="E3969">
        <v>5.25</v>
      </c>
      <c r="F3969" s="2">
        <v>48271</v>
      </c>
      <c r="G3969" s="2">
        <v>46446</v>
      </c>
      <c r="H3969" t="s">
        <v>641</v>
      </c>
      <c r="I3969" t="s">
        <v>611</v>
      </c>
      <c r="J3969">
        <v>97</v>
      </c>
      <c r="K3969">
        <v>100.92400000000001</v>
      </c>
      <c r="L3969">
        <v>5.7789999999999999</v>
      </c>
      <c r="M3969">
        <v>4.75</v>
      </c>
      <c r="N3969">
        <v>5.09</v>
      </c>
      <c r="O3969" t="s">
        <v>101</v>
      </c>
      <c r="P3969" t="s">
        <v>2438</v>
      </c>
      <c r="Q3969" t="s">
        <v>4924</v>
      </c>
      <c r="R3969" t="s">
        <v>2439</v>
      </c>
    </row>
    <row r="3970" spans="1:18" x14ac:dyDescent="0.5">
      <c r="A3970" t="str">
        <f>"48130CZR9"</f>
        <v>48130CZR9</v>
      </c>
      <c r="B3970" t="s">
        <v>101</v>
      </c>
      <c r="C3970" t="s">
        <v>4925</v>
      </c>
      <c r="D3970" t="s">
        <v>2433</v>
      </c>
      <c r="E3970">
        <v>5.35</v>
      </c>
      <c r="F3970" s="2">
        <v>48271</v>
      </c>
      <c r="G3970" s="2">
        <v>46446</v>
      </c>
      <c r="H3970" t="s">
        <v>641</v>
      </c>
      <c r="I3970" t="s">
        <v>611</v>
      </c>
      <c r="J3970">
        <v>99.741</v>
      </c>
      <c r="K3970">
        <v>101.108</v>
      </c>
      <c r="L3970">
        <v>5.3949999999999996</v>
      </c>
      <c r="M3970">
        <v>4.75</v>
      </c>
      <c r="N3970">
        <v>5.1580000000000004</v>
      </c>
      <c r="O3970" t="s">
        <v>101</v>
      </c>
      <c r="P3970" t="s">
        <v>2438</v>
      </c>
      <c r="Q3970" t="s">
        <v>3206</v>
      </c>
      <c r="R3970" t="s">
        <v>3443</v>
      </c>
    </row>
    <row r="3971" spans="1:18" x14ac:dyDescent="0.5">
      <c r="A3971" t="str">
        <f>"039482AD6"</f>
        <v>039482AD6</v>
      </c>
      <c r="B3971" t="s">
        <v>101</v>
      </c>
      <c r="C3971" t="s">
        <v>4926</v>
      </c>
      <c r="D3971" t="s">
        <v>2433</v>
      </c>
      <c r="E3971">
        <v>2.9</v>
      </c>
      <c r="F3971" s="2">
        <v>48274</v>
      </c>
      <c r="G3971" s="2">
        <v>48183</v>
      </c>
      <c r="H3971" t="s">
        <v>610</v>
      </c>
      <c r="I3971" t="s">
        <v>611</v>
      </c>
      <c r="J3971">
        <v>87.566999999999993</v>
      </c>
      <c r="K3971">
        <v>87.902000000000001</v>
      </c>
      <c r="L3971">
        <v>5.0369999999999999</v>
      </c>
      <c r="M3971">
        <v>4.9749999999999996</v>
      </c>
      <c r="N3971">
        <v>4.9749999999999996</v>
      </c>
      <c r="O3971" t="s">
        <v>101</v>
      </c>
      <c r="P3971" t="s">
        <v>4927</v>
      </c>
      <c r="Q3971" t="s">
        <v>2454</v>
      </c>
      <c r="R3971" t="s">
        <v>2436</v>
      </c>
    </row>
    <row r="3972" spans="1:18" x14ac:dyDescent="0.5">
      <c r="A3972" t="str">
        <f>"15189XAX6"</f>
        <v>15189XAX6</v>
      </c>
      <c r="B3972" t="s">
        <v>101</v>
      </c>
      <c r="C3972" t="s">
        <v>4928</v>
      </c>
      <c r="D3972" t="s">
        <v>2433</v>
      </c>
      <c r="E3972">
        <v>3</v>
      </c>
      <c r="F3972" s="2">
        <v>48274</v>
      </c>
      <c r="G3972" s="2">
        <v>48183</v>
      </c>
      <c r="H3972" t="s">
        <v>610</v>
      </c>
      <c r="I3972" t="s">
        <v>611</v>
      </c>
      <c r="J3972">
        <v>88.227999999999994</v>
      </c>
      <c r="K3972">
        <v>88.733000000000004</v>
      </c>
      <c r="L3972">
        <v>5.0229999999999997</v>
      </c>
      <c r="M3972">
        <v>4.93</v>
      </c>
      <c r="N3972">
        <v>4.93</v>
      </c>
      <c r="O3972" t="s">
        <v>101</v>
      </c>
      <c r="P3972" t="s">
        <v>3878</v>
      </c>
      <c r="Q3972" t="s">
        <v>3411</v>
      </c>
      <c r="R3972" t="s">
        <v>2436</v>
      </c>
    </row>
    <row r="3973" spans="1:18" x14ac:dyDescent="0.5">
      <c r="A3973" t="str">
        <f>"25468PBW5"</f>
        <v>25468PBW5</v>
      </c>
      <c r="B3973" t="s">
        <v>101</v>
      </c>
      <c r="C3973" t="s">
        <v>4929</v>
      </c>
      <c r="D3973" t="s">
        <v>2433</v>
      </c>
      <c r="E3973">
        <v>7</v>
      </c>
      <c r="F3973" s="2">
        <v>48274</v>
      </c>
      <c r="G3973" s="2" t="s">
        <v>101</v>
      </c>
      <c r="H3973" t="s">
        <v>610</v>
      </c>
      <c r="I3973" t="s">
        <v>611</v>
      </c>
      <c r="J3973">
        <v>112.761</v>
      </c>
      <c r="K3973">
        <v>112.98</v>
      </c>
      <c r="L3973">
        <v>4.8220000000000001</v>
      </c>
      <c r="M3973">
        <v>4.7869999999999999</v>
      </c>
      <c r="N3973">
        <v>4.7869999999999999</v>
      </c>
      <c r="O3973" t="s">
        <v>101</v>
      </c>
      <c r="P3973" t="s">
        <v>2460</v>
      </c>
      <c r="Q3973" t="s">
        <v>4930</v>
      </c>
      <c r="R3973" t="s">
        <v>2436</v>
      </c>
    </row>
    <row r="3974" spans="1:18" x14ac:dyDescent="0.5">
      <c r="A3974" t="str">
        <f>"23338VAQ9"</f>
        <v>23338VAQ9</v>
      </c>
      <c r="B3974" t="s">
        <v>101</v>
      </c>
      <c r="C3974" t="s">
        <v>4931</v>
      </c>
      <c r="D3974" t="s">
        <v>2433</v>
      </c>
      <c r="E3974">
        <v>3</v>
      </c>
      <c r="F3974" s="2">
        <v>48274</v>
      </c>
      <c r="G3974" s="2">
        <v>48183</v>
      </c>
      <c r="H3974" t="s">
        <v>624</v>
      </c>
      <c r="I3974" t="s">
        <v>611</v>
      </c>
      <c r="J3974">
        <v>88.613</v>
      </c>
      <c r="K3974">
        <v>89.066000000000003</v>
      </c>
      <c r="L3974">
        <v>4.952</v>
      </c>
      <c r="M3974">
        <v>4.8689999999999998</v>
      </c>
      <c r="N3974">
        <v>4.8689999999999998</v>
      </c>
      <c r="O3974" t="s">
        <v>101</v>
      </c>
      <c r="P3974" t="s">
        <v>4569</v>
      </c>
      <c r="Q3974" t="s">
        <v>485</v>
      </c>
      <c r="R3974" t="s">
        <v>2436</v>
      </c>
    </row>
    <row r="3975" spans="1:18" x14ac:dyDescent="0.5">
      <c r="A3975" t="str">
        <f>"478160DK7"</f>
        <v>478160DK7</v>
      </c>
      <c r="B3975" t="s">
        <v>101</v>
      </c>
      <c r="C3975" t="s">
        <v>4932</v>
      </c>
      <c r="D3975" t="s">
        <v>2433</v>
      </c>
      <c r="E3975">
        <v>4.8499999999999996</v>
      </c>
      <c r="F3975" s="2">
        <v>48274</v>
      </c>
      <c r="G3975" s="2">
        <v>48214</v>
      </c>
      <c r="H3975" t="s">
        <v>104</v>
      </c>
      <c r="I3975" t="s">
        <v>104</v>
      </c>
      <c r="J3975">
        <v>101.04</v>
      </c>
      <c r="K3975">
        <v>101.122</v>
      </c>
      <c r="L3975">
        <v>4.67</v>
      </c>
      <c r="M3975">
        <v>4.6539999999999999</v>
      </c>
      <c r="N3975">
        <v>4.6589999999999998</v>
      </c>
      <c r="O3975" t="s">
        <v>101</v>
      </c>
      <c r="P3975" t="s">
        <v>2438</v>
      </c>
      <c r="Q3975" t="s">
        <v>4933</v>
      </c>
      <c r="R3975" t="s">
        <v>2436</v>
      </c>
    </row>
    <row r="3976" spans="1:18" x14ac:dyDescent="0.5">
      <c r="A3976" t="str">
        <f>"637432CT0"</f>
        <v>637432CT0</v>
      </c>
      <c r="B3976" t="s">
        <v>101</v>
      </c>
      <c r="C3976" t="s">
        <v>4934</v>
      </c>
      <c r="D3976" t="s">
        <v>2433</v>
      </c>
      <c r="E3976">
        <v>8</v>
      </c>
      <c r="F3976" s="2">
        <v>48274</v>
      </c>
      <c r="G3976" s="2" t="s">
        <v>101</v>
      </c>
      <c r="H3976" t="s">
        <v>610</v>
      </c>
      <c r="I3976" t="s">
        <v>713</v>
      </c>
      <c r="J3976">
        <v>117.395</v>
      </c>
      <c r="K3976">
        <v>122.17400000000001</v>
      </c>
      <c r="L3976">
        <v>5.0119999999999996</v>
      </c>
      <c r="M3976">
        <v>4.2859999999999996</v>
      </c>
      <c r="N3976">
        <v>4.2859999999999996</v>
      </c>
      <c r="O3976" t="s">
        <v>101</v>
      </c>
      <c r="P3976" t="s">
        <v>1236</v>
      </c>
      <c r="Q3976" t="s">
        <v>3803</v>
      </c>
      <c r="R3976" t="s">
        <v>2436</v>
      </c>
    </row>
    <row r="3977" spans="1:18" x14ac:dyDescent="0.5">
      <c r="A3977" t="str">
        <f>"808513CA1"</f>
        <v>808513CA1</v>
      </c>
      <c r="B3977" t="s">
        <v>101</v>
      </c>
      <c r="C3977" t="s">
        <v>4935</v>
      </c>
      <c r="D3977" t="s">
        <v>2433</v>
      </c>
      <c r="E3977">
        <v>2.9</v>
      </c>
      <c r="F3977" s="2">
        <v>48276</v>
      </c>
      <c r="G3977" s="2">
        <v>48185</v>
      </c>
      <c r="H3977" t="s">
        <v>610</v>
      </c>
      <c r="I3977" t="s">
        <v>713</v>
      </c>
      <c r="J3977">
        <v>87.257999999999996</v>
      </c>
      <c r="K3977">
        <v>87.471999999999994</v>
      </c>
      <c r="L3977">
        <v>5.093</v>
      </c>
      <c r="M3977">
        <v>5.0529999999999999</v>
      </c>
      <c r="N3977">
        <v>5.0529999999999999</v>
      </c>
      <c r="O3977" t="s">
        <v>101</v>
      </c>
      <c r="P3977" t="s">
        <v>2581</v>
      </c>
      <c r="Q3977" t="s">
        <v>2678</v>
      </c>
      <c r="R3977" t="s">
        <v>2436</v>
      </c>
    </row>
    <row r="3978" spans="1:18" x14ac:dyDescent="0.5">
      <c r="A3978" t="str">
        <f>"06055JKD0"</f>
        <v>06055JKD0</v>
      </c>
      <c r="B3978" t="s">
        <v>101</v>
      </c>
      <c r="C3978" t="s">
        <v>4936</v>
      </c>
      <c r="D3978" t="s">
        <v>2433</v>
      </c>
      <c r="E3978">
        <v>5.3</v>
      </c>
      <c r="F3978" s="2">
        <v>48283</v>
      </c>
      <c r="G3978" s="2">
        <v>46091</v>
      </c>
      <c r="H3978" t="s">
        <v>641</v>
      </c>
      <c r="I3978" t="s">
        <v>713</v>
      </c>
      <c r="J3978">
        <v>99.51</v>
      </c>
      <c r="K3978">
        <v>100.28</v>
      </c>
      <c r="L3978">
        <v>5.3849999999999998</v>
      </c>
      <c r="M3978">
        <v>5.0069999999999997</v>
      </c>
      <c r="N3978">
        <v>5.2519999999999998</v>
      </c>
      <c r="O3978" t="s">
        <v>101</v>
      </c>
      <c r="P3978" t="s">
        <v>4937</v>
      </c>
      <c r="Q3978" t="s">
        <v>4938</v>
      </c>
      <c r="R3978" t="s">
        <v>2726</v>
      </c>
    </row>
    <row r="3979" spans="1:18" x14ac:dyDescent="0.5">
      <c r="A3979" t="str">
        <f>"438127AC6"</f>
        <v>438127AC6</v>
      </c>
      <c r="B3979" t="s">
        <v>101</v>
      </c>
      <c r="C3979" t="s">
        <v>4939</v>
      </c>
      <c r="D3979" t="s">
        <v>2433</v>
      </c>
      <c r="E3979">
        <v>2.9670000000000001</v>
      </c>
      <c r="F3979" s="2">
        <v>48283</v>
      </c>
      <c r="G3979" s="2">
        <v>48192</v>
      </c>
      <c r="H3979" t="s">
        <v>627</v>
      </c>
      <c r="I3979" t="s">
        <v>713</v>
      </c>
      <c r="J3979">
        <v>87.671000000000006</v>
      </c>
      <c r="K3979">
        <v>88.188999999999993</v>
      </c>
      <c r="L3979">
        <v>5.0839999999999996</v>
      </c>
      <c r="M3979">
        <v>4.9880000000000004</v>
      </c>
      <c r="N3979">
        <v>4.9880000000000004</v>
      </c>
      <c r="O3979" t="s">
        <v>101</v>
      </c>
      <c r="P3979" t="s">
        <v>2581</v>
      </c>
      <c r="Q3979" t="s">
        <v>2454</v>
      </c>
      <c r="R3979" t="s">
        <v>2436</v>
      </c>
    </row>
    <row r="3980" spans="1:18" x14ac:dyDescent="0.5">
      <c r="A3980" t="str">
        <f>"89114TZV7"</f>
        <v>89114TZV7</v>
      </c>
      <c r="B3980" t="s">
        <v>101</v>
      </c>
      <c r="C3980" t="s">
        <v>4940</v>
      </c>
      <c r="D3980" t="s">
        <v>2433</v>
      </c>
      <c r="E3980">
        <v>3.2</v>
      </c>
      <c r="F3980" s="2">
        <v>48283</v>
      </c>
      <c r="G3980" s="2" t="s">
        <v>101</v>
      </c>
      <c r="H3980" t="s">
        <v>610</v>
      </c>
      <c r="I3980" t="s">
        <v>713</v>
      </c>
      <c r="J3980">
        <v>88.49</v>
      </c>
      <c r="K3980">
        <v>88.73</v>
      </c>
      <c r="L3980">
        <v>5.1829999999999998</v>
      </c>
      <c r="M3980">
        <v>5.1379999999999999</v>
      </c>
      <c r="N3980">
        <v>5.1379999999999999</v>
      </c>
      <c r="O3980" t="s">
        <v>101</v>
      </c>
      <c r="P3980" t="s">
        <v>2581</v>
      </c>
      <c r="Q3980" t="s">
        <v>2564</v>
      </c>
      <c r="R3980" t="s">
        <v>2436</v>
      </c>
    </row>
    <row r="3981" spans="1:18" x14ac:dyDescent="0.5">
      <c r="A3981" t="str">
        <f>"010392FX1"</f>
        <v>010392FX1</v>
      </c>
      <c r="B3981" t="s">
        <v>101</v>
      </c>
      <c r="C3981" t="s">
        <v>4941</v>
      </c>
      <c r="D3981" t="s">
        <v>2433</v>
      </c>
      <c r="E3981">
        <v>3.05</v>
      </c>
      <c r="F3981" s="2">
        <v>48288</v>
      </c>
      <c r="G3981" s="2">
        <v>48197</v>
      </c>
      <c r="H3981" t="s">
        <v>641</v>
      </c>
      <c r="I3981" t="s">
        <v>611</v>
      </c>
      <c r="J3981">
        <v>88.695999999999998</v>
      </c>
      <c r="K3981">
        <v>89.141000000000005</v>
      </c>
      <c r="L3981">
        <v>4.9809999999999999</v>
      </c>
      <c r="M3981">
        <v>4.899</v>
      </c>
      <c r="N3981">
        <v>4.899</v>
      </c>
      <c r="O3981" t="s">
        <v>101</v>
      </c>
      <c r="P3981" t="s">
        <v>4569</v>
      </c>
      <c r="Q3981" t="s">
        <v>2454</v>
      </c>
      <c r="R3981" t="s">
        <v>2436</v>
      </c>
    </row>
    <row r="3982" spans="1:18" x14ac:dyDescent="0.5">
      <c r="A3982" t="str">
        <f>"084664DA6"</f>
        <v>084664DA6</v>
      </c>
      <c r="B3982" t="s">
        <v>101</v>
      </c>
      <c r="C3982" t="s">
        <v>4942</v>
      </c>
      <c r="D3982" t="s">
        <v>2433</v>
      </c>
      <c r="E3982">
        <v>2.875</v>
      </c>
      <c r="F3982" s="2">
        <v>48288</v>
      </c>
      <c r="G3982" s="2">
        <v>48197</v>
      </c>
      <c r="H3982" t="s">
        <v>613</v>
      </c>
      <c r="I3982" t="s">
        <v>628</v>
      </c>
      <c r="J3982">
        <v>89.388000000000005</v>
      </c>
      <c r="K3982">
        <v>89.563000000000002</v>
      </c>
      <c r="L3982">
        <v>4.6680000000000001</v>
      </c>
      <c r="M3982">
        <v>4.6360000000000001</v>
      </c>
      <c r="N3982">
        <v>4.6360000000000001</v>
      </c>
      <c r="O3982" t="s">
        <v>101</v>
      </c>
      <c r="P3982" t="s">
        <v>2447</v>
      </c>
      <c r="Q3982" t="s">
        <v>2454</v>
      </c>
      <c r="R3982" t="s">
        <v>2436</v>
      </c>
    </row>
    <row r="3983" spans="1:18" x14ac:dyDescent="0.5">
      <c r="A3983" t="str">
        <f>"110122DU9"</f>
        <v>110122DU9</v>
      </c>
      <c r="B3983" t="s">
        <v>101</v>
      </c>
      <c r="C3983" t="s">
        <v>4943</v>
      </c>
      <c r="D3983" t="s">
        <v>2433</v>
      </c>
      <c r="E3983">
        <v>2.95</v>
      </c>
      <c r="F3983" s="2">
        <v>48288</v>
      </c>
      <c r="G3983" s="2">
        <v>48197</v>
      </c>
      <c r="H3983" t="s">
        <v>610</v>
      </c>
      <c r="I3983" t="s">
        <v>611</v>
      </c>
      <c r="J3983">
        <v>88.617999999999995</v>
      </c>
      <c r="K3983">
        <v>88.81</v>
      </c>
      <c r="L3983">
        <v>4.8879999999999999</v>
      </c>
      <c r="M3983">
        <v>4.8529999999999998</v>
      </c>
      <c r="N3983">
        <v>4.8529999999999998</v>
      </c>
      <c r="O3983" t="s">
        <v>101</v>
      </c>
      <c r="P3983" t="s">
        <v>2581</v>
      </c>
      <c r="Q3983" t="s">
        <v>1391</v>
      </c>
      <c r="R3983" t="s">
        <v>2436</v>
      </c>
    </row>
    <row r="3984" spans="1:18" x14ac:dyDescent="0.5">
      <c r="A3984" t="str">
        <f>"12572QAK1"</f>
        <v>12572QAK1</v>
      </c>
      <c r="B3984" t="s">
        <v>101</v>
      </c>
      <c r="C3984" t="s">
        <v>4944</v>
      </c>
      <c r="D3984" t="s">
        <v>2433</v>
      </c>
      <c r="E3984">
        <v>2.65</v>
      </c>
      <c r="F3984" s="2">
        <v>48288</v>
      </c>
      <c r="G3984" s="2">
        <v>48197</v>
      </c>
      <c r="H3984" t="s">
        <v>624</v>
      </c>
      <c r="I3984" t="s">
        <v>616</v>
      </c>
      <c r="J3984">
        <v>87.037000000000006</v>
      </c>
      <c r="K3984">
        <v>87.207999999999998</v>
      </c>
      <c r="L3984">
        <v>4.8540000000000001</v>
      </c>
      <c r="M3984">
        <v>4.8230000000000004</v>
      </c>
      <c r="N3984">
        <v>4.8230000000000004</v>
      </c>
      <c r="O3984" t="s">
        <v>101</v>
      </c>
      <c r="P3984" t="s">
        <v>2765</v>
      </c>
      <c r="Q3984" t="s">
        <v>2441</v>
      </c>
      <c r="R3984" t="s">
        <v>2436</v>
      </c>
    </row>
    <row r="3985" spans="1:18" x14ac:dyDescent="0.5">
      <c r="A3985" t="str">
        <f>"202795JW1"</f>
        <v>202795JW1</v>
      </c>
      <c r="B3985" t="s">
        <v>101</v>
      </c>
      <c r="C3985" t="s">
        <v>4945</v>
      </c>
      <c r="D3985" t="s">
        <v>2433</v>
      </c>
      <c r="E3985">
        <v>3.15</v>
      </c>
      <c r="F3985" s="2">
        <v>48288</v>
      </c>
      <c r="G3985" s="2">
        <v>48197</v>
      </c>
      <c r="H3985" t="s">
        <v>641</v>
      </c>
      <c r="I3985" t="s">
        <v>611</v>
      </c>
      <c r="J3985">
        <v>88.409000000000006</v>
      </c>
      <c r="K3985">
        <v>89.04</v>
      </c>
      <c r="L3985">
        <v>5.141</v>
      </c>
      <c r="M3985">
        <v>5.0250000000000004</v>
      </c>
      <c r="N3985">
        <v>5.0250000000000004</v>
      </c>
      <c r="O3985" t="s">
        <v>101</v>
      </c>
      <c r="P3985" t="s">
        <v>4569</v>
      </c>
      <c r="Q3985" t="s">
        <v>2566</v>
      </c>
      <c r="R3985" t="s">
        <v>2436</v>
      </c>
    </row>
    <row r="3986" spans="1:18" x14ac:dyDescent="0.5">
      <c r="A3986" t="str">
        <f>"26442CBG8"</f>
        <v>26442CBG8</v>
      </c>
      <c r="B3986" t="s">
        <v>101</v>
      </c>
      <c r="C3986" t="s">
        <v>4946</v>
      </c>
      <c r="D3986" t="s">
        <v>2433</v>
      </c>
      <c r="E3986">
        <v>2.85</v>
      </c>
      <c r="F3986" s="2">
        <v>48288</v>
      </c>
      <c r="G3986" s="2">
        <v>48197</v>
      </c>
      <c r="H3986" t="s">
        <v>624</v>
      </c>
      <c r="I3986" t="s">
        <v>611</v>
      </c>
      <c r="J3986">
        <v>87.391000000000005</v>
      </c>
      <c r="K3986">
        <v>87.727000000000004</v>
      </c>
      <c r="L3986">
        <v>5.0049999999999999</v>
      </c>
      <c r="M3986">
        <v>4.9429999999999996</v>
      </c>
      <c r="N3986">
        <v>4.9429999999999996</v>
      </c>
      <c r="O3986" t="s">
        <v>101</v>
      </c>
      <c r="P3986" t="s">
        <v>4569</v>
      </c>
      <c r="Q3986" t="s">
        <v>1391</v>
      </c>
      <c r="R3986" t="s">
        <v>2436</v>
      </c>
    </row>
    <row r="3987" spans="1:18" x14ac:dyDescent="0.5">
      <c r="A3987" t="str">
        <f>"57636QBG8"</f>
        <v>57636QBG8</v>
      </c>
      <c r="B3987" t="s">
        <v>101</v>
      </c>
      <c r="C3987" t="s">
        <v>4947</v>
      </c>
      <c r="D3987" t="s">
        <v>2433</v>
      </c>
      <c r="E3987">
        <v>4.95</v>
      </c>
      <c r="F3987" s="2">
        <v>48288</v>
      </c>
      <c r="G3987" s="2">
        <v>48228</v>
      </c>
      <c r="H3987" t="s">
        <v>624</v>
      </c>
      <c r="I3987" t="s">
        <v>105</v>
      </c>
      <c r="J3987">
        <v>100.724</v>
      </c>
      <c r="K3987">
        <v>100.956</v>
      </c>
      <c r="L3987">
        <v>4.8239999999999998</v>
      </c>
      <c r="M3987">
        <v>4.7839999999999998</v>
      </c>
      <c r="N3987">
        <v>4.7869999999999999</v>
      </c>
      <c r="O3987" t="s">
        <v>101</v>
      </c>
      <c r="P3987" t="s">
        <v>1391</v>
      </c>
      <c r="Q3987" t="s">
        <v>2454</v>
      </c>
      <c r="R3987" t="s">
        <v>2726</v>
      </c>
    </row>
    <row r="3988" spans="1:18" x14ac:dyDescent="0.5">
      <c r="A3988" t="str">
        <f>"743315AZ6"</f>
        <v>743315AZ6</v>
      </c>
      <c r="B3988" t="s">
        <v>101</v>
      </c>
      <c r="C3988" t="s">
        <v>4948</v>
      </c>
      <c r="D3988" t="s">
        <v>2433</v>
      </c>
      <c r="E3988">
        <v>3</v>
      </c>
      <c r="F3988" s="2">
        <v>48288</v>
      </c>
      <c r="G3988" s="2">
        <v>48197</v>
      </c>
      <c r="H3988" t="s">
        <v>610</v>
      </c>
      <c r="I3988" t="s">
        <v>611</v>
      </c>
      <c r="J3988">
        <v>88.813999999999993</v>
      </c>
      <c r="K3988">
        <v>89.081000000000003</v>
      </c>
      <c r="L3988">
        <v>4.9050000000000002</v>
      </c>
      <c r="M3988">
        <v>4.8570000000000002</v>
      </c>
      <c r="N3988">
        <v>4.8570000000000002</v>
      </c>
      <c r="O3988" t="s">
        <v>101</v>
      </c>
      <c r="P3988" t="s">
        <v>2447</v>
      </c>
      <c r="Q3988" t="s">
        <v>1702</v>
      </c>
      <c r="R3988" t="s">
        <v>2436</v>
      </c>
    </row>
    <row r="3989" spans="1:18" x14ac:dyDescent="0.5">
      <c r="A3989" t="str">
        <f>"74456QCJ3"</f>
        <v>74456QCJ3</v>
      </c>
      <c r="B3989" t="s">
        <v>101</v>
      </c>
      <c r="C3989" t="s">
        <v>4949</v>
      </c>
      <c r="D3989" t="s">
        <v>2433</v>
      </c>
      <c r="E3989">
        <v>3.1</v>
      </c>
      <c r="F3989" s="2">
        <v>48288</v>
      </c>
      <c r="G3989" s="2">
        <v>48197</v>
      </c>
      <c r="H3989" t="s">
        <v>641</v>
      </c>
      <c r="I3989" t="s">
        <v>611</v>
      </c>
      <c r="J3989">
        <v>89.063000000000002</v>
      </c>
      <c r="K3989">
        <v>89.427000000000007</v>
      </c>
      <c r="L3989">
        <v>4.9669999999999996</v>
      </c>
      <c r="M3989">
        <v>4.9009999999999998</v>
      </c>
      <c r="N3989">
        <v>4.9009999999999998</v>
      </c>
      <c r="O3989" t="s">
        <v>101</v>
      </c>
      <c r="P3989" t="s">
        <v>2765</v>
      </c>
      <c r="Q3989" t="s">
        <v>2454</v>
      </c>
      <c r="R3989" t="s">
        <v>2436</v>
      </c>
    </row>
    <row r="3990" spans="1:18" x14ac:dyDescent="0.5">
      <c r="A3990" t="str">
        <f>"797440CB8"</f>
        <v>797440CB8</v>
      </c>
      <c r="B3990" t="s">
        <v>101</v>
      </c>
      <c r="C3990" t="s">
        <v>4950</v>
      </c>
      <c r="D3990" t="s">
        <v>2433</v>
      </c>
      <c r="E3990">
        <v>3</v>
      </c>
      <c r="F3990" s="2">
        <v>48288</v>
      </c>
      <c r="G3990" s="2">
        <v>48197</v>
      </c>
      <c r="H3990" t="s">
        <v>641</v>
      </c>
      <c r="I3990" t="s">
        <v>611</v>
      </c>
      <c r="J3990">
        <v>86.962999999999994</v>
      </c>
      <c r="K3990">
        <v>87.444000000000003</v>
      </c>
      <c r="L3990">
        <v>5.2469999999999999</v>
      </c>
      <c r="M3990">
        <v>5.1580000000000004</v>
      </c>
      <c r="N3990">
        <v>5.1580000000000004</v>
      </c>
      <c r="O3990" t="s">
        <v>101</v>
      </c>
      <c r="P3990" t="s">
        <v>4600</v>
      </c>
      <c r="Q3990" t="s">
        <v>3206</v>
      </c>
      <c r="R3990" t="s">
        <v>2436</v>
      </c>
    </row>
    <row r="3991" spans="1:18" x14ac:dyDescent="0.5">
      <c r="A3991" t="str">
        <f>"906548CT7"</f>
        <v>906548CT7</v>
      </c>
      <c r="B3991" t="s">
        <v>101</v>
      </c>
      <c r="C3991" t="s">
        <v>4951</v>
      </c>
      <c r="D3991" t="s">
        <v>2433</v>
      </c>
      <c r="E3991">
        <v>2.15</v>
      </c>
      <c r="F3991" s="2">
        <v>48288</v>
      </c>
      <c r="G3991" s="2">
        <v>48197</v>
      </c>
      <c r="H3991" t="s">
        <v>610</v>
      </c>
      <c r="I3991" t="s">
        <v>611</v>
      </c>
      <c r="J3991">
        <v>83.593000000000004</v>
      </c>
      <c r="K3991">
        <v>84.037000000000006</v>
      </c>
      <c r="L3991">
        <v>4.9489999999999998</v>
      </c>
      <c r="M3991">
        <v>4.8650000000000002</v>
      </c>
      <c r="N3991">
        <v>4.8650000000000002</v>
      </c>
      <c r="O3991" t="s">
        <v>101</v>
      </c>
      <c r="P3991" t="s">
        <v>1391</v>
      </c>
      <c r="Q3991" t="s">
        <v>3920</v>
      </c>
      <c r="R3991" t="s">
        <v>2436</v>
      </c>
    </row>
    <row r="3992" spans="1:18" x14ac:dyDescent="0.5">
      <c r="A3992" t="str">
        <f>"94106LCD9"</f>
        <v>94106LCD9</v>
      </c>
      <c r="B3992" t="s">
        <v>101</v>
      </c>
      <c r="C3992" t="s">
        <v>4952</v>
      </c>
      <c r="D3992" t="s">
        <v>2433</v>
      </c>
      <c r="E3992">
        <v>4.8</v>
      </c>
      <c r="F3992" s="2">
        <v>48288</v>
      </c>
      <c r="G3992" s="2">
        <v>48228</v>
      </c>
      <c r="H3992" t="s">
        <v>627</v>
      </c>
      <c r="I3992" t="s">
        <v>713</v>
      </c>
      <c r="J3992">
        <v>99.358999999999995</v>
      </c>
      <c r="K3992">
        <v>99.516999999999996</v>
      </c>
      <c r="L3992">
        <v>4.9089999999999998</v>
      </c>
      <c r="M3992">
        <v>4.8819999999999997</v>
      </c>
      <c r="N3992">
        <v>4.8819999999999997</v>
      </c>
      <c r="O3992" t="s">
        <v>101</v>
      </c>
      <c r="P3992" t="s">
        <v>1702</v>
      </c>
      <c r="Q3992" t="s">
        <v>2454</v>
      </c>
      <c r="R3992" t="s">
        <v>2436</v>
      </c>
    </row>
    <row r="3993" spans="1:18" x14ac:dyDescent="0.5">
      <c r="A3993" t="str">
        <f>"12503MAD0"</f>
        <v>12503MAD0</v>
      </c>
      <c r="B3993" t="s">
        <v>101</v>
      </c>
      <c r="C3993" t="s">
        <v>4953</v>
      </c>
      <c r="D3993" t="s">
        <v>2433</v>
      </c>
      <c r="E3993">
        <v>3</v>
      </c>
      <c r="F3993" s="2">
        <v>48289</v>
      </c>
      <c r="G3993" s="2">
        <v>48198</v>
      </c>
      <c r="H3993" t="s">
        <v>627</v>
      </c>
      <c r="I3993" t="s">
        <v>713</v>
      </c>
      <c r="J3993">
        <v>88.203999999999994</v>
      </c>
      <c r="K3993">
        <v>88.555000000000007</v>
      </c>
      <c r="L3993">
        <v>5.016</v>
      </c>
      <c r="M3993">
        <v>4.952</v>
      </c>
      <c r="N3993">
        <v>4.952</v>
      </c>
      <c r="O3993" t="s">
        <v>101</v>
      </c>
      <c r="P3993" t="s">
        <v>2289</v>
      </c>
      <c r="Q3993" t="s">
        <v>2289</v>
      </c>
      <c r="R3993" t="s">
        <v>2436</v>
      </c>
    </row>
    <row r="3994" spans="1:18" x14ac:dyDescent="0.5">
      <c r="A3994" t="str">
        <f>"56501RAN6"</f>
        <v>56501RAN6</v>
      </c>
      <c r="B3994" t="s">
        <v>101</v>
      </c>
      <c r="C3994" t="s">
        <v>4954</v>
      </c>
      <c r="D3994" t="s">
        <v>2433</v>
      </c>
      <c r="E3994">
        <v>3.7029999999999998</v>
      </c>
      <c r="F3994" s="2">
        <v>48289</v>
      </c>
      <c r="G3994" s="2">
        <v>48198</v>
      </c>
      <c r="H3994" t="s">
        <v>105</v>
      </c>
      <c r="I3994" t="s">
        <v>611</v>
      </c>
      <c r="J3994">
        <v>92.27</v>
      </c>
      <c r="K3994">
        <v>92.745999999999995</v>
      </c>
      <c r="L3994">
        <v>5.0250000000000004</v>
      </c>
      <c r="M3994">
        <v>4.9400000000000004</v>
      </c>
      <c r="N3994">
        <v>4.9400000000000004</v>
      </c>
      <c r="O3994" t="s">
        <v>101</v>
      </c>
      <c r="P3994" t="s">
        <v>2566</v>
      </c>
      <c r="Q3994" t="s">
        <v>2454</v>
      </c>
      <c r="R3994" t="s">
        <v>2436</v>
      </c>
    </row>
    <row r="3995" spans="1:18" x14ac:dyDescent="0.5">
      <c r="A3995" t="str">
        <f>"744330AB7"</f>
        <v>744330AB7</v>
      </c>
      <c r="B3995" t="s">
        <v>101</v>
      </c>
      <c r="C3995" t="s">
        <v>4955</v>
      </c>
      <c r="D3995" t="s">
        <v>2433</v>
      </c>
      <c r="E3995">
        <v>3.625</v>
      </c>
      <c r="F3995" s="2">
        <v>48297</v>
      </c>
      <c r="G3995" s="2">
        <v>48206</v>
      </c>
      <c r="H3995" t="s">
        <v>610</v>
      </c>
      <c r="I3995" t="s">
        <v>611</v>
      </c>
      <c r="J3995">
        <v>91.805999999999997</v>
      </c>
      <c r="K3995">
        <v>92.251000000000005</v>
      </c>
      <c r="L3995">
        <v>5.0220000000000002</v>
      </c>
      <c r="M3995">
        <v>4.9429999999999996</v>
      </c>
      <c r="N3995">
        <v>4.9429999999999996</v>
      </c>
      <c r="O3995" t="s">
        <v>101</v>
      </c>
      <c r="P3995" t="s">
        <v>4569</v>
      </c>
      <c r="Q3995" t="s">
        <v>1702</v>
      </c>
      <c r="R3995" t="s">
        <v>2726</v>
      </c>
    </row>
    <row r="3996" spans="1:18" x14ac:dyDescent="0.5">
      <c r="A3996" t="str">
        <f>"45906M3D1"</f>
        <v>45906M3D1</v>
      </c>
      <c r="B3996" t="s">
        <v>101</v>
      </c>
      <c r="C3996" t="s">
        <v>4956</v>
      </c>
      <c r="D3996" t="s">
        <v>2433</v>
      </c>
      <c r="E3996">
        <v>2.5</v>
      </c>
      <c r="F3996" s="2">
        <v>48302</v>
      </c>
      <c r="G3996" s="2" t="s">
        <v>105</v>
      </c>
      <c r="H3996" t="s">
        <v>104</v>
      </c>
      <c r="I3996" t="s">
        <v>104</v>
      </c>
      <c r="J3996">
        <v>88.846000000000004</v>
      </c>
      <c r="K3996">
        <v>90.03</v>
      </c>
      <c r="L3996">
        <v>4.3550000000000004</v>
      </c>
      <c r="M3996">
        <v>4.1459999999999999</v>
      </c>
      <c r="N3996">
        <v>4.1459999999999999</v>
      </c>
      <c r="O3996" t="s">
        <v>101</v>
      </c>
      <c r="P3996" t="s">
        <v>4957</v>
      </c>
      <c r="Q3996" t="s">
        <v>2497</v>
      </c>
      <c r="R3996" t="s">
        <v>2713</v>
      </c>
    </row>
    <row r="3997" spans="1:18" x14ac:dyDescent="0.5">
      <c r="A3997" t="str">
        <f>"26442UAN4"</f>
        <v>26442UAN4</v>
      </c>
      <c r="B3997" t="s">
        <v>101</v>
      </c>
      <c r="C3997" t="s">
        <v>4958</v>
      </c>
      <c r="D3997" t="s">
        <v>2433</v>
      </c>
      <c r="E3997">
        <v>3.4</v>
      </c>
      <c r="F3997" s="2">
        <v>48305</v>
      </c>
      <c r="G3997" s="2">
        <v>48214</v>
      </c>
      <c r="H3997" t="s">
        <v>624</v>
      </c>
      <c r="I3997" t="s">
        <v>611</v>
      </c>
      <c r="J3997">
        <v>90.537000000000006</v>
      </c>
      <c r="K3997">
        <v>90.75</v>
      </c>
      <c r="L3997">
        <v>5.0090000000000003</v>
      </c>
      <c r="M3997">
        <v>4.9710000000000001</v>
      </c>
      <c r="N3997">
        <v>4.9710000000000001</v>
      </c>
      <c r="O3997" t="s">
        <v>101</v>
      </c>
      <c r="P3997" t="s">
        <v>1702</v>
      </c>
      <c r="Q3997" t="s">
        <v>2581</v>
      </c>
      <c r="R3997" t="s">
        <v>2436</v>
      </c>
    </row>
    <row r="3998" spans="1:18" x14ac:dyDescent="0.5">
      <c r="A3998" t="str">
        <f>"617446HD4"</f>
        <v>617446HD4</v>
      </c>
      <c r="B3998" t="s">
        <v>101</v>
      </c>
      <c r="C3998" t="s">
        <v>4959</v>
      </c>
      <c r="D3998" t="s">
        <v>2433</v>
      </c>
      <c r="E3998">
        <v>7.25</v>
      </c>
      <c r="F3998" s="2">
        <v>48305</v>
      </c>
      <c r="G3998" s="2" t="s">
        <v>101</v>
      </c>
      <c r="H3998" t="s">
        <v>641</v>
      </c>
      <c r="I3998" t="s">
        <v>713</v>
      </c>
      <c r="J3998">
        <v>113.252</v>
      </c>
      <c r="K3998">
        <v>113.59099999999999</v>
      </c>
      <c r="L3998">
        <v>4.9969999999999999</v>
      </c>
      <c r="M3998">
        <v>4.9429999999999996</v>
      </c>
      <c r="N3998">
        <v>4.9429999999999996</v>
      </c>
      <c r="O3998" t="s">
        <v>101</v>
      </c>
      <c r="P3998" t="s">
        <v>858</v>
      </c>
      <c r="Q3998" t="s">
        <v>2507</v>
      </c>
      <c r="R3998" t="s">
        <v>2436</v>
      </c>
    </row>
    <row r="3999" spans="1:18" x14ac:dyDescent="0.5">
      <c r="A3999" t="str">
        <f>"670346AV7"</f>
        <v>670346AV7</v>
      </c>
      <c r="B3999" t="s">
        <v>101</v>
      </c>
      <c r="C3999" t="s">
        <v>4960</v>
      </c>
      <c r="D3999" t="s">
        <v>2433</v>
      </c>
      <c r="E3999">
        <v>3.125</v>
      </c>
      <c r="F3999" s="2">
        <v>48305</v>
      </c>
      <c r="G3999" s="2">
        <v>48214</v>
      </c>
      <c r="H3999" t="s">
        <v>670</v>
      </c>
      <c r="I3999" t="s">
        <v>713</v>
      </c>
      <c r="J3999">
        <v>88.751000000000005</v>
      </c>
      <c r="K3999">
        <v>89.039000000000001</v>
      </c>
      <c r="L3999">
        <v>5.04</v>
      </c>
      <c r="M3999">
        <v>4.9870000000000001</v>
      </c>
      <c r="N3999">
        <v>4.9870000000000001</v>
      </c>
      <c r="O3999" t="s">
        <v>101</v>
      </c>
      <c r="P3999" t="s">
        <v>554</v>
      </c>
      <c r="Q3999" t="s">
        <v>2454</v>
      </c>
      <c r="R3999" t="s">
        <v>2436</v>
      </c>
    </row>
    <row r="4000" spans="1:18" x14ac:dyDescent="0.5">
      <c r="A4000" t="str">
        <f>"881685AY7"</f>
        <v>881685AY7</v>
      </c>
      <c r="B4000" t="s">
        <v>101</v>
      </c>
      <c r="C4000" t="s">
        <v>4961</v>
      </c>
      <c r="D4000" t="s">
        <v>2433</v>
      </c>
      <c r="E4000">
        <v>8.625</v>
      </c>
      <c r="F4000" s="2">
        <v>48305</v>
      </c>
      <c r="G4000" s="2" t="s">
        <v>101</v>
      </c>
      <c r="H4000" t="s">
        <v>613</v>
      </c>
      <c r="I4000" t="s">
        <v>616</v>
      </c>
      <c r="J4000">
        <v>121.834</v>
      </c>
      <c r="K4000">
        <v>124.846</v>
      </c>
      <c r="L4000">
        <v>4.9219999999999997</v>
      </c>
      <c r="M4000">
        <v>4.4770000000000003</v>
      </c>
      <c r="N4000">
        <v>4.4770000000000003</v>
      </c>
      <c r="O4000" t="s">
        <v>101</v>
      </c>
      <c r="P4000" t="s">
        <v>2566</v>
      </c>
      <c r="Q4000" t="s">
        <v>4962</v>
      </c>
      <c r="R4000" t="s">
        <v>2436</v>
      </c>
    </row>
    <row r="4001" spans="1:18" x14ac:dyDescent="0.5">
      <c r="A4001" t="str">
        <f>"89114XG49"</f>
        <v>89114XG49</v>
      </c>
      <c r="B4001" t="s">
        <v>101</v>
      </c>
      <c r="C4001" t="s">
        <v>4963</v>
      </c>
      <c r="D4001" t="s">
        <v>2433</v>
      </c>
      <c r="E4001">
        <v>4.75</v>
      </c>
      <c r="F4001" s="2">
        <v>48308</v>
      </c>
      <c r="G4001" s="2">
        <v>45751</v>
      </c>
      <c r="H4001" t="s">
        <v>610</v>
      </c>
      <c r="I4001" t="s">
        <v>713</v>
      </c>
      <c r="J4001">
        <v>97.23</v>
      </c>
      <c r="K4001">
        <v>98.23</v>
      </c>
      <c r="L4001">
        <v>5.2240000000000002</v>
      </c>
      <c r="M4001">
        <v>5.0510000000000002</v>
      </c>
      <c r="N4001">
        <v>5.0510000000000002</v>
      </c>
      <c r="O4001" t="s">
        <v>101</v>
      </c>
      <c r="P4001" t="s">
        <v>4964</v>
      </c>
      <c r="Q4001" t="s">
        <v>4965</v>
      </c>
      <c r="R4001" t="s">
        <v>2436</v>
      </c>
    </row>
    <row r="4002" spans="1:18" x14ac:dyDescent="0.5">
      <c r="A4002" t="str">
        <f>"13607HR53"</f>
        <v>13607HR53</v>
      </c>
      <c r="B4002" t="s">
        <v>101</v>
      </c>
      <c r="C4002" t="s">
        <v>4966</v>
      </c>
      <c r="D4002" t="s">
        <v>2433</v>
      </c>
      <c r="E4002">
        <v>3.6</v>
      </c>
      <c r="F4002" s="2">
        <v>48311</v>
      </c>
      <c r="G4002" s="2">
        <v>48280</v>
      </c>
      <c r="H4002" t="s">
        <v>610</v>
      </c>
      <c r="I4002" t="s">
        <v>713</v>
      </c>
      <c r="J4002">
        <v>90.942999999999998</v>
      </c>
      <c r="K4002">
        <v>91.274000000000001</v>
      </c>
      <c r="L4002">
        <v>5.1440000000000001</v>
      </c>
      <c r="M4002">
        <v>5.0839999999999996</v>
      </c>
      <c r="N4002">
        <v>5.0839999999999996</v>
      </c>
      <c r="O4002" t="s">
        <v>101</v>
      </c>
      <c r="P4002" t="s">
        <v>2581</v>
      </c>
      <c r="Q4002" t="s">
        <v>2454</v>
      </c>
      <c r="R4002" t="s">
        <v>2436</v>
      </c>
    </row>
    <row r="4003" spans="1:18" x14ac:dyDescent="0.5">
      <c r="A4003" t="str">
        <f>"023135CH7"</f>
        <v>023135CH7</v>
      </c>
      <c r="B4003" t="s">
        <v>101</v>
      </c>
      <c r="C4003" t="s">
        <v>4967</v>
      </c>
      <c r="D4003" t="s">
        <v>2433</v>
      </c>
      <c r="E4003">
        <v>3.6</v>
      </c>
      <c r="F4003" s="2">
        <v>48317</v>
      </c>
      <c r="G4003" s="2">
        <v>48226</v>
      </c>
      <c r="H4003" t="s">
        <v>641</v>
      </c>
      <c r="I4003" t="s">
        <v>628</v>
      </c>
      <c r="J4003">
        <v>93.45</v>
      </c>
      <c r="K4003">
        <v>93.713999999999999</v>
      </c>
      <c r="L4003">
        <v>4.6970000000000001</v>
      </c>
      <c r="M4003">
        <v>4.6509999999999998</v>
      </c>
      <c r="N4003">
        <v>4.6509999999999998</v>
      </c>
      <c r="O4003" t="s">
        <v>101</v>
      </c>
      <c r="P4003" t="s">
        <v>4569</v>
      </c>
      <c r="Q4003" t="s">
        <v>2454</v>
      </c>
      <c r="R4003" t="s">
        <v>2436</v>
      </c>
    </row>
    <row r="4004" spans="1:18" x14ac:dyDescent="0.5">
      <c r="A4004" t="str">
        <f>"166756BE5"</f>
        <v>166756BE5</v>
      </c>
      <c r="B4004" t="s">
        <v>101</v>
      </c>
      <c r="C4004" t="s">
        <v>4968</v>
      </c>
      <c r="D4004" t="s">
        <v>2433</v>
      </c>
      <c r="E4004">
        <v>4.819</v>
      </c>
      <c r="F4004" s="2">
        <v>48319</v>
      </c>
      <c r="G4004" s="2">
        <v>48259</v>
      </c>
      <c r="H4004" t="s">
        <v>613</v>
      </c>
      <c r="I4004" t="s">
        <v>616</v>
      </c>
      <c r="J4004">
        <v>99.784000000000006</v>
      </c>
      <c r="K4004">
        <v>100.03100000000001</v>
      </c>
      <c r="L4004">
        <v>4.8529999999999998</v>
      </c>
      <c r="M4004">
        <v>4.8120000000000003</v>
      </c>
      <c r="N4004">
        <v>4.8120000000000003</v>
      </c>
      <c r="O4004" t="s">
        <v>101</v>
      </c>
      <c r="P4004" t="s">
        <v>2765</v>
      </c>
      <c r="Q4004" t="s">
        <v>2454</v>
      </c>
      <c r="R4004" t="s">
        <v>2726</v>
      </c>
    </row>
    <row r="4005" spans="1:18" x14ac:dyDescent="0.5">
      <c r="A4005" t="str">
        <f>"437076CP5"</f>
        <v>437076CP5</v>
      </c>
      <c r="B4005" t="s">
        <v>101</v>
      </c>
      <c r="C4005" t="s">
        <v>4969</v>
      </c>
      <c r="D4005" t="s">
        <v>2433</v>
      </c>
      <c r="E4005">
        <v>3.25</v>
      </c>
      <c r="F4005" s="2">
        <v>48319</v>
      </c>
      <c r="G4005" s="2">
        <v>48228</v>
      </c>
      <c r="H4005" t="s">
        <v>610</v>
      </c>
      <c r="I4005" t="s">
        <v>611</v>
      </c>
      <c r="J4005">
        <v>90.183999999999997</v>
      </c>
      <c r="K4005">
        <v>90.447000000000003</v>
      </c>
      <c r="L4005">
        <v>4.9050000000000002</v>
      </c>
      <c r="M4005">
        <v>4.8579999999999997</v>
      </c>
      <c r="N4005">
        <v>4.8579999999999997</v>
      </c>
      <c r="O4005" t="s">
        <v>101</v>
      </c>
      <c r="P4005" t="s">
        <v>2454</v>
      </c>
      <c r="Q4005" t="s">
        <v>1702</v>
      </c>
      <c r="R4005" t="s">
        <v>2436</v>
      </c>
    </row>
    <row r="4006" spans="1:18" x14ac:dyDescent="0.5">
      <c r="A4006" t="str">
        <f>"63743FWD4"</f>
        <v>63743FWD4</v>
      </c>
      <c r="B4006" t="s">
        <v>101</v>
      </c>
      <c r="C4006" t="s">
        <v>4970</v>
      </c>
      <c r="D4006" t="s">
        <v>2433</v>
      </c>
      <c r="E4006">
        <v>3.5</v>
      </c>
      <c r="F4006" s="2">
        <v>48319</v>
      </c>
      <c r="G4006" s="2" t="s">
        <v>105</v>
      </c>
      <c r="H4006" t="s">
        <v>610</v>
      </c>
      <c r="I4006" t="s">
        <v>713</v>
      </c>
      <c r="J4006">
        <v>90.058000000000007</v>
      </c>
      <c r="K4006">
        <v>93.084000000000003</v>
      </c>
      <c r="L4006">
        <v>5.1779999999999999</v>
      </c>
      <c r="M4006">
        <v>4.6470000000000002</v>
      </c>
      <c r="N4006">
        <v>4.6470000000000002</v>
      </c>
      <c r="O4006" t="s">
        <v>101</v>
      </c>
      <c r="P4006" t="s">
        <v>858</v>
      </c>
      <c r="Q4006" t="s">
        <v>4971</v>
      </c>
      <c r="R4006" t="s">
        <v>2610</v>
      </c>
    </row>
    <row r="4007" spans="1:18" x14ac:dyDescent="0.5">
      <c r="A4007" t="str">
        <f>"637432NY7"</f>
        <v>637432NY7</v>
      </c>
      <c r="B4007" t="s">
        <v>101</v>
      </c>
      <c r="C4007" t="s">
        <v>4972</v>
      </c>
      <c r="D4007" t="s">
        <v>2433</v>
      </c>
      <c r="E4007">
        <v>2.75</v>
      </c>
      <c r="F4007" s="2">
        <v>48319</v>
      </c>
      <c r="G4007" s="2">
        <v>48228</v>
      </c>
      <c r="H4007" t="s">
        <v>641</v>
      </c>
      <c r="I4007" t="s">
        <v>713</v>
      </c>
      <c r="J4007">
        <v>86.703000000000003</v>
      </c>
      <c r="K4007">
        <v>87.3</v>
      </c>
      <c r="L4007">
        <v>5</v>
      </c>
      <c r="M4007">
        <v>4.8899999999999997</v>
      </c>
      <c r="N4007">
        <v>4.8899999999999997</v>
      </c>
      <c r="O4007" t="s">
        <v>101</v>
      </c>
      <c r="P4007" t="s">
        <v>1391</v>
      </c>
      <c r="Q4007" t="s">
        <v>4973</v>
      </c>
      <c r="R4007" t="s">
        <v>2436</v>
      </c>
    </row>
    <row r="4008" spans="1:18" x14ac:dyDescent="0.5">
      <c r="A4008" t="str">
        <f>"94106LBS7"</f>
        <v>94106LBS7</v>
      </c>
      <c r="B4008" t="s">
        <v>101</v>
      </c>
      <c r="C4008" t="s">
        <v>4974</v>
      </c>
      <c r="D4008" t="s">
        <v>2433</v>
      </c>
      <c r="E4008">
        <v>4.1500000000000004</v>
      </c>
      <c r="F4008" s="2">
        <v>48319</v>
      </c>
      <c r="G4008" s="2">
        <v>48228</v>
      </c>
      <c r="H4008" t="s">
        <v>627</v>
      </c>
      <c r="I4008" t="s">
        <v>713</v>
      </c>
      <c r="J4008">
        <v>95.528999999999996</v>
      </c>
      <c r="K4008">
        <v>95.709000000000003</v>
      </c>
      <c r="L4008">
        <v>4.9029999999999996</v>
      </c>
      <c r="M4008">
        <v>4.8719999999999999</v>
      </c>
      <c r="N4008">
        <v>4.8719999999999999</v>
      </c>
      <c r="O4008" t="s">
        <v>101</v>
      </c>
      <c r="P4008" t="s">
        <v>1236</v>
      </c>
      <c r="Q4008" t="s">
        <v>2581</v>
      </c>
      <c r="R4008" t="s">
        <v>2436</v>
      </c>
    </row>
    <row r="4009" spans="1:18" x14ac:dyDescent="0.5">
      <c r="A4009" t="str">
        <f>"22160KAQ8"</f>
        <v>22160KAQ8</v>
      </c>
      <c r="B4009" t="s">
        <v>101</v>
      </c>
      <c r="C4009" t="s">
        <v>4975</v>
      </c>
      <c r="D4009" t="s">
        <v>2433</v>
      </c>
      <c r="E4009">
        <v>1.75</v>
      </c>
      <c r="F4009" s="2">
        <v>48324</v>
      </c>
      <c r="G4009" s="2">
        <v>48233</v>
      </c>
      <c r="H4009" t="s">
        <v>624</v>
      </c>
      <c r="I4009" t="s">
        <v>628</v>
      </c>
      <c r="J4009">
        <v>82.626000000000005</v>
      </c>
      <c r="K4009">
        <v>82.787000000000006</v>
      </c>
      <c r="L4009">
        <v>4.649</v>
      </c>
      <c r="M4009">
        <v>4.6189999999999998</v>
      </c>
      <c r="N4009">
        <v>4.6189999999999998</v>
      </c>
      <c r="O4009" t="s">
        <v>101</v>
      </c>
      <c r="P4009" t="s">
        <v>3878</v>
      </c>
      <c r="Q4009" t="s">
        <v>2447</v>
      </c>
      <c r="R4009" t="s">
        <v>2436</v>
      </c>
    </row>
    <row r="4010" spans="1:18" x14ac:dyDescent="0.5">
      <c r="A4010" t="str">
        <f>"872898AH4"</f>
        <v>872898AH4</v>
      </c>
      <c r="B4010" t="s">
        <v>101</v>
      </c>
      <c r="C4010" t="s">
        <v>4976</v>
      </c>
      <c r="D4010" t="s">
        <v>2433</v>
      </c>
      <c r="E4010">
        <v>4.25</v>
      </c>
      <c r="F4010" s="2">
        <v>48326</v>
      </c>
      <c r="G4010" s="2">
        <v>48235</v>
      </c>
      <c r="H4010" t="s">
        <v>624</v>
      </c>
      <c r="I4010" t="s">
        <v>616</v>
      </c>
      <c r="J4010">
        <v>97.68</v>
      </c>
      <c r="K4010">
        <v>98.001000000000005</v>
      </c>
      <c r="L4010">
        <v>4.6360000000000001</v>
      </c>
      <c r="M4010">
        <v>4.5819999999999999</v>
      </c>
      <c r="N4010">
        <v>4.5819999999999999</v>
      </c>
      <c r="O4010" t="s">
        <v>101</v>
      </c>
      <c r="P4010" t="s">
        <v>2687</v>
      </c>
      <c r="Q4010" t="s">
        <v>4977</v>
      </c>
      <c r="R4010" t="s">
        <v>2436</v>
      </c>
    </row>
    <row r="4011" spans="1:18" x14ac:dyDescent="0.5">
      <c r="A4011" t="str">
        <f>"045167FN8"</f>
        <v>045167FN8</v>
      </c>
      <c r="B4011" t="s">
        <v>101</v>
      </c>
      <c r="C4011" t="s">
        <v>4978</v>
      </c>
      <c r="D4011" t="s">
        <v>2433</v>
      </c>
      <c r="E4011">
        <v>3.125</v>
      </c>
      <c r="F4011" s="2">
        <v>48331</v>
      </c>
      <c r="G4011" s="2" t="s">
        <v>105</v>
      </c>
      <c r="H4011" t="s">
        <v>104</v>
      </c>
      <c r="I4011" t="s">
        <v>104</v>
      </c>
      <c r="J4011">
        <v>92.518000000000001</v>
      </c>
      <c r="K4011">
        <v>93.667000000000002</v>
      </c>
      <c r="L4011">
        <v>4.3570000000000002</v>
      </c>
      <c r="M4011">
        <v>4.1609999999999996</v>
      </c>
      <c r="N4011">
        <v>4.1609999999999996</v>
      </c>
      <c r="O4011" t="s">
        <v>101</v>
      </c>
      <c r="P4011" t="s">
        <v>2618</v>
      </c>
      <c r="Q4011" t="s">
        <v>2618</v>
      </c>
      <c r="R4011" t="s">
        <v>2885</v>
      </c>
    </row>
    <row r="4012" spans="1:18" x14ac:dyDescent="0.5">
      <c r="A4012" t="str">
        <f>"25243YBE8"</f>
        <v>25243YBE8</v>
      </c>
      <c r="B4012" t="s">
        <v>101</v>
      </c>
      <c r="C4012" t="s">
        <v>4979</v>
      </c>
      <c r="D4012" t="s">
        <v>2433</v>
      </c>
      <c r="E4012">
        <v>2.125</v>
      </c>
      <c r="F4012" s="2">
        <v>48333</v>
      </c>
      <c r="G4012" s="2">
        <v>48242</v>
      </c>
      <c r="H4012" t="s">
        <v>627</v>
      </c>
      <c r="I4012" t="s">
        <v>713</v>
      </c>
      <c r="J4012">
        <v>82.960999999999999</v>
      </c>
      <c r="K4012">
        <v>83.304000000000002</v>
      </c>
      <c r="L4012">
        <v>4.9939999999999998</v>
      </c>
      <c r="M4012">
        <v>4.93</v>
      </c>
      <c r="N4012">
        <v>4.93</v>
      </c>
      <c r="O4012" t="s">
        <v>101</v>
      </c>
      <c r="P4012" t="s">
        <v>2434</v>
      </c>
      <c r="Q4012" t="s">
        <v>2687</v>
      </c>
      <c r="R4012" t="s">
        <v>2436</v>
      </c>
    </row>
    <row r="4013" spans="1:18" x14ac:dyDescent="0.5">
      <c r="A4013" t="str">
        <f>"17252MAQ3"</f>
        <v>17252MAQ3</v>
      </c>
      <c r="B4013" t="s">
        <v>101</v>
      </c>
      <c r="C4013" t="s">
        <v>4980</v>
      </c>
      <c r="D4013" t="s">
        <v>2433</v>
      </c>
      <c r="E4013">
        <v>4</v>
      </c>
      <c r="F4013" s="2">
        <v>48335</v>
      </c>
      <c r="G4013" s="2">
        <v>48245</v>
      </c>
      <c r="H4013" t="s">
        <v>627</v>
      </c>
      <c r="I4013" t="s">
        <v>713</v>
      </c>
      <c r="J4013">
        <v>94.203000000000003</v>
      </c>
      <c r="K4013">
        <v>94.539000000000001</v>
      </c>
      <c r="L4013">
        <v>4.9740000000000002</v>
      </c>
      <c r="M4013">
        <v>4.9160000000000004</v>
      </c>
      <c r="N4013">
        <v>4.9160000000000004</v>
      </c>
      <c r="O4013" t="s">
        <v>101</v>
      </c>
      <c r="P4013" t="s">
        <v>4569</v>
      </c>
      <c r="Q4013" t="s">
        <v>2581</v>
      </c>
      <c r="R4013" t="s">
        <v>2436</v>
      </c>
    </row>
    <row r="4014" spans="1:18" x14ac:dyDescent="0.5">
      <c r="A4014" t="str">
        <f>"68233DAT4"</f>
        <v>68233DAT4</v>
      </c>
      <c r="B4014" t="s">
        <v>101</v>
      </c>
      <c r="C4014" t="s">
        <v>4981</v>
      </c>
      <c r="D4014" t="s">
        <v>2433</v>
      </c>
      <c r="E4014">
        <v>7</v>
      </c>
      <c r="F4014" s="2">
        <v>48335</v>
      </c>
      <c r="G4014" s="2" t="s">
        <v>101</v>
      </c>
      <c r="H4014" t="s">
        <v>610</v>
      </c>
      <c r="I4014" t="s">
        <v>658</v>
      </c>
      <c r="J4014">
        <v>110.878</v>
      </c>
      <c r="K4014">
        <v>111.45099999999999</v>
      </c>
      <c r="L4014">
        <v>5.157</v>
      </c>
      <c r="M4014">
        <v>5.0659999999999998</v>
      </c>
      <c r="N4014">
        <v>5.0659999999999998</v>
      </c>
      <c r="O4014" t="s">
        <v>101</v>
      </c>
      <c r="P4014" t="s">
        <v>4982</v>
      </c>
      <c r="Q4014" t="s">
        <v>2434</v>
      </c>
      <c r="R4014" t="s">
        <v>2436</v>
      </c>
    </row>
    <row r="4015" spans="1:18" x14ac:dyDescent="0.5">
      <c r="A4015" t="str">
        <f>"78016FZQ0"</f>
        <v>78016FZQ0</v>
      </c>
      <c r="B4015" t="s">
        <v>101</v>
      </c>
      <c r="C4015" t="s">
        <v>4983</v>
      </c>
      <c r="D4015" t="s">
        <v>2433</v>
      </c>
      <c r="E4015">
        <v>3.875</v>
      </c>
      <c r="F4015" s="2">
        <v>48338</v>
      </c>
      <c r="G4015" s="2" t="s">
        <v>101</v>
      </c>
      <c r="H4015" t="s">
        <v>641</v>
      </c>
      <c r="I4015" t="s">
        <v>611</v>
      </c>
      <c r="J4015">
        <v>92.974999999999994</v>
      </c>
      <c r="K4015">
        <v>93.263000000000005</v>
      </c>
      <c r="L4015">
        <v>5.0579999999999998</v>
      </c>
      <c r="M4015">
        <v>5.0069999999999997</v>
      </c>
      <c r="N4015">
        <v>5.0069999999999997</v>
      </c>
      <c r="O4015" t="s">
        <v>101</v>
      </c>
      <c r="P4015" t="s">
        <v>2454</v>
      </c>
      <c r="Q4015" t="s">
        <v>2581</v>
      </c>
      <c r="R4015" t="s">
        <v>2436</v>
      </c>
    </row>
    <row r="4016" spans="1:18" x14ac:dyDescent="0.5">
      <c r="A4016" t="str">
        <f>"03076CAL0"</f>
        <v>03076CAL0</v>
      </c>
      <c r="B4016" t="s">
        <v>101</v>
      </c>
      <c r="C4016" t="s">
        <v>4984</v>
      </c>
      <c r="D4016" t="s">
        <v>2433</v>
      </c>
      <c r="E4016">
        <v>4.5</v>
      </c>
      <c r="F4016" s="2">
        <v>48347</v>
      </c>
      <c r="G4016" s="2">
        <v>48257</v>
      </c>
      <c r="H4016" t="s">
        <v>627</v>
      </c>
      <c r="I4016" t="s">
        <v>713</v>
      </c>
      <c r="J4016">
        <v>96.606999999999999</v>
      </c>
      <c r="K4016">
        <v>96.784000000000006</v>
      </c>
      <c r="L4016">
        <v>5.069</v>
      </c>
      <c r="M4016">
        <v>5.0389999999999997</v>
      </c>
      <c r="N4016">
        <v>5.0389999999999997</v>
      </c>
      <c r="O4016" t="s">
        <v>101</v>
      </c>
      <c r="P4016" t="s">
        <v>3878</v>
      </c>
      <c r="Q4016" t="s">
        <v>2447</v>
      </c>
      <c r="R4016" t="s">
        <v>2436</v>
      </c>
    </row>
    <row r="4017" spans="1:18" x14ac:dyDescent="0.5">
      <c r="A4017" t="str">
        <f>"036752AT0"</f>
        <v>036752AT0</v>
      </c>
      <c r="B4017" t="s">
        <v>101</v>
      </c>
      <c r="C4017" t="s">
        <v>4985</v>
      </c>
      <c r="D4017" t="s">
        <v>2433</v>
      </c>
      <c r="E4017">
        <v>4.0999999999999996</v>
      </c>
      <c r="F4017" s="2">
        <v>48349</v>
      </c>
      <c r="G4017" s="2">
        <v>48259</v>
      </c>
      <c r="H4017" t="s">
        <v>677</v>
      </c>
      <c r="I4017" t="s">
        <v>611</v>
      </c>
      <c r="J4017">
        <v>93.911000000000001</v>
      </c>
      <c r="K4017">
        <v>94.138999999999996</v>
      </c>
      <c r="L4017">
        <v>5.1239999999999997</v>
      </c>
      <c r="M4017">
        <v>5.0839999999999996</v>
      </c>
      <c r="N4017">
        <v>5.0839999999999996</v>
      </c>
      <c r="O4017" t="s">
        <v>101</v>
      </c>
      <c r="P4017" t="s">
        <v>2438</v>
      </c>
      <c r="Q4017" t="s">
        <v>2507</v>
      </c>
      <c r="R4017" t="s">
        <v>2436</v>
      </c>
    </row>
    <row r="4018" spans="1:18" x14ac:dyDescent="0.5">
      <c r="A4018" t="str">
        <f>"373334KQ3"</f>
        <v>373334KQ3</v>
      </c>
      <c r="B4018" t="s">
        <v>101</v>
      </c>
      <c r="C4018" t="s">
        <v>4986</v>
      </c>
      <c r="D4018" t="s">
        <v>2433</v>
      </c>
      <c r="E4018">
        <v>4.7</v>
      </c>
      <c r="F4018" s="2">
        <v>48349</v>
      </c>
      <c r="G4018" s="2">
        <v>48259</v>
      </c>
      <c r="H4018" t="s">
        <v>627</v>
      </c>
      <c r="I4018" t="s">
        <v>611</v>
      </c>
      <c r="J4018">
        <v>97.95</v>
      </c>
      <c r="K4018">
        <v>98.129000000000005</v>
      </c>
      <c r="L4018">
        <v>5.0430000000000001</v>
      </c>
      <c r="M4018">
        <v>5.0129999999999999</v>
      </c>
      <c r="N4018">
        <v>5.0129999999999999</v>
      </c>
      <c r="O4018" t="s">
        <v>101</v>
      </c>
      <c r="P4018" t="s">
        <v>2454</v>
      </c>
      <c r="Q4018" t="s">
        <v>2454</v>
      </c>
      <c r="R4018" t="s">
        <v>2436</v>
      </c>
    </row>
    <row r="4019" spans="1:18" x14ac:dyDescent="0.5">
      <c r="A4019" t="str">
        <f>"854502AQ4"</f>
        <v>854502AQ4</v>
      </c>
      <c r="B4019" t="s">
        <v>101</v>
      </c>
      <c r="C4019" t="s">
        <v>4987</v>
      </c>
      <c r="D4019" t="s">
        <v>2433</v>
      </c>
      <c r="E4019">
        <v>3</v>
      </c>
      <c r="F4019" s="2">
        <v>48349</v>
      </c>
      <c r="G4019" s="2">
        <v>48259</v>
      </c>
      <c r="H4019" t="s">
        <v>685</v>
      </c>
      <c r="I4019" t="s">
        <v>713</v>
      </c>
      <c r="J4019">
        <v>86.606999999999999</v>
      </c>
      <c r="K4019">
        <v>87.070999999999998</v>
      </c>
      <c r="L4019">
        <v>5.2649999999999997</v>
      </c>
      <c r="M4019">
        <v>5.18</v>
      </c>
      <c r="N4019">
        <v>5.18</v>
      </c>
      <c r="O4019" t="s">
        <v>101</v>
      </c>
      <c r="P4019" t="s">
        <v>4569</v>
      </c>
      <c r="Q4019" t="s">
        <v>2566</v>
      </c>
      <c r="R4019" t="s">
        <v>2436</v>
      </c>
    </row>
    <row r="4020" spans="1:18" x14ac:dyDescent="0.5">
      <c r="A4020" t="str">
        <f>"898813AU4"</f>
        <v>898813AU4</v>
      </c>
      <c r="B4020" t="s">
        <v>101</v>
      </c>
      <c r="C4020" t="s">
        <v>4988</v>
      </c>
      <c r="D4020" t="s">
        <v>2433</v>
      </c>
      <c r="E4020">
        <v>3.25</v>
      </c>
      <c r="F4020" s="2">
        <v>48349</v>
      </c>
      <c r="G4020" s="2">
        <v>48259</v>
      </c>
      <c r="H4020" t="s">
        <v>627</v>
      </c>
      <c r="I4020" t="s">
        <v>713</v>
      </c>
      <c r="J4020">
        <v>88.751999999999995</v>
      </c>
      <c r="K4020">
        <v>89.19</v>
      </c>
      <c r="L4020">
        <v>5.1440000000000001</v>
      </c>
      <c r="M4020">
        <v>5.0650000000000004</v>
      </c>
      <c r="N4020">
        <v>5.0650000000000004</v>
      </c>
      <c r="O4020" t="s">
        <v>101</v>
      </c>
      <c r="P4020" t="s">
        <v>4569</v>
      </c>
      <c r="Q4020" t="s">
        <v>1702</v>
      </c>
      <c r="R4020" t="s">
        <v>2436</v>
      </c>
    </row>
    <row r="4021" spans="1:18" x14ac:dyDescent="0.5">
      <c r="A4021" t="str">
        <f>"91324PEJ7"</f>
        <v>91324PEJ7</v>
      </c>
      <c r="B4021" t="s">
        <v>101</v>
      </c>
      <c r="C4021" t="s">
        <v>4989</v>
      </c>
      <c r="D4021" t="s">
        <v>2433</v>
      </c>
      <c r="E4021">
        <v>4.2</v>
      </c>
      <c r="F4021" s="2">
        <v>48349</v>
      </c>
      <c r="G4021" s="2">
        <v>48259</v>
      </c>
      <c r="H4021" t="s">
        <v>610</v>
      </c>
      <c r="I4021" t="s">
        <v>658</v>
      </c>
      <c r="J4021">
        <v>95.265000000000001</v>
      </c>
      <c r="K4021">
        <v>95.504000000000005</v>
      </c>
      <c r="L4021">
        <v>4.992</v>
      </c>
      <c r="M4021">
        <v>4.9509999999999996</v>
      </c>
      <c r="N4021">
        <v>4.9509999999999996</v>
      </c>
      <c r="O4021" t="s">
        <v>101</v>
      </c>
      <c r="P4021" t="s">
        <v>1702</v>
      </c>
      <c r="Q4021" t="s">
        <v>2454</v>
      </c>
      <c r="R4021" t="s">
        <v>2436</v>
      </c>
    </row>
    <row r="4022" spans="1:18" x14ac:dyDescent="0.5">
      <c r="A4022" t="str">
        <f>"747525BP7"</f>
        <v>747525BP7</v>
      </c>
      <c r="B4022" t="s">
        <v>101</v>
      </c>
      <c r="C4022" t="s">
        <v>4990</v>
      </c>
      <c r="D4022" t="s">
        <v>2433</v>
      </c>
      <c r="E4022">
        <v>1.65</v>
      </c>
      <c r="F4022" s="2">
        <v>48354</v>
      </c>
      <c r="G4022" s="2">
        <v>48264</v>
      </c>
      <c r="H4022" t="s">
        <v>610</v>
      </c>
      <c r="I4022" t="s">
        <v>611</v>
      </c>
      <c r="J4022">
        <v>80.704999999999998</v>
      </c>
      <c r="K4022">
        <v>81.016999999999996</v>
      </c>
      <c r="L4022">
        <v>4.8620000000000001</v>
      </c>
      <c r="M4022">
        <v>4.8040000000000003</v>
      </c>
      <c r="N4022">
        <v>4.8040000000000003</v>
      </c>
      <c r="O4022" t="s">
        <v>101</v>
      </c>
      <c r="P4022" t="s">
        <v>2758</v>
      </c>
      <c r="Q4022" t="s">
        <v>2454</v>
      </c>
      <c r="R4022" t="s">
        <v>2436</v>
      </c>
    </row>
    <row r="4023" spans="1:18" x14ac:dyDescent="0.5">
      <c r="A4023" t="str">
        <f>"747525BQ5"</f>
        <v>747525BQ5</v>
      </c>
      <c r="B4023" t="s">
        <v>101</v>
      </c>
      <c r="C4023" t="s">
        <v>4991</v>
      </c>
      <c r="D4023" t="s">
        <v>2433</v>
      </c>
      <c r="E4023">
        <v>4.25</v>
      </c>
      <c r="F4023" s="2">
        <v>48354</v>
      </c>
      <c r="G4023" s="2">
        <v>48264</v>
      </c>
      <c r="H4023" t="s">
        <v>610</v>
      </c>
      <c r="I4023" t="s">
        <v>611</v>
      </c>
      <c r="J4023">
        <v>96.730999999999995</v>
      </c>
      <c r="K4023">
        <v>97.153000000000006</v>
      </c>
      <c r="L4023">
        <v>4.7919999999999998</v>
      </c>
      <c r="M4023">
        <v>4.7210000000000001</v>
      </c>
      <c r="N4023">
        <v>4.7210000000000001</v>
      </c>
      <c r="O4023" t="s">
        <v>101</v>
      </c>
      <c r="P4023" t="s">
        <v>3878</v>
      </c>
      <c r="Q4023" t="s">
        <v>2454</v>
      </c>
      <c r="R4023" t="s">
        <v>2436</v>
      </c>
    </row>
    <row r="4024" spans="1:18" x14ac:dyDescent="0.5">
      <c r="A4024" t="str">
        <f>"007903BF3"</f>
        <v>007903BF3</v>
      </c>
      <c r="B4024" t="s">
        <v>101</v>
      </c>
      <c r="C4024" t="s">
        <v>4992</v>
      </c>
      <c r="D4024" t="s">
        <v>2433</v>
      </c>
      <c r="E4024">
        <v>3.9239999999999999</v>
      </c>
      <c r="F4024" s="2">
        <v>48366</v>
      </c>
      <c r="G4024" s="2">
        <v>48274</v>
      </c>
      <c r="H4024" t="s">
        <v>610</v>
      </c>
      <c r="I4024" t="s">
        <v>611</v>
      </c>
      <c r="J4024">
        <v>94</v>
      </c>
      <c r="K4024">
        <v>94.247</v>
      </c>
      <c r="L4024">
        <v>4.9210000000000003</v>
      </c>
      <c r="M4024">
        <v>4.8780000000000001</v>
      </c>
      <c r="N4024">
        <v>4.8780000000000001</v>
      </c>
      <c r="O4024" t="s">
        <v>101</v>
      </c>
      <c r="P4024" t="s">
        <v>2467</v>
      </c>
      <c r="Q4024" t="s">
        <v>2581</v>
      </c>
      <c r="R4024" t="s">
        <v>2436</v>
      </c>
    </row>
    <row r="4025" spans="1:18" x14ac:dyDescent="0.5">
      <c r="A4025" t="str">
        <f>"03040WBA2"</f>
        <v>03040WBA2</v>
      </c>
      <c r="B4025" t="s">
        <v>101</v>
      </c>
      <c r="C4025" t="s">
        <v>4993</v>
      </c>
      <c r="D4025" t="s">
        <v>2433</v>
      </c>
      <c r="E4025">
        <v>4.45</v>
      </c>
      <c r="F4025" s="2">
        <v>48366</v>
      </c>
      <c r="G4025" s="2">
        <v>48274</v>
      </c>
      <c r="H4025" t="s">
        <v>670</v>
      </c>
      <c r="I4025" t="s">
        <v>611</v>
      </c>
      <c r="J4025">
        <v>96.013000000000005</v>
      </c>
      <c r="K4025">
        <v>96.358999999999995</v>
      </c>
      <c r="L4025">
        <v>5.1159999999999997</v>
      </c>
      <c r="M4025">
        <v>5.0570000000000004</v>
      </c>
      <c r="N4025">
        <v>5.0570000000000004</v>
      </c>
      <c r="O4025" t="s">
        <v>101</v>
      </c>
      <c r="P4025" t="s">
        <v>2434</v>
      </c>
      <c r="Q4025" t="s">
        <v>3075</v>
      </c>
      <c r="R4025" t="s">
        <v>2436</v>
      </c>
    </row>
    <row r="4026" spans="1:18" x14ac:dyDescent="0.5">
      <c r="A4026" t="str">
        <f>"68233JCF9"</f>
        <v>68233JCF9</v>
      </c>
      <c r="B4026" t="s">
        <v>101</v>
      </c>
      <c r="C4026" t="s">
        <v>4994</v>
      </c>
      <c r="D4026" t="s">
        <v>2433</v>
      </c>
      <c r="E4026">
        <v>4.1500000000000004</v>
      </c>
      <c r="F4026" s="2">
        <v>48366</v>
      </c>
      <c r="G4026" s="2">
        <v>48274</v>
      </c>
      <c r="H4026" t="s">
        <v>610</v>
      </c>
      <c r="I4026" t="s">
        <v>658</v>
      </c>
      <c r="J4026">
        <v>94.01</v>
      </c>
      <c r="K4026">
        <v>94.567999999999998</v>
      </c>
      <c r="L4026">
        <v>5.1529999999999996</v>
      </c>
      <c r="M4026">
        <v>5.056</v>
      </c>
      <c r="N4026">
        <v>5.056</v>
      </c>
      <c r="O4026" t="s">
        <v>101</v>
      </c>
      <c r="P4026" t="s">
        <v>4569</v>
      </c>
      <c r="Q4026" t="s">
        <v>2940</v>
      </c>
      <c r="R4026" t="s">
        <v>2726</v>
      </c>
    </row>
    <row r="4027" spans="1:18" x14ac:dyDescent="0.5">
      <c r="A4027" t="str">
        <f>"70450YAL7"</f>
        <v>70450YAL7</v>
      </c>
      <c r="B4027" t="s">
        <v>101</v>
      </c>
      <c r="C4027" t="s">
        <v>4995</v>
      </c>
      <c r="D4027" t="s">
        <v>2433</v>
      </c>
      <c r="E4027">
        <v>4.4000000000000004</v>
      </c>
      <c r="F4027" s="2">
        <v>48366</v>
      </c>
      <c r="G4027" s="2">
        <v>48274</v>
      </c>
      <c r="H4027" t="s">
        <v>627</v>
      </c>
      <c r="I4027" t="s">
        <v>713</v>
      </c>
      <c r="J4027">
        <v>96.600999999999999</v>
      </c>
      <c r="K4027">
        <v>96.781999999999996</v>
      </c>
      <c r="L4027">
        <v>4.9649999999999999</v>
      </c>
      <c r="M4027">
        <v>4.9340000000000002</v>
      </c>
      <c r="N4027">
        <v>4.9340000000000002</v>
      </c>
      <c r="O4027" t="s">
        <v>101</v>
      </c>
      <c r="P4027" t="s">
        <v>1702</v>
      </c>
      <c r="Q4027" t="s">
        <v>2454</v>
      </c>
      <c r="R4027" t="s">
        <v>2436</v>
      </c>
    </row>
    <row r="4028" spans="1:18" x14ac:dyDescent="0.5">
      <c r="A4028" t="str">
        <f>"744448CW9"</f>
        <v>744448CW9</v>
      </c>
      <c r="B4028" t="s">
        <v>101</v>
      </c>
      <c r="C4028" t="s">
        <v>4996</v>
      </c>
      <c r="D4028" t="s">
        <v>2433</v>
      </c>
      <c r="E4028">
        <v>4.0999999999999996</v>
      </c>
      <c r="F4028" s="2">
        <v>48366</v>
      </c>
      <c r="G4028" s="2">
        <v>48183</v>
      </c>
      <c r="H4028" t="s">
        <v>641</v>
      </c>
      <c r="I4028" t="s">
        <v>611</v>
      </c>
      <c r="J4028">
        <v>94.042000000000002</v>
      </c>
      <c r="K4028">
        <v>94.566000000000003</v>
      </c>
      <c r="L4028">
        <v>5.0960000000000001</v>
      </c>
      <c r="M4028">
        <v>5.0049999999999999</v>
      </c>
      <c r="N4028">
        <v>5.0049999999999999</v>
      </c>
      <c r="O4028" t="s">
        <v>101</v>
      </c>
      <c r="P4028" t="s">
        <v>3878</v>
      </c>
      <c r="Q4028" t="s">
        <v>3178</v>
      </c>
      <c r="R4028" t="s">
        <v>2436</v>
      </c>
    </row>
    <row r="4029" spans="1:18" x14ac:dyDescent="0.5">
      <c r="A4029" t="str">
        <f>"24422EWH8"</f>
        <v>24422EWH8</v>
      </c>
      <c r="B4029" t="s">
        <v>101</v>
      </c>
      <c r="C4029" t="s">
        <v>4997</v>
      </c>
      <c r="D4029" t="s">
        <v>2433</v>
      </c>
      <c r="E4029">
        <v>3.9</v>
      </c>
      <c r="F4029" s="2">
        <v>48372</v>
      </c>
      <c r="G4029" s="2" t="s">
        <v>105</v>
      </c>
      <c r="H4029" t="s">
        <v>641</v>
      </c>
      <c r="I4029" t="s">
        <v>611</v>
      </c>
      <c r="J4029">
        <v>93.974000000000004</v>
      </c>
      <c r="K4029">
        <v>94.260999999999996</v>
      </c>
      <c r="L4029">
        <v>4.8979999999999997</v>
      </c>
      <c r="M4029">
        <v>4.8490000000000002</v>
      </c>
      <c r="N4029">
        <v>4.8490000000000002</v>
      </c>
      <c r="O4029" t="s">
        <v>101</v>
      </c>
      <c r="P4029" t="s">
        <v>858</v>
      </c>
      <c r="Q4029" t="s">
        <v>2507</v>
      </c>
      <c r="R4029" t="s">
        <v>2465</v>
      </c>
    </row>
    <row r="4030" spans="1:18" x14ac:dyDescent="0.5">
      <c r="A4030" t="str">
        <f>"89115A2E1"</f>
        <v>89115A2E1</v>
      </c>
      <c r="B4030" t="s">
        <v>101</v>
      </c>
      <c r="C4030" t="s">
        <v>4998</v>
      </c>
      <c r="D4030" t="s">
        <v>2433</v>
      </c>
      <c r="E4030">
        <v>4.4560000000000004</v>
      </c>
      <c r="F4030" s="2">
        <v>48373</v>
      </c>
      <c r="G4030" s="2" t="s">
        <v>101</v>
      </c>
      <c r="H4030" t="s">
        <v>610</v>
      </c>
      <c r="I4030" t="s">
        <v>713</v>
      </c>
      <c r="J4030">
        <v>95.828000000000003</v>
      </c>
      <c r="K4030">
        <v>96.14</v>
      </c>
      <c r="L4030">
        <v>5.1529999999999996</v>
      </c>
      <c r="M4030">
        <v>5.0990000000000002</v>
      </c>
      <c r="N4030">
        <v>5.0990000000000002</v>
      </c>
      <c r="O4030" t="s">
        <v>101</v>
      </c>
      <c r="P4030" t="s">
        <v>1702</v>
      </c>
      <c r="Q4030" t="s">
        <v>2454</v>
      </c>
      <c r="R4030" t="s">
        <v>2436</v>
      </c>
    </row>
    <row r="4031" spans="1:18" x14ac:dyDescent="0.5">
      <c r="A4031" t="str">
        <f>"29364WBH0"</f>
        <v>29364WBH0</v>
      </c>
      <c r="B4031" t="s">
        <v>101</v>
      </c>
      <c r="C4031" t="s">
        <v>4999</v>
      </c>
      <c r="D4031" t="s">
        <v>2433</v>
      </c>
      <c r="E4031">
        <v>2.35</v>
      </c>
      <c r="F4031" s="2">
        <v>48380</v>
      </c>
      <c r="G4031" s="2">
        <v>48288</v>
      </c>
      <c r="H4031" t="s">
        <v>610</v>
      </c>
      <c r="I4031" t="s">
        <v>611</v>
      </c>
      <c r="J4031">
        <v>83.811000000000007</v>
      </c>
      <c r="K4031">
        <v>84.31</v>
      </c>
      <c r="L4031">
        <v>5.04</v>
      </c>
      <c r="M4031">
        <v>4.9489999999999998</v>
      </c>
      <c r="N4031">
        <v>4.9489999999999998</v>
      </c>
      <c r="O4031" t="s">
        <v>101</v>
      </c>
      <c r="P4031" t="s">
        <v>4600</v>
      </c>
      <c r="Q4031" t="s">
        <v>2507</v>
      </c>
      <c r="R4031" t="s">
        <v>2436</v>
      </c>
    </row>
    <row r="4032" spans="1:18" x14ac:dyDescent="0.5">
      <c r="A4032" t="str">
        <f>"37959EAB8"</f>
        <v>37959EAB8</v>
      </c>
      <c r="B4032" t="s">
        <v>101</v>
      </c>
      <c r="C4032" t="s">
        <v>5000</v>
      </c>
      <c r="D4032" t="s">
        <v>2433</v>
      </c>
      <c r="E4032">
        <v>4.8</v>
      </c>
      <c r="F4032" s="2">
        <v>48380</v>
      </c>
      <c r="G4032" s="2">
        <v>48288</v>
      </c>
      <c r="H4032" t="s">
        <v>670</v>
      </c>
      <c r="I4032" t="s">
        <v>611</v>
      </c>
      <c r="J4032">
        <v>97.102000000000004</v>
      </c>
      <c r="K4032">
        <v>97.536000000000001</v>
      </c>
      <c r="L4032">
        <v>5.2850000000000001</v>
      </c>
      <c r="M4032">
        <v>5.2110000000000003</v>
      </c>
      <c r="N4032">
        <v>5.2110000000000003</v>
      </c>
      <c r="O4032" t="s">
        <v>101</v>
      </c>
      <c r="P4032" t="s">
        <v>4569</v>
      </c>
      <c r="Q4032" t="s">
        <v>5001</v>
      </c>
      <c r="R4032" t="s">
        <v>2436</v>
      </c>
    </row>
    <row r="4033" spans="1:18" x14ac:dyDescent="0.5">
      <c r="A4033" t="str">
        <f>"539830BR9"</f>
        <v>539830BR9</v>
      </c>
      <c r="B4033" t="s">
        <v>101</v>
      </c>
      <c r="C4033" t="s">
        <v>5002</v>
      </c>
      <c r="D4033" t="s">
        <v>2433</v>
      </c>
      <c r="E4033">
        <v>3.9</v>
      </c>
      <c r="F4033" s="2">
        <v>48380</v>
      </c>
      <c r="G4033" s="2">
        <v>48288</v>
      </c>
      <c r="H4033" t="s">
        <v>610</v>
      </c>
      <c r="I4033" t="s">
        <v>713</v>
      </c>
      <c r="J4033">
        <v>93.796999999999997</v>
      </c>
      <c r="K4033">
        <v>94.087000000000003</v>
      </c>
      <c r="L4033">
        <v>4.9260000000000002</v>
      </c>
      <c r="M4033">
        <v>4.8760000000000003</v>
      </c>
      <c r="N4033">
        <v>4.8760000000000003</v>
      </c>
      <c r="O4033" t="s">
        <v>101</v>
      </c>
      <c r="P4033" t="s">
        <v>503</v>
      </c>
      <c r="Q4033" t="s">
        <v>2472</v>
      </c>
      <c r="R4033" t="s">
        <v>2436</v>
      </c>
    </row>
    <row r="4034" spans="1:18" x14ac:dyDescent="0.5">
      <c r="A4034" t="str">
        <f>"22541LAE3"</f>
        <v>22541LAE3</v>
      </c>
      <c r="B4034" t="s">
        <v>101</v>
      </c>
      <c r="C4034" t="s">
        <v>5003</v>
      </c>
      <c r="D4034" t="s">
        <v>2433</v>
      </c>
      <c r="E4034">
        <v>7.125</v>
      </c>
      <c r="F4034" s="2">
        <v>48410</v>
      </c>
      <c r="G4034" s="2" t="s">
        <v>101</v>
      </c>
      <c r="H4034" t="s">
        <v>613</v>
      </c>
      <c r="I4034" t="s">
        <v>658</v>
      </c>
      <c r="J4034">
        <v>112.066</v>
      </c>
      <c r="K4034">
        <v>112.479</v>
      </c>
      <c r="L4034">
        <v>5.13</v>
      </c>
      <c r="M4034">
        <v>5.0670000000000002</v>
      </c>
      <c r="N4034">
        <v>5.0670000000000002</v>
      </c>
      <c r="O4034" t="s">
        <v>101</v>
      </c>
      <c r="P4034" t="s">
        <v>3939</v>
      </c>
      <c r="Q4034" t="s">
        <v>2506</v>
      </c>
      <c r="R4034" t="s">
        <v>2436</v>
      </c>
    </row>
    <row r="4035" spans="1:18" x14ac:dyDescent="0.5">
      <c r="A4035" t="str">
        <f>"482480AL4"</f>
        <v>482480AL4</v>
      </c>
      <c r="B4035" t="s">
        <v>101</v>
      </c>
      <c r="C4035" t="s">
        <v>5004</v>
      </c>
      <c r="D4035" t="s">
        <v>2433</v>
      </c>
      <c r="E4035">
        <v>4.6500000000000004</v>
      </c>
      <c r="F4035" s="2">
        <v>48410</v>
      </c>
      <c r="G4035" s="2">
        <v>48319</v>
      </c>
      <c r="H4035" t="s">
        <v>610</v>
      </c>
      <c r="I4035" t="s">
        <v>713</v>
      </c>
      <c r="J4035">
        <v>98.775999999999996</v>
      </c>
      <c r="K4035">
        <v>99.08</v>
      </c>
      <c r="L4035">
        <v>4.8490000000000002</v>
      </c>
      <c r="M4035">
        <v>4.7990000000000004</v>
      </c>
      <c r="N4035">
        <v>4.7990000000000004</v>
      </c>
      <c r="O4035" t="s">
        <v>101</v>
      </c>
      <c r="P4035" t="s">
        <v>2581</v>
      </c>
      <c r="Q4035" t="s">
        <v>3411</v>
      </c>
      <c r="R4035" t="s">
        <v>2436</v>
      </c>
    </row>
    <row r="4036" spans="1:18" x14ac:dyDescent="0.5">
      <c r="A4036" t="str">
        <f>"713448FM5"</f>
        <v>713448FM5</v>
      </c>
      <c r="B4036" t="s">
        <v>101</v>
      </c>
      <c r="C4036" t="s">
        <v>5005</v>
      </c>
      <c r="D4036" t="s">
        <v>2433</v>
      </c>
      <c r="E4036">
        <v>3.9</v>
      </c>
      <c r="F4036" s="2">
        <v>48413</v>
      </c>
      <c r="G4036" s="2">
        <v>48322</v>
      </c>
      <c r="H4036" t="s">
        <v>641</v>
      </c>
      <c r="I4036" t="s">
        <v>658</v>
      </c>
      <c r="J4036">
        <v>94.53</v>
      </c>
      <c r="K4036">
        <v>94.805999999999997</v>
      </c>
      <c r="L4036">
        <v>4.7910000000000004</v>
      </c>
      <c r="M4036">
        <v>4.7450000000000001</v>
      </c>
      <c r="N4036">
        <v>4.7450000000000001</v>
      </c>
      <c r="O4036" t="s">
        <v>101</v>
      </c>
      <c r="P4036" t="s">
        <v>2454</v>
      </c>
      <c r="Q4036" t="s">
        <v>2454</v>
      </c>
      <c r="R4036" t="s">
        <v>2436</v>
      </c>
    </row>
    <row r="4037" spans="1:18" x14ac:dyDescent="0.5">
      <c r="A4037" t="str">
        <f>"02364WBK0"</f>
        <v>02364WBK0</v>
      </c>
      <c r="B4037" t="s">
        <v>101</v>
      </c>
      <c r="C4037" t="s">
        <v>5006</v>
      </c>
      <c r="D4037" t="s">
        <v>2433</v>
      </c>
      <c r="E4037">
        <v>4.7</v>
      </c>
      <c r="F4037" s="2">
        <v>48416</v>
      </c>
      <c r="G4037" s="2">
        <v>48325</v>
      </c>
      <c r="H4037" t="s">
        <v>670</v>
      </c>
      <c r="I4037" t="s">
        <v>713</v>
      </c>
      <c r="J4037">
        <v>97.238</v>
      </c>
      <c r="K4037">
        <v>97.825999999999993</v>
      </c>
      <c r="L4037">
        <v>5.1550000000000002</v>
      </c>
      <c r="M4037">
        <v>5.0570000000000004</v>
      </c>
      <c r="N4037">
        <v>5.0570000000000004</v>
      </c>
      <c r="O4037" t="s">
        <v>101</v>
      </c>
      <c r="P4037" t="s">
        <v>3945</v>
      </c>
      <c r="Q4037" t="s">
        <v>542</v>
      </c>
      <c r="R4037" t="s">
        <v>2436</v>
      </c>
    </row>
    <row r="4038" spans="1:18" x14ac:dyDescent="0.5">
      <c r="A4038" t="str">
        <f>"459200KU4"</f>
        <v>459200KU4</v>
      </c>
      <c r="B4038" t="s">
        <v>101</v>
      </c>
      <c r="C4038" t="s">
        <v>5007</v>
      </c>
      <c r="D4038" t="s">
        <v>2433</v>
      </c>
      <c r="E4038">
        <v>4.4000000000000004</v>
      </c>
      <c r="F4038" s="2">
        <v>48422</v>
      </c>
      <c r="G4038" s="2">
        <v>48331</v>
      </c>
      <c r="H4038" t="s">
        <v>627</v>
      </c>
      <c r="I4038" t="s">
        <v>713</v>
      </c>
      <c r="J4038">
        <v>95.853999999999999</v>
      </c>
      <c r="K4038">
        <v>96.158000000000001</v>
      </c>
      <c r="L4038">
        <v>5.08</v>
      </c>
      <c r="M4038">
        <v>5.0289999999999999</v>
      </c>
      <c r="N4038">
        <v>5.0289999999999999</v>
      </c>
      <c r="O4038" t="s">
        <v>101</v>
      </c>
      <c r="P4038" t="s">
        <v>4692</v>
      </c>
      <c r="Q4038" t="s">
        <v>3040</v>
      </c>
      <c r="R4038" t="s">
        <v>2436</v>
      </c>
    </row>
    <row r="4039" spans="1:18" x14ac:dyDescent="0.5">
      <c r="A4039" t="str">
        <f>"136375DC3"</f>
        <v>136375DC3</v>
      </c>
      <c r="B4039" t="s">
        <v>101</v>
      </c>
      <c r="C4039" t="s">
        <v>5008</v>
      </c>
      <c r="D4039" t="s">
        <v>2433</v>
      </c>
      <c r="E4039">
        <v>3.85</v>
      </c>
      <c r="F4039" s="2">
        <v>48431</v>
      </c>
      <c r="G4039" s="2">
        <v>48339</v>
      </c>
      <c r="H4039" t="s">
        <v>610</v>
      </c>
      <c r="I4039" t="s">
        <v>713</v>
      </c>
      <c r="J4039">
        <v>93.004999999999995</v>
      </c>
      <c r="K4039">
        <v>93.31</v>
      </c>
      <c r="L4039">
        <v>4.992</v>
      </c>
      <c r="M4039">
        <v>4.9400000000000004</v>
      </c>
      <c r="N4039">
        <v>4.9400000000000004</v>
      </c>
      <c r="O4039" t="s">
        <v>101</v>
      </c>
      <c r="P4039" t="s">
        <v>2447</v>
      </c>
      <c r="Q4039" t="s">
        <v>2447</v>
      </c>
      <c r="R4039" t="s">
        <v>2436</v>
      </c>
    </row>
    <row r="4040" spans="1:18" x14ac:dyDescent="0.5">
      <c r="A4040" t="str">
        <f>"037833EP1"</f>
        <v>037833EP1</v>
      </c>
      <c r="B4040" t="s">
        <v>101</v>
      </c>
      <c r="C4040" t="s">
        <v>5009</v>
      </c>
      <c r="D4040" t="s">
        <v>2433</v>
      </c>
      <c r="E4040">
        <v>3.35</v>
      </c>
      <c r="F4040" s="2">
        <v>48434</v>
      </c>
      <c r="G4040" s="2">
        <v>48342</v>
      </c>
      <c r="H4040" t="s">
        <v>104</v>
      </c>
      <c r="I4040" t="s">
        <v>509</v>
      </c>
      <c r="J4040">
        <v>92.721000000000004</v>
      </c>
      <c r="K4040">
        <v>92.911000000000001</v>
      </c>
      <c r="L4040">
        <v>4.5170000000000003</v>
      </c>
      <c r="M4040">
        <v>4.4850000000000003</v>
      </c>
      <c r="N4040">
        <v>4.4850000000000003</v>
      </c>
      <c r="O4040" t="s">
        <v>101</v>
      </c>
      <c r="P4040" t="s">
        <v>457</v>
      </c>
      <c r="Q4040" t="s">
        <v>2454</v>
      </c>
      <c r="R4040" t="s">
        <v>2436</v>
      </c>
    </row>
    <row r="4041" spans="1:18" x14ac:dyDescent="0.5">
      <c r="A4041" t="str">
        <f>"194162AP8"</f>
        <v>194162AP8</v>
      </c>
      <c r="B4041" t="s">
        <v>101</v>
      </c>
      <c r="C4041" t="s">
        <v>5010</v>
      </c>
      <c r="D4041" t="s">
        <v>2433</v>
      </c>
      <c r="E4041">
        <v>3.25</v>
      </c>
      <c r="F4041" s="2">
        <v>48441</v>
      </c>
      <c r="G4041" s="2">
        <v>48349</v>
      </c>
      <c r="H4041" t="s">
        <v>624</v>
      </c>
      <c r="I4041" t="s">
        <v>658</v>
      </c>
      <c r="J4041">
        <v>90.947000000000003</v>
      </c>
      <c r="K4041">
        <v>91.198999999999998</v>
      </c>
      <c r="L4041">
        <v>4.7089999999999996</v>
      </c>
      <c r="M4041">
        <v>4.6660000000000004</v>
      </c>
      <c r="N4041">
        <v>4.6660000000000004</v>
      </c>
      <c r="O4041" t="s">
        <v>101</v>
      </c>
      <c r="P4041" t="s">
        <v>2776</v>
      </c>
      <c r="Q4041" t="s">
        <v>1702</v>
      </c>
      <c r="R4041" t="s">
        <v>2436</v>
      </c>
    </row>
    <row r="4042" spans="1:18" x14ac:dyDescent="0.5">
      <c r="A4042" t="str">
        <f>"210518DP8"</f>
        <v>210518DP8</v>
      </c>
      <c r="B4042" t="s">
        <v>101</v>
      </c>
      <c r="C4042" t="s">
        <v>5011</v>
      </c>
      <c r="D4042" t="s">
        <v>2433</v>
      </c>
      <c r="E4042">
        <v>3.6</v>
      </c>
      <c r="F4042" s="2">
        <v>48441</v>
      </c>
      <c r="G4042" s="2">
        <v>48259</v>
      </c>
      <c r="H4042" t="s">
        <v>641</v>
      </c>
      <c r="I4042" t="s">
        <v>611</v>
      </c>
      <c r="J4042">
        <v>91.397000000000006</v>
      </c>
      <c r="K4042">
        <v>91.834000000000003</v>
      </c>
      <c r="L4042">
        <v>5.0010000000000003</v>
      </c>
      <c r="M4042">
        <v>4.9260000000000002</v>
      </c>
      <c r="N4042">
        <v>4.9260000000000002</v>
      </c>
      <c r="O4042" t="s">
        <v>101</v>
      </c>
      <c r="P4042" t="s">
        <v>3878</v>
      </c>
      <c r="Q4042" t="s">
        <v>5012</v>
      </c>
      <c r="R4042" t="s">
        <v>2436</v>
      </c>
    </row>
    <row r="4043" spans="1:18" x14ac:dyDescent="0.5">
      <c r="A4043" t="str">
        <f>"291011AQ7"</f>
        <v>291011AQ7</v>
      </c>
      <c r="B4043" t="s">
        <v>101</v>
      </c>
      <c r="C4043" t="s">
        <v>5013</v>
      </c>
      <c r="D4043" t="s">
        <v>2433</v>
      </c>
      <c r="E4043">
        <v>6</v>
      </c>
      <c r="F4043" s="2">
        <v>48441</v>
      </c>
      <c r="G4043" s="2" t="s">
        <v>101</v>
      </c>
      <c r="H4043" t="s">
        <v>610</v>
      </c>
      <c r="I4043" t="s">
        <v>611</v>
      </c>
      <c r="J4043">
        <v>107.536</v>
      </c>
      <c r="K4043">
        <v>107.741</v>
      </c>
      <c r="L4043">
        <v>4.782</v>
      </c>
      <c r="M4043">
        <v>4.75</v>
      </c>
      <c r="N4043">
        <v>4.75</v>
      </c>
      <c r="O4043" t="s">
        <v>101</v>
      </c>
      <c r="P4043" t="s">
        <v>2581</v>
      </c>
      <c r="Q4043" t="s">
        <v>2507</v>
      </c>
      <c r="R4043" t="s">
        <v>2436</v>
      </c>
    </row>
    <row r="4044" spans="1:18" x14ac:dyDescent="0.5">
      <c r="A4044" t="str">
        <f>"30303M8H8"</f>
        <v>30303M8H8</v>
      </c>
      <c r="B4044" t="s">
        <v>101</v>
      </c>
      <c r="C4044" t="s">
        <v>5014</v>
      </c>
      <c r="D4044" t="s">
        <v>2433</v>
      </c>
      <c r="E4044">
        <v>3.85</v>
      </c>
      <c r="F4044" s="2">
        <v>48441</v>
      </c>
      <c r="G4044" s="2">
        <v>48349</v>
      </c>
      <c r="H4044" t="s">
        <v>624</v>
      </c>
      <c r="I4044" t="s">
        <v>616</v>
      </c>
      <c r="J4044">
        <v>93.784000000000006</v>
      </c>
      <c r="K4044">
        <v>93.995999999999995</v>
      </c>
      <c r="L4044">
        <v>4.8570000000000002</v>
      </c>
      <c r="M4044">
        <v>4.8209999999999997</v>
      </c>
      <c r="N4044">
        <v>4.8209999999999997</v>
      </c>
      <c r="O4044" t="s">
        <v>101</v>
      </c>
      <c r="P4044" t="s">
        <v>3560</v>
      </c>
      <c r="Q4044" t="s">
        <v>2454</v>
      </c>
      <c r="R4044" t="s">
        <v>2436</v>
      </c>
    </row>
    <row r="4045" spans="1:18" x14ac:dyDescent="0.5">
      <c r="A4045" t="str">
        <f>"882508BP8"</f>
        <v>882508BP8</v>
      </c>
      <c r="B4045" t="s">
        <v>101</v>
      </c>
      <c r="C4045" t="s">
        <v>5015</v>
      </c>
      <c r="D4045" t="s">
        <v>2433</v>
      </c>
      <c r="E4045">
        <v>3.65</v>
      </c>
      <c r="F4045" s="2">
        <v>48442</v>
      </c>
      <c r="G4045" s="2">
        <v>48350</v>
      </c>
      <c r="H4045" t="s">
        <v>624</v>
      </c>
      <c r="I4045" t="s">
        <v>658</v>
      </c>
      <c r="J4045">
        <v>92.444000000000003</v>
      </c>
      <c r="K4045">
        <v>92.876999999999995</v>
      </c>
      <c r="L4045">
        <v>4.8739999999999997</v>
      </c>
      <c r="M4045">
        <v>4.8010000000000002</v>
      </c>
      <c r="N4045">
        <v>4.8010000000000002</v>
      </c>
      <c r="O4045" t="s">
        <v>101</v>
      </c>
      <c r="P4045" t="s">
        <v>2765</v>
      </c>
      <c r="Q4045" t="s">
        <v>2566</v>
      </c>
      <c r="R4045" t="s">
        <v>2436</v>
      </c>
    </row>
    <row r="4046" spans="1:18" x14ac:dyDescent="0.5">
      <c r="A4046" t="str">
        <f>"035229CJ0"</f>
        <v>035229CJ0</v>
      </c>
      <c r="B4046" t="s">
        <v>101</v>
      </c>
      <c r="C4046" t="s">
        <v>5016</v>
      </c>
      <c r="D4046" t="s">
        <v>2433</v>
      </c>
      <c r="E4046">
        <v>6.8</v>
      </c>
      <c r="F4046" s="2">
        <v>48446</v>
      </c>
      <c r="G4046" s="2" t="s">
        <v>101</v>
      </c>
      <c r="H4046" t="s">
        <v>627</v>
      </c>
      <c r="I4046" t="s">
        <v>713</v>
      </c>
      <c r="J4046">
        <v>110.745</v>
      </c>
      <c r="K4046">
        <v>112.38200000000001</v>
      </c>
      <c r="L4046">
        <v>5.048</v>
      </c>
      <c r="M4046">
        <v>4.7990000000000004</v>
      </c>
      <c r="N4046">
        <v>4.7990000000000004</v>
      </c>
      <c r="O4046" t="s">
        <v>101</v>
      </c>
      <c r="P4046" t="s">
        <v>1064</v>
      </c>
      <c r="Q4046" t="s">
        <v>858</v>
      </c>
      <c r="R4046" t="s">
        <v>2436</v>
      </c>
    </row>
    <row r="4047" spans="1:18" x14ac:dyDescent="0.5">
      <c r="A4047" t="str">
        <f>"010392FZ6"</f>
        <v>010392FZ6</v>
      </c>
      <c r="B4047" t="s">
        <v>101</v>
      </c>
      <c r="C4047" t="s">
        <v>5017</v>
      </c>
      <c r="D4047" t="s">
        <v>2433</v>
      </c>
      <c r="E4047">
        <v>3.94</v>
      </c>
      <c r="F4047" s="2">
        <v>48458</v>
      </c>
      <c r="G4047" s="2">
        <v>48274</v>
      </c>
      <c r="H4047" t="s">
        <v>641</v>
      </c>
      <c r="I4047" t="s">
        <v>611</v>
      </c>
      <c r="J4047">
        <v>93.293000000000006</v>
      </c>
      <c r="K4047">
        <v>93.769000000000005</v>
      </c>
      <c r="L4047">
        <v>5.0279999999999996</v>
      </c>
      <c r="M4047">
        <v>4.9480000000000004</v>
      </c>
      <c r="N4047">
        <v>4.9480000000000004</v>
      </c>
      <c r="O4047" t="s">
        <v>101</v>
      </c>
      <c r="P4047" t="s">
        <v>4232</v>
      </c>
      <c r="Q4047" t="s">
        <v>2564</v>
      </c>
      <c r="R4047" t="s">
        <v>2436</v>
      </c>
    </row>
    <row r="4048" spans="1:18" x14ac:dyDescent="0.5">
      <c r="A4048" t="str">
        <f>"02361DAY6"</f>
        <v>02361DAY6</v>
      </c>
      <c r="B4048" t="s">
        <v>101</v>
      </c>
      <c r="C4048" t="s">
        <v>5018</v>
      </c>
      <c r="D4048" t="s">
        <v>2433</v>
      </c>
      <c r="E4048">
        <v>3.85</v>
      </c>
      <c r="F4048" s="2">
        <v>48458</v>
      </c>
      <c r="G4048" s="2">
        <v>48366</v>
      </c>
      <c r="H4048" t="s">
        <v>641</v>
      </c>
      <c r="I4048" t="s">
        <v>611</v>
      </c>
      <c r="J4048">
        <v>92.682000000000002</v>
      </c>
      <c r="K4048">
        <v>93.043000000000006</v>
      </c>
      <c r="L4048">
        <v>5.0380000000000003</v>
      </c>
      <c r="M4048">
        <v>4.976</v>
      </c>
      <c r="N4048">
        <v>4.976</v>
      </c>
      <c r="O4048" t="s">
        <v>101</v>
      </c>
      <c r="P4048" t="s">
        <v>1391</v>
      </c>
      <c r="Q4048" t="s">
        <v>1391</v>
      </c>
      <c r="R4048" t="s">
        <v>2436</v>
      </c>
    </row>
    <row r="4049" spans="1:18" x14ac:dyDescent="0.5">
      <c r="A4049" t="str">
        <f>"693627AQ4"</f>
        <v>693627AQ4</v>
      </c>
      <c r="B4049" t="s">
        <v>101</v>
      </c>
      <c r="C4049" t="s">
        <v>5019</v>
      </c>
      <c r="D4049" t="s">
        <v>2433</v>
      </c>
      <c r="E4049">
        <v>8.31</v>
      </c>
      <c r="F4049" s="2">
        <v>48458</v>
      </c>
      <c r="G4049" s="2" t="s">
        <v>101</v>
      </c>
      <c r="H4049" t="s">
        <v>624</v>
      </c>
      <c r="I4049" t="s">
        <v>611</v>
      </c>
      <c r="J4049">
        <v>118.306</v>
      </c>
      <c r="K4049">
        <v>121.58499999999999</v>
      </c>
      <c r="L4049">
        <v>5.3090000000000002</v>
      </c>
      <c r="M4049">
        <v>4.8330000000000002</v>
      </c>
      <c r="N4049">
        <v>4.8330000000000002</v>
      </c>
      <c r="O4049" t="s">
        <v>101</v>
      </c>
      <c r="P4049" t="s">
        <v>858</v>
      </c>
      <c r="Q4049" t="s">
        <v>3296</v>
      </c>
      <c r="R4049" t="s">
        <v>2436</v>
      </c>
    </row>
    <row r="4050" spans="1:18" x14ac:dyDescent="0.5">
      <c r="A4050" t="str">
        <f>"68235PAM0"</f>
        <v>68235PAM0</v>
      </c>
      <c r="B4050" t="s">
        <v>101</v>
      </c>
      <c r="C4050" t="s">
        <v>5020</v>
      </c>
      <c r="D4050" t="s">
        <v>2433</v>
      </c>
      <c r="E4050">
        <v>4.25</v>
      </c>
      <c r="F4050" s="2">
        <v>48458</v>
      </c>
      <c r="G4050" s="2">
        <v>48366</v>
      </c>
      <c r="H4050" t="s">
        <v>627</v>
      </c>
      <c r="I4050" t="s">
        <v>713</v>
      </c>
      <c r="J4050">
        <v>94.566999999999993</v>
      </c>
      <c r="K4050">
        <v>95.162000000000006</v>
      </c>
      <c r="L4050">
        <v>5.1349999999999998</v>
      </c>
      <c r="M4050">
        <v>5.0350000000000001</v>
      </c>
      <c r="N4050">
        <v>5.0350000000000001</v>
      </c>
      <c r="O4050" t="s">
        <v>101</v>
      </c>
      <c r="P4050" t="s">
        <v>4569</v>
      </c>
      <c r="Q4050" t="s">
        <v>1702</v>
      </c>
      <c r="R4050" t="s">
        <v>2436</v>
      </c>
    </row>
    <row r="4051" spans="1:18" x14ac:dyDescent="0.5">
      <c r="A4051" t="str">
        <f>"976826BQ9"</f>
        <v>976826BQ9</v>
      </c>
      <c r="B4051" t="s">
        <v>101</v>
      </c>
      <c r="C4051" t="s">
        <v>5021</v>
      </c>
      <c r="D4051" t="s">
        <v>2433</v>
      </c>
      <c r="E4051">
        <v>3.95</v>
      </c>
      <c r="F4051" s="2">
        <v>48458</v>
      </c>
      <c r="G4051" s="2">
        <v>48366</v>
      </c>
      <c r="H4051" t="s">
        <v>670</v>
      </c>
      <c r="I4051" t="s">
        <v>713</v>
      </c>
      <c r="J4051">
        <v>93.39</v>
      </c>
      <c r="K4051">
        <v>93.84</v>
      </c>
      <c r="L4051">
        <v>5.0220000000000002</v>
      </c>
      <c r="M4051">
        <v>4.9459999999999997</v>
      </c>
      <c r="N4051">
        <v>4.9459999999999997</v>
      </c>
      <c r="O4051" t="s">
        <v>101</v>
      </c>
      <c r="P4051" t="s">
        <v>2525</v>
      </c>
      <c r="Q4051" t="s">
        <v>2940</v>
      </c>
      <c r="R4051" t="s">
        <v>2436</v>
      </c>
    </row>
    <row r="4052" spans="1:18" x14ac:dyDescent="0.5">
      <c r="A4052" t="str">
        <f>"931142EY5"</f>
        <v>931142EY5</v>
      </c>
      <c r="B4052" t="s">
        <v>101</v>
      </c>
      <c r="C4052" t="s">
        <v>5022</v>
      </c>
      <c r="D4052" t="s">
        <v>2433</v>
      </c>
      <c r="E4052">
        <v>4.1500000000000004</v>
      </c>
      <c r="F4052" s="2">
        <v>48466</v>
      </c>
      <c r="G4052" s="2">
        <v>48374</v>
      </c>
      <c r="H4052" t="s">
        <v>613</v>
      </c>
      <c r="I4052" t="s">
        <v>628</v>
      </c>
      <c r="J4052">
        <v>97.057000000000002</v>
      </c>
      <c r="K4052">
        <v>97.28</v>
      </c>
      <c r="L4052">
        <v>4.6189999999999998</v>
      </c>
      <c r="M4052">
        <v>4.5830000000000002</v>
      </c>
      <c r="N4052">
        <v>4.5830000000000002</v>
      </c>
      <c r="O4052" t="s">
        <v>101</v>
      </c>
      <c r="P4052" t="s">
        <v>1702</v>
      </c>
      <c r="Q4052" t="s">
        <v>1391</v>
      </c>
      <c r="R4052" t="s">
        <v>2436</v>
      </c>
    </row>
    <row r="4053" spans="1:18" x14ac:dyDescent="0.5">
      <c r="A4053" t="str">
        <f>"03740LAF9"</f>
        <v>03740LAF9</v>
      </c>
      <c r="B4053" t="s">
        <v>101</v>
      </c>
      <c r="C4053" t="s">
        <v>5023</v>
      </c>
      <c r="D4053" t="s">
        <v>2433</v>
      </c>
      <c r="E4053">
        <v>5</v>
      </c>
      <c r="F4053" s="2">
        <v>48469</v>
      </c>
      <c r="G4053" s="2">
        <v>48377</v>
      </c>
      <c r="H4053" t="s">
        <v>677</v>
      </c>
      <c r="I4053" t="s">
        <v>713</v>
      </c>
      <c r="J4053">
        <v>99.456000000000003</v>
      </c>
      <c r="K4053">
        <v>99.753</v>
      </c>
      <c r="L4053">
        <v>5.0880000000000001</v>
      </c>
      <c r="M4053">
        <v>5.04</v>
      </c>
      <c r="N4053">
        <v>5.04</v>
      </c>
      <c r="O4053" t="s">
        <v>101</v>
      </c>
      <c r="P4053" t="s">
        <v>2447</v>
      </c>
      <c r="Q4053" t="s">
        <v>2652</v>
      </c>
      <c r="R4053" t="s">
        <v>2436</v>
      </c>
    </row>
    <row r="4054" spans="1:18" x14ac:dyDescent="0.5">
      <c r="A4054" t="str">
        <f>"437076CS9"</f>
        <v>437076CS9</v>
      </c>
      <c r="B4054" t="s">
        <v>101</v>
      </c>
      <c r="C4054" t="s">
        <v>5024</v>
      </c>
      <c r="D4054" t="s">
        <v>2433</v>
      </c>
      <c r="E4054">
        <v>4.5</v>
      </c>
      <c r="F4054" s="2">
        <v>48472</v>
      </c>
      <c r="G4054" s="2">
        <v>48380</v>
      </c>
      <c r="H4054" t="s">
        <v>610</v>
      </c>
      <c r="I4054" t="s">
        <v>611</v>
      </c>
      <c r="J4054">
        <v>98.075000000000003</v>
      </c>
      <c r="K4054">
        <v>98.245999999999995</v>
      </c>
      <c r="L4054">
        <v>4.8079999999999998</v>
      </c>
      <c r="M4054">
        <v>4.7809999999999997</v>
      </c>
      <c r="N4054">
        <v>4.7809999999999997</v>
      </c>
      <c r="O4054" t="s">
        <v>101</v>
      </c>
      <c r="P4054" t="s">
        <v>3932</v>
      </c>
      <c r="Q4054" t="s">
        <v>2454</v>
      </c>
      <c r="R4054" t="s">
        <v>2436</v>
      </c>
    </row>
    <row r="4055" spans="1:18" x14ac:dyDescent="0.5">
      <c r="A4055" t="str">
        <f>"45866FAN4"</f>
        <v>45866FAN4</v>
      </c>
      <c r="B4055" t="s">
        <v>101</v>
      </c>
      <c r="C4055" t="s">
        <v>5025</v>
      </c>
      <c r="D4055" t="s">
        <v>2433</v>
      </c>
      <c r="E4055">
        <v>1.85</v>
      </c>
      <c r="F4055" s="2">
        <v>48472</v>
      </c>
      <c r="G4055" s="2">
        <v>48380</v>
      </c>
      <c r="H4055" t="s">
        <v>627</v>
      </c>
      <c r="I4055" t="s">
        <v>713</v>
      </c>
      <c r="J4055">
        <v>80.48</v>
      </c>
      <c r="K4055">
        <v>80.698999999999998</v>
      </c>
      <c r="L4055">
        <v>5</v>
      </c>
      <c r="M4055">
        <v>4.96</v>
      </c>
      <c r="N4055">
        <v>4.96</v>
      </c>
      <c r="O4055" t="s">
        <v>101</v>
      </c>
      <c r="P4055" t="s">
        <v>4569</v>
      </c>
      <c r="Q4055" t="s">
        <v>2454</v>
      </c>
      <c r="R4055" t="s">
        <v>2436</v>
      </c>
    </row>
    <row r="4056" spans="1:18" x14ac:dyDescent="0.5">
      <c r="A4056" t="str">
        <f>"24422EWL9"</f>
        <v>24422EWL9</v>
      </c>
      <c r="B4056" t="s">
        <v>101</v>
      </c>
      <c r="C4056" t="s">
        <v>5026</v>
      </c>
      <c r="D4056" t="s">
        <v>2433</v>
      </c>
      <c r="E4056">
        <v>4.3499999999999996</v>
      </c>
      <c r="F4056" s="2">
        <v>48472</v>
      </c>
      <c r="G4056" s="2" t="s">
        <v>105</v>
      </c>
      <c r="H4056" t="s">
        <v>641</v>
      </c>
      <c r="I4056" t="s">
        <v>611</v>
      </c>
      <c r="J4056">
        <v>96.558000000000007</v>
      </c>
      <c r="K4056">
        <v>96.861999999999995</v>
      </c>
      <c r="L4056">
        <v>4.9029999999999996</v>
      </c>
      <c r="M4056">
        <v>4.8540000000000001</v>
      </c>
      <c r="N4056">
        <v>4.8540000000000001</v>
      </c>
      <c r="O4056" t="s">
        <v>101</v>
      </c>
      <c r="P4056" t="s">
        <v>503</v>
      </c>
      <c r="Q4056" t="s">
        <v>4229</v>
      </c>
      <c r="R4056" t="s">
        <v>2465</v>
      </c>
    </row>
    <row r="4057" spans="1:18" x14ac:dyDescent="0.5">
      <c r="A4057" t="str">
        <f>"68233JCK8"</f>
        <v>68233JCK8</v>
      </c>
      <c r="B4057" t="s">
        <v>101</v>
      </c>
      <c r="C4057" t="s">
        <v>5027</v>
      </c>
      <c r="D4057" t="s">
        <v>2433</v>
      </c>
      <c r="E4057">
        <v>4.55</v>
      </c>
      <c r="F4057" s="2">
        <v>48472</v>
      </c>
      <c r="G4057" s="2">
        <v>48380</v>
      </c>
      <c r="H4057" t="s">
        <v>610</v>
      </c>
      <c r="I4057" t="s">
        <v>658</v>
      </c>
      <c r="J4057">
        <v>96.581000000000003</v>
      </c>
      <c r="K4057">
        <v>96.989000000000004</v>
      </c>
      <c r="L4057">
        <v>5.1040000000000001</v>
      </c>
      <c r="M4057">
        <v>5.0369999999999999</v>
      </c>
      <c r="N4057">
        <v>5.0369999999999999</v>
      </c>
      <c r="O4057" t="s">
        <v>101</v>
      </c>
      <c r="P4057" t="s">
        <v>1391</v>
      </c>
      <c r="Q4057" t="s">
        <v>1391</v>
      </c>
      <c r="R4057" t="s">
        <v>2726</v>
      </c>
    </row>
    <row r="4058" spans="1:18" x14ac:dyDescent="0.5">
      <c r="A4058" t="str">
        <f>"8426EPAF5"</f>
        <v>8426EPAF5</v>
      </c>
      <c r="B4058" t="s">
        <v>101</v>
      </c>
      <c r="C4058" t="s">
        <v>5028</v>
      </c>
      <c r="D4058" t="s">
        <v>2433</v>
      </c>
      <c r="E4058">
        <v>5.15</v>
      </c>
      <c r="F4058" s="2">
        <v>48472</v>
      </c>
      <c r="G4058" s="2">
        <v>48288</v>
      </c>
      <c r="H4058" t="s">
        <v>670</v>
      </c>
      <c r="I4058" t="s">
        <v>713</v>
      </c>
      <c r="J4058">
        <v>99.546999999999997</v>
      </c>
      <c r="K4058">
        <v>99.793999999999997</v>
      </c>
      <c r="L4058">
        <v>5.2240000000000002</v>
      </c>
      <c r="M4058">
        <v>5.1829999999999998</v>
      </c>
      <c r="N4058">
        <v>5.1829999999999998</v>
      </c>
      <c r="O4058" t="s">
        <v>101</v>
      </c>
      <c r="P4058" t="s">
        <v>2776</v>
      </c>
      <c r="Q4058" t="s">
        <v>2454</v>
      </c>
      <c r="R4058" t="s">
        <v>2436</v>
      </c>
    </row>
    <row r="4059" spans="1:18" x14ac:dyDescent="0.5">
      <c r="A4059" t="str">
        <f>"87612EBP0"</f>
        <v>87612EBP0</v>
      </c>
      <c r="B4059" t="s">
        <v>101</v>
      </c>
      <c r="C4059" t="s">
        <v>5029</v>
      </c>
      <c r="D4059" t="s">
        <v>2433</v>
      </c>
      <c r="E4059">
        <v>4.5</v>
      </c>
      <c r="F4059" s="2">
        <v>48472</v>
      </c>
      <c r="G4059" s="2">
        <v>48380</v>
      </c>
      <c r="H4059" t="s">
        <v>610</v>
      </c>
      <c r="I4059" t="s">
        <v>611</v>
      </c>
      <c r="J4059">
        <v>97.525000000000006</v>
      </c>
      <c r="K4059">
        <v>97.861999999999995</v>
      </c>
      <c r="L4059">
        <v>4.8979999999999997</v>
      </c>
      <c r="M4059">
        <v>4.843</v>
      </c>
      <c r="N4059">
        <v>4.843</v>
      </c>
      <c r="O4059" t="s">
        <v>101</v>
      </c>
      <c r="P4059" t="s">
        <v>1702</v>
      </c>
      <c r="Q4059" t="s">
        <v>1702</v>
      </c>
      <c r="R4059" t="s">
        <v>2436</v>
      </c>
    </row>
    <row r="4060" spans="1:18" x14ac:dyDescent="0.5">
      <c r="A4060" t="str">
        <f>"045167FT5"</f>
        <v>045167FT5</v>
      </c>
      <c r="B4060" t="s">
        <v>101</v>
      </c>
      <c r="C4060" t="s">
        <v>5030</v>
      </c>
      <c r="D4060" t="s">
        <v>2433</v>
      </c>
      <c r="E4060">
        <v>3.875</v>
      </c>
      <c r="F4060" s="2">
        <v>48485</v>
      </c>
      <c r="G4060" s="2" t="s">
        <v>105</v>
      </c>
      <c r="H4060" t="s">
        <v>104</v>
      </c>
      <c r="I4060" t="s">
        <v>104</v>
      </c>
      <c r="J4060">
        <v>96.915000000000006</v>
      </c>
      <c r="K4060">
        <v>98.084000000000003</v>
      </c>
      <c r="L4060">
        <v>4.359</v>
      </c>
      <c r="M4060">
        <v>4.173</v>
      </c>
      <c r="N4060">
        <v>4.173</v>
      </c>
      <c r="O4060" t="s">
        <v>101</v>
      </c>
      <c r="P4060" t="s">
        <v>2618</v>
      </c>
      <c r="Q4060" t="s">
        <v>2618</v>
      </c>
      <c r="R4060" t="s">
        <v>2885</v>
      </c>
    </row>
    <row r="4061" spans="1:18" x14ac:dyDescent="0.5">
      <c r="A4061" t="str">
        <f>"06747QHV2"</f>
        <v>06747QHV2</v>
      </c>
      <c r="B4061" t="s">
        <v>101</v>
      </c>
      <c r="C4061" t="s">
        <v>5031</v>
      </c>
      <c r="D4061" t="s">
        <v>2433</v>
      </c>
      <c r="E4061">
        <v>1.75</v>
      </c>
      <c r="F4061" s="2">
        <v>48486</v>
      </c>
      <c r="G4061" s="2">
        <v>45745</v>
      </c>
      <c r="H4061" t="s">
        <v>641</v>
      </c>
      <c r="I4061" t="s">
        <v>658</v>
      </c>
      <c r="J4061">
        <v>76.736999999999995</v>
      </c>
      <c r="K4061">
        <v>78.650000000000006</v>
      </c>
      <c r="L4061">
        <v>5.5670000000000002</v>
      </c>
      <c r="M4061">
        <v>5.2069999999999999</v>
      </c>
      <c r="N4061">
        <v>5.2069999999999999</v>
      </c>
      <c r="O4061" t="s">
        <v>101</v>
      </c>
      <c r="P4061" t="s">
        <v>2527</v>
      </c>
      <c r="Q4061" t="s">
        <v>556</v>
      </c>
      <c r="R4061" t="s">
        <v>2436</v>
      </c>
    </row>
    <row r="4062" spans="1:18" x14ac:dyDescent="0.5">
      <c r="A4062" t="str">
        <f>"976656CN6"</f>
        <v>976656CN6</v>
      </c>
      <c r="B4062" t="s">
        <v>101</v>
      </c>
      <c r="C4062" t="s">
        <v>5032</v>
      </c>
      <c r="D4062" t="s">
        <v>2433</v>
      </c>
      <c r="E4062">
        <v>4.75</v>
      </c>
      <c r="F4062" s="2">
        <v>48487</v>
      </c>
      <c r="G4062" s="2">
        <v>48395</v>
      </c>
      <c r="H4062" t="s">
        <v>610</v>
      </c>
      <c r="I4062" t="s">
        <v>713</v>
      </c>
      <c r="J4062">
        <v>99.016999999999996</v>
      </c>
      <c r="K4062">
        <v>99.384</v>
      </c>
      <c r="L4062">
        <v>4.907</v>
      </c>
      <c r="M4062">
        <v>4.8479999999999999</v>
      </c>
      <c r="N4062">
        <v>4.8479999999999999</v>
      </c>
      <c r="O4062" t="s">
        <v>101</v>
      </c>
      <c r="P4062" t="s">
        <v>4600</v>
      </c>
      <c r="Q4062" t="s">
        <v>3519</v>
      </c>
      <c r="R4062" t="s">
        <v>2436</v>
      </c>
    </row>
    <row r="4063" spans="1:18" x14ac:dyDescent="0.5">
      <c r="A4063" t="str">
        <f>"039483AT9"</f>
        <v>039483AT9</v>
      </c>
      <c r="B4063" t="s">
        <v>101</v>
      </c>
      <c r="C4063" t="s">
        <v>5033</v>
      </c>
      <c r="D4063" t="s">
        <v>2433</v>
      </c>
      <c r="E4063">
        <v>5.9349999999999996</v>
      </c>
      <c r="F4063" s="2">
        <v>48488</v>
      </c>
      <c r="G4063" s="2" t="s">
        <v>101</v>
      </c>
      <c r="H4063" t="s">
        <v>610</v>
      </c>
      <c r="I4063" t="s">
        <v>611</v>
      </c>
      <c r="J4063">
        <v>106.447</v>
      </c>
      <c r="K4063">
        <v>107.071</v>
      </c>
      <c r="L4063">
        <v>4.9029999999999996</v>
      </c>
      <c r="M4063">
        <v>4.8070000000000004</v>
      </c>
      <c r="N4063">
        <v>4.8070000000000004</v>
      </c>
      <c r="O4063" t="s">
        <v>101</v>
      </c>
      <c r="P4063" t="s">
        <v>3939</v>
      </c>
      <c r="Q4063" t="s">
        <v>3160</v>
      </c>
      <c r="R4063" t="s">
        <v>2436</v>
      </c>
    </row>
    <row r="4064" spans="1:18" x14ac:dyDescent="0.5">
      <c r="A4064" t="str">
        <f>"15189XAZ1"</f>
        <v>15189XAZ1</v>
      </c>
      <c r="B4064" t="s">
        <v>101</v>
      </c>
      <c r="C4064" t="s">
        <v>5034</v>
      </c>
      <c r="D4064" t="s">
        <v>2433</v>
      </c>
      <c r="E4064">
        <v>4.45</v>
      </c>
      <c r="F4064" s="2">
        <v>48488</v>
      </c>
      <c r="G4064" s="2">
        <v>48396</v>
      </c>
      <c r="H4064" t="s">
        <v>610</v>
      </c>
      <c r="I4064" t="s">
        <v>611</v>
      </c>
      <c r="J4064">
        <v>95.745999999999995</v>
      </c>
      <c r="K4064">
        <v>96.23</v>
      </c>
      <c r="L4064">
        <v>5.1360000000000001</v>
      </c>
      <c r="M4064">
        <v>5.056</v>
      </c>
      <c r="N4064">
        <v>5.056</v>
      </c>
      <c r="O4064" t="s">
        <v>101</v>
      </c>
      <c r="P4064" t="s">
        <v>3878</v>
      </c>
      <c r="Q4064" t="s">
        <v>3178</v>
      </c>
      <c r="R4064" t="s">
        <v>2436</v>
      </c>
    </row>
    <row r="4065" spans="1:18" x14ac:dyDescent="0.5">
      <c r="A4065" t="str">
        <f>"756109BP8"</f>
        <v>756109BP8</v>
      </c>
      <c r="B4065" t="s">
        <v>101</v>
      </c>
      <c r="C4065" t="s">
        <v>5035</v>
      </c>
      <c r="D4065" t="s">
        <v>2433</v>
      </c>
      <c r="E4065">
        <v>5.625</v>
      </c>
      <c r="F4065" s="2">
        <v>48500</v>
      </c>
      <c r="G4065" s="2">
        <v>48408</v>
      </c>
      <c r="H4065" t="s">
        <v>627</v>
      </c>
      <c r="I4065" t="s">
        <v>713</v>
      </c>
      <c r="J4065">
        <v>102.75</v>
      </c>
      <c r="K4065">
        <v>102.93600000000001</v>
      </c>
      <c r="L4065">
        <v>5.17</v>
      </c>
      <c r="M4065">
        <v>5.14</v>
      </c>
      <c r="N4065">
        <v>5.1520000000000001</v>
      </c>
      <c r="O4065" t="s">
        <v>101</v>
      </c>
      <c r="P4065" t="s">
        <v>874</v>
      </c>
      <c r="Q4065" t="s">
        <v>3178</v>
      </c>
      <c r="R4065" t="s">
        <v>2436</v>
      </c>
    </row>
    <row r="4066" spans="1:18" x14ac:dyDescent="0.5">
      <c r="A4066" t="str">
        <f>"049560AX3"</f>
        <v>049560AX3</v>
      </c>
      <c r="B4066" t="s">
        <v>101</v>
      </c>
      <c r="C4066" t="s">
        <v>5036</v>
      </c>
      <c r="D4066" t="s">
        <v>2433</v>
      </c>
      <c r="E4066">
        <v>5.45</v>
      </c>
      <c r="F4066" s="2">
        <v>48502</v>
      </c>
      <c r="G4066" s="2">
        <v>48410</v>
      </c>
      <c r="H4066" t="s">
        <v>641</v>
      </c>
      <c r="I4066" t="s">
        <v>713</v>
      </c>
      <c r="J4066">
        <v>103.47199999999999</v>
      </c>
      <c r="K4066">
        <v>103.658</v>
      </c>
      <c r="L4066">
        <v>4.8819999999999997</v>
      </c>
      <c r="M4066">
        <v>4.8520000000000003</v>
      </c>
      <c r="N4066">
        <v>4.867</v>
      </c>
      <c r="O4066" t="s">
        <v>101</v>
      </c>
      <c r="P4066" t="s">
        <v>5037</v>
      </c>
      <c r="Q4066" t="s">
        <v>1702</v>
      </c>
      <c r="R4066" t="s">
        <v>2436</v>
      </c>
    </row>
    <row r="4067" spans="1:18" x14ac:dyDescent="0.5">
      <c r="A4067" t="str">
        <f>"20825CAF1"</f>
        <v>20825CAF1</v>
      </c>
      <c r="B4067" t="s">
        <v>101</v>
      </c>
      <c r="C4067" t="s">
        <v>5038</v>
      </c>
      <c r="D4067" t="s">
        <v>2433</v>
      </c>
      <c r="E4067">
        <v>5.9</v>
      </c>
      <c r="F4067" s="2">
        <v>48502</v>
      </c>
      <c r="G4067" s="2" t="s">
        <v>101</v>
      </c>
      <c r="H4067" t="s">
        <v>610</v>
      </c>
      <c r="I4067" t="s">
        <v>713</v>
      </c>
      <c r="J4067">
        <v>105.83</v>
      </c>
      <c r="K4067">
        <v>106.122</v>
      </c>
      <c r="L4067">
        <v>4.968</v>
      </c>
      <c r="M4067">
        <v>4.923</v>
      </c>
      <c r="N4067">
        <v>4.923</v>
      </c>
      <c r="O4067" t="s">
        <v>101</v>
      </c>
      <c r="P4067" t="s">
        <v>5039</v>
      </c>
      <c r="Q4067" t="s">
        <v>3075</v>
      </c>
      <c r="R4067" t="s">
        <v>2436</v>
      </c>
    </row>
    <row r="4068" spans="1:18" x14ac:dyDescent="0.5">
      <c r="A4068" t="str">
        <f>"250847DU1"</f>
        <v>250847DU1</v>
      </c>
      <c r="B4068" t="s">
        <v>101</v>
      </c>
      <c r="C4068" t="s">
        <v>5040</v>
      </c>
      <c r="D4068" t="s">
        <v>2433</v>
      </c>
      <c r="E4068">
        <v>6.35</v>
      </c>
      <c r="F4068" s="2">
        <v>48502</v>
      </c>
      <c r="G4068" s="2" t="s">
        <v>101</v>
      </c>
      <c r="H4068" t="s">
        <v>624</v>
      </c>
      <c r="I4068" t="s">
        <v>611</v>
      </c>
      <c r="J4068">
        <v>106.444</v>
      </c>
      <c r="K4068">
        <v>108.57299999999999</v>
      </c>
      <c r="L4068">
        <v>5.3070000000000004</v>
      </c>
      <c r="M4068">
        <v>4.9790000000000001</v>
      </c>
      <c r="N4068">
        <v>4.9790000000000001</v>
      </c>
      <c r="O4068" t="s">
        <v>101</v>
      </c>
      <c r="P4068" t="s">
        <v>3461</v>
      </c>
      <c r="Q4068" t="s">
        <v>457</v>
      </c>
      <c r="R4068" t="s">
        <v>2436</v>
      </c>
    </row>
    <row r="4069" spans="1:18" x14ac:dyDescent="0.5">
      <c r="A4069" t="str">
        <f>"036752AW3"</f>
        <v>036752AW3</v>
      </c>
      <c r="B4069" t="s">
        <v>101</v>
      </c>
      <c r="C4069" t="s">
        <v>5041</v>
      </c>
      <c r="D4069" t="s">
        <v>2433</v>
      </c>
      <c r="E4069">
        <v>5.5</v>
      </c>
      <c r="F4069" s="2">
        <v>48502</v>
      </c>
      <c r="G4069" s="2">
        <v>48410</v>
      </c>
      <c r="H4069" t="s">
        <v>677</v>
      </c>
      <c r="I4069" t="s">
        <v>611</v>
      </c>
      <c r="J4069">
        <v>102.384</v>
      </c>
      <c r="K4069">
        <v>102.64</v>
      </c>
      <c r="L4069">
        <v>5.1070000000000002</v>
      </c>
      <c r="M4069">
        <v>5.0650000000000004</v>
      </c>
      <c r="N4069">
        <v>5.0759999999999996</v>
      </c>
      <c r="O4069" t="s">
        <v>101</v>
      </c>
      <c r="P4069" t="s">
        <v>1391</v>
      </c>
      <c r="Q4069" t="s">
        <v>2507</v>
      </c>
      <c r="R4069" t="s">
        <v>2436</v>
      </c>
    </row>
    <row r="4070" spans="1:18" x14ac:dyDescent="0.5">
      <c r="A4070" t="str">
        <f>"571748BR2"</f>
        <v>571748BR2</v>
      </c>
      <c r="B4070" t="s">
        <v>101</v>
      </c>
      <c r="C4070" t="s">
        <v>5042</v>
      </c>
      <c r="D4070" t="s">
        <v>2433</v>
      </c>
      <c r="E4070">
        <v>5.75</v>
      </c>
      <c r="F4070" s="2">
        <v>48519</v>
      </c>
      <c r="G4070" s="2">
        <v>48427</v>
      </c>
      <c r="H4070" t="s">
        <v>627</v>
      </c>
      <c r="I4070" t="s">
        <v>713</v>
      </c>
      <c r="J4070">
        <v>104.634</v>
      </c>
      <c r="K4070">
        <v>104.89100000000001</v>
      </c>
      <c r="L4070">
        <v>4.992</v>
      </c>
      <c r="M4070">
        <v>4.9509999999999996</v>
      </c>
      <c r="N4070">
        <v>4.9710000000000001</v>
      </c>
      <c r="O4070" t="s">
        <v>101</v>
      </c>
      <c r="P4070" t="s">
        <v>2447</v>
      </c>
      <c r="Q4070" t="s">
        <v>1702</v>
      </c>
      <c r="R4070" t="s">
        <v>2436</v>
      </c>
    </row>
    <row r="4071" spans="1:18" x14ac:dyDescent="0.5">
      <c r="A4071" t="str">
        <f>"637432MS1"</f>
        <v>637432MS1</v>
      </c>
      <c r="B4071" t="s">
        <v>101</v>
      </c>
      <c r="C4071" t="s">
        <v>5043</v>
      </c>
      <c r="D4071" t="s">
        <v>2433</v>
      </c>
      <c r="E4071">
        <v>4.0229999999999997</v>
      </c>
      <c r="F4071" s="2">
        <v>48519</v>
      </c>
      <c r="G4071" s="2">
        <v>48335</v>
      </c>
      <c r="H4071" t="s">
        <v>641</v>
      </c>
      <c r="I4071" t="s">
        <v>713</v>
      </c>
      <c r="J4071">
        <v>93.316999999999993</v>
      </c>
      <c r="K4071">
        <v>94.438000000000002</v>
      </c>
      <c r="L4071">
        <v>5.0890000000000004</v>
      </c>
      <c r="M4071">
        <v>4.9039999999999999</v>
      </c>
      <c r="N4071">
        <v>4.9039999999999999</v>
      </c>
      <c r="O4071" t="s">
        <v>101</v>
      </c>
      <c r="P4071" t="s">
        <v>2472</v>
      </c>
      <c r="Q4071" t="s">
        <v>2566</v>
      </c>
      <c r="R4071" t="s">
        <v>2436</v>
      </c>
    </row>
    <row r="4072" spans="1:18" x14ac:dyDescent="0.5">
      <c r="A4072" t="str">
        <f>"842400HT3"</f>
        <v>842400HT3</v>
      </c>
      <c r="B4072" t="s">
        <v>101</v>
      </c>
      <c r="C4072" t="s">
        <v>5044</v>
      </c>
      <c r="D4072" t="s">
        <v>2433</v>
      </c>
      <c r="E4072">
        <v>5.95</v>
      </c>
      <c r="F4072" s="2">
        <v>48519</v>
      </c>
      <c r="G4072" s="2">
        <v>48427</v>
      </c>
      <c r="H4072" t="s">
        <v>610</v>
      </c>
      <c r="I4072" t="s">
        <v>713</v>
      </c>
      <c r="J4072">
        <v>101.575</v>
      </c>
      <c r="K4072">
        <v>101.946</v>
      </c>
      <c r="L4072">
        <v>5.6859999999999999</v>
      </c>
      <c r="M4072">
        <v>5.6239999999999997</v>
      </c>
      <c r="N4072">
        <v>5.6319999999999997</v>
      </c>
      <c r="O4072" t="s">
        <v>101</v>
      </c>
      <c r="P4072" t="s">
        <v>3939</v>
      </c>
      <c r="Q4072" t="s">
        <v>3075</v>
      </c>
      <c r="R4072" t="s">
        <v>2436</v>
      </c>
    </row>
    <row r="4073" spans="1:18" x14ac:dyDescent="0.5">
      <c r="A4073" t="str">
        <f>"87612EAK2"</f>
        <v>87612EAK2</v>
      </c>
      <c r="B4073" t="s">
        <v>101</v>
      </c>
      <c r="C4073" t="s">
        <v>5045</v>
      </c>
      <c r="D4073" t="s">
        <v>2433</v>
      </c>
      <c r="E4073">
        <v>6.35</v>
      </c>
      <c r="F4073" s="2">
        <v>48519</v>
      </c>
      <c r="G4073" s="2" t="s">
        <v>101</v>
      </c>
      <c r="H4073" t="s">
        <v>610</v>
      </c>
      <c r="I4073" t="s">
        <v>611</v>
      </c>
      <c r="J4073">
        <v>110.01600000000001</v>
      </c>
      <c r="K4073">
        <v>110.56100000000001</v>
      </c>
      <c r="L4073">
        <v>4.7679999999999998</v>
      </c>
      <c r="M4073">
        <v>4.6879999999999997</v>
      </c>
      <c r="N4073">
        <v>4.6879999999999997</v>
      </c>
      <c r="O4073" t="s">
        <v>101</v>
      </c>
      <c r="P4073" t="s">
        <v>3939</v>
      </c>
      <c r="Q4073" t="s">
        <v>2678</v>
      </c>
      <c r="R4073" t="s">
        <v>2436</v>
      </c>
    </row>
    <row r="4074" spans="1:18" x14ac:dyDescent="0.5">
      <c r="A4074" t="str">
        <f>"278062AD6"</f>
        <v>278062AD6</v>
      </c>
      <c r="B4074" t="s">
        <v>101</v>
      </c>
      <c r="C4074" t="s">
        <v>5046</v>
      </c>
      <c r="D4074" t="s">
        <v>2433</v>
      </c>
      <c r="E4074">
        <v>4</v>
      </c>
      <c r="F4074" s="2">
        <v>48520</v>
      </c>
      <c r="G4074" s="2" t="s">
        <v>101</v>
      </c>
      <c r="H4074" t="s">
        <v>627</v>
      </c>
      <c r="I4074" t="s">
        <v>713</v>
      </c>
      <c r="J4074">
        <v>94.009</v>
      </c>
      <c r="K4074">
        <v>94.373999999999995</v>
      </c>
      <c r="L4074">
        <v>4.9509999999999996</v>
      </c>
      <c r="M4074">
        <v>4.891</v>
      </c>
      <c r="N4074">
        <v>4.891</v>
      </c>
      <c r="O4074" t="s">
        <v>101</v>
      </c>
      <c r="P4074" t="s">
        <v>3878</v>
      </c>
      <c r="Q4074" t="s">
        <v>2454</v>
      </c>
      <c r="R4074" t="s">
        <v>2436</v>
      </c>
    </row>
    <row r="4075" spans="1:18" x14ac:dyDescent="0.5">
      <c r="A4075" t="str">
        <f>"665859AX2"</f>
        <v>665859AX2</v>
      </c>
      <c r="B4075" t="s">
        <v>101</v>
      </c>
      <c r="C4075" t="s">
        <v>5047</v>
      </c>
      <c r="D4075" t="s">
        <v>2433</v>
      </c>
      <c r="E4075">
        <v>6.125</v>
      </c>
      <c r="F4075" s="2">
        <v>48520</v>
      </c>
      <c r="G4075" s="2">
        <v>48428</v>
      </c>
      <c r="H4075" t="s">
        <v>610</v>
      </c>
      <c r="I4075" t="s">
        <v>611</v>
      </c>
      <c r="J4075">
        <v>106.634</v>
      </c>
      <c r="K4075">
        <v>106.93600000000001</v>
      </c>
      <c r="L4075">
        <v>5.0380000000000003</v>
      </c>
      <c r="M4075">
        <v>4.9909999999999997</v>
      </c>
      <c r="N4075">
        <v>5.0190000000000001</v>
      </c>
      <c r="O4075" t="s">
        <v>101</v>
      </c>
      <c r="P4075" t="s">
        <v>2438</v>
      </c>
      <c r="Q4075" t="s">
        <v>2472</v>
      </c>
      <c r="R4075" t="s">
        <v>2436</v>
      </c>
    </row>
    <row r="4076" spans="1:18" x14ac:dyDescent="0.5">
      <c r="A4076" t="str">
        <f>"20030NEB3"</f>
        <v>20030NEB3</v>
      </c>
      <c r="B4076" t="s">
        <v>101</v>
      </c>
      <c r="C4076" t="s">
        <v>5048</v>
      </c>
      <c r="D4076" t="s">
        <v>2433</v>
      </c>
      <c r="E4076">
        <v>5.5</v>
      </c>
      <c r="F4076" s="2">
        <v>48533</v>
      </c>
      <c r="G4076" s="2">
        <v>48441</v>
      </c>
      <c r="H4076" t="s">
        <v>627</v>
      </c>
      <c r="I4076" t="s">
        <v>713</v>
      </c>
      <c r="J4076">
        <v>103.03100000000001</v>
      </c>
      <c r="K4076">
        <v>103.18600000000001</v>
      </c>
      <c r="L4076">
        <v>5.0060000000000002</v>
      </c>
      <c r="M4076">
        <v>4.9809999999999999</v>
      </c>
      <c r="N4076">
        <v>4.9939999999999998</v>
      </c>
      <c r="O4076" t="s">
        <v>101</v>
      </c>
      <c r="P4076" t="s">
        <v>1702</v>
      </c>
      <c r="Q4076" t="s">
        <v>2581</v>
      </c>
      <c r="R4076" t="s">
        <v>2436</v>
      </c>
    </row>
    <row r="4077" spans="1:18" x14ac:dyDescent="0.5">
      <c r="A4077" t="str">
        <f>"904764AH0"</f>
        <v>904764AH0</v>
      </c>
      <c r="B4077" t="s">
        <v>101</v>
      </c>
      <c r="C4077" t="s">
        <v>5049</v>
      </c>
      <c r="D4077" t="s">
        <v>2433</v>
      </c>
      <c r="E4077">
        <v>5.9</v>
      </c>
      <c r="F4077" s="2">
        <v>48533</v>
      </c>
      <c r="G4077" s="2" t="s">
        <v>101</v>
      </c>
      <c r="H4077" t="s">
        <v>641</v>
      </c>
      <c r="I4077" t="s">
        <v>658</v>
      </c>
      <c r="J4077">
        <v>107.313</v>
      </c>
      <c r="K4077">
        <v>107.596</v>
      </c>
      <c r="L4077">
        <v>4.7510000000000003</v>
      </c>
      <c r="M4077">
        <v>4.7080000000000002</v>
      </c>
      <c r="N4077">
        <v>4.7080000000000002</v>
      </c>
      <c r="O4077" t="s">
        <v>101</v>
      </c>
      <c r="P4077" t="s">
        <v>2438</v>
      </c>
      <c r="Q4077" t="s">
        <v>2507</v>
      </c>
      <c r="R4077" t="s">
        <v>2436</v>
      </c>
    </row>
    <row r="4078" spans="1:18" x14ac:dyDescent="0.5">
      <c r="A4078" t="str">
        <f>"857524AE2"</f>
        <v>857524AE2</v>
      </c>
      <c r="B4078" t="s">
        <v>101</v>
      </c>
      <c r="C4078" t="s">
        <v>5050</v>
      </c>
      <c r="D4078" t="s">
        <v>2433</v>
      </c>
      <c r="E4078">
        <v>5.75</v>
      </c>
      <c r="F4078" s="2">
        <v>48534</v>
      </c>
      <c r="G4078" s="2">
        <v>48442</v>
      </c>
      <c r="H4078" t="s">
        <v>610</v>
      </c>
      <c r="I4078" t="s">
        <v>713</v>
      </c>
      <c r="J4078">
        <v>104.148</v>
      </c>
      <c r="K4078">
        <v>104.59399999999999</v>
      </c>
      <c r="L4078">
        <v>5.0720000000000001</v>
      </c>
      <c r="M4078">
        <v>5.0019999999999998</v>
      </c>
      <c r="N4078">
        <v>5.0199999999999996</v>
      </c>
      <c r="O4078" t="s">
        <v>101</v>
      </c>
      <c r="P4078" t="s">
        <v>2948</v>
      </c>
      <c r="Q4078" t="s">
        <v>3075</v>
      </c>
      <c r="R4078" t="s">
        <v>2436</v>
      </c>
    </row>
    <row r="4079" spans="1:18" x14ac:dyDescent="0.5">
      <c r="A4079" t="str">
        <f>"718172CX5"</f>
        <v>718172CX5</v>
      </c>
      <c r="B4079" t="s">
        <v>101</v>
      </c>
      <c r="C4079" t="s">
        <v>5051</v>
      </c>
      <c r="D4079" t="s">
        <v>2433</v>
      </c>
      <c r="E4079">
        <v>5.75</v>
      </c>
      <c r="F4079" s="2">
        <v>48535</v>
      </c>
      <c r="G4079" s="2">
        <v>48443</v>
      </c>
      <c r="H4079" t="s">
        <v>610</v>
      </c>
      <c r="I4079" t="s">
        <v>713</v>
      </c>
      <c r="J4079">
        <v>104</v>
      </c>
      <c r="K4079">
        <v>104.226</v>
      </c>
      <c r="L4079">
        <v>5.0960000000000001</v>
      </c>
      <c r="M4079">
        <v>5.0599999999999996</v>
      </c>
      <c r="N4079">
        <v>5.077</v>
      </c>
      <c r="O4079" t="s">
        <v>101</v>
      </c>
      <c r="P4079" t="s">
        <v>1702</v>
      </c>
      <c r="Q4079" t="s">
        <v>2454</v>
      </c>
      <c r="R4079" t="s">
        <v>2436</v>
      </c>
    </row>
    <row r="4080" spans="1:18" x14ac:dyDescent="0.5">
      <c r="A4080" t="str">
        <f>"883556CU4"</f>
        <v>883556CU4</v>
      </c>
      <c r="B4080" t="s">
        <v>101</v>
      </c>
      <c r="C4080" t="s">
        <v>5052</v>
      </c>
      <c r="D4080" t="s">
        <v>2433</v>
      </c>
      <c r="E4080">
        <v>4.95</v>
      </c>
      <c r="F4080" s="2">
        <v>48539</v>
      </c>
      <c r="G4080" s="2">
        <v>48447</v>
      </c>
      <c r="H4080" t="s">
        <v>627</v>
      </c>
      <c r="I4080" t="s">
        <v>713</v>
      </c>
      <c r="J4080">
        <v>100.251</v>
      </c>
      <c r="K4080">
        <v>100.497</v>
      </c>
      <c r="L4080">
        <v>4.9089999999999998</v>
      </c>
      <c r="M4080">
        <v>4.8689999999999998</v>
      </c>
      <c r="N4080">
        <v>4.8710000000000004</v>
      </c>
      <c r="O4080" t="s">
        <v>101</v>
      </c>
      <c r="P4080" t="s">
        <v>1702</v>
      </c>
      <c r="Q4080" t="s">
        <v>2454</v>
      </c>
      <c r="R4080" t="s">
        <v>2436</v>
      </c>
    </row>
    <row r="4081" spans="1:18" x14ac:dyDescent="0.5">
      <c r="A4081" t="str">
        <f>"459200BB6"</f>
        <v>459200BB6</v>
      </c>
      <c r="B4081" t="s">
        <v>101</v>
      </c>
      <c r="C4081" t="s">
        <v>5053</v>
      </c>
      <c r="D4081" t="s">
        <v>2433</v>
      </c>
      <c r="E4081">
        <v>5.875</v>
      </c>
      <c r="F4081" s="2">
        <v>48547</v>
      </c>
      <c r="G4081" s="2" t="s">
        <v>101</v>
      </c>
      <c r="H4081" t="s">
        <v>627</v>
      </c>
      <c r="I4081" t="s">
        <v>713</v>
      </c>
      <c r="J4081">
        <v>105.76600000000001</v>
      </c>
      <c r="K4081">
        <v>106.005</v>
      </c>
      <c r="L4081">
        <v>4.9649999999999999</v>
      </c>
      <c r="M4081">
        <v>4.9279999999999999</v>
      </c>
      <c r="N4081">
        <v>4.9279999999999999</v>
      </c>
      <c r="O4081" t="s">
        <v>101</v>
      </c>
      <c r="P4081" t="s">
        <v>3075</v>
      </c>
      <c r="Q4081" t="s">
        <v>2940</v>
      </c>
      <c r="R4081" t="s">
        <v>2436</v>
      </c>
    </row>
    <row r="4082" spans="1:18" x14ac:dyDescent="0.5">
      <c r="A4082" t="str">
        <f>"48130CMG7"</f>
        <v>48130CMG7</v>
      </c>
      <c r="B4082" t="s">
        <v>101</v>
      </c>
      <c r="C4082" t="s">
        <v>5054</v>
      </c>
      <c r="D4082" t="s">
        <v>2433</v>
      </c>
      <c r="E4082">
        <v>5.3</v>
      </c>
      <c r="F4082" s="2">
        <v>48548</v>
      </c>
      <c r="G4082" s="2">
        <v>46904</v>
      </c>
      <c r="H4082" t="s">
        <v>641</v>
      </c>
      <c r="I4082" t="s">
        <v>611</v>
      </c>
      <c r="J4082">
        <v>99.75</v>
      </c>
      <c r="K4082">
        <v>100.55</v>
      </c>
      <c r="L4082">
        <v>5.3360000000000003</v>
      </c>
      <c r="M4082">
        <v>5.1050000000000004</v>
      </c>
      <c r="N4082">
        <v>5.2110000000000003</v>
      </c>
      <c r="O4082" t="s">
        <v>101</v>
      </c>
      <c r="P4082" t="s">
        <v>2507</v>
      </c>
      <c r="Q4082" t="s">
        <v>3712</v>
      </c>
      <c r="R4082" t="s">
        <v>2436</v>
      </c>
    </row>
    <row r="4083" spans="1:18" x14ac:dyDescent="0.5">
      <c r="A4083" t="str">
        <f>"78014RJM3"</f>
        <v>78014RJM3</v>
      </c>
      <c r="B4083" t="s">
        <v>101</v>
      </c>
      <c r="C4083" t="s">
        <v>5055</v>
      </c>
      <c r="D4083" t="s">
        <v>2433</v>
      </c>
      <c r="E4083">
        <v>6</v>
      </c>
      <c r="F4083" s="2">
        <v>48548</v>
      </c>
      <c r="G4083" s="2">
        <v>45807</v>
      </c>
      <c r="H4083" t="s">
        <v>641</v>
      </c>
      <c r="I4083" t="s">
        <v>611</v>
      </c>
      <c r="J4083">
        <v>99.881</v>
      </c>
      <c r="K4083">
        <v>100.31100000000001</v>
      </c>
      <c r="L4083">
        <v>6.0179999999999998</v>
      </c>
      <c r="M4083">
        <v>4.4749999999999996</v>
      </c>
      <c r="N4083">
        <v>5.9470000000000001</v>
      </c>
      <c r="O4083" t="s">
        <v>101</v>
      </c>
      <c r="P4083" t="s">
        <v>2595</v>
      </c>
      <c r="Q4083" t="s">
        <v>5056</v>
      </c>
      <c r="R4083" t="s">
        <v>2436</v>
      </c>
    </row>
    <row r="4084" spans="1:18" x14ac:dyDescent="0.5">
      <c r="A4084" t="str">
        <f>"023135CR5"</f>
        <v>023135CR5</v>
      </c>
      <c r="B4084" t="s">
        <v>101</v>
      </c>
      <c r="C4084" t="s">
        <v>5057</v>
      </c>
      <c r="D4084" t="s">
        <v>2433</v>
      </c>
      <c r="E4084">
        <v>4.7</v>
      </c>
      <c r="F4084" s="2">
        <v>48549</v>
      </c>
      <c r="G4084" s="2">
        <v>48458</v>
      </c>
      <c r="H4084" t="s">
        <v>641</v>
      </c>
      <c r="I4084" t="s">
        <v>628</v>
      </c>
      <c r="J4084">
        <v>99.91</v>
      </c>
      <c r="K4084">
        <v>100.15300000000001</v>
      </c>
      <c r="L4084">
        <v>4.7130000000000001</v>
      </c>
      <c r="M4084">
        <v>4.6749999999999998</v>
      </c>
      <c r="N4084">
        <v>4.6749999999999998</v>
      </c>
      <c r="O4084" t="s">
        <v>101</v>
      </c>
      <c r="P4084" t="s">
        <v>4569</v>
      </c>
      <c r="Q4084" t="s">
        <v>2438</v>
      </c>
      <c r="R4084" t="s">
        <v>2436</v>
      </c>
    </row>
    <row r="4085" spans="1:18" x14ac:dyDescent="0.5">
      <c r="A4085" t="str">
        <f>"743315AL7"</f>
        <v>743315AL7</v>
      </c>
      <c r="B4085" t="s">
        <v>101</v>
      </c>
      <c r="C4085" t="s">
        <v>5058</v>
      </c>
      <c r="D4085" t="s">
        <v>2433</v>
      </c>
      <c r="E4085">
        <v>6.25</v>
      </c>
      <c r="F4085" s="2">
        <v>48549</v>
      </c>
      <c r="G4085" s="2" t="s">
        <v>101</v>
      </c>
      <c r="H4085" t="s">
        <v>610</v>
      </c>
      <c r="I4085" t="s">
        <v>611</v>
      </c>
      <c r="J4085">
        <v>108.54</v>
      </c>
      <c r="K4085">
        <v>108.994</v>
      </c>
      <c r="L4085">
        <v>4.9059999999999997</v>
      </c>
      <c r="M4085">
        <v>4.8380000000000001</v>
      </c>
      <c r="N4085">
        <v>4.8380000000000001</v>
      </c>
      <c r="O4085" t="s">
        <v>101</v>
      </c>
      <c r="P4085" t="s">
        <v>4982</v>
      </c>
      <c r="Q4085" t="s">
        <v>2506</v>
      </c>
      <c r="R4085" t="s">
        <v>2436</v>
      </c>
    </row>
    <row r="4086" spans="1:18" x14ac:dyDescent="0.5">
      <c r="A4086" t="str">
        <f>"59156RAE8"</f>
        <v>59156RAE8</v>
      </c>
      <c r="B4086" t="s">
        <v>101</v>
      </c>
      <c r="C4086" t="s">
        <v>5059</v>
      </c>
      <c r="D4086" t="s">
        <v>2433</v>
      </c>
      <c r="E4086">
        <v>6.5</v>
      </c>
      <c r="F4086" s="2">
        <v>48563</v>
      </c>
      <c r="G4086" s="2" t="s">
        <v>101</v>
      </c>
      <c r="H4086" t="s">
        <v>627</v>
      </c>
      <c r="I4086" t="s">
        <v>713</v>
      </c>
      <c r="J4086">
        <v>109.604</v>
      </c>
      <c r="K4086">
        <v>109.867</v>
      </c>
      <c r="L4086">
        <v>4.99</v>
      </c>
      <c r="M4086">
        <v>4.9509999999999996</v>
      </c>
      <c r="N4086">
        <v>4.9509999999999996</v>
      </c>
      <c r="O4086" t="s">
        <v>101</v>
      </c>
      <c r="P4086" t="s">
        <v>2460</v>
      </c>
      <c r="Q4086" t="s">
        <v>858</v>
      </c>
      <c r="R4086" t="s">
        <v>2436</v>
      </c>
    </row>
    <row r="4087" spans="1:18" x14ac:dyDescent="0.5">
      <c r="A4087" t="str">
        <f>"637432NZ4"</f>
        <v>637432NZ4</v>
      </c>
      <c r="B4087" t="s">
        <v>101</v>
      </c>
      <c r="C4087" t="s">
        <v>5060</v>
      </c>
      <c r="D4087" t="s">
        <v>2433</v>
      </c>
      <c r="E4087">
        <v>4.1500000000000004</v>
      </c>
      <c r="F4087" s="2">
        <v>48563</v>
      </c>
      <c r="G4087" s="2">
        <v>48472</v>
      </c>
      <c r="H4087" t="s">
        <v>641</v>
      </c>
      <c r="I4087" t="s">
        <v>713</v>
      </c>
      <c r="J4087">
        <v>93.945999999999998</v>
      </c>
      <c r="K4087">
        <v>94.97</v>
      </c>
      <c r="L4087">
        <v>5.1040000000000001</v>
      </c>
      <c r="M4087">
        <v>4.9370000000000003</v>
      </c>
      <c r="N4087">
        <v>4.9370000000000003</v>
      </c>
      <c r="O4087" t="s">
        <v>101</v>
      </c>
      <c r="P4087" t="s">
        <v>2566</v>
      </c>
      <c r="Q4087" t="s">
        <v>1702</v>
      </c>
      <c r="R4087" t="s">
        <v>2436</v>
      </c>
    </row>
    <row r="4088" spans="1:18" x14ac:dyDescent="0.5">
      <c r="A4088" t="str">
        <f>"74456QCK0"</f>
        <v>74456QCK0</v>
      </c>
      <c r="B4088" t="s">
        <v>101</v>
      </c>
      <c r="C4088" t="s">
        <v>5061</v>
      </c>
      <c r="D4088" t="s">
        <v>2433</v>
      </c>
      <c r="E4088">
        <v>4.9000000000000004</v>
      </c>
      <c r="F4088" s="2">
        <v>48563</v>
      </c>
      <c r="G4088" s="2">
        <v>48472</v>
      </c>
      <c r="H4088" t="s">
        <v>641</v>
      </c>
      <c r="I4088" t="s">
        <v>611</v>
      </c>
      <c r="J4088">
        <v>99.593999999999994</v>
      </c>
      <c r="K4088">
        <v>100.184</v>
      </c>
      <c r="L4088">
        <v>4.9630000000000001</v>
      </c>
      <c r="M4088">
        <v>4.87</v>
      </c>
      <c r="N4088">
        <v>4.87</v>
      </c>
      <c r="O4088" t="s">
        <v>101</v>
      </c>
      <c r="P4088" t="s">
        <v>5062</v>
      </c>
      <c r="Q4088" t="s">
        <v>2747</v>
      </c>
      <c r="R4088" t="s">
        <v>2436</v>
      </c>
    </row>
    <row r="4089" spans="1:18" x14ac:dyDescent="0.5">
      <c r="A4089" t="str">
        <f>"756109BL7"</f>
        <v>756109BL7</v>
      </c>
      <c r="B4089" t="s">
        <v>101</v>
      </c>
      <c r="C4089" t="s">
        <v>5063</v>
      </c>
      <c r="D4089" t="s">
        <v>2433</v>
      </c>
      <c r="E4089">
        <v>2.85</v>
      </c>
      <c r="F4089" s="2">
        <v>48563</v>
      </c>
      <c r="G4089" s="2">
        <v>48472</v>
      </c>
      <c r="H4089" t="s">
        <v>627</v>
      </c>
      <c r="I4089" t="s">
        <v>713</v>
      </c>
      <c r="J4089">
        <v>85.497</v>
      </c>
      <c r="K4089">
        <v>85.668999999999997</v>
      </c>
      <c r="L4089">
        <v>5.14</v>
      </c>
      <c r="M4089">
        <v>5.1100000000000003</v>
      </c>
      <c r="N4089">
        <v>5.1100000000000003</v>
      </c>
      <c r="O4089" t="s">
        <v>101</v>
      </c>
      <c r="P4089" t="s">
        <v>1702</v>
      </c>
      <c r="Q4089" t="s">
        <v>2441</v>
      </c>
      <c r="R4089" t="s">
        <v>2436</v>
      </c>
    </row>
    <row r="4090" spans="1:18" x14ac:dyDescent="0.5">
      <c r="A4090" t="str">
        <f>"78014RJS0"</f>
        <v>78014RJS0</v>
      </c>
      <c r="B4090" t="s">
        <v>101</v>
      </c>
      <c r="C4090" t="s">
        <v>5064</v>
      </c>
      <c r="D4090" t="s">
        <v>2433</v>
      </c>
      <c r="E4090">
        <v>6</v>
      </c>
      <c r="F4090" s="2">
        <v>48563</v>
      </c>
      <c r="G4090" s="2">
        <v>45823</v>
      </c>
      <c r="H4090" t="s">
        <v>641</v>
      </c>
      <c r="I4090" t="s">
        <v>611</v>
      </c>
      <c r="J4090">
        <v>100.08499999999999</v>
      </c>
      <c r="K4090">
        <v>100.477</v>
      </c>
      <c r="L4090">
        <v>5.585</v>
      </c>
      <c r="M4090">
        <v>4.0750000000000002</v>
      </c>
      <c r="N4090">
        <v>5.9210000000000003</v>
      </c>
      <c r="O4090" t="s">
        <v>101</v>
      </c>
      <c r="P4090" t="s">
        <v>2507</v>
      </c>
      <c r="Q4090" t="s">
        <v>2821</v>
      </c>
      <c r="R4090" t="s">
        <v>2436</v>
      </c>
    </row>
    <row r="4091" spans="1:18" x14ac:dyDescent="0.5">
      <c r="A4091" t="str">
        <f>"29452EAC5"</f>
        <v>29452EAC5</v>
      </c>
      <c r="B4091" t="s">
        <v>101</v>
      </c>
      <c r="C4091" t="s">
        <v>5065</v>
      </c>
      <c r="D4091" t="s">
        <v>2433</v>
      </c>
      <c r="E4091">
        <v>5.5940000000000003</v>
      </c>
      <c r="F4091" s="2">
        <v>48590</v>
      </c>
      <c r="G4091" s="2">
        <v>48498</v>
      </c>
      <c r="H4091" t="s">
        <v>670</v>
      </c>
      <c r="I4091" t="s">
        <v>713</v>
      </c>
      <c r="J4091">
        <v>101.99299999999999</v>
      </c>
      <c r="K4091">
        <v>102.258</v>
      </c>
      <c r="L4091">
        <v>5.2709999999999999</v>
      </c>
      <c r="M4091">
        <v>5.2290000000000001</v>
      </c>
      <c r="N4091">
        <v>5.2380000000000004</v>
      </c>
      <c r="O4091" t="s">
        <v>101</v>
      </c>
      <c r="P4091" t="s">
        <v>4232</v>
      </c>
      <c r="Q4091" t="s">
        <v>2581</v>
      </c>
      <c r="R4091" t="s">
        <v>2436</v>
      </c>
    </row>
    <row r="4092" spans="1:18" x14ac:dyDescent="0.5">
      <c r="A4092" t="str">
        <f>"302154DW6"</f>
        <v>302154DW6</v>
      </c>
      <c r="B4092" t="s">
        <v>101</v>
      </c>
      <c r="C4092" t="s">
        <v>5066</v>
      </c>
      <c r="D4092" t="s">
        <v>2433</v>
      </c>
      <c r="E4092">
        <v>5.125</v>
      </c>
      <c r="F4092" s="2">
        <v>48590</v>
      </c>
      <c r="G4092" s="2" t="s">
        <v>105</v>
      </c>
      <c r="H4092" t="s">
        <v>613</v>
      </c>
      <c r="I4092" t="s">
        <v>628</v>
      </c>
      <c r="J4092" t="s">
        <v>101</v>
      </c>
      <c r="K4092">
        <v>102.20699999999999</v>
      </c>
      <c r="L4092" t="s">
        <v>101</v>
      </c>
      <c r="M4092">
        <v>4.7830000000000004</v>
      </c>
      <c r="N4092">
        <v>4.7830000000000004</v>
      </c>
      <c r="O4092" t="s">
        <v>101</v>
      </c>
      <c r="P4092" t="s">
        <v>448</v>
      </c>
      <c r="Q4092" t="s">
        <v>542</v>
      </c>
      <c r="R4092" t="s">
        <v>2713</v>
      </c>
    </row>
    <row r="4093" spans="1:18" x14ac:dyDescent="0.5">
      <c r="A4093" t="str">
        <f>"045167FV0"</f>
        <v>045167FV0</v>
      </c>
      <c r="B4093" t="s">
        <v>101</v>
      </c>
      <c r="C4093" t="s">
        <v>5067</v>
      </c>
      <c r="D4093" t="s">
        <v>2433</v>
      </c>
      <c r="E4093">
        <v>4</v>
      </c>
      <c r="F4093" s="2">
        <v>48591</v>
      </c>
      <c r="G4093" s="2" t="s">
        <v>105</v>
      </c>
      <c r="H4093" t="s">
        <v>104</v>
      </c>
      <c r="I4093" t="s">
        <v>104</v>
      </c>
      <c r="J4093">
        <v>97.402000000000001</v>
      </c>
      <c r="K4093">
        <v>98.515000000000001</v>
      </c>
      <c r="L4093">
        <v>4.3949999999999996</v>
      </c>
      <c r="M4093">
        <v>4.2240000000000002</v>
      </c>
      <c r="N4093">
        <v>4.2240000000000002</v>
      </c>
      <c r="O4093" t="s">
        <v>101</v>
      </c>
      <c r="P4093" t="s">
        <v>2618</v>
      </c>
      <c r="Q4093" t="s">
        <v>2618</v>
      </c>
      <c r="R4093" t="s">
        <v>2713</v>
      </c>
    </row>
    <row r="4094" spans="1:18" x14ac:dyDescent="0.5">
      <c r="A4094" t="str">
        <f>"89236TKR5"</f>
        <v>89236TKR5</v>
      </c>
      <c r="B4094" t="s">
        <v>101</v>
      </c>
      <c r="C4094" t="s">
        <v>5068</v>
      </c>
      <c r="D4094" t="s">
        <v>2433</v>
      </c>
      <c r="E4094">
        <v>4.7</v>
      </c>
      <c r="F4094" s="2">
        <v>48591</v>
      </c>
      <c r="G4094" s="2" t="s">
        <v>101</v>
      </c>
      <c r="H4094" t="s">
        <v>641</v>
      </c>
      <c r="I4094" t="s">
        <v>658</v>
      </c>
      <c r="J4094">
        <v>98.176000000000002</v>
      </c>
      <c r="K4094">
        <v>98.617000000000004</v>
      </c>
      <c r="L4094">
        <v>4.9829999999999997</v>
      </c>
      <c r="M4094">
        <v>4.9139999999999997</v>
      </c>
      <c r="N4094">
        <v>4.9139999999999997</v>
      </c>
      <c r="O4094" t="s">
        <v>101</v>
      </c>
      <c r="P4094" t="s">
        <v>2595</v>
      </c>
      <c r="Q4094" t="s">
        <v>2454</v>
      </c>
      <c r="R4094" t="s">
        <v>2436</v>
      </c>
    </row>
    <row r="4095" spans="1:18" x14ac:dyDescent="0.5">
      <c r="A4095" t="str">
        <f>"86562MCS7"</f>
        <v>86562MCS7</v>
      </c>
      <c r="B4095" t="s">
        <v>101</v>
      </c>
      <c r="C4095" t="s">
        <v>5069</v>
      </c>
      <c r="D4095" t="s">
        <v>2433</v>
      </c>
      <c r="E4095">
        <v>5.766</v>
      </c>
      <c r="F4095" s="2">
        <v>48592</v>
      </c>
      <c r="G4095" s="2" t="s">
        <v>101</v>
      </c>
      <c r="H4095" t="s">
        <v>641</v>
      </c>
      <c r="I4095" t="s">
        <v>713</v>
      </c>
      <c r="J4095">
        <v>103.61799999999999</v>
      </c>
      <c r="K4095">
        <v>103.87</v>
      </c>
      <c r="L4095">
        <v>5.1970000000000001</v>
      </c>
      <c r="M4095">
        <v>5.1580000000000004</v>
      </c>
      <c r="N4095">
        <v>5.1580000000000004</v>
      </c>
      <c r="O4095" t="s">
        <v>101</v>
      </c>
      <c r="P4095" t="s">
        <v>5070</v>
      </c>
      <c r="Q4095" t="s">
        <v>5071</v>
      </c>
      <c r="R4095" t="s">
        <v>2436</v>
      </c>
    </row>
    <row r="4096" spans="1:18" x14ac:dyDescent="0.5">
      <c r="A4096" t="str">
        <f>"035229CQ4"</f>
        <v>035229CQ4</v>
      </c>
      <c r="B4096" t="s">
        <v>101</v>
      </c>
      <c r="C4096" t="s">
        <v>5072</v>
      </c>
      <c r="D4096" t="s">
        <v>2433</v>
      </c>
      <c r="E4096">
        <v>5.95</v>
      </c>
      <c r="F4096" s="2">
        <v>48594</v>
      </c>
      <c r="G4096" s="2" t="s">
        <v>101</v>
      </c>
      <c r="H4096" t="s">
        <v>627</v>
      </c>
      <c r="I4096" t="s">
        <v>713</v>
      </c>
      <c r="J4096">
        <v>105.461</v>
      </c>
      <c r="K4096">
        <v>106.625</v>
      </c>
      <c r="L4096">
        <v>5.0949999999999998</v>
      </c>
      <c r="M4096">
        <v>4.92</v>
      </c>
      <c r="N4096">
        <v>4.92</v>
      </c>
      <c r="O4096" t="s">
        <v>101</v>
      </c>
      <c r="P4096" t="s">
        <v>1064</v>
      </c>
      <c r="Q4096" t="s">
        <v>485</v>
      </c>
      <c r="R4096" t="s">
        <v>2436</v>
      </c>
    </row>
    <row r="4097" spans="1:18" x14ac:dyDescent="0.5">
      <c r="A4097" t="str">
        <f>"20030NBH3"</f>
        <v>20030NBH3</v>
      </c>
      <c r="B4097" t="s">
        <v>101</v>
      </c>
      <c r="C4097" t="s">
        <v>5073</v>
      </c>
      <c r="D4097" t="s">
        <v>2433</v>
      </c>
      <c r="E4097">
        <v>4.25</v>
      </c>
      <c r="F4097" s="2">
        <v>48594</v>
      </c>
      <c r="G4097" s="2" t="s">
        <v>101</v>
      </c>
      <c r="H4097" t="s">
        <v>627</v>
      </c>
      <c r="I4097" t="s">
        <v>713</v>
      </c>
      <c r="J4097">
        <v>94.274000000000001</v>
      </c>
      <c r="K4097">
        <v>94.563999999999993</v>
      </c>
      <c r="L4097">
        <v>5.1459999999999999</v>
      </c>
      <c r="M4097">
        <v>5.0990000000000002</v>
      </c>
      <c r="N4097">
        <v>5.0990000000000002</v>
      </c>
      <c r="O4097" t="s">
        <v>101</v>
      </c>
      <c r="P4097" t="s">
        <v>1702</v>
      </c>
      <c r="Q4097" t="s">
        <v>2454</v>
      </c>
      <c r="R4097" t="s">
        <v>2436</v>
      </c>
    </row>
    <row r="4098" spans="1:18" x14ac:dyDescent="0.5">
      <c r="A4098" t="str">
        <f>"837004BW9"</f>
        <v>837004BW9</v>
      </c>
      <c r="B4098" t="s">
        <v>101</v>
      </c>
      <c r="C4098" t="s">
        <v>5074</v>
      </c>
      <c r="D4098" t="s">
        <v>2433</v>
      </c>
      <c r="E4098">
        <v>5.8</v>
      </c>
      <c r="F4098" s="2">
        <v>48594</v>
      </c>
      <c r="G4098" s="2" t="s">
        <v>101</v>
      </c>
      <c r="H4098" t="s">
        <v>610</v>
      </c>
      <c r="I4098" t="s">
        <v>611</v>
      </c>
      <c r="J4098">
        <v>104.574</v>
      </c>
      <c r="K4098">
        <v>106.08199999999999</v>
      </c>
      <c r="L4098">
        <v>5.0839999999999996</v>
      </c>
      <c r="M4098">
        <v>4.8570000000000002</v>
      </c>
      <c r="N4098">
        <v>4.8570000000000002</v>
      </c>
      <c r="O4098" t="s">
        <v>101</v>
      </c>
      <c r="P4098" t="s">
        <v>5075</v>
      </c>
      <c r="Q4098" t="s">
        <v>503</v>
      </c>
      <c r="R4098" t="s">
        <v>2436</v>
      </c>
    </row>
    <row r="4099" spans="1:18" x14ac:dyDescent="0.5">
      <c r="A4099" t="str">
        <f>"26442CBJ2"</f>
        <v>26442CBJ2</v>
      </c>
      <c r="B4099" t="s">
        <v>101</v>
      </c>
      <c r="C4099" t="s">
        <v>5076</v>
      </c>
      <c r="D4099" t="s">
        <v>2433</v>
      </c>
      <c r="E4099">
        <v>4.95</v>
      </c>
      <c r="F4099" s="2">
        <v>48594</v>
      </c>
      <c r="G4099" s="2">
        <v>48502</v>
      </c>
      <c r="H4099" t="s">
        <v>624</v>
      </c>
      <c r="I4099" t="s">
        <v>611</v>
      </c>
      <c r="J4099">
        <v>99.141000000000005</v>
      </c>
      <c r="K4099">
        <v>99.388000000000005</v>
      </c>
      <c r="L4099">
        <v>5.0830000000000002</v>
      </c>
      <c r="M4099">
        <v>5.0439999999999996</v>
      </c>
      <c r="N4099">
        <v>5.0439999999999996</v>
      </c>
      <c r="O4099" t="s">
        <v>101</v>
      </c>
      <c r="P4099" t="s">
        <v>2786</v>
      </c>
      <c r="Q4099" t="s">
        <v>1702</v>
      </c>
      <c r="R4099" t="s">
        <v>2436</v>
      </c>
    </row>
    <row r="4100" spans="1:18" x14ac:dyDescent="0.5">
      <c r="A4100" t="str">
        <f>"29366MAD0"</f>
        <v>29366MAD0</v>
      </c>
      <c r="B4100" t="s">
        <v>101</v>
      </c>
      <c r="C4100" t="s">
        <v>5077</v>
      </c>
      <c r="D4100" t="s">
        <v>2433</v>
      </c>
      <c r="E4100">
        <v>5.15</v>
      </c>
      <c r="F4100" s="2">
        <v>48594</v>
      </c>
      <c r="G4100" s="2">
        <v>48502</v>
      </c>
      <c r="H4100" t="s">
        <v>610</v>
      </c>
      <c r="I4100" t="s">
        <v>611</v>
      </c>
      <c r="J4100">
        <v>100.485</v>
      </c>
      <c r="K4100">
        <v>100.82899999999999</v>
      </c>
      <c r="L4100">
        <v>5.0720000000000001</v>
      </c>
      <c r="M4100">
        <v>5.0170000000000003</v>
      </c>
      <c r="N4100">
        <v>5.0199999999999996</v>
      </c>
      <c r="O4100" t="s">
        <v>101</v>
      </c>
      <c r="P4100" t="s">
        <v>1702</v>
      </c>
      <c r="Q4100" t="s">
        <v>3160</v>
      </c>
      <c r="R4100" t="s">
        <v>2436</v>
      </c>
    </row>
    <row r="4101" spans="1:18" x14ac:dyDescent="0.5">
      <c r="A4101" t="str">
        <f>"539830BW8"</f>
        <v>539830BW8</v>
      </c>
      <c r="B4101" t="s">
        <v>101</v>
      </c>
      <c r="C4101" t="s">
        <v>5078</v>
      </c>
      <c r="D4101" t="s">
        <v>2433</v>
      </c>
      <c r="E4101">
        <v>5.25</v>
      </c>
      <c r="F4101" s="2">
        <v>48594</v>
      </c>
      <c r="G4101" s="2">
        <v>48502</v>
      </c>
      <c r="H4101" t="s">
        <v>610</v>
      </c>
      <c r="I4101" t="s">
        <v>713</v>
      </c>
      <c r="J4101">
        <v>101.79</v>
      </c>
      <c r="K4101">
        <v>102.006</v>
      </c>
      <c r="L4101">
        <v>4.9640000000000004</v>
      </c>
      <c r="M4101">
        <v>4.93</v>
      </c>
      <c r="N4101">
        <v>4.9370000000000003</v>
      </c>
      <c r="O4101" t="s">
        <v>101</v>
      </c>
      <c r="P4101" t="s">
        <v>2581</v>
      </c>
      <c r="Q4101" t="s">
        <v>2454</v>
      </c>
      <c r="R4101" t="s">
        <v>2436</v>
      </c>
    </row>
    <row r="4102" spans="1:18" x14ac:dyDescent="0.5">
      <c r="A4102" t="str">
        <f>"637432PA7"</f>
        <v>637432PA7</v>
      </c>
      <c r="B4102" t="s">
        <v>101</v>
      </c>
      <c r="C4102" t="s">
        <v>5079</v>
      </c>
      <c r="D4102" t="s">
        <v>2433</v>
      </c>
      <c r="E4102">
        <v>5.8</v>
      </c>
      <c r="F4102" s="2">
        <v>48594</v>
      </c>
      <c r="G4102" s="2">
        <v>48410</v>
      </c>
      <c r="H4102" t="s">
        <v>641</v>
      </c>
      <c r="I4102" t="s">
        <v>713</v>
      </c>
      <c r="J4102">
        <v>103.55800000000001</v>
      </c>
      <c r="K4102">
        <v>104.66500000000001</v>
      </c>
      <c r="L4102">
        <v>5.2069999999999999</v>
      </c>
      <c r="M4102">
        <v>5.0309999999999997</v>
      </c>
      <c r="N4102">
        <v>5.07</v>
      </c>
      <c r="O4102" t="s">
        <v>101</v>
      </c>
      <c r="P4102" t="s">
        <v>2786</v>
      </c>
      <c r="Q4102" t="s">
        <v>1702</v>
      </c>
      <c r="R4102" t="s">
        <v>2436</v>
      </c>
    </row>
    <row r="4103" spans="1:18" x14ac:dyDescent="0.5">
      <c r="A4103" t="str">
        <f>"678858BX8"</f>
        <v>678858BX8</v>
      </c>
      <c r="B4103" t="s">
        <v>101</v>
      </c>
      <c r="C4103" t="s">
        <v>5080</v>
      </c>
      <c r="D4103" t="s">
        <v>2433</v>
      </c>
      <c r="E4103">
        <v>5.4</v>
      </c>
      <c r="F4103" s="2">
        <v>48594</v>
      </c>
      <c r="G4103" s="2">
        <v>48410</v>
      </c>
      <c r="H4103" t="s">
        <v>627</v>
      </c>
      <c r="I4103" t="s">
        <v>713</v>
      </c>
      <c r="J4103">
        <v>101.17100000000001</v>
      </c>
      <c r="K4103">
        <v>101.66200000000001</v>
      </c>
      <c r="L4103">
        <v>5.2050000000000001</v>
      </c>
      <c r="M4103">
        <v>5.1239999999999997</v>
      </c>
      <c r="N4103">
        <v>5.1390000000000002</v>
      </c>
      <c r="O4103" t="s">
        <v>101</v>
      </c>
      <c r="P4103" t="s">
        <v>1702</v>
      </c>
      <c r="Q4103" t="s">
        <v>3406</v>
      </c>
      <c r="R4103" t="s">
        <v>2436</v>
      </c>
    </row>
    <row r="4104" spans="1:18" x14ac:dyDescent="0.5">
      <c r="A4104" t="str">
        <f>"68233DAP2"</f>
        <v>68233DAP2</v>
      </c>
      <c r="B4104" t="s">
        <v>101</v>
      </c>
      <c r="C4104" t="s">
        <v>5081</v>
      </c>
      <c r="D4104" t="s">
        <v>2433</v>
      </c>
      <c r="E4104">
        <v>7.25</v>
      </c>
      <c r="F4104" s="2">
        <v>48594</v>
      </c>
      <c r="G4104" s="2" t="s">
        <v>101</v>
      </c>
      <c r="H4104" t="s">
        <v>610</v>
      </c>
      <c r="I4104" t="s">
        <v>658</v>
      </c>
      <c r="J4104">
        <v>114.90900000000001</v>
      </c>
      <c r="K4104">
        <v>116.075</v>
      </c>
      <c r="L4104">
        <v>4.9329999999999998</v>
      </c>
      <c r="M4104">
        <v>4.7679999999999998</v>
      </c>
      <c r="N4104">
        <v>4.7679999999999998</v>
      </c>
      <c r="O4104" t="s">
        <v>101</v>
      </c>
      <c r="P4104" t="s">
        <v>4600</v>
      </c>
      <c r="Q4104" t="s">
        <v>5082</v>
      </c>
      <c r="R4104" t="s">
        <v>2436</v>
      </c>
    </row>
    <row r="4105" spans="1:18" x14ac:dyDescent="0.5">
      <c r="A4105" t="str">
        <f>"74340XBT7"</f>
        <v>74340XBT7</v>
      </c>
      <c r="B4105" t="s">
        <v>101</v>
      </c>
      <c r="C4105" t="s">
        <v>5083</v>
      </c>
      <c r="D4105" t="s">
        <v>2433</v>
      </c>
      <c r="E4105">
        <v>4.625</v>
      </c>
      <c r="F4105" s="2">
        <v>48594</v>
      </c>
      <c r="G4105" s="2">
        <v>48502</v>
      </c>
      <c r="H4105" t="s">
        <v>610</v>
      </c>
      <c r="I4105" t="s">
        <v>611</v>
      </c>
      <c r="J4105">
        <v>97.436000000000007</v>
      </c>
      <c r="K4105">
        <v>97.682000000000002</v>
      </c>
      <c r="L4105">
        <v>5.024</v>
      </c>
      <c r="M4105">
        <v>4.9850000000000003</v>
      </c>
      <c r="N4105">
        <v>4.9850000000000003</v>
      </c>
      <c r="O4105" t="s">
        <v>101</v>
      </c>
      <c r="P4105" t="s">
        <v>1702</v>
      </c>
      <c r="Q4105" t="s">
        <v>2447</v>
      </c>
      <c r="R4105" t="s">
        <v>2436</v>
      </c>
    </row>
    <row r="4106" spans="1:18" x14ac:dyDescent="0.5">
      <c r="A4106" t="str">
        <f>"87612EBQ8"</f>
        <v>87612EBQ8</v>
      </c>
      <c r="B4106" t="s">
        <v>101</v>
      </c>
      <c r="C4106" t="s">
        <v>5084</v>
      </c>
      <c r="D4106" t="s">
        <v>2433</v>
      </c>
      <c r="E4106">
        <v>4.4000000000000004</v>
      </c>
      <c r="F4106" s="2">
        <v>48594</v>
      </c>
      <c r="G4106" s="2">
        <v>48502</v>
      </c>
      <c r="H4106" t="s">
        <v>610</v>
      </c>
      <c r="I4106" t="s">
        <v>611</v>
      </c>
      <c r="J4106">
        <v>96.518000000000001</v>
      </c>
      <c r="K4106">
        <v>96.923000000000002</v>
      </c>
      <c r="L4106">
        <v>4.9400000000000004</v>
      </c>
      <c r="M4106">
        <v>4.8760000000000003</v>
      </c>
      <c r="N4106">
        <v>4.8760000000000003</v>
      </c>
      <c r="O4106" t="s">
        <v>101</v>
      </c>
      <c r="P4106" t="s">
        <v>2472</v>
      </c>
      <c r="Q4106" t="s">
        <v>1702</v>
      </c>
      <c r="R4106" t="s">
        <v>2436</v>
      </c>
    </row>
    <row r="4107" spans="1:18" x14ac:dyDescent="0.5">
      <c r="A4107" t="str">
        <f>"46514BRA7"</f>
        <v>46514BRA7</v>
      </c>
      <c r="B4107" t="s">
        <v>101</v>
      </c>
      <c r="C4107" t="s">
        <v>5085</v>
      </c>
      <c r="D4107" t="s">
        <v>2433</v>
      </c>
      <c r="E4107">
        <v>4.5</v>
      </c>
      <c r="F4107" s="2">
        <v>48596</v>
      </c>
      <c r="G4107" s="2" t="s">
        <v>105</v>
      </c>
      <c r="H4107" t="s">
        <v>670</v>
      </c>
      <c r="I4107" t="s">
        <v>611</v>
      </c>
      <c r="J4107">
        <v>93.796999999999997</v>
      </c>
      <c r="K4107">
        <v>94.628</v>
      </c>
      <c r="L4107">
        <v>5.4820000000000002</v>
      </c>
      <c r="M4107">
        <v>5.3460000000000001</v>
      </c>
      <c r="N4107">
        <v>5.3460000000000001</v>
      </c>
      <c r="O4107" t="s">
        <v>101</v>
      </c>
      <c r="P4107" t="s">
        <v>5086</v>
      </c>
      <c r="Q4107" t="s">
        <v>2688</v>
      </c>
      <c r="R4107" t="s">
        <v>2465</v>
      </c>
    </row>
    <row r="4108" spans="1:18" x14ac:dyDescent="0.5">
      <c r="A4108" t="str">
        <f>"78014RKE9"</f>
        <v>78014RKE9</v>
      </c>
      <c r="B4108" t="s">
        <v>101</v>
      </c>
      <c r="C4108" t="s">
        <v>5087</v>
      </c>
      <c r="D4108" t="s">
        <v>2433</v>
      </c>
      <c r="E4108">
        <v>6</v>
      </c>
      <c r="F4108" s="2">
        <v>48597</v>
      </c>
      <c r="G4108" s="2">
        <v>45856</v>
      </c>
      <c r="H4108" t="s">
        <v>641</v>
      </c>
      <c r="I4108" t="s">
        <v>611</v>
      </c>
      <c r="J4108">
        <v>100</v>
      </c>
      <c r="K4108">
        <v>100.42</v>
      </c>
      <c r="L4108">
        <v>5.9459999999999997</v>
      </c>
      <c r="M4108">
        <v>4.7370000000000001</v>
      </c>
      <c r="N4108">
        <v>5.931</v>
      </c>
      <c r="O4108" t="s">
        <v>101</v>
      </c>
      <c r="P4108" t="s">
        <v>2791</v>
      </c>
      <c r="Q4108" t="s">
        <v>5088</v>
      </c>
      <c r="R4108" t="s">
        <v>2436</v>
      </c>
    </row>
    <row r="4109" spans="1:18" x14ac:dyDescent="0.5">
      <c r="A4109" t="str">
        <f>"907818GB8"</f>
        <v>907818GB8</v>
      </c>
      <c r="B4109" t="s">
        <v>101</v>
      </c>
      <c r="C4109" t="s">
        <v>5089</v>
      </c>
      <c r="D4109" t="s">
        <v>2433</v>
      </c>
      <c r="E4109">
        <v>4.5</v>
      </c>
      <c r="F4109" s="2">
        <v>48599</v>
      </c>
      <c r="G4109" s="2">
        <v>48507</v>
      </c>
      <c r="H4109" t="s">
        <v>627</v>
      </c>
      <c r="I4109" t="s">
        <v>713</v>
      </c>
      <c r="J4109">
        <v>97.230999999999995</v>
      </c>
      <c r="K4109">
        <v>97.51</v>
      </c>
      <c r="L4109">
        <v>4.9290000000000003</v>
      </c>
      <c r="M4109">
        <v>4.8849999999999998</v>
      </c>
      <c r="N4109">
        <v>4.8849999999999998</v>
      </c>
      <c r="O4109" t="s">
        <v>101</v>
      </c>
      <c r="P4109" t="s">
        <v>1236</v>
      </c>
      <c r="Q4109" t="s">
        <v>1236</v>
      </c>
      <c r="R4109" t="s">
        <v>2436</v>
      </c>
    </row>
    <row r="4110" spans="1:18" x14ac:dyDescent="0.5">
      <c r="A4110" t="str">
        <f>"25243YBH1"</f>
        <v>25243YBH1</v>
      </c>
      <c r="B4110" t="s">
        <v>101</v>
      </c>
      <c r="C4110" t="s">
        <v>5090</v>
      </c>
      <c r="D4110" t="s">
        <v>2433</v>
      </c>
      <c r="E4110">
        <v>5.5</v>
      </c>
      <c r="F4110" s="2">
        <v>48603</v>
      </c>
      <c r="G4110" s="2">
        <v>48511</v>
      </c>
      <c r="H4110" t="s">
        <v>627</v>
      </c>
      <c r="I4110" t="s">
        <v>713</v>
      </c>
      <c r="J4110">
        <v>102.44499999999999</v>
      </c>
      <c r="K4110">
        <v>102.869</v>
      </c>
      <c r="L4110">
        <v>5.1059999999999999</v>
      </c>
      <c r="M4110">
        <v>5.0419999999999998</v>
      </c>
      <c r="N4110">
        <v>5.0519999999999996</v>
      </c>
      <c r="O4110" t="s">
        <v>101</v>
      </c>
      <c r="P4110" t="s">
        <v>228</v>
      </c>
      <c r="Q4110" t="s">
        <v>542</v>
      </c>
      <c r="R4110" t="s">
        <v>2436</v>
      </c>
    </row>
    <row r="4111" spans="1:18" x14ac:dyDescent="0.5">
      <c r="A4111" t="str">
        <f>"742718GA1"</f>
        <v>742718GA1</v>
      </c>
      <c r="B4111" t="s">
        <v>101</v>
      </c>
      <c r="C4111" t="s">
        <v>5091</v>
      </c>
      <c r="D4111" t="s">
        <v>2433</v>
      </c>
      <c r="E4111">
        <v>4.05</v>
      </c>
      <c r="F4111" s="2">
        <v>48605</v>
      </c>
      <c r="G4111" s="2" t="s">
        <v>101</v>
      </c>
      <c r="H4111" t="s">
        <v>624</v>
      </c>
      <c r="I4111" t="s">
        <v>616</v>
      </c>
      <c r="J4111">
        <v>96.567999999999998</v>
      </c>
      <c r="K4111">
        <v>96.84</v>
      </c>
      <c r="L4111">
        <v>4.5730000000000004</v>
      </c>
      <c r="M4111">
        <v>4.5309999999999997</v>
      </c>
      <c r="N4111">
        <v>4.5309999999999997</v>
      </c>
      <c r="O4111" t="s">
        <v>101</v>
      </c>
      <c r="P4111" t="s">
        <v>2438</v>
      </c>
      <c r="Q4111" t="s">
        <v>1391</v>
      </c>
      <c r="R4111" t="s">
        <v>2436</v>
      </c>
    </row>
    <row r="4112" spans="1:18" x14ac:dyDescent="0.5">
      <c r="A4112" t="str">
        <f>"29379VCD3"</f>
        <v>29379VCD3</v>
      </c>
      <c r="B4112" t="s">
        <v>101</v>
      </c>
      <c r="C4112" t="s">
        <v>5092</v>
      </c>
      <c r="D4112" t="s">
        <v>2433</v>
      </c>
      <c r="E4112">
        <v>5.35</v>
      </c>
      <c r="F4112" s="2">
        <v>48610</v>
      </c>
      <c r="G4112" s="2">
        <v>48518</v>
      </c>
      <c r="H4112" t="s">
        <v>627</v>
      </c>
      <c r="I4112" t="s">
        <v>713</v>
      </c>
      <c r="J4112">
        <v>101.54</v>
      </c>
      <c r="K4112">
        <v>101.816</v>
      </c>
      <c r="L4112">
        <v>5.1040000000000001</v>
      </c>
      <c r="M4112">
        <v>5.0579999999999998</v>
      </c>
      <c r="N4112">
        <v>5.0670000000000002</v>
      </c>
      <c r="O4112" t="s">
        <v>101</v>
      </c>
      <c r="P4112" t="s">
        <v>2507</v>
      </c>
      <c r="Q4112" t="s">
        <v>5093</v>
      </c>
      <c r="R4112" t="s">
        <v>2436</v>
      </c>
    </row>
    <row r="4113" spans="1:18" x14ac:dyDescent="0.5">
      <c r="A4113" t="str">
        <f>"78014RKL3"</f>
        <v>78014RKL3</v>
      </c>
      <c r="B4113" t="s">
        <v>101</v>
      </c>
      <c r="C4113" t="s">
        <v>5094</v>
      </c>
      <c r="D4113" t="s">
        <v>2433</v>
      </c>
      <c r="E4113">
        <v>5.2</v>
      </c>
      <c r="F4113" s="2">
        <v>48610</v>
      </c>
      <c r="G4113" s="2">
        <v>46783</v>
      </c>
      <c r="H4113" t="s">
        <v>641</v>
      </c>
      <c r="I4113" t="s">
        <v>611</v>
      </c>
      <c r="J4113">
        <v>99.081999999999994</v>
      </c>
      <c r="K4113">
        <v>99.83</v>
      </c>
      <c r="L4113">
        <v>5.3410000000000002</v>
      </c>
      <c r="M4113">
        <v>5.226</v>
      </c>
      <c r="N4113">
        <v>5.226</v>
      </c>
      <c r="O4113" t="s">
        <v>101</v>
      </c>
      <c r="P4113" t="s">
        <v>2595</v>
      </c>
      <c r="Q4113" t="s">
        <v>4796</v>
      </c>
      <c r="R4113" t="s">
        <v>2726</v>
      </c>
    </row>
    <row r="4114" spans="1:18" x14ac:dyDescent="0.5">
      <c r="A4114" t="str">
        <f>"04686JAF8"</f>
        <v>04686JAF8</v>
      </c>
      <c r="B4114" t="s">
        <v>101</v>
      </c>
      <c r="C4114" t="s">
        <v>5095</v>
      </c>
      <c r="D4114" t="s">
        <v>2433</v>
      </c>
      <c r="E4114">
        <v>6.65</v>
      </c>
      <c r="F4114" s="2">
        <v>48611</v>
      </c>
      <c r="G4114" s="2">
        <v>48519</v>
      </c>
      <c r="H4114" t="s">
        <v>670</v>
      </c>
      <c r="I4114" t="s">
        <v>713</v>
      </c>
      <c r="J4114">
        <v>106.327</v>
      </c>
      <c r="K4114">
        <v>106.547</v>
      </c>
      <c r="L4114">
        <v>5.6189999999999998</v>
      </c>
      <c r="M4114">
        <v>5.585</v>
      </c>
      <c r="N4114">
        <v>5.61</v>
      </c>
      <c r="O4114" t="s">
        <v>101</v>
      </c>
      <c r="P4114" t="s">
        <v>2447</v>
      </c>
      <c r="Q4114" t="s">
        <v>2750</v>
      </c>
      <c r="R4114" t="s">
        <v>2436</v>
      </c>
    </row>
    <row r="4115" spans="1:18" x14ac:dyDescent="0.5">
      <c r="A4115" t="str">
        <f>"202795HG8"</f>
        <v>202795HG8</v>
      </c>
      <c r="B4115" t="s">
        <v>101</v>
      </c>
      <c r="C4115" t="s">
        <v>5096</v>
      </c>
      <c r="D4115" t="s">
        <v>2433</v>
      </c>
      <c r="E4115">
        <v>5.875</v>
      </c>
      <c r="F4115" s="2">
        <v>48611</v>
      </c>
      <c r="G4115" s="2" t="s">
        <v>101</v>
      </c>
      <c r="H4115" t="s">
        <v>641</v>
      </c>
      <c r="I4115" t="s">
        <v>611</v>
      </c>
      <c r="J4115">
        <v>103.83799999999999</v>
      </c>
      <c r="K4115">
        <v>104.514</v>
      </c>
      <c r="L4115">
        <v>5.2729999999999997</v>
      </c>
      <c r="M4115">
        <v>5.17</v>
      </c>
      <c r="N4115">
        <v>5.17</v>
      </c>
      <c r="O4115" t="s">
        <v>101</v>
      </c>
      <c r="P4115" t="s">
        <v>2460</v>
      </c>
      <c r="Q4115" t="s">
        <v>2566</v>
      </c>
      <c r="R4115" t="s">
        <v>2436</v>
      </c>
    </row>
    <row r="4116" spans="1:18" x14ac:dyDescent="0.5">
      <c r="A4116" t="str">
        <f>"202795JX9"</f>
        <v>202795JX9</v>
      </c>
      <c r="B4116" t="s">
        <v>101</v>
      </c>
      <c r="C4116" t="s">
        <v>5097</v>
      </c>
      <c r="D4116" t="s">
        <v>2433</v>
      </c>
      <c r="E4116">
        <v>4.9000000000000004</v>
      </c>
      <c r="F4116" s="2">
        <v>48611</v>
      </c>
      <c r="G4116" s="2">
        <v>48519</v>
      </c>
      <c r="H4116" t="s">
        <v>641</v>
      </c>
      <c r="I4116" t="s">
        <v>611</v>
      </c>
      <c r="J4116">
        <v>98.631</v>
      </c>
      <c r="K4116">
        <v>99.156000000000006</v>
      </c>
      <c r="L4116">
        <v>5.1120000000000001</v>
      </c>
      <c r="M4116">
        <v>5.03</v>
      </c>
      <c r="N4116">
        <v>5.03</v>
      </c>
      <c r="O4116" t="s">
        <v>101</v>
      </c>
      <c r="P4116" t="s">
        <v>4569</v>
      </c>
      <c r="Q4116" t="s">
        <v>2940</v>
      </c>
      <c r="R4116" t="s">
        <v>2436</v>
      </c>
    </row>
    <row r="4117" spans="1:18" x14ac:dyDescent="0.5">
      <c r="A4117" t="str">
        <f>"78016FZX5"</f>
        <v>78016FZX5</v>
      </c>
      <c r="B4117" t="s">
        <v>101</v>
      </c>
      <c r="C4117" t="s">
        <v>5098</v>
      </c>
      <c r="D4117" t="s">
        <v>2433</v>
      </c>
      <c r="E4117">
        <v>5</v>
      </c>
      <c r="F4117" s="2">
        <v>48611</v>
      </c>
      <c r="G4117" s="2" t="s">
        <v>101</v>
      </c>
      <c r="H4117" t="s">
        <v>641</v>
      </c>
      <c r="I4117" t="s">
        <v>611</v>
      </c>
      <c r="J4117">
        <v>99.233000000000004</v>
      </c>
      <c r="K4117">
        <v>99.587000000000003</v>
      </c>
      <c r="L4117">
        <v>5.1189999999999998</v>
      </c>
      <c r="M4117">
        <v>5.0629999999999997</v>
      </c>
      <c r="N4117">
        <v>5.0629999999999997</v>
      </c>
      <c r="O4117" t="s">
        <v>101</v>
      </c>
      <c r="P4117" t="s">
        <v>5099</v>
      </c>
      <c r="Q4117" t="s">
        <v>2454</v>
      </c>
      <c r="R4117" t="s">
        <v>2436</v>
      </c>
    </row>
    <row r="4118" spans="1:18" x14ac:dyDescent="0.5">
      <c r="A4118" t="str">
        <f>"459200KY6"</f>
        <v>459200KY6</v>
      </c>
      <c r="B4118" t="s">
        <v>101</v>
      </c>
      <c r="C4118" t="s">
        <v>5100</v>
      </c>
      <c r="D4118" t="s">
        <v>2433</v>
      </c>
      <c r="E4118">
        <v>4.75</v>
      </c>
      <c r="F4118" s="2">
        <v>48616</v>
      </c>
      <c r="G4118" s="2">
        <v>48524</v>
      </c>
      <c r="H4118" t="s">
        <v>627</v>
      </c>
      <c r="I4118" t="s">
        <v>713</v>
      </c>
      <c r="J4118">
        <v>98.006</v>
      </c>
      <c r="K4118">
        <v>98.397999999999996</v>
      </c>
      <c r="L4118">
        <v>5.0590000000000002</v>
      </c>
      <c r="M4118">
        <v>4.9969999999999999</v>
      </c>
      <c r="N4118">
        <v>4.9969999999999999</v>
      </c>
      <c r="O4118" t="s">
        <v>101</v>
      </c>
      <c r="P4118" t="s">
        <v>4692</v>
      </c>
      <c r="Q4118" t="s">
        <v>4529</v>
      </c>
      <c r="R4118" t="s">
        <v>2436</v>
      </c>
    </row>
    <row r="4119" spans="1:18" x14ac:dyDescent="0.5">
      <c r="A4119" t="str">
        <f>"10373QBU3"</f>
        <v>10373QBU3</v>
      </c>
      <c r="B4119" t="s">
        <v>101</v>
      </c>
      <c r="C4119" t="s">
        <v>5101</v>
      </c>
      <c r="D4119" t="s">
        <v>2433</v>
      </c>
      <c r="E4119">
        <v>4.8120000000000003</v>
      </c>
      <c r="F4119" s="2">
        <v>48623</v>
      </c>
      <c r="G4119" s="2">
        <v>48531</v>
      </c>
      <c r="H4119" t="s">
        <v>641</v>
      </c>
      <c r="I4119" t="s">
        <v>713</v>
      </c>
      <c r="J4119">
        <v>97.658000000000001</v>
      </c>
      <c r="K4119">
        <v>98.02</v>
      </c>
      <c r="L4119">
        <v>5.1760000000000002</v>
      </c>
      <c r="M4119">
        <v>5.1189999999999998</v>
      </c>
      <c r="N4119">
        <v>5.1189999999999998</v>
      </c>
      <c r="O4119" t="s">
        <v>101</v>
      </c>
      <c r="P4119" t="s">
        <v>488</v>
      </c>
      <c r="Q4119" t="s">
        <v>2507</v>
      </c>
      <c r="R4119" t="s">
        <v>2436</v>
      </c>
    </row>
    <row r="4120" spans="1:18" x14ac:dyDescent="0.5">
      <c r="A4120" t="str">
        <f>"298785JV9"</f>
        <v>298785JV9</v>
      </c>
      <c r="B4120" t="s">
        <v>101</v>
      </c>
      <c r="C4120" t="s">
        <v>5102</v>
      </c>
      <c r="D4120" t="s">
        <v>2433</v>
      </c>
      <c r="E4120">
        <v>3.75</v>
      </c>
      <c r="F4120" s="2">
        <v>48624</v>
      </c>
      <c r="G4120" s="2" t="s">
        <v>105</v>
      </c>
      <c r="H4120" t="s">
        <v>104</v>
      </c>
      <c r="I4120" t="s">
        <v>104</v>
      </c>
      <c r="J4120">
        <v>95.897999999999996</v>
      </c>
      <c r="K4120">
        <v>97.093000000000004</v>
      </c>
      <c r="L4120">
        <v>4.3680000000000003</v>
      </c>
      <c r="M4120">
        <v>4.1849999999999996</v>
      </c>
      <c r="N4120">
        <v>4.1849999999999996</v>
      </c>
      <c r="O4120" t="s">
        <v>101</v>
      </c>
      <c r="P4120" t="s">
        <v>4313</v>
      </c>
      <c r="Q4120" t="s">
        <v>5103</v>
      </c>
      <c r="R4120" t="s">
        <v>2713</v>
      </c>
    </row>
    <row r="4121" spans="1:18" x14ac:dyDescent="0.5">
      <c r="A4121" t="str">
        <f>"010392EC8"</f>
        <v>010392EC8</v>
      </c>
      <c r="B4121" t="s">
        <v>101</v>
      </c>
      <c r="C4121" t="s">
        <v>5104</v>
      </c>
      <c r="D4121" t="s">
        <v>2433</v>
      </c>
      <c r="E4121">
        <v>5.7</v>
      </c>
      <c r="F4121" s="2">
        <v>48625</v>
      </c>
      <c r="G4121" s="2" t="s">
        <v>101</v>
      </c>
      <c r="H4121" t="s">
        <v>641</v>
      </c>
      <c r="I4121" t="s">
        <v>611</v>
      </c>
      <c r="J4121">
        <v>102.72</v>
      </c>
      <c r="K4121">
        <v>103.71</v>
      </c>
      <c r="L4121">
        <v>5.2750000000000004</v>
      </c>
      <c r="M4121">
        <v>5.1239999999999997</v>
      </c>
      <c r="N4121">
        <v>5.1239999999999997</v>
      </c>
      <c r="O4121" t="s">
        <v>101</v>
      </c>
      <c r="P4121" t="s">
        <v>858</v>
      </c>
      <c r="Q4121" t="s">
        <v>503</v>
      </c>
      <c r="R4121" t="s">
        <v>2436</v>
      </c>
    </row>
    <row r="4122" spans="1:18" x14ac:dyDescent="0.5">
      <c r="A4122" t="str">
        <f>"053484AD3"</f>
        <v>053484AD3</v>
      </c>
      <c r="B4122" t="s">
        <v>101</v>
      </c>
      <c r="C4122" t="s">
        <v>5105</v>
      </c>
      <c r="D4122" t="s">
        <v>2433</v>
      </c>
      <c r="E4122">
        <v>5</v>
      </c>
      <c r="F4122" s="2">
        <v>48625</v>
      </c>
      <c r="G4122" s="2">
        <v>48533</v>
      </c>
      <c r="H4122" t="s">
        <v>627</v>
      </c>
      <c r="I4122" t="s">
        <v>713</v>
      </c>
      <c r="J4122">
        <v>99.531000000000006</v>
      </c>
      <c r="K4122">
        <v>99.661000000000001</v>
      </c>
      <c r="L4122">
        <v>5.0720000000000001</v>
      </c>
      <c r="M4122">
        <v>5.0519999999999996</v>
      </c>
      <c r="N4122">
        <v>5.0519999999999996</v>
      </c>
      <c r="O4122" t="s">
        <v>101</v>
      </c>
      <c r="P4122" t="s">
        <v>2447</v>
      </c>
      <c r="Q4122" t="s">
        <v>2566</v>
      </c>
      <c r="R4122" t="s">
        <v>2436</v>
      </c>
    </row>
    <row r="4123" spans="1:18" x14ac:dyDescent="0.5">
      <c r="A4123" t="str">
        <f>"20030NEC1"</f>
        <v>20030NEC1</v>
      </c>
      <c r="B4123" t="s">
        <v>101</v>
      </c>
      <c r="C4123" t="s">
        <v>5106</v>
      </c>
      <c r="D4123" t="s">
        <v>2433</v>
      </c>
      <c r="E4123">
        <v>4.6500000000000004</v>
      </c>
      <c r="F4123" s="2">
        <v>48625</v>
      </c>
      <c r="G4123" s="2">
        <v>48533</v>
      </c>
      <c r="H4123" t="s">
        <v>627</v>
      </c>
      <c r="I4123" t="s">
        <v>713</v>
      </c>
      <c r="J4123">
        <v>97.100999999999999</v>
      </c>
      <c r="K4123">
        <v>97.287999999999997</v>
      </c>
      <c r="L4123">
        <v>5.0990000000000002</v>
      </c>
      <c r="M4123">
        <v>5.069</v>
      </c>
      <c r="N4123">
        <v>5.069</v>
      </c>
      <c r="O4123" t="s">
        <v>101</v>
      </c>
      <c r="P4123" t="s">
        <v>2289</v>
      </c>
      <c r="Q4123" t="s">
        <v>2454</v>
      </c>
      <c r="R4123" t="s">
        <v>2436</v>
      </c>
    </row>
    <row r="4124" spans="1:18" x14ac:dyDescent="0.5">
      <c r="A4124" t="str">
        <f>"28622HAB7"</f>
        <v>28622HAB7</v>
      </c>
      <c r="B4124" t="s">
        <v>101</v>
      </c>
      <c r="C4124" t="s">
        <v>5107</v>
      </c>
      <c r="D4124" t="s">
        <v>2433</v>
      </c>
      <c r="E4124">
        <v>4.75</v>
      </c>
      <c r="F4124" s="2">
        <v>48625</v>
      </c>
      <c r="G4124" s="2">
        <v>48533</v>
      </c>
      <c r="H4124" t="s">
        <v>677</v>
      </c>
      <c r="I4124" t="s">
        <v>611</v>
      </c>
      <c r="J4124">
        <v>97.278999999999996</v>
      </c>
      <c r="K4124">
        <v>97.495999999999995</v>
      </c>
      <c r="L4124">
        <v>5.1719999999999997</v>
      </c>
      <c r="M4124">
        <v>5.1379999999999999</v>
      </c>
      <c r="N4124">
        <v>5.1379999999999999</v>
      </c>
      <c r="O4124" t="s">
        <v>101</v>
      </c>
      <c r="P4124" t="s">
        <v>2438</v>
      </c>
      <c r="Q4124" t="s">
        <v>2507</v>
      </c>
      <c r="R4124" t="s">
        <v>2436</v>
      </c>
    </row>
    <row r="4125" spans="1:18" x14ac:dyDescent="0.5">
      <c r="A4125" t="str">
        <f>"438516CK0"</f>
        <v>438516CK0</v>
      </c>
      <c r="B4125" t="s">
        <v>101</v>
      </c>
      <c r="C4125" t="s">
        <v>5108</v>
      </c>
      <c r="D4125" t="s">
        <v>2433</v>
      </c>
      <c r="E4125">
        <v>5</v>
      </c>
      <c r="F4125" s="2">
        <v>48625</v>
      </c>
      <c r="G4125" s="2">
        <v>48533</v>
      </c>
      <c r="H4125" t="s">
        <v>610</v>
      </c>
      <c r="I4125" t="s">
        <v>611</v>
      </c>
      <c r="J4125">
        <v>99.906999999999996</v>
      </c>
      <c r="K4125">
        <v>100.217</v>
      </c>
      <c r="L4125">
        <v>5.0140000000000002</v>
      </c>
      <c r="M4125">
        <v>4.9660000000000002</v>
      </c>
      <c r="N4125">
        <v>4.9660000000000002</v>
      </c>
      <c r="O4125" t="s">
        <v>101</v>
      </c>
      <c r="P4125" t="s">
        <v>2454</v>
      </c>
      <c r="Q4125" t="s">
        <v>3241</v>
      </c>
      <c r="R4125" t="s">
        <v>2436</v>
      </c>
    </row>
    <row r="4126" spans="1:18" x14ac:dyDescent="0.5">
      <c r="A4126" t="str">
        <f>"713448FS2"</f>
        <v>713448FS2</v>
      </c>
      <c r="B4126" t="s">
        <v>101</v>
      </c>
      <c r="C4126" t="s">
        <v>5109</v>
      </c>
      <c r="D4126" t="s">
        <v>2433</v>
      </c>
      <c r="E4126">
        <v>4.45</v>
      </c>
      <c r="F4126" s="2">
        <v>48625</v>
      </c>
      <c r="G4126" s="2">
        <v>48533</v>
      </c>
      <c r="H4126" t="s">
        <v>641</v>
      </c>
      <c r="I4126" t="s">
        <v>658</v>
      </c>
      <c r="J4126">
        <v>99.26</v>
      </c>
      <c r="K4126">
        <v>99.570999999999998</v>
      </c>
      <c r="L4126">
        <v>4.5620000000000003</v>
      </c>
      <c r="M4126">
        <v>4.5140000000000002</v>
      </c>
      <c r="N4126">
        <v>4.5149999999999997</v>
      </c>
      <c r="O4126" t="s">
        <v>101</v>
      </c>
      <c r="P4126" t="s">
        <v>4569</v>
      </c>
      <c r="Q4126" t="s">
        <v>2454</v>
      </c>
      <c r="R4126" t="s">
        <v>2436</v>
      </c>
    </row>
    <row r="4127" spans="1:18" x14ac:dyDescent="0.5">
      <c r="A4127" t="str">
        <f>"718172DB2"</f>
        <v>718172DB2</v>
      </c>
      <c r="B4127" t="s">
        <v>101</v>
      </c>
      <c r="C4127" t="s">
        <v>5110</v>
      </c>
      <c r="D4127" t="s">
        <v>2433</v>
      </c>
      <c r="E4127">
        <v>5.375</v>
      </c>
      <c r="F4127" s="2">
        <v>48625</v>
      </c>
      <c r="G4127" s="2">
        <v>48533</v>
      </c>
      <c r="H4127" t="s">
        <v>610</v>
      </c>
      <c r="I4127" t="s">
        <v>713</v>
      </c>
      <c r="J4127">
        <v>101.43</v>
      </c>
      <c r="K4127">
        <v>101.61499999999999</v>
      </c>
      <c r="L4127">
        <v>5.1470000000000002</v>
      </c>
      <c r="M4127">
        <v>5.1180000000000003</v>
      </c>
      <c r="N4127">
        <v>5.1239999999999997</v>
      </c>
      <c r="O4127" t="s">
        <v>101</v>
      </c>
      <c r="P4127" t="s">
        <v>2438</v>
      </c>
      <c r="Q4127" t="s">
        <v>2454</v>
      </c>
      <c r="R4127" t="s">
        <v>2436</v>
      </c>
    </row>
    <row r="4128" spans="1:18" x14ac:dyDescent="0.5">
      <c r="A4128" t="str">
        <f>"84859DAC1"</f>
        <v>84859DAC1</v>
      </c>
      <c r="B4128" t="s">
        <v>101</v>
      </c>
      <c r="C4128" t="s">
        <v>5111</v>
      </c>
      <c r="D4128" t="s">
        <v>2433</v>
      </c>
      <c r="E4128">
        <v>4.8</v>
      </c>
      <c r="F4128" s="2">
        <v>48625</v>
      </c>
      <c r="G4128" s="2">
        <v>48533</v>
      </c>
      <c r="H4128" t="s">
        <v>641</v>
      </c>
      <c r="I4128" t="s">
        <v>611</v>
      </c>
      <c r="J4128">
        <v>98.626999999999995</v>
      </c>
      <c r="K4128">
        <v>99.096999999999994</v>
      </c>
      <c r="L4128">
        <v>5.0110000000000001</v>
      </c>
      <c r="M4128">
        <v>4.9390000000000001</v>
      </c>
      <c r="N4128">
        <v>4.9390000000000001</v>
      </c>
      <c r="O4128" t="s">
        <v>101</v>
      </c>
      <c r="P4128" t="s">
        <v>1999</v>
      </c>
      <c r="Q4128" t="s">
        <v>3178</v>
      </c>
      <c r="R4128" t="s">
        <v>2436</v>
      </c>
    </row>
    <row r="4129" spans="1:18" x14ac:dyDescent="0.5">
      <c r="A4129" t="str">
        <f>"91324PER9"</f>
        <v>91324PER9</v>
      </c>
      <c r="B4129" t="s">
        <v>101</v>
      </c>
      <c r="C4129" t="s">
        <v>5112</v>
      </c>
      <c r="D4129" t="s">
        <v>2433</v>
      </c>
      <c r="E4129">
        <v>5.35</v>
      </c>
      <c r="F4129" s="2">
        <v>48625</v>
      </c>
      <c r="G4129" s="2">
        <v>48533</v>
      </c>
      <c r="H4129" t="s">
        <v>610</v>
      </c>
      <c r="I4129" t="s">
        <v>658</v>
      </c>
      <c r="J4129">
        <v>101.75</v>
      </c>
      <c r="K4129">
        <v>101.864</v>
      </c>
      <c r="L4129">
        <v>5.0720000000000001</v>
      </c>
      <c r="M4129">
        <v>5.0540000000000003</v>
      </c>
      <c r="N4129">
        <v>5.0609999999999999</v>
      </c>
      <c r="O4129" t="s">
        <v>101</v>
      </c>
      <c r="P4129" t="s">
        <v>1391</v>
      </c>
      <c r="Q4129" t="s">
        <v>2454</v>
      </c>
      <c r="R4129" t="s">
        <v>2436</v>
      </c>
    </row>
    <row r="4130" spans="1:18" x14ac:dyDescent="0.5">
      <c r="A4130" t="str">
        <f>"94106LBU2"</f>
        <v>94106LBU2</v>
      </c>
      <c r="B4130" t="s">
        <v>101</v>
      </c>
      <c r="C4130" t="s">
        <v>5113</v>
      </c>
      <c r="D4130" t="s">
        <v>2433</v>
      </c>
      <c r="E4130">
        <v>4.625</v>
      </c>
      <c r="F4130" s="2">
        <v>48625</v>
      </c>
      <c r="G4130" s="2">
        <v>48533</v>
      </c>
      <c r="H4130" t="s">
        <v>627</v>
      </c>
      <c r="I4130" t="s">
        <v>713</v>
      </c>
      <c r="J4130">
        <v>97.927000000000007</v>
      </c>
      <c r="K4130">
        <v>98.203999999999994</v>
      </c>
      <c r="L4130">
        <v>4.944</v>
      </c>
      <c r="M4130">
        <v>4.9009999999999998</v>
      </c>
      <c r="N4130">
        <v>4.9009999999999998</v>
      </c>
      <c r="O4130" t="s">
        <v>101</v>
      </c>
      <c r="P4130" t="s">
        <v>1236</v>
      </c>
      <c r="Q4130" t="s">
        <v>2454</v>
      </c>
      <c r="R4130" t="s">
        <v>2436</v>
      </c>
    </row>
    <row r="4131" spans="1:18" x14ac:dyDescent="0.5">
      <c r="A4131" t="str">
        <f>"494368CE1"</f>
        <v>494368CE1</v>
      </c>
      <c r="B4131" t="s">
        <v>101</v>
      </c>
      <c r="C4131" t="s">
        <v>5114</v>
      </c>
      <c r="D4131" t="s">
        <v>2433</v>
      </c>
      <c r="E4131">
        <v>4.5</v>
      </c>
      <c r="F4131" s="2">
        <v>48626</v>
      </c>
      <c r="G4131" s="2">
        <v>48534</v>
      </c>
      <c r="H4131" t="s">
        <v>610</v>
      </c>
      <c r="I4131" t="s">
        <v>611</v>
      </c>
      <c r="J4131">
        <v>98.486999999999995</v>
      </c>
      <c r="K4131">
        <v>98.948999999999998</v>
      </c>
      <c r="L4131">
        <v>4.7309999999999999</v>
      </c>
      <c r="M4131">
        <v>4.66</v>
      </c>
      <c r="N4131">
        <v>4.66</v>
      </c>
      <c r="O4131" t="s">
        <v>101</v>
      </c>
      <c r="P4131" t="s">
        <v>3878</v>
      </c>
      <c r="Q4131" t="s">
        <v>1999</v>
      </c>
      <c r="R4131" t="s">
        <v>2436</v>
      </c>
    </row>
    <row r="4132" spans="1:18" x14ac:dyDescent="0.5">
      <c r="A4132" t="str">
        <f>"532457CF3"</f>
        <v>532457CF3</v>
      </c>
      <c r="B4132" t="s">
        <v>101</v>
      </c>
      <c r="C4132" t="s">
        <v>5115</v>
      </c>
      <c r="D4132" t="s">
        <v>2433</v>
      </c>
      <c r="E4132">
        <v>4.7</v>
      </c>
      <c r="F4132" s="2">
        <v>48637</v>
      </c>
      <c r="G4132" s="2">
        <v>48545</v>
      </c>
      <c r="H4132" t="s">
        <v>624</v>
      </c>
      <c r="I4132" t="s">
        <v>658</v>
      </c>
      <c r="J4132">
        <v>99.207999999999998</v>
      </c>
      <c r="K4132">
        <v>99.331999999999994</v>
      </c>
      <c r="L4132">
        <v>4.8209999999999997</v>
      </c>
      <c r="M4132">
        <v>4.8019999999999996</v>
      </c>
      <c r="N4132">
        <v>4.8019999999999996</v>
      </c>
      <c r="O4132" t="s">
        <v>101</v>
      </c>
      <c r="P4132" t="s">
        <v>1702</v>
      </c>
      <c r="Q4132" t="s">
        <v>2581</v>
      </c>
      <c r="R4132" t="s">
        <v>2436</v>
      </c>
    </row>
    <row r="4133" spans="1:18" x14ac:dyDescent="0.5">
      <c r="A4133" t="str">
        <f>"03740LAG7"</f>
        <v>03740LAG7</v>
      </c>
      <c r="B4133" t="s">
        <v>101</v>
      </c>
      <c r="C4133" t="s">
        <v>5116</v>
      </c>
      <c r="D4133" t="s">
        <v>2433</v>
      </c>
      <c r="E4133">
        <v>5.35</v>
      </c>
      <c r="F4133" s="2">
        <v>48638</v>
      </c>
      <c r="G4133" s="2">
        <v>48546</v>
      </c>
      <c r="H4133" t="s">
        <v>677</v>
      </c>
      <c r="I4133" t="s">
        <v>713</v>
      </c>
      <c r="J4133">
        <v>100.905</v>
      </c>
      <c r="K4133">
        <v>101.16</v>
      </c>
      <c r="L4133">
        <v>5.2069999999999999</v>
      </c>
      <c r="M4133">
        <v>5.1660000000000004</v>
      </c>
      <c r="N4133">
        <v>5.17</v>
      </c>
      <c r="O4133" t="s">
        <v>101</v>
      </c>
      <c r="P4133" t="s">
        <v>2447</v>
      </c>
      <c r="Q4133" t="s">
        <v>2454</v>
      </c>
      <c r="R4133" t="s">
        <v>2436</v>
      </c>
    </row>
    <row r="4134" spans="1:18" x14ac:dyDescent="0.5">
      <c r="A4134" t="str">
        <f>"055451BA5"</f>
        <v>055451BA5</v>
      </c>
      <c r="B4134" t="s">
        <v>101</v>
      </c>
      <c r="C4134" t="s">
        <v>5117</v>
      </c>
      <c r="D4134" t="s">
        <v>2433</v>
      </c>
      <c r="E4134">
        <v>4.9000000000000004</v>
      </c>
      <c r="F4134" s="2">
        <v>48638</v>
      </c>
      <c r="G4134" s="2">
        <v>48546</v>
      </c>
      <c r="H4134" t="s">
        <v>641</v>
      </c>
      <c r="I4134" t="s">
        <v>713</v>
      </c>
      <c r="J4134">
        <v>98.817999999999998</v>
      </c>
      <c r="K4134">
        <v>98.866</v>
      </c>
      <c r="L4134">
        <v>5.0819999999999999</v>
      </c>
      <c r="M4134">
        <v>5.0750000000000002</v>
      </c>
      <c r="N4134">
        <v>5.0750000000000002</v>
      </c>
      <c r="O4134" t="s">
        <v>101</v>
      </c>
      <c r="P4134" t="s">
        <v>1702</v>
      </c>
      <c r="Q4134" t="s">
        <v>2454</v>
      </c>
      <c r="R4134" t="s">
        <v>2436</v>
      </c>
    </row>
    <row r="4135" spans="1:18" x14ac:dyDescent="0.5">
      <c r="A4135" t="str">
        <f>"48130CAK1"</f>
        <v>48130CAK1</v>
      </c>
      <c r="B4135" t="s">
        <v>101</v>
      </c>
      <c r="C4135" t="s">
        <v>5118</v>
      </c>
      <c r="D4135" t="s">
        <v>2433</v>
      </c>
      <c r="E4135">
        <v>5.15</v>
      </c>
      <c r="F4135" s="2">
        <v>48638</v>
      </c>
      <c r="G4135" s="2">
        <v>46081</v>
      </c>
      <c r="H4135" t="s">
        <v>641</v>
      </c>
      <c r="I4135" t="s">
        <v>611</v>
      </c>
      <c r="J4135">
        <v>98.795000000000002</v>
      </c>
      <c r="K4135">
        <v>100.062</v>
      </c>
      <c r="L4135">
        <v>5.3369999999999997</v>
      </c>
      <c r="M4135">
        <v>5.0810000000000004</v>
      </c>
      <c r="N4135">
        <v>5.14</v>
      </c>
      <c r="O4135" t="s">
        <v>101</v>
      </c>
      <c r="P4135" t="s">
        <v>1236</v>
      </c>
      <c r="Q4135" t="s">
        <v>4402</v>
      </c>
      <c r="R4135" t="s">
        <v>2436</v>
      </c>
    </row>
    <row r="4136" spans="1:18" x14ac:dyDescent="0.5">
      <c r="A4136" t="str">
        <f>"10549PAG6"</f>
        <v>10549PAG6</v>
      </c>
      <c r="B4136" t="s">
        <v>101</v>
      </c>
      <c r="C4136" t="s">
        <v>5119</v>
      </c>
      <c r="D4136" t="s">
        <v>2433</v>
      </c>
      <c r="E4136">
        <v>7.375</v>
      </c>
      <c r="F4136" s="2">
        <v>48639</v>
      </c>
      <c r="G4136" s="2" t="s">
        <v>101</v>
      </c>
      <c r="H4136" t="s">
        <v>627</v>
      </c>
      <c r="I4136" t="s">
        <v>713</v>
      </c>
      <c r="J4136">
        <v>112.55</v>
      </c>
      <c r="K4136">
        <v>115.545</v>
      </c>
      <c r="L4136">
        <v>5.415</v>
      </c>
      <c r="M4136">
        <v>4.9870000000000001</v>
      </c>
      <c r="N4136">
        <v>4.9870000000000001</v>
      </c>
      <c r="O4136" t="s">
        <v>101</v>
      </c>
      <c r="P4136" t="s">
        <v>858</v>
      </c>
      <c r="Q4136" t="s">
        <v>2525</v>
      </c>
      <c r="R4136" t="s">
        <v>2436</v>
      </c>
    </row>
    <row r="4137" spans="1:18" x14ac:dyDescent="0.5">
      <c r="A4137" t="str">
        <f>"194162AS2"</f>
        <v>194162AS2</v>
      </c>
      <c r="B4137" t="s">
        <v>101</v>
      </c>
      <c r="C4137" t="s">
        <v>5120</v>
      </c>
      <c r="D4137" t="s">
        <v>2433</v>
      </c>
      <c r="E4137">
        <v>4.5999999999999996</v>
      </c>
      <c r="F4137" s="2">
        <v>48639</v>
      </c>
      <c r="G4137" s="2">
        <v>48549</v>
      </c>
      <c r="H4137" t="s">
        <v>624</v>
      </c>
      <c r="I4137" t="s">
        <v>658</v>
      </c>
      <c r="J4137">
        <v>99.302000000000007</v>
      </c>
      <c r="K4137">
        <v>99.722999999999999</v>
      </c>
      <c r="L4137">
        <v>4.7060000000000004</v>
      </c>
      <c r="M4137">
        <v>4.6420000000000003</v>
      </c>
      <c r="N4137">
        <v>4.6420000000000003</v>
      </c>
      <c r="O4137" t="s">
        <v>101</v>
      </c>
      <c r="P4137" t="s">
        <v>2438</v>
      </c>
      <c r="Q4137" t="s">
        <v>3411</v>
      </c>
      <c r="R4137" t="s">
        <v>2436</v>
      </c>
    </row>
    <row r="4138" spans="1:18" x14ac:dyDescent="0.5">
      <c r="A4138" t="str">
        <f>"209111GE7"</f>
        <v>209111GE7</v>
      </c>
      <c r="B4138" t="s">
        <v>101</v>
      </c>
      <c r="C4138" t="s">
        <v>5121</v>
      </c>
      <c r="D4138" t="s">
        <v>2433</v>
      </c>
      <c r="E4138">
        <v>5.2</v>
      </c>
      <c r="F4138" s="2">
        <v>48639</v>
      </c>
      <c r="G4138" s="2">
        <v>48549</v>
      </c>
      <c r="H4138" t="s">
        <v>627</v>
      </c>
      <c r="I4138" t="s">
        <v>713</v>
      </c>
      <c r="J4138">
        <v>100.691</v>
      </c>
      <c r="K4138">
        <v>101.181</v>
      </c>
      <c r="L4138">
        <v>5.0910000000000002</v>
      </c>
      <c r="M4138">
        <v>5.0140000000000002</v>
      </c>
      <c r="N4138">
        <v>5.0179999999999998</v>
      </c>
      <c r="O4138" t="s">
        <v>101</v>
      </c>
      <c r="P4138" t="s">
        <v>4569</v>
      </c>
      <c r="Q4138" t="s">
        <v>3178</v>
      </c>
      <c r="R4138" t="s">
        <v>2436</v>
      </c>
    </row>
    <row r="4139" spans="1:18" x14ac:dyDescent="0.5">
      <c r="A4139" t="str">
        <f>"341099CB3"</f>
        <v>341099CB3</v>
      </c>
      <c r="B4139" t="s">
        <v>101</v>
      </c>
      <c r="C4139" t="s">
        <v>5122</v>
      </c>
      <c r="D4139" t="s">
        <v>2433</v>
      </c>
      <c r="E4139">
        <v>5.9</v>
      </c>
      <c r="F4139" s="2">
        <v>48639</v>
      </c>
      <c r="G4139" s="2" t="s">
        <v>101</v>
      </c>
      <c r="H4139" t="s">
        <v>641</v>
      </c>
      <c r="I4139" t="s">
        <v>611</v>
      </c>
      <c r="J4139">
        <v>104.027</v>
      </c>
      <c r="K4139">
        <v>104.879</v>
      </c>
      <c r="L4139">
        <v>5.274</v>
      </c>
      <c r="M4139">
        <v>5.1459999999999999</v>
      </c>
      <c r="N4139">
        <v>5.1459999999999999</v>
      </c>
      <c r="O4139" t="s">
        <v>101</v>
      </c>
      <c r="P4139" t="s">
        <v>858</v>
      </c>
      <c r="Q4139" t="s">
        <v>5123</v>
      </c>
      <c r="R4139" t="s">
        <v>2436</v>
      </c>
    </row>
    <row r="4140" spans="1:18" x14ac:dyDescent="0.5">
      <c r="A4140" t="str">
        <f>"293791AF6"</f>
        <v>293791AF6</v>
      </c>
      <c r="B4140" t="s">
        <v>101</v>
      </c>
      <c r="C4140" t="s">
        <v>5124</v>
      </c>
      <c r="D4140" t="s">
        <v>2433</v>
      </c>
      <c r="E4140">
        <v>6.875</v>
      </c>
      <c r="F4140" s="2">
        <v>48639</v>
      </c>
      <c r="G4140" s="2" t="s">
        <v>101</v>
      </c>
      <c r="H4140" t="s">
        <v>627</v>
      </c>
      <c r="I4140" t="s">
        <v>713</v>
      </c>
      <c r="J4140">
        <v>111.453</v>
      </c>
      <c r="K4140">
        <v>111.90900000000001</v>
      </c>
      <c r="L4140">
        <v>5.1070000000000002</v>
      </c>
      <c r="M4140">
        <v>5.0419999999999998</v>
      </c>
      <c r="N4140">
        <v>5.0419999999999998</v>
      </c>
      <c r="O4140" t="s">
        <v>101</v>
      </c>
      <c r="P4140" t="s">
        <v>3270</v>
      </c>
      <c r="Q4140" t="s">
        <v>2566</v>
      </c>
      <c r="R4140" t="s">
        <v>2436</v>
      </c>
    </row>
    <row r="4141" spans="1:18" x14ac:dyDescent="0.5">
      <c r="A4141" t="str">
        <f>"487836BZ0"</f>
        <v>487836BZ0</v>
      </c>
      <c r="B4141" t="s">
        <v>101</v>
      </c>
      <c r="C4141" t="s">
        <v>5125</v>
      </c>
      <c r="D4141" t="s">
        <v>2433</v>
      </c>
      <c r="E4141">
        <v>5.25</v>
      </c>
      <c r="F4141" s="2">
        <v>48639</v>
      </c>
      <c r="G4141" s="2">
        <v>48549</v>
      </c>
      <c r="H4141" t="s">
        <v>677</v>
      </c>
      <c r="I4141" t="s">
        <v>611</v>
      </c>
      <c r="J4141">
        <v>100.45099999999999</v>
      </c>
      <c r="K4141">
        <v>101.06</v>
      </c>
      <c r="L4141">
        <v>5.1790000000000003</v>
      </c>
      <c r="M4141">
        <v>5.0830000000000002</v>
      </c>
      <c r="N4141">
        <v>5.0860000000000003</v>
      </c>
      <c r="O4141" t="s">
        <v>101</v>
      </c>
      <c r="P4141" t="s">
        <v>3878</v>
      </c>
      <c r="Q4141" t="s">
        <v>5126</v>
      </c>
      <c r="R4141" t="s">
        <v>2436</v>
      </c>
    </row>
    <row r="4142" spans="1:18" x14ac:dyDescent="0.5">
      <c r="A4142" t="str">
        <f>"009158BF2"</f>
        <v>009158BF2</v>
      </c>
      <c r="B4142" t="s">
        <v>101</v>
      </c>
      <c r="C4142" t="s">
        <v>5127</v>
      </c>
      <c r="D4142" t="s">
        <v>2433</v>
      </c>
      <c r="E4142">
        <v>4.8</v>
      </c>
      <c r="F4142" s="2">
        <v>48641</v>
      </c>
      <c r="G4142" s="2">
        <v>48551</v>
      </c>
      <c r="H4142" t="s">
        <v>610</v>
      </c>
      <c r="I4142" t="s">
        <v>611</v>
      </c>
      <c r="J4142">
        <v>98.972999999999999</v>
      </c>
      <c r="K4142">
        <v>99.438999999999993</v>
      </c>
      <c r="L4142">
        <v>4.9569999999999999</v>
      </c>
      <c r="M4142">
        <v>4.8860000000000001</v>
      </c>
      <c r="N4142">
        <v>4.8860000000000001</v>
      </c>
      <c r="O4142" t="s">
        <v>101</v>
      </c>
      <c r="P4142" t="s">
        <v>3878</v>
      </c>
      <c r="Q4142" t="s">
        <v>3920</v>
      </c>
      <c r="R4142" t="s">
        <v>2436</v>
      </c>
    </row>
    <row r="4143" spans="1:18" x14ac:dyDescent="0.5">
      <c r="A4143" t="str">
        <f>"04636NAH6"</f>
        <v>04636NAH6</v>
      </c>
      <c r="B4143" t="s">
        <v>101</v>
      </c>
      <c r="C4143" t="s">
        <v>5128</v>
      </c>
      <c r="D4143" t="s">
        <v>2433</v>
      </c>
      <c r="E4143">
        <v>4.875</v>
      </c>
      <c r="F4143" s="2">
        <v>48641</v>
      </c>
      <c r="G4143" s="2">
        <v>48551</v>
      </c>
      <c r="H4143" t="s">
        <v>641</v>
      </c>
      <c r="I4143" t="s">
        <v>658</v>
      </c>
      <c r="J4143">
        <v>99.802000000000007</v>
      </c>
      <c r="K4143">
        <v>100.17400000000001</v>
      </c>
      <c r="L4143">
        <v>4.9050000000000002</v>
      </c>
      <c r="M4143">
        <v>4.8479999999999999</v>
      </c>
      <c r="N4143">
        <v>4.8479999999999999</v>
      </c>
      <c r="O4143" t="s">
        <v>101</v>
      </c>
      <c r="P4143" t="s">
        <v>2786</v>
      </c>
      <c r="Q4143" t="s">
        <v>2454</v>
      </c>
      <c r="R4143" t="s">
        <v>2436</v>
      </c>
    </row>
    <row r="4144" spans="1:18" x14ac:dyDescent="0.5">
      <c r="A4144" t="str">
        <f>"911312BZ8"</f>
        <v>911312BZ8</v>
      </c>
      <c r="B4144" t="s">
        <v>101</v>
      </c>
      <c r="C4144" t="s">
        <v>5129</v>
      </c>
      <c r="D4144" t="s">
        <v>2433</v>
      </c>
      <c r="E4144">
        <v>4.875</v>
      </c>
      <c r="F4144" s="2">
        <v>48641</v>
      </c>
      <c r="G4144" s="2">
        <v>48551</v>
      </c>
      <c r="H4144" t="s">
        <v>610</v>
      </c>
      <c r="I4144" t="s">
        <v>611</v>
      </c>
      <c r="J4144">
        <v>99.366</v>
      </c>
      <c r="K4144">
        <v>99.48</v>
      </c>
      <c r="L4144">
        <v>4.9720000000000004</v>
      </c>
      <c r="M4144">
        <v>4.9550000000000001</v>
      </c>
      <c r="N4144">
        <v>4.9550000000000001</v>
      </c>
      <c r="O4144" t="s">
        <v>101</v>
      </c>
      <c r="P4144" t="s">
        <v>2447</v>
      </c>
      <c r="Q4144" t="s">
        <v>1236</v>
      </c>
      <c r="R4144" t="s">
        <v>2436</v>
      </c>
    </row>
    <row r="4145" spans="1:18" x14ac:dyDescent="0.5">
      <c r="A4145" t="str">
        <f>"61766YYJ4"</f>
        <v>61766YYJ4</v>
      </c>
      <c r="B4145" t="s">
        <v>101</v>
      </c>
      <c r="C4145" t="s">
        <v>5130</v>
      </c>
      <c r="D4145" t="s">
        <v>2433</v>
      </c>
      <c r="E4145">
        <v>5</v>
      </c>
      <c r="F4145" s="2">
        <v>48642</v>
      </c>
      <c r="G4145" s="2">
        <v>46450</v>
      </c>
      <c r="H4145" t="s">
        <v>641</v>
      </c>
      <c r="I4145" t="s">
        <v>713</v>
      </c>
      <c r="J4145">
        <v>96</v>
      </c>
      <c r="K4145">
        <v>100.15</v>
      </c>
      <c r="L4145">
        <v>5.6289999999999996</v>
      </c>
      <c r="M4145">
        <v>4.9189999999999996</v>
      </c>
      <c r="N4145">
        <v>4.9770000000000003</v>
      </c>
      <c r="O4145" t="s">
        <v>101</v>
      </c>
      <c r="P4145" t="s">
        <v>2438</v>
      </c>
      <c r="Q4145" t="s">
        <v>3206</v>
      </c>
      <c r="R4145" t="s">
        <v>3443</v>
      </c>
    </row>
    <row r="4146" spans="1:18" x14ac:dyDescent="0.5">
      <c r="A4146" t="str">
        <f>"828807DU8"</f>
        <v>828807DU8</v>
      </c>
      <c r="B4146" t="s">
        <v>101</v>
      </c>
      <c r="C4146" t="s">
        <v>5131</v>
      </c>
      <c r="D4146" t="s">
        <v>2433</v>
      </c>
      <c r="E4146">
        <v>5.5</v>
      </c>
      <c r="F4146" s="2">
        <v>48646</v>
      </c>
      <c r="G4146" s="2">
        <v>48556</v>
      </c>
      <c r="H4146" t="s">
        <v>627</v>
      </c>
      <c r="I4146" t="s">
        <v>713</v>
      </c>
      <c r="J4146">
        <v>102.15300000000001</v>
      </c>
      <c r="K4146">
        <v>102.283</v>
      </c>
      <c r="L4146">
        <v>5.16</v>
      </c>
      <c r="M4146">
        <v>5.14</v>
      </c>
      <c r="N4146">
        <v>5.1479999999999997</v>
      </c>
      <c r="O4146" t="s">
        <v>101</v>
      </c>
      <c r="P4146" t="s">
        <v>1702</v>
      </c>
      <c r="Q4146" t="s">
        <v>3239</v>
      </c>
      <c r="R4146" t="s">
        <v>2436</v>
      </c>
    </row>
    <row r="4147" spans="1:18" x14ac:dyDescent="0.5">
      <c r="A4147" t="str">
        <f>"57636QAX2"</f>
        <v>57636QAX2</v>
      </c>
      <c r="B4147" t="s">
        <v>101</v>
      </c>
      <c r="C4147" t="s">
        <v>5132</v>
      </c>
      <c r="D4147" t="s">
        <v>2433</v>
      </c>
      <c r="E4147">
        <v>4.8499999999999996</v>
      </c>
      <c r="F4147" s="2">
        <v>48647</v>
      </c>
      <c r="G4147" s="2">
        <v>48557</v>
      </c>
      <c r="H4147" t="s">
        <v>624</v>
      </c>
      <c r="I4147" t="s">
        <v>658</v>
      </c>
      <c r="J4147">
        <v>99.97</v>
      </c>
      <c r="K4147">
        <v>100.265</v>
      </c>
      <c r="L4147">
        <v>4.8550000000000004</v>
      </c>
      <c r="M4147">
        <v>4.8090000000000002</v>
      </c>
      <c r="N4147">
        <v>4.8099999999999996</v>
      </c>
      <c r="O4147" t="s">
        <v>101</v>
      </c>
      <c r="P4147" t="s">
        <v>2581</v>
      </c>
      <c r="Q4147" t="s">
        <v>2454</v>
      </c>
      <c r="R4147" t="s">
        <v>2436</v>
      </c>
    </row>
    <row r="4148" spans="1:18" x14ac:dyDescent="0.5">
      <c r="A4148" t="str">
        <f>"76720AAN6"</f>
        <v>76720AAN6</v>
      </c>
      <c r="B4148" t="s">
        <v>101</v>
      </c>
      <c r="C4148" t="s">
        <v>5133</v>
      </c>
      <c r="D4148" t="s">
        <v>2433</v>
      </c>
      <c r="E4148">
        <v>5</v>
      </c>
      <c r="F4148" s="2">
        <v>48647</v>
      </c>
      <c r="G4148" s="2">
        <v>48557</v>
      </c>
      <c r="H4148" t="s">
        <v>641</v>
      </c>
      <c r="I4148" t="s">
        <v>611</v>
      </c>
      <c r="J4148">
        <v>99.444000000000003</v>
      </c>
      <c r="K4148">
        <v>99.882000000000005</v>
      </c>
      <c r="L4148">
        <v>5.085</v>
      </c>
      <c r="M4148">
        <v>5.0179999999999998</v>
      </c>
      <c r="N4148">
        <v>5.0179999999999998</v>
      </c>
      <c r="O4148" t="s">
        <v>101</v>
      </c>
      <c r="P4148" t="s">
        <v>4569</v>
      </c>
      <c r="Q4148" t="s">
        <v>3411</v>
      </c>
      <c r="R4148" t="s">
        <v>2436</v>
      </c>
    </row>
    <row r="4149" spans="1:18" x14ac:dyDescent="0.5">
      <c r="A4149" t="str">
        <f>"882508CB8"</f>
        <v>882508CB8</v>
      </c>
      <c r="B4149" t="s">
        <v>101</v>
      </c>
      <c r="C4149" t="s">
        <v>5134</v>
      </c>
      <c r="D4149" t="s">
        <v>2433</v>
      </c>
      <c r="E4149">
        <v>4.9000000000000004</v>
      </c>
      <c r="F4149" s="2">
        <v>48652</v>
      </c>
      <c r="G4149" s="2">
        <v>48562</v>
      </c>
      <c r="H4149" t="s">
        <v>624</v>
      </c>
      <c r="I4149" t="s">
        <v>658</v>
      </c>
      <c r="J4149">
        <v>100.497</v>
      </c>
      <c r="K4149">
        <v>100.854</v>
      </c>
      <c r="L4149">
        <v>4.8230000000000004</v>
      </c>
      <c r="M4149">
        <v>4.7679999999999998</v>
      </c>
      <c r="N4149">
        <v>4.7699999999999996</v>
      </c>
      <c r="O4149" t="s">
        <v>101</v>
      </c>
      <c r="P4149" t="s">
        <v>3959</v>
      </c>
      <c r="Q4149" t="s">
        <v>3411</v>
      </c>
      <c r="R4149" t="s">
        <v>2436</v>
      </c>
    </row>
    <row r="4150" spans="1:18" x14ac:dyDescent="0.5">
      <c r="A4150" t="str">
        <f>"15189XAD0"</f>
        <v>15189XAD0</v>
      </c>
      <c r="B4150" t="s">
        <v>101</v>
      </c>
      <c r="C4150" t="s">
        <v>5135</v>
      </c>
      <c r="D4150" t="s">
        <v>2433</v>
      </c>
      <c r="E4150">
        <v>6.95</v>
      </c>
      <c r="F4150" s="2">
        <v>48653</v>
      </c>
      <c r="G4150" s="2" t="s">
        <v>101</v>
      </c>
      <c r="H4150" t="s">
        <v>610</v>
      </c>
      <c r="I4150" t="s">
        <v>611</v>
      </c>
      <c r="J4150">
        <v>111.43899999999999</v>
      </c>
      <c r="K4150">
        <v>112.044</v>
      </c>
      <c r="L4150">
        <v>5.1859999999999999</v>
      </c>
      <c r="M4150">
        <v>5.0990000000000002</v>
      </c>
      <c r="N4150">
        <v>5.0990000000000002</v>
      </c>
      <c r="O4150" t="s">
        <v>101</v>
      </c>
      <c r="P4150" t="s">
        <v>3939</v>
      </c>
      <c r="Q4150" t="s">
        <v>2564</v>
      </c>
      <c r="R4150" t="s">
        <v>2436</v>
      </c>
    </row>
    <row r="4151" spans="1:18" x14ac:dyDescent="0.5">
      <c r="A4151" t="str">
        <f>"20030NAC5"</f>
        <v>20030NAC5</v>
      </c>
      <c r="B4151" t="s">
        <v>101</v>
      </c>
      <c r="C4151" t="s">
        <v>5136</v>
      </c>
      <c r="D4151" t="s">
        <v>2433</v>
      </c>
      <c r="E4151">
        <v>7.05</v>
      </c>
      <c r="F4151" s="2">
        <v>48653</v>
      </c>
      <c r="G4151" s="2" t="s">
        <v>101</v>
      </c>
      <c r="H4151" t="s">
        <v>627</v>
      </c>
      <c r="I4151" t="s">
        <v>713</v>
      </c>
      <c r="J4151">
        <v>112.026</v>
      </c>
      <c r="K4151">
        <v>112.209</v>
      </c>
      <c r="L4151">
        <v>5.1950000000000003</v>
      </c>
      <c r="M4151">
        <v>5.1689999999999996</v>
      </c>
      <c r="N4151">
        <v>5.1689999999999996</v>
      </c>
      <c r="O4151" t="s">
        <v>101</v>
      </c>
      <c r="P4151" t="s">
        <v>1702</v>
      </c>
      <c r="Q4151" t="s">
        <v>3075</v>
      </c>
      <c r="R4151" t="s">
        <v>2436</v>
      </c>
    </row>
    <row r="4152" spans="1:18" x14ac:dyDescent="0.5">
      <c r="A4152" t="str">
        <f>"254687DV5"</f>
        <v>254687DV5</v>
      </c>
      <c r="B4152" t="s">
        <v>101</v>
      </c>
      <c r="C4152" t="s">
        <v>5137</v>
      </c>
      <c r="D4152" t="s">
        <v>2433</v>
      </c>
      <c r="E4152">
        <v>6.55</v>
      </c>
      <c r="F4152" s="2">
        <v>48653</v>
      </c>
      <c r="G4152" s="2" t="s">
        <v>105</v>
      </c>
      <c r="H4152" t="s">
        <v>610</v>
      </c>
      <c r="I4152" t="s">
        <v>611</v>
      </c>
      <c r="J4152">
        <v>110.456</v>
      </c>
      <c r="K4152">
        <v>110.916</v>
      </c>
      <c r="L4152">
        <v>4.952</v>
      </c>
      <c r="M4152">
        <v>4.8860000000000001</v>
      </c>
      <c r="N4152">
        <v>4.8860000000000001</v>
      </c>
      <c r="O4152" t="s">
        <v>101</v>
      </c>
      <c r="P4152" t="s">
        <v>3878</v>
      </c>
      <c r="Q4152" t="s">
        <v>2747</v>
      </c>
      <c r="R4152" t="s">
        <v>2465</v>
      </c>
    </row>
    <row r="4153" spans="1:18" x14ac:dyDescent="0.5">
      <c r="A4153" t="str">
        <f>"26442UAQ7"</f>
        <v>26442UAQ7</v>
      </c>
      <c r="B4153" t="s">
        <v>101</v>
      </c>
      <c r="C4153" t="s">
        <v>5138</v>
      </c>
      <c r="D4153" t="s">
        <v>2433</v>
      </c>
      <c r="E4153">
        <v>5.25</v>
      </c>
      <c r="F4153" s="2">
        <v>48653</v>
      </c>
      <c r="G4153" s="2">
        <v>48563</v>
      </c>
      <c r="H4153" t="s">
        <v>624</v>
      </c>
      <c r="I4153" t="s">
        <v>611</v>
      </c>
      <c r="J4153">
        <v>100.98</v>
      </c>
      <c r="K4153">
        <v>101.47199999999999</v>
      </c>
      <c r="L4153">
        <v>5.0960000000000001</v>
      </c>
      <c r="M4153">
        <v>5.0190000000000001</v>
      </c>
      <c r="N4153">
        <v>5.024</v>
      </c>
      <c r="O4153" t="s">
        <v>101</v>
      </c>
      <c r="P4153" t="s">
        <v>3878</v>
      </c>
      <c r="Q4153" t="s">
        <v>2940</v>
      </c>
      <c r="R4153" t="s">
        <v>2436</v>
      </c>
    </row>
    <row r="4154" spans="1:18" x14ac:dyDescent="0.5">
      <c r="A4154" t="str">
        <f>"278062AH7"</f>
        <v>278062AH7</v>
      </c>
      <c r="B4154" t="s">
        <v>101</v>
      </c>
      <c r="C4154" t="s">
        <v>5139</v>
      </c>
      <c r="D4154" t="s">
        <v>2433</v>
      </c>
      <c r="E4154">
        <v>4.1500000000000004</v>
      </c>
      <c r="F4154" s="2">
        <v>48653</v>
      </c>
      <c r="G4154" s="2">
        <v>48563</v>
      </c>
      <c r="H4154" t="s">
        <v>627</v>
      </c>
      <c r="I4154" t="s">
        <v>713</v>
      </c>
      <c r="J4154">
        <v>94.802000000000007</v>
      </c>
      <c r="K4154">
        <v>95.036000000000001</v>
      </c>
      <c r="L4154">
        <v>4.944</v>
      </c>
      <c r="M4154">
        <v>4.907</v>
      </c>
      <c r="N4154">
        <v>4.907</v>
      </c>
      <c r="O4154" t="s">
        <v>101</v>
      </c>
      <c r="P4154" t="s">
        <v>4569</v>
      </c>
      <c r="Q4154" t="s">
        <v>2454</v>
      </c>
      <c r="R4154" t="s">
        <v>2436</v>
      </c>
    </row>
    <row r="4155" spans="1:18" x14ac:dyDescent="0.5">
      <c r="A4155" t="str">
        <f>"29364WBA5"</f>
        <v>29364WBA5</v>
      </c>
      <c r="B4155" t="s">
        <v>101</v>
      </c>
      <c r="C4155" t="s">
        <v>5140</v>
      </c>
      <c r="D4155" t="s">
        <v>2433</v>
      </c>
      <c r="E4155">
        <v>4</v>
      </c>
      <c r="F4155" s="2">
        <v>48653</v>
      </c>
      <c r="G4155" s="2">
        <v>48563</v>
      </c>
      <c r="H4155" t="s">
        <v>610</v>
      </c>
      <c r="I4155" t="s">
        <v>611</v>
      </c>
      <c r="J4155">
        <v>92.334999999999994</v>
      </c>
      <c r="K4155">
        <v>92.7</v>
      </c>
      <c r="L4155">
        <v>5.1820000000000004</v>
      </c>
      <c r="M4155">
        <v>5.1230000000000002</v>
      </c>
      <c r="N4155">
        <v>5.1230000000000002</v>
      </c>
      <c r="O4155" t="s">
        <v>101</v>
      </c>
      <c r="P4155" t="s">
        <v>3939</v>
      </c>
      <c r="Q4155" t="s">
        <v>2940</v>
      </c>
      <c r="R4155" t="s">
        <v>2436</v>
      </c>
    </row>
    <row r="4156" spans="1:18" x14ac:dyDescent="0.5">
      <c r="A4156" t="str">
        <f>"45866FAW4"</f>
        <v>45866FAW4</v>
      </c>
      <c r="B4156" t="s">
        <v>101</v>
      </c>
      <c r="C4156" t="s">
        <v>5141</v>
      </c>
      <c r="D4156" t="s">
        <v>2433</v>
      </c>
      <c r="E4156">
        <v>4.5999999999999996</v>
      </c>
      <c r="F4156" s="2">
        <v>48653</v>
      </c>
      <c r="G4156" s="2">
        <v>48563</v>
      </c>
      <c r="H4156" t="s">
        <v>627</v>
      </c>
      <c r="I4156" t="s">
        <v>713</v>
      </c>
      <c r="J4156">
        <v>96.847999999999999</v>
      </c>
      <c r="K4156">
        <v>97.100999999999999</v>
      </c>
      <c r="L4156">
        <v>5.0839999999999996</v>
      </c>
      <c r="M4156">
        <v>5.0439999999999996</v>
      </c>
      <c r="N4156">
        <v>5.0439999999999996</v>
      </c>
      <c r="O4156" t="s">
        <v>101</v>
      </c>
      <c r="P4156" t="s">
        <v>3878</v>
      </c>
      <c r="Q4156" t="s">
        <v>2454</v>
      </c>
      <c r="R4156" t="s">
        <v>2436</v>
      </c>
    </row>
    <row r="4157" spans="1:18" x14ac:dyDescent="0.5">
      <c r="A4157" t="str">
        <f>"74251VAT9"</f>
        <v>74251VAT9</v>
      </c>
      <c r="B4157" t="s">
        <v>101</v>
      </c>
      <c r="C4157" t="s">
        <v>5142</v>
      </c>
      <c r="D4157" t="s">
        <v>2433</v>
      </c>
      <c r="E4157">
        <v>5.375</v>
      </c>
      <c r="F4157" s="2">
        <v>48653</v>
      </c>
      <c r="G4157" s="2">
        <v>48563</v>
      </c>
      <c r="H4157" t="s">
        <v>670</v>
      </c>
      <c r="I4157" t="s">
        <v>713</v>
      </c>
      <c r="J4157">
        <v>101.349</v>
      </c>
      <c r="K4157">
        <v>101.621</v>
      </c>
      <c r="L4157">
        <v>5.1630000000000003</v>
      </c>
      <c r="M4157">
        <v>5.12</v>
      </c>
      <c r="N4157">
        <v>5.1260000000000003</v>
      </c>
      <c r="O4157" t="s">
        <v>101</v>
      </c>
      <c r="P4157" t="s">
        <v>2447</v>
      </c>
      <c r="Q4157" t="s">
        <v>5143</v>
      </c>
      <c r="R4157" t="s">
        <v>2436</v>
      </c>
    </row>
    <row r="4158" spans="1:18" x14ac:dyDescent="0.5">
      <c r="A4158" t="str">
        <f>"74456QCL8"</f>
        <v>74456QCL8</v>
      </c>
      <c r="B4158" t="s">
        <v>101</v>
      </c>
      <c r="C4158" t="s">
        <v>5144</v>
      </c>
      <c r="D4158" t="s">
        <v>2433</v>
      </c>
      <c r="E4158">
        <v>4.6500000000000004</v>
      </c>
      <c r="F4158" s="2">
        <v>48653</v>
      </c>
      <c r="G4158" s="2">
        <v>48563</v>
      </c>
      <c r="H4158" t="s">
        <v>641</v>
      </c>
      <c r="I4158" t="s">
        <v>611</v>
      </c>
      <c r="J4158">
        <v>98.477999999999994</v>
      </c>
      <c r="K4158">
        <v>98.656999999999996</v>
      </c>
      <c r="L4158">
        <v>4.8819999999999997</v>
      </c>
      <c r="M4158">
        <v>4.8540000000000001</v>
      </c>
      <c r="N4158">
        <v>4.8540000000000001</v>
      </c>
      <c r="O4158" t="s">
        <v>101</v>
      </c>
      <c r="P4158" t="s">
        <v>5145</v>
      </c>
      <c r="Q4158" t="s">
        <v>3241</v>
      </c>
      <c r="R4158" t="s">
        <v>2436</v>
      </c>
    </row>
    <row r="4159" spans="1:18" x14ac:dyDescent="0.5">
      <c r="A4159" t="str">
        <f>"756109BA1"</f>
        <v>756109BA1</v>
      </c>
      <c r="B4159" t="s">
        <v>101</v>
      </c>
      <c r="C4159" t="s">
        <v>5146</v>
      </c>
      <c r="D4159" t="s">
        <v>2433</v>
      </c>
      <c r="E4159">
        <v>1.8</v>
      </c>
      <c r="F4159" s="2">
        <v>48653</v>
      </c>
      <c r="G4159" s="2">
        <v>48563</v>
      </c>
      <c r="H4159" t="s">
        <v>627</v>
      </c>
      <c r="I4159" t="s">
        <v>713</v>
      </c>
      <c r="J4159">
        <v>77.835999999999999</v>
      </c>
      <c r="K4159">
        <v>78.185000000000002</v>
      </c>
      <c r="L4159">
        <v>5.2220000000000004</v>
      </c>
      <c r="M4159">
        <v>5.16</v>
      </c>
      <c r="N4159">
        <v>5.16</v>
      </c>
      <c r="O4159" t="s">
        <v>101</v>
      </c>
      <c r="P4159" t="s">
        <v>2447</v>
      </c>
      <c r="Q4159" t="s">
        <v>3304</v>
      </c>
      <c r="R4159" t="s">
        <v>2436</v>
      </c>
    </row>
    <row r="4160" spans="1:18" x14ac:dyDescent="0.5">
      <c r="A4160" t="str">
        <f>"125523CS7"</f>
        <v>125523CS7</v>
      </c>
      <c r="B4160" t="s">
        <v>101</v>
      </c>
      <c r="C4160" t="s">
        <v>5147</v>
      </c>
      <c r="D4160" t="s">
        <v>2433</v>
      </c>
      <c r="E4160">
        <v>5.4</v>
      </c>
      <c r="F4160" s="2">
        <v>48653</v>
      </c>
      <c r="G4160" s="2">
        <v>48563</v>
      </c>
      <c r="H4160" t="s">
        <v>670</v>
      </c>
      <c r="I4160" t="s">
        <v>713</v>
      </c>
      <c r="J4160">
        <v>101.29600000000001</v>
      </c>
      <c r="K4160">
        <v>101.40900000000001</v>
      </c>
      <c r="L4160">
        <v>5.1959999999999997</v>
      </c>
      <c r="M4160">
        <v>5.1779999999999999</v>
      </c>
      <c r="N4160">
        <v>5.1829999999999998</v>
      </c>
      <c r="O4160" t="s">
        <v>101</v>
      </c>
      <c r="P4160" t="s">
        <v>1702</v>
      </c>
      <c r="Q4160" t="s">
        <v>2472</v>
      </c>
      <c r="R4160" t="s">
        <v>2436</v>
      </c>
    </row>
    <row r="4161" spans="1:18" x14ac:dyDescent="0.5">
      <c r="A4161" t="str">
        <f>"89420GAE9"</f>
        <v>89420GAE9</v>
      </c>
      <c r="B4161" t="s">
        <v>101</v>
      </c>
      <c r="C4161" t="s">
        <v>5148</v>
      </c>
      <c r="D4161" t="s">
        <v>2433</v>
      </c>
      <c r="E4161">
        <v>6.375</v>
      </c>
      <c r="F4161" s="2">
        <v>48653</v>
      </c>
      <c r="G4161" s="2" t="s">
        <v>101</v>
      </c>
      <c r="H4161" t="s">
        <v>610</v>
      </c>
      <c r="I4161" t="s">
        <v>611</v>
      </c>
      <c r="J4161">
        <v>110.35599999999999</v>
      </c>
      <c r="K4161">
        <v>110.837</v>
      </c>
      <c r="L4161">
        <v>4.8019999999999996</v>
      </c>
      <c r="M4161">
        <v>4.7329999999999997</v>
      </c>
      <c r="N4161">
        <v>4.7329999999999997</v>
      </c>
      <c r="O4161" t="s">
        <v>101</v>
      </c>
      <c r="P4161" t="s">
        <v>2460</v>
      </c>
      <c r="Q4161" t="s">
        <v>3082</v>
      </c>
      <c r="R4161" t="s">
        <v>2436</v>
      </c>
    </row>
    <row r="4162" spans="1:18" x14ac:dyDescent="0.5">
      <c r="A4162" t="str">
        <f>"559222AY0"</f>
        <v>559222AY0</v>
      </c>
      <c r="B4162" t="s">
        <v>101</v>
      </c>
      <c r="C4162" t="s">
        <v>5149</v>
      </c>
      <c r="D4162" t="s">
        <v>2433</v>
      </c>
      <c r="E4162">
        <v>5.5</v>
      </c>
      <c r="F4162" s="2">
        <v>48659</v>
      </c>
      <c r="G4162" s="2">
        <v>48569</v>
      </c>
      <c r="H4162" t="s">
        <v>627</v>
      </c>
      <c r="I4162" t="s">
        <v>713</v>
      </c>
      <c r="J4162">
        <v>100.88800000000001</v>
      </c>
      <c r="K4162">
        <v>101.492</v>
      </c>
      <c r="L4162">
        <v>5.36</v>
      </c>
      <c r="M4162">
        <v>5.2640000000000002</v>
      </c>
      <c r="N4162">
        <v>5.2690000000000001</v>
      </c>
      <c r="O4162" t="s">
        <v>101</v>
      </c>
      <c r="P4162" t="s">
        <v>2581</v>
      </c>
      <c r="Q4162" t="s">
        <v>2434</v>
      </c>
      <c r="R4162" t="s">
        <v>2436</v>
      </c>
    </row>
    <row r="4163" spans="1:18" x14ac:dyDescent="0.5">
      <c r="A4163" t="str">
        <f>"48130CCJ2"</f>
        <v>48130CCJ2</v>
      </c>
      <c r="B4163" t="s">
        <v>101</v>
      </c>
      <c r="C4163" t="s">
        <v>5150</v>
      </c>
      <c r="D4163" t="s">
        <v>2433</v>
      </c>
      <c r="E4163">
        <v>6.2</v>
      </c>
      <c r="F4163" s="2">
        <v>48660</v>
      </c>
      <c r="G4163" s="2">
        <v>45922</v>
      </c>
      <c r="H4163" t="s">
        <v>641</v>
      </c>
      <c r="I4163" t="s">
        <v>611</v>
      </c>
      <c r="J4163">
        <v>100.383</v>
      </c>
      <c r="K4163">
        <v>100.968</v>
      </c>
      <c r="L4163">
        <v>5.45</v>
      </c>
      <c r="M4163">
        <v>4.3220000000000001</v>
      </c>
      <c r="N4163">
        <v>6.0460000000000003</v>
      </c>
      <c r="O4163" t="s">
        <v>101</v>
      </c>
      <c r="P4163" t="s">
        <v>2595</v>
      </c>
      <c r="Q4163" t="s">
        <v>2739</v>
      </c>
      <c r="R4163" t="s">
        <v>2436</v>
      </c>
    </row>
    <row r="4164" spans="1:18" x14ac:dyDescent="0.5">
      <c r="A4164" t="str">
        <f>"49177JAK8"</f>
        <v>49177JAK8</v>
      </c>
      <c r="B4164" t="s">
        <v>101</v>
      </c>
      <c r="C4164" t="s">
        <v>5151</v>
      </c>
      <c r="D4164" t="s">
        <v>2433</v>
      </c>
      <c r="E4164">
        <v>4.9000000000000004</v>
      </c>
      <c r="F4164" s="2">
        <v>48660</v>
      </c>
      <c r="G4164" s="2">
        <v>48570</v>
      </c>
      <c r="H4164" t="s">
        <v>641</v>
      </c>
      <c r="I4164" t="s">
        <v>611</v>
      </c>
      <c r="J4164">
        <v>99.33</v>
      </c>
      <c r="K4164">
        <v>99.606999999999999</v>
      </c>
      <c r="L4164">
        <v>5.0019999999999998</v>
      </c>
      <c r="M4164">
        <v>4.96</v>
      </c>
      <c r="N4164">
        <v>4.96</v>
      </c>
      <c r="O4164" t="s">
        <v>101</v>
      </c>
      <c r="P4164" t="s">
        <v>2434</v>
      </c>
      <c r="Q4164" t="s">
        <v>2454</v>
      </c>
      <c r="R4164" t="s">
        <v>2436</v>
      </c>
    </row>
    <row r="4165" spans="1:18" x14ac:dyDescent="0.5">
      <c r="A4165" t="str">
        <f>"58507LBC2"</f>
        <v>58507LBC2</v>
      </c>
      <c r="B4165" t="s">
        <v>101</v>
      </c>
      <c r="C4165" t="s">
        <v>5152</v>
      </c>
      <c r="D4165" t="s">
        <v>2433</v>
      </c>
      <c r="E4165">
        <v>4.5</v>
      </c>
      <c r="F4165" s="2">
        <v>48668</v>
      </c>
      <c r="G4165" s="2">
        <v>48578</v>
      </c>
      <c r="H4165" t="s">
        <v>627</v>
      </c>
      <c r="I4165" t="s">
        <v>611</v>
      </c>
      <c r="J4165">
        <v>97.045000000000002</v>
      </c>
      <c r="K4165">
        <v>97.370999999999995</v>
      </c>
      <c r="L4165">
        <v>4.9470000000000001</v>
      </c>
      <c r="M4165">
        <v>4.899</v>
      </c>
      <c r="N4165">
        <v>4.899</v>
      </c>
      <c r="O4165" t="s">
        <v>101</v>
      </c>
      <c r="P4165" t="s">
        <v>1999</v>
      </c>
      <c r="Q4165" t="s">
        <v>3636</v>
      </c>
      <c r="R4165" t="s">
        <v>2436</v>
      </c>
    </row>
    <row r="4166" spans="1:18" x14ac:dyDescent="0.5">
      <c r="A4166" t="str">
        <f>"15189XBB3"</f>
        <v>15189XBB3</v>
      </c>
      <c r="B4166" t="s">
        <v>101</v>
      </c>
      <c r="C4166" t="s">
        <v>5153</v>
      </c>
      <c r="D4166" t="s">
        <v>2433</v>
      </c>
      <c r="E4166">
        <v>4.95</v>
      </c>
      <c r="F4166" s="2">
        <v>48670</v>
      </c>
      <c r="G4166" s="2">
        <v>48580</v>
      </c>
      <c r="H4166" t="s">
        <v>610</v>
      </c>
      <c r="I4166" t="s">
        <v>611</v>
      </c>
      <c r="J4166">
        <v>98.311999999999998</v>
      </c>
      <c r="K4166">
        <v>98.686000000000007</v>
      </c>
      <c r="L4166">
        <v>5.2089999999999996</v>
      </c>
      <c r="M4166">
        <v>5.1509999999999998</v>
      </c>
      <c r="N4166">
        <v>5.1509999999999998</v>
      </c>
      <c r="O4166" t="s">
        <v>101</v>
      </c>
      <c r="P4166" t="s">
        <v>2614</v>
      </c>
      <c r="Q4166" t="s">
        <v>2581</v>
      </c>
      <c r="R4166" t="s">
        <v>2436</v>
      </c>
    </row>
    <row r="4167" spans="1:18" x14ac:dyDescent="0.5">
      <c r="A4167" t="str">
        <f>"209111EB5"</f>
        <v>209111EB5</v>
      </c>
      <c r="B4167" t="s">
        <v>101</v>
      </c>
      <c r="C4167" t="s">
        <v>5154</v>
      </c>
      <c r="D4167" t="s">
        <v>2433</v>
      </c>
      <c r="E4167">
        <v>5.875</v>
      </c>
      <c r="F4167" s="2">
        <v>48670</v>
      </c>
      <c r="G4167" s="2" t="s">
        <v>101</v>
      </c>
      <c r="H4167" t="s">
        <v>627</v>
      </c>
      <c r="I4167" t="s">
        <v>713</v>
      </c>
      <c r="J4167">
        <v>101.598</v>
      </c>
      <c r="K4167">
        <v>105.556</v>
      </c>
      <c r="L4167">
        <v>5.625</v>
      </c>
      <c r="M4167">
        <v>5.0270000000000001</v>
      </c>
      <c r="N4167">
        <v>5.0270000000000001</v>
      </c>
      <c r="O4167" t="s">
        <v>101</v>
      </c>
      <c r="P4167" t="s">
        <v>2747</v>
      </c>
      <c r="Q4167" t="s">
        <v>1280</v>
      </c>
      <c r="R4167" t="s">
        <v>2436</v>
      </c>
    </row>
    <row r="4168" spans="1:18" x14ac:dyDescent="0.5">
      <c r="A4168" t="str">
        <f>"23338VAS5"</f>
        <v>23338VAS5</v>
      </c>
      <c r="B4168" t="s">
        <v>101</v>
      </c>
      <c r="C4168" t="s">
        <v>5155</v>
      </c>
      <c r="D4168" t="s">
        <v>2433</v>
      </c>
      <c r="E4168">
        <v>5.2</v>
      </c>
      <c r="F4168" s="2">
        <v>48670</v>
      </c>
      <c r="G4168" s="2">
        <v>48580</v>
      </c>
      <c r="H4168" t="s">
        <v>624</v>
      </c>
      <c r="I4168" t="s">
        <v>611</v>
      </c>
      <c r="J4168">
        <v>100.345</v>
      </c>
      <c r="K4168">
        <v>100.627</v>
      </c>
      <c r="L4168">
        <v>5.1459999999999999</v>
      </c>
      <c r="M4168">
        <v>5.1020000000000003</v>
      </c>
      <c r="N4168">
        <v>5.1040000000000001</v>
      </c>
      <c r="O4168" t="s">
        <v>101</v>
      </c>
      <c r="P4168" t="s">
        <v>4569</v>
      </c>
      <c r="Q4168" t="s">
        <v>2581</v>
      </c>
      <c r="R4168" t="s">
        <v>2436</v>
      </c>
    </row>
    <row r="4169" spans="1:18" x14ac:dyDescent="0.5">
      <c r="A4169" t="str">
        <f>"26442EAJ9"</f>
        <v>26442EAJ9</v>
      </c>
      <c r="B4169" t="s">
        <v>101</v>
      </c>
      <c r="C4169" t="s">
        <v>5156</v>
      </c>
      <c r="D4169" t="s">
        <v>2433</v>
      </c>
      <c r="E4169">
        <v>5.25</v>
      </c>
      <c r="F4169" s="2">
        <v>48670</v>
      </c>
      <c r="G4169" s="2">
        <v>48580</v>
      </c>
      <c r="H4169" t="s">
        <v>610</v>
      </c>
      <c r="I4169" t="s">
        <v>611</v>
      </c>
      <c r="J4169">
        <v>100.827</v>
      </c>
      <c r="K4169">
        <v>101.215</v>
      </c>
      <c r="L4169">
        <v>5.12</v>
      </c>
      <c r="M4169">
        <v>5.0599999999999996</v>
      </c>
      <c r="N4169">
        <v>5.0640000000000001</v>
      </c>
      <c r="O4169" t="s">
        <v>101</v>
      </c>
      <c r="P4169" t="s">
        <v>3878</v>
      </c>
      <c r="Q4169" t="s">
        <v>2454</v>
      </c>
      <c r="R4169" t="s">
        <v>2436</v>
      </c>
    </row>
    <row r="4170" spans="1:18" x14ac:dyDescent="0.5">
      <c r="A4170" t="str">
        <f>"341081GL5"</f>
        <v>341081GL5</v>
      </c>
      <c r="B4170" t="s">
        <v>101</v>
      </c>
      <c r="C4170" t="s">
        <v>5157</v>
      </c>
      <c r="D4170" t="s">
        <v>2433</v>
      </c>
      <c r="E4170">
        <v>5.0999999999999996</v>
      </c>
      <c r="F4170" s="2">
        <v>48670</v>
      </c>
      <c r="G4170" s="2">
        <v>48580</v>
      </c>
      <c r="H4170" t="s">
        <v>613</v>
      </c>
      <c r="I4170" t="s">
        <v>658</v>
      </c>
      <c r="J4170">
        <v>100.64400000000001</v>
      </c>
      <c r="K4170">
        <v>100.97199999999999</v>
      </c>
      <c r="L4170">
        <v>5</v>
      </c>
      <c r="M4170">
        <v>4.9489999999999998</v>
      </c>
      <c r="N4170">
        <v>4.952</v>
      </c>
      <c r="O4170" t="s">
        <v>101</v>
      </c>
      <c r="P4170" t="s">
        <v>715</v>
      </c>
      <c r="Q4170" t="s">
        <v>2454</v>
      </c>
      <c r="R4170" t="s">
        <v>2436</v>
      </c>
    </row>
    <row r="4171" spans="1:18" x14ac:dyDescent="0.5">
      <c r="A4171" t="str">
        <f>"976826BR7"</f>
        <v>976826BR7</v>
      </c>
      <c r="B4171" t="s">
        <v>101</v>
      </c>
      <c r="C4171" t="s">
        <v>5158</v>
      </c>
      <c r="D4171" t="s">
        <v>2433</v>
      </c>
      <c r="E4171">
        <v>4.95</v>
      </c>
      <c r="F4171" s="2">
        <v>48670</v>
      </c>
      <c r="G4171" s="2">
        <v>48580</v>
      </c>
      <c r="H4171" t="s">
        <v>670</v>
      </c>
      <c r="I4171" t="s">
        <v>713</v>
      </c>
      <c r="J4171">
        <v>98.63</v>
      </c>
      <c r="K4171">
        <v>99.046000000000006</v>
      </c>
      <c r="L4171">
        <v>5.16</v>
      </c>
      <c r="M4171">
        <v>5.0949999999999998</v>
      </c>
      <c r="N4171">
        <v>5.0949999999999998</v>
      </c>
      <c r="O4171" t="s">
        <v>101</v>
      </c>
      <c r="P4171" t="s">
        <v>1702</v>
      </c>
      <c r="Q4171" t="s">
        <v>1702</v>
      </c>
      <c r="R4171" t="s">
        <v>2436</v>
      </c>
    </row>
    <row r="4172" spans="1:18" x14ac:dyDescent="0.5">
      <c r="A4172" t="str">
        <f>"4581X0EJ3"</f>
        <v>4581X0EJ3</v>
      </c>
      <c r="B4172" t="s">
        <v>101</v>
      </c>
      <c r="C4172" t="s">
        <v>5159</v>
      </c>
      <c r="D4172" t="s">
        <v>2433</v>
      </c>
      <c r="E4172">
        <v>3.5</v>
      </c>
      <c r="F4172" s="2">
        <v>48681</v>
      </c>
      <c r="G4172" s="2" t="s">
        <v>105</v>
      </c>
      <c r="H4172" t="s">
        <v>104</v>
      </c>
      <c r="I4172" t="s">
        <v>104</v>
      </c>
      <c r="J4172">
        <v>93.861000000000004</v>
      </c>
      <c r="K4172">
        <v>94.980999999999995</v>
      </c>
      <c r="L4172">
        <v>4.4109999999999996</v>
      </c>
      <c r="M4172">
        <v>4.2389999999999999</v>
      </c>
      <c r="N4172">
        <v>4.2389999999999999</v>
      </c>
      <c r="O4172" t="s">
        <v>101</v>
      </c>
      <c r="P4172" t="s">
        <v>2618</v>
      </c>
      <c r="Q4172" t="s">
        <v>5160</v>
      </c>
      <c r="R4172" t="s">
        <v>2713</v>
      </c>
    </row>
    <row r="4173" spans="1:18" x14ac:dyDescent="0.5">
      <c r="A4173" t="str">
        <f>"115637AU4"</f>
        <v>115637AU4</v>
      </c>
      <c r="B4173" t="s">
        <v>101</v>
      </c>
      <c r="C4173" t="s">
        <v>5161</v>
      </c>
      <c r="D4173" t="s">
        <v>2433</v>
      </c>
      <c r="E4173">
        <v>4.75</v>
      </c>
      <c r="F4173" s="2">
        <v>48684</v>
      </c>
      <c r="G4173" s="2">
        <v>48594</v>
      </c>
      <c r="H4173" t="s">
        <v>641</v>
      </c>
      <c r="I4173" t="s">
        <v>713</v>
      </c>
      <c r="J4173">
        <v>97.832999999999998</v>
      </c>
      <c r="K4173">
        <v>98.266000000000005</v>
      </c>
      <c r="L4173">
        <v>5.0789999999999997</v>
      </c>
      <c r="M4173">
        <v>5.0129999999999999</v>
      </c>
      <c r="N4173">
        <v>5.0129999999999999</v>
      </c>
      <c r="O4173" t="s">
        <v>101</v>
      </c>
      <c r="P4173" t="s">
        <v>4569</v>
      </c>
      <c r="Q4173" t="s">
        <v>1391</v>
      </c>
      <c r="R4173" t="s">
        <v>2436</v>
      </c>
    </row>
    <row r="4174" spans="1:18" x14ac:dyDescent="0.5">
      <c r="A4174" t="str">
        <f>"30037DAB1"</f>
        <v>30037DAB1</v>
      </c>
      <c r="B4174" t="s">
        <v>101</v>
      </c>
      <c r="C4174" t="s">
        <v>5162</v>
      </c>
      <c r="D4174" t="s">
        <v>2433</v>
      </c>
      <c r="E4174">
        <v>4.95</v>
      </c>
      <c r="F4174" s="2">
        <v>48684</v>
      </c>
      <c r="G4174" s="2">
        <v>48594</v>
      </c>
      <c r="H4174" t="s">
        <v>610</v>
      </c>
      <c r="I4174" t="s">
        <v>611</v>
      </c>
      <c r="J4174">
        <v>98.146000000000001</v>
      </c>
      <c r="K4174">
        <v>98.83</v>
      </c>
      <c r="L4174">
        <v>5.2329999999999997</v>
      </c>
      <c r="M4174">
        <v>5.1280000000000001</v>
      </c>
      <c r="N4174">
        <v>5.1280000000000001</v>
      </c>
      <c r="O4174" t="s">
        <v>101</v>
      </c>
      <c r="P4174" t="s">
        <v>3878</v>
      </c>
      <c r="Q4174" t="s">
        <v>3920</v>
      </c>
      <c r="R4174" t="s">
        <v>2436</v>
      </c>
    </row>
    <row r="4175" spans="1:18" x14ac:dyDescent="0.5">
      <c r="A4175" t="str">
        <f>"491674BN6"</f>
        <v>491674BN6</v>
      </c>
      <c r="B4175" t="s">
        <v>101</v>
      </c>
      <c r="C4175" t="s">
        <v>5163</v>
      </c>
      <c r="D4175" t="s">
        <v>2433</v>
      </c>
      <c r="E4175">
        <v>5.45</v>
      </c>
      <c r="F4175" s="2">
        <v>48684</v>
      </c>
      <c r="G4175" s="2">
        <v>48594</v>
      </c>
      <c r="H4175" t="s">
        <v>641</v>
      </c>
      <c r="I4175" t="s">
        <v>611</v>
      </c>
      <c r="J4175">
        <v>101.78100000000001</v>
      </c>
      <c r="K4175">
        <v>102.268</v>
      </c>
      <c r="L4175">
        <v>5.1710000000000003</v>
      </c>
      <c r="M4175">
        <v>5.0960000000000001</v>
      </c>
      <c r="N4175">
        <v>5.1040000000000001</v>
      </c>
      <c r="O4175" t="s">
        <v>101</v>
      </c>
      <c r="P4175" t="s">
        <v>1999</v>
      </c>
      <c r="Q4175" t="s">
        <v>3178</v>
      </c>
      <c r="R4175" t="s">
        <v>2436</v>
      </c>
    </row>
    <row r="4176" spans="1:18" x14ac:dyDescent="0.5">
      <c r="A4176" t="str">
        <f>"546676AZ0"</f>
        <v>546676AZ0</v>
      </c>
      <c r="B4176" t="s">
        <v>101</v>
      </c>
      <c r="C4176" t="s">
        <v>5164</v>
      </c>
      <c r="D4176" t="s">
        <v>2433</v>
      </c>
      <c r="E4176">
        <v>5.45</v>
      </c>
      <c r="F4176" s="2">
        <v>48684</v>
      </c>
      <c r="G4176" s="2">
        <v>48594</v>
      </c>
      <c r="H4176" t="s">
        <v>641</v>
      </c>
      <c r="I4176" t="s">
        <v>611</v>
      </c>
      <c r="J4176">
        <v>101.57</v>
      </c>
      <c r="K4176">
        <v>102.10299999999999</v>
      </c>
      <c r="L4176">
        <v>5.2039999999999997</v>
      </c>
      <c r="M4176">
        <v>5.1210000000000004</v>
      </c>
      <c r="N4176">
        <v>5.1280000000000001</v>
      </c>
      <c r="O4176" t="s">
        <v>101</v>
      </c>
      <c r="P4176" t="s">
        <v>1999</v>
      </c>
      <c r="Q4176" t="s">
        <v>4522</v>
      </c>
      <c r="R4176" t="s">
        <v>2436</v>
      </c>
    </row>
    <row r="4177" spans="1:18" x14ac:dyDescent="0.5">
      <c r="A4177" t="str">
        <f>"91324PEV0"</f>
        <v>91324PEV0</v>
      </c>
      <c r="B4177" t="s">
        <v>101</v>
      </c>
      <c r="C4177" t="s">
        <v>5165</v>
      </c>
      <c r="D4177" t="s">
        <v>2433</v>
      </c>
      <c r="E4177">
        <v>4.5</v>
      </c>
      <c r="F4177" s="2">
        <v>48684</v>
      </c>
      <c r="G4177" s="2">
        <v>48594</v>
      </c>
      <c r="H4177" t="s">
        <v>610</v>
      </c>
      <c r="I4177" t="s">
        <v>658</v>
      </c>
      <c r="J4177">
        <v>96.078999999999994</v>
      </c>
      <c r="K4177">
        <v>96.222999999999999</v>
      </c>
      <c r="L4177">
        <v>5.0970000000000004</v>
      </c>
      <c r="M4177">
        <v>5.0739999999999998</v>
      </c>
      <c r="N4177">
        <v>5.0739999999999998</v>
      </c>
      <c r="O4177" t="s">
        <v>101</v>
      </c>
      <c r="P4177" t="s">
        <v>1702</v>
      </c>
      <c r="Q4177" t="s">
        <v>2454</v>
      </c>
      <c r="R4177" t="s">
        <v>2436</v>
      </c>
    </row>
    <row r="4178" spans="1:18" x14ac:dyDescent="0.5">
      <c r="A4178" t="str">
        <f>"931142FD0"</f>
        <v>931142FD0</v>
      </c>
      <c r="B4178" t="s">
        <v>101</v>
      </c>
      <c r="C4178" t="s">
        <v>5166</v>
      </c>
      <c r="D4178" t="s">
        <v>2433</v>
      </c>
      <c r="E4178">
        <v>4.0999999999999996</v>
      </c>
      <c r="F4178" s="2">
        <v>48684</v>
      </c>
      <c r="G4178" s="2">
        <v>48594</v>
      </c>
      <c r="H4178" t="s">
        <v>613</v>
      </c>
      <c r="I4178" t="s">
        <v>628</v>
      </c>
      <c r="J4178">
        <v>96.114000000000004</v>
      </c>
      <c r="K4178">
        <v>96.224999999999994</v>
      </c>
      <c r="L4178">
        <v>4.6820000000000004</v>
      </c>
      <c r="M4178">
        <v>4.665</v>
      </c>
      <c r="N4178">
        <v>4.665</v>
      </c>
      <c r="O4178" t="s">
        <v>101</v>
      </c>
      <c r="P4178" t="s">
        <v>2472</v>
      </c>
      <c r="Q4178" t="s">
        <v>2447</v>
      </c>
      <c r="R4178" t="s">
        <v>2436</v>
      </c>
    </row>
    <row r="4179" spans="1:18" x14ac:dyDescent="0.5">
      <c r="A4179" t="str">
        <f>"48130CTP0"</f>
        <v>48130CTP0</v>
      </c>
      <c r="B4179" t="s">
        <v>101</v>
      </c>
      <c r="C4179" t="s">
        <v>5167</v>
      </c>
      <c r="D4179" t="s">
        <v>2433</v>
      </c>
      <c r="E4179">
        <v>5</v>
      </c>
      <c r="F4179" s="2">
        <v>48698</v>
      </c>
      <c r="G4179" s="2">
        <v>46326</v>
      </c>
      <c r="H4179" t="s">
        <v>641</v>
      </c>
      <c r="I4179" t="s">
        <v>611</v>
      </c>
      <c r="J4179">
        <v>97.817999999999998</v>
      </c>
      <c r="K4179">
        <v>100.149</v>
      </c>
      <c r="L4179">
        <v>5.3339999999999996</v>
      </c>
      <c r="M4179">
        <v>4.8760000000000003</v>
      </c>
      <c r="N4179">
        <v>4.976</v>
      </c>
      <c r="O4179" t="s">
        <v>101</v>
      </c>
      <c r="P4179" t="s">
        <v>2595</v>
      </c>
      <c r="Q4179" t="s">
        <v>457</v>
      </c>
      <c r="R4179" t="s">
        <v>2436</v>
      </c>
    </row>
    <row r="4180" spans="1:18" x14ac:dyDescent="0.5">
      <c r="A4180" t="str">
        <f>"78016HZQ6"</f>
        <v>78016HZQ6</v>
      </c>
      <c r="B4180" t="s">
        <v>101</v>
      </c>
      <c r="C4180" t="s">
        <v>5168</v>
      </c>
      <c r="D4180" t="s">
        <v>2433</v>
      </c>
      <c r="E4180">
        <v>5</v>
      </c>
      <c r="F4180" s="2">
        <v>48701</v>
      </c>
      <c r="G4180" s="2" t="s">
        <v>101</v>
      </c>
      <c r="H4180" t="s">
        <v>641</v>
      </c>
      <c r="I4180" t="s">
        <v>611</v>
      </c>
      <c r="J4180">
        <v>99.119</v>
      </c>
      <c r="K4180">
        <v>99.498999999999995</v>
      </c>
      <c r="L4180">
        <v>5.133</v>
      </c>
      <c r="M4180">
        <v>5.0750000000000002</v>
      </c>
      <c r="N4180">
        <v>5.0750000000000002</v>
      </c>
      <c r="O4180" t="s">
        <v>101</v>
      </c>
      <c r="P4180" t="s">
        <v>1702</v>
      </c>
      <c r="Q4180" t="s">
        <v>3920</v>
      </c>
      <c r="R4180" t="s">
        <v>2436</v>
      </c>
    </row>
    <row r="4181" spans="1:18" x14ac:dyDescent="0.5">
      <c r="A4181" t="str">
        <f>"427866BJ6"</f>
        <v>427866BJ6</v>
      </c>
      <c r="B4181" t="s">
        <v>101</v>
      </c>
      <c r="C4181" t="s">
        <v>5169</v>
      </c>
      <c r="D4181" t="s">
        <v>2433</v>
      </c>
      <c r="E4181">
        <v>4.5</v>
      </c>
      <c r="F4181" s="2">
        <v>48703</v>
      </c>
      <c r="G4181" s="2">
        <v>48614</v>
      </c>
      <c r="H4181" t="s">
        <v>641</v>
      </c>
      <c r="I4181" t="s">
        <v>611</v>
      </c>
      <c r="J4181">
        <v>97.206000000000003</v>
      </c>
      <c r="K4181">
        <v>97.619</v>
      </c>
      <c r="L4181">
        <v>4.92</v>
      </c>
      <c r="M4181">
        <v>4.8570000000000002</v>
      </c>
      <c r="N4181">
        <v>4.8570000000000002</v>
      </c>
      <c r="O4181" t="s">
        <v>101</v>
      </c>
      <c r="P4181" t="s">
        <v>485</v>
      </c>
      <c r="Q4181" t="s">
        <v>2454</v>
      </c>
      <c r="R4181" t="s">
        <v>2436</v>
      </c>
    </row>
    <row r="4182" spans="1:18" x14ac:dyDescent="0.5">
      <c r="A4182" t="str">
        <f>"037833EV8"</f>
        <v>037833EV8</v>
      </c>
      <c r="B4182" t="s">
        <v>101</v>
      </c>
      <c r="C4182" t="s">
        <v>5170</v>
      </c>
      <c r="D4182" t="s">
        <v>2433</v>
      </c>
      <c r="E4182">
        <v>4.3</v>
      </c>
      <c r="F4182" s="2">
        <v>48709</v>
      </c>
      <c r="G4182" s="2">
        <v>48620</v>
      </c>
      <c r="H4182" t="s">
        <v>104</v>
      </c>
      <c r="I4182" t="s">
        <v>509</v>
      </c>
      <c r="J4182">
        <v>98.668000000000006</v>
      </c>
      <c r="K4182">
        <v>98.918999999999997</v>
      </c>
      <c r="L4182">
        <v>4.4960000000000004</v>
      </c>
      <c r="M4182">
        <v>4.4589999999999996</v>
      </c>
      <c r="N4182">
        <v>4.4589999999999996</v>
      </c>
      <c r="O4182" t="s">
        <v>101</v>
      </c>
      <c r="P4182" t="s">
        <v>2581</v>
      </c>
      <c r="Q4182" t="s">
        <v>2454</v>
      </c>
      <c r="R4182" t="s">
        <v>2436</v>
      </c>
    </row>
    <row r="4183" spans="1:18" x14ac:dyDescent="0.5">
      <c r="A4183" t="str">
        <f>"48130CBR5"</f>
        <v>48130CBR5</v>
      </c>
      <c r="B4183" t="s">
        <v>101</v>
      </c>
      <c r="C4183" t="s">
        <v>5171</v>
      </c>
      <c r="D4183" t="s">
        <v>2433</v>
      </c>
      <c r="E4183">
        <v>6</v>
      </c>
      <c r="F4183" s="2">
        <v>48710</v>
      </c>
      <c r="G4183" s="2">
        <v>45880</v>
      </c>
      <c r="H4183" t="s">
        <v>641</v>
      </c>
      <c r="I4183" t="s">
        <v>611</v>
      </c>
      <c r="J4183">
        <v>100.19799999999999</v>
      </c>
      <c r="K4183">
        <v>100.40300000000001</v>
      </c>
      <c r="L4183">
        <v>5.4820000000000002</v>
      </c>
      <c r="M4183">
        <v>4.9809999999999999</v>
      </c>
      <c r="N4183">
        <v>5.9370000000000003</v>
      </c>
      <c r="O4183" t="s">
        <v>101</v>
      </c>
      <c r="P4183" t="s">
        <v>2527</v>
      </c>
      <c r="Q4183" t="s">
        <v>5172</v>
      </c>
      <c r="R4183" t="s">
        <v>2436</v>
      </c>
    </row>
    <row r="4184" spans="1:18" x14ac:dyDescent="0.5">
      <c r="A4184" t="str">
        <f>"03076CAM8"</f>
        <v>03076CAM8</v>
      </c>
      <c r="B4184" t="s">
        <v>101</v>
      </c>
      <c r="C4184" t="s">
        <v>5173</v>
      </c>
      <c r="D4184" t="s">
        <v>2433</v>
      </c>
      <c r="E4184">
        <v>5.15</v>
      </c>
      <c r="F4184" s="2">
        <v>48714</v>
      </c>
      <c r="G4184" s="2">
        <v>48625</v>
      </c>
      <c r="H4184" t="s">
        <v>627</v>
      </c>
      <c r="I4184" t="s">
        <v>713</v>
      </c>
      <c r="J4184">
        <v>99.594999999999999</v>
      </c>
      <c r="K4184">
        <v>99.918999999999997</v>
      </c>
      <c r="L4184">
        <v>5.21</v>
      </c>
      <c r="M4184">
        <v>5.1609999999999996</v>
      </c>
      <c r="N4184">
        <v>5.1609999999999996</v>
      </c>
      <c r="O4184" t="s">
        <v>101</v>
      </c>
      <c r="P4184" t="s">
        <v>2765</v>
      </c>
      <c r="Q4184" t="s">
        <v>2454</v>
      </c>
      <c r="R4184" t="s">
        <v>2436</v>
      </c>
    </row>
    <row r="4185" spans="1:18" x14ac:dyDescent="0.5">
      <c r="A4185" t="str">
        <f>"20030NEE7"</f>
        <v>20030NEE7</v>
      </c>
      <c r="B4185" t="s">
        <v>101</v>
      </c>
      <c r="C4185" t="s">
        <v>5174</v>
      </c>
      <c r="D4185" t="s">
        <v>2433</v>
      </c>
      <c r="E4185">
        <v>4.8</v>
      </c>
      <c r="F4185" s="2">
        <v>48714</v>
      </c>
      <c r="G4185" s="2">
        <v>48625</v>
      </c>
      <c r="H4185" t="s">
        <v>627</v>
      </c>
      <c r="I4185" t="s">
        <v>713</v>
      </c>
      <c r="J4185">
        <v>97.852000000000004</v>
      </c>
      <c r="K4185">
        <v>98.022999999999996</v>
      </c>
      <c r="L4185">
        <v>5.1239999999999997</v>
      </c>
      <c r="M4185">
        <v>5.0979999999999999</v>
      </c>
      <c r="N4185">
        <v>5.0979999999999999</v>
      </c>
      <c r="O4185" t="s">
        <v>101</v>
      </c>
      <c r="P4185" t="s">
        <v>2581</v>
      </c>
      <c r="Q4185" t="s">
        <v>2454</v>
      </c>
      <c r="R4185" t="s">
        <v>2436</v>
      </c>
    </row>
    <row r="4186" spans="1:18" x14ac:dyDescent="0.5">
      <c r="A4186" t="str">
        <f>"210518DU7"</f>
        <v>210518DU7</v>
      </c>
      <c r="B4186" t="s">
        <v>101</v>
      </c>
      <c r="C4186" t="s">
        <v>5175</v>
      </c>
      <c r="D4186" t="s">
        <v>2433</v>
      </c>
      <c r="E4186">
        <v>4.625</v>
      </c>
      <c r="F4186" s="2">
        <v>48714</v>
      </c>
      <c r="G4186" s="2">
        <v>48533</v>
      </c>
      <c r="H4186" t="s">
        <v>641</v>
      </c>
      <c r="I4186" t="s">
        <v>611</v>
      </c>
      <c r="J4186">
        <v>97.022999999999996</v>
      </c>
      <c r="K4186">
        <v>97.451999999999998</v>
      </c>
      <c r="L4186">
        <v>5.0730000000000004</v>
      </c>
      <c r="M4186">
        <v>5.008</v>
      </c>
      <c r="N4186">
        <v>5.008</v>
      </c>
      <c r="O4186" t="s">
        <v>101</v>
      </c>
      <c r="P4186" t="s">
        <v>3878</v>
      </c>
      <c r="Q4186" t="s">
        <v>3178</v>
      </c>
      <c r="R4186" t="s">
        <v>2436</v>
      </c>
    </row>
    <row r="4187" spans="1:18" x14ac:dyDescent="0.5">
      <c r="A4187" t="str">
        <f>"837004BX7"</f>
        <v>837004BX7</v>
      </c>
      <c r="B4187" t="s">
        <v>101</v>
      </c>
      <c r="C4187" t="s">
        <v>5176</v>
      </c>
      <c r="D4187" t="s">
        <v>2433</v>
      </c>
      <c r="E4187">
        <v>5.3</v>
      </c>
      <c r="F4187" s="2">
        <v>48714</v>
      </c>
      <c r="G4187" s="2" t="s">
        <v>101</v>
      </c>
      <c r="H4187" t="s">
        <v>610</v>
      </c>
      <c r="I4187" t="s">
        <v>611</v>
      </c>
      <c r="J4187">
        <v>101.304</v>
      </c>
      <c r="K4187">
        <v>101.69</v>
      </c>
      <c r="L4187">
        <v>5.1020000000000003</v>
      </c>
      <c r="M4187">
        <v>5.0439999999999996</v>
      </c>
      <c r="N4187">
        <v>5.0439999999999996</v>
      </c>
      <c r="O4187" t="s">
        <v>101</v>
      </c>
      <c r="P4187" t="s">
        <v>2507</v>
      </c>
      <c r="Q4187" t="s">
        <v>3160</v>
      </c>
      <c r="R4187" t="s">
        <v>2436</v>
      </c>
    </row>
    <row r="4188" spans="1:18" x14ac:dyDescent="0.5">
      <c r="A4188" t="str">
        <f>"263534CR8"</f>
        <v>263534CR8</v>
      </c>
      <c r="B4188" t="s">
        <v>101</v>
      </c>
      <c r="C4188" t="s">
        <v>5177</v>
      </c>
      <c r="D4188" t="s">
        <v>2433</v>
      </c>
      <c r="E4188">
        <v>4.8</v>
      </c>
      <c r="F4188" s="2">
        <v>48714</v>
      </c>
      <c r="G4188" s="2">
        <v>48625</v>
      </c>
      <c r="H4188" t="s">
        <v>627</v>
      </c>
      <c r="I4188" t="s">
        <v>713</v>
      </c>
      <c r="J4188">
        <v>97.453000000000003</v>
      </c>
      <c r="K4188">
        <v>97.81</v>
      </c>
      <c r="L4188">
        <v>5.1849999999999996</v>
      </c>
      <c r="M4188">
        <v>5.13</v>
      </c>
      <c r="N4188">
        <v>5.13</v>
      </c>
      <c r="O4188" t="s">
        <v>101</v>
      </c>
      <c r="P4188" t="s">
        <v>4708</v>
      </c>
      <c r="Q4188" t="s">
        <v>2454</v>
      </c>
      <c r="R4188" t="s">
        <v>2436</v>
      </c>
    </row>
    <row r="4189" spans="1:18" x14ac:dyDescent="0.5">
      <c r="A4189" t="str">
        <f>"341081GQ4"</f>
        <v>341081GQ4</v>
      </c>
      <c r="B4189" t="s">
        <v>101</v>
      </c>
      <c r="C4189" t="s">
        <v>5178</v>
      </c>
      <c r="D4189" t="s">
        <v>2433</v>
      </c>
      <c r="E4189">
        <v>4.8</v>
      </c>
      <c r="F4189" s="2">
        <v>48714</v>
      </c>
      <c r="G4189" s="2">
        <v>48625</v>
      </c>
      <c r="H4189" t="s">
        <v>613</v>
      </c>
      <c r="I4189" t="s">
        <v>658</v>
      </c>
      <c r="J4189">
        <v>98.736000000000004</v>
      </c>
      <c r="K4189">
        <v>99.081000000000003</v>
      </c>
      <c r="L4189">
        <v>4.9889999999999999</v>
      </c>
      <c r="M4189">
        <v>4.9370000000000003</v>
      </c>
      <c r="N4189">
        <v>4.9370000000000003</v>
      </c>
      <c r="O4189" t="s">
        <v>101</v>
      </c>
      <c r="P4189" t="s">
        <v>3878</v>
      </c>
      <c r="Q4189" t="s">
        <v>2940</v>
      </c>
      <c r="R4189" t="s">
        <v>2436</v>
      </c>
    </row>
    <row r="4190" spans="1:18" x14ac:dyDescent="0.5">
      <c r="A4190" t="str">
        <f>"478160AL8"</f>
        <v>478160AL8</v>
      </c>
      <c r="B4190" t="s">
        <v>101</v>
      </c>
      <c r="C4190" t="s">
        <v>5179</v>
      </c>
      <c r="D4190" t="s">
        <v>2433</v>
      </c>
      <c r="E4190">
        <v>4.95</v>
      </c>
      <c r="F4190" s="2">
        <v>48714</v>
      </c>
      <c r="G4190" s="2" t="s">
        <v>101</v>
      </c>
      <c r="H4190" t="s">
        <v>104</v>
      </c>
      <c r="I4190" t="s">
        <v>104</v>
      </c>
      <c r="J4190">
        <v>102.259</v>
      </c>
      <c r="K4190">
        <v>102.40300000000001</v>
      </c>
      <c r="L4190">
        <v>4.6139999999999999</v>
      </c>
      <c r="M4190">
        <v>4.5919999999999996</v>
      </c>
      <c r="N4190">
        <v>4.5919999999999996</v>
      </c>
      <c r="O4190" t="s">
        <v>101</v>
      </c>
      <c r="P4190" t="s">
        <v>2438</v>
      </c>
      <c r="Q4190" t="s">
        <v>5180</v>
      </c>
      <c r="R4190" t="s">
        <v>2436</v>
      </c>
    </row>
    <row r="4191" spans="1:18" x14ac:dyDescent="0.5">
      <c r="A4191" t="str">
        <f>"29736RAT7"</f>
        <v>29736RAT7</v>
      </c>
      <c r="B4191" t="s">
        <v>101</v>
      </c>
      <c r="C4191" t="s">
        <v>5181</v>
      </c>
      <c r="D4191" t="s">
        <v>2433</v>
      </c>
      <c r="E4191">
        <v>4.6500000000000004</v>
      </c>
      <c r="F4191" s="2">
        <v>48714</v>
      </c>
      <c r="G4191" s="2">
        <v>48625</v>
      </c>
      <c r="H4191" t="s">
        <v>610</v>
      </c>
      <c r="I4191" t="s">
        <v>713</v>
      </c>
      <c r="J4191">
        <v>96.375</v>
      </c>
      <c r="K4191">
        <v>96.828999999999994</v>
      </c>
      <c r="L4191">
        <v>5.1989999999999998</v>
      </c>
      <c r="M4191">
        <v>5.1289999999999996</v>
      </c>
      <c r="N4191">
        <v>5.1289999999999996</v>
      </c>
      <c r="O4191" t="s">
        <v>101</v>
      </c>
      <c r="P4191" t="s">
        <v>3878</v>
      </c>
      <c r="Q4191" t="s">
        <v>3411</v>
      </c>
      <c r="R4191" t="s">
        <v>2436</v>
      </c>
    </row>
    <row r="4192" spans="1:18" x14ac:dyDescent="0.5">
      <c r="A4192" t="str">
        <f>"30303M8N5"</f>
        <v>30303M8N5</v>
      </c>
      <c r="B4192" t="s">
        <v>101</v>
      </c>
      <c r="C4192" t="s">
        <v>5182</v>
      </c>
      <c r="D4192" t="s">
        <v>2433</v>
      </c>
      <c r="E4192">
        <v>4.95</v>
      </c>
      <c r="F4192" s="2">
        <v>48714</v>
      </c>
      <c r="G4192" s="2">
        <v>48625</v>
      </c>
      <c r="H4192" t="s">
        <v>624</v>
      </c>
      <c r="I4192" t="s">
        <v>616</v>
      </c>
      <c r="J4192">
        <v>100.462</v>
      </c>
      <c r="K4192">
        <v>100.61499999999999</v>
      </c>
      <c r="L4192">
        <v>4.8789999999999996</v>
      </c>
      <c r="M4192">
        <v>4.8550000000000004</v>
      </c>
      <c r="N4192">
        <v>4.8570000000000002</v>
      </c>
      <c r="O4192" t="s">
        <v>101</v>
      </c>
      <c r="P4192" t="s">
        <v>3959</v>
      </c>
      <c r="Q4192" t="s">
        <v>3239</v>
      </c>
      <c r="R4192" t="s">
        <v>2436</v>
      </c>
    </row>
    <row r="4193" spans="1:18" x14ac:dyDescent="0.5">
      <c r="A4193" t="str">
        <f>"69351UBA0"</f>
        <v>69351UBA0</v>
      </c>
      <c r="B4193" t="s">
        <v>101</v>
      </c>
      <c r="C4193" t="s">
        <v>5183</v>
      </c>
      <c r="D4193" t="s">
        <v>2433</v>
      </c>
      <c r="E4193">
        <v>5</v>
      </c>
      <c r="F4193" s="2">
        <v>48714</v>
      </c>
      <c r="G4193" s="2">
        <v>48625</v>
      </c>
      <c r="H4193" t="s">
        <v>641</v>
      </c>
      <c r="I4193" t="s">
        <v>658</v>
      </c>
      <c r="J4193">
        <v>99.519000000000005</v>
      </c>
      <c r="K4193">
        <v>100.039</v>
      </c>
      <c r="L4193">
        <v>5.0720000000000001</v>
      </c>
      <c r="M4193">
        <v>4.9930000000000003</v>
      </c>
      <c r="N4193">
        <v>4.9930000000000003</v>
      </c>
      <c r="O4193" t="s">
        <v>101</v>
      </c>
      <c r="P4193" t="s">
        <v>2289</v>
      </c>
      <c r="Q4193" t="s">
        <v>2564</v>
      </c>
      <c r="R4193" t="s">
        <v>2436</v>
      </c>
    </row>
    <row r="4194" spans="1:18" x14ac:dyDescent="0.5">
      <c r="A4194" t="str">
        <f>"976656BW7"</f>
        <v>976656BW7</v>
      </c>
      <c r="B4194" t="s">
        <v>101</v>
      </c>
      <c r="C4194" t="s">
        <v>5184</v>
      </c>
      <c r="D4194" t="s">
        <v>2433</v>
      </c>
      <c r="E4194">
        <v>5.625</v>
      </c>
      <c r="F4194" s="2">
        <v>48714</v>
      </c>
      <c r="G4194" s="2" t="s">
        <v>101</v>
      </c>
      <c r="H4194" t="s">
        <v>610</v>
      </c>
      <c r="I4194" t="s">
        <v>713</v>
      </c>
      <c r="J4194">
        <v>104.577</v>
      </c>
      <c r="K4194">
        <v>105.03400000000001</v>
      </c>
      <c r="L4194">
        <v>4.9370000000000003</v>
      </c>
      <c r="M4194">
        <v>4.87</v>
      </c>
      <c r="N4194">
        <v>4.87</v>
      </c>
      <c r="O4194" t="s">
        <v>101</v>
      </c>
      <c r="P4194" t="s">
        <v>1064</v>
      </c>
      <c r="Q4194" t="s">
        <v>3160</v>
      </c>
      <c r="R4194" t="s">
        <v>2436</v>
      </c>
    </row>
    <row r="4195" spans="1:18" x14ac:dyDescent="0.5">
      <c r="A4195" t="str">
        <f>"373334KT7"</f>
        <v>373334KT7</v>
      </c>
      <c r="B4195" t="s">
        <v>101</v>
      </c>
      <c r="C4195" t="s">
        <v>5185</v>
      </c>
      <c r="D4195" t="s">
        <v>2433</v>
      </c>
      <c r="E4195">
        <v>4.95</v>
      </c>
      <c r="F4195" s="2">
        <v>48716</v>
      </c>
      <c r="G4195" s="2">
        <v>48535</v>
      </c>
      <c r="H4195" t="s">
        <v>627</v>
      </c>
      <c r="I4195" t="s">
        <v>611</v>
      </c>
      <c r="J4195">
        <v>98.429000000000002</v>
      </c>
      <c r="K4195">
        <v>98.698999999999998</v>
      </c>
      <c r="L4195">
        <v>5.1870000000000003</v>
      </c>
      <c r="M4195">
        <v>5.1459999999999999</v>
      </c>
      <c r="N4195">
        <v>5.1459999999999999</v>
      </c>
      <c r="O4195" t="s">
        <v>101</v>
      </c>
      <c r="P4195" t="s">
        <v>4201</v>
      </c>
      <c r="Q4195" t="s">
        <v>2454</v>
      </c>
      <c r="R4195" t="s">
        <v>2436</v>
      </c>
    </row>
    <row r="4196" spans="1:18" x14ac:dyDescent="0.5">
      <c r="A4196" t="str">
        <f>"58933YBK0"</f>
        <v>58933YBK0</v>
      </c>
      <c r="B4196" t="s">
        <v>101</v>
      </c>
      <c r="C4196" t="s">
        <v>5186</v>
      </c>
      <c r="D4196" t="s">
        <v>2433</v>
      </c>
      <c r="E4196">
        <v>4.5</v>
      </c>
      <c r="F4196" s="2">
        <v>48716</v>
      </c>
      <c r="G4196" s="2">
        <v>48627</v>
      </c>
      <c r="H4196" t="s">
        <v>641</v>
      </c>
      <c r="I4196" t="s">
        <v>658</v>
      </c>
      <c r="J4196">
        <v>97.456999999999994</v>
      </c>
      <c r="K4196">
        <v>97.831000000000003</v>
      </c>
      <c r="L4196">
        <v>4.88</v>
      </c>
      <c r="M4196">
        <v>4.8230000000000004</v>
      </c>
      <c r="N4196">
        <v>4.8230000000000004</v>
      </c>
      <c r="O4196" t="s">
        <v>101</v>
      </c>
      <c r="P4196" t="s">
        <v>2765</v>
      </c>
      <c r="Q4196" t="s">
        <v>1702</v>
      </c>
      <c r="R4196" t="s">
        <v>2436</v>
      </c>
    </row>
    <row r="4197" spans="1:18" x14ac:dyDescent="0.5">
      <c r="A4197" t="str">
        <f>"06055JBD0"</f>
        <v>06055JBD0</v>
      </c>
      <c r="B4197" t="s">
        <v>101</v>
      </c>
      <c r="C4197" t="s">
        <v>5187</v>
      </c>
      <c r="D4197" t="s">
        <v>2433</v>
      </c>
      <c r="E4197">
        <v>5.5</v>
      </c>
      <c r="F4197" s="2">
        <v>48718</v>
      </c>
      <c r="G4197" s="2">
        <v>45796</v>
      </c>
      <c r="H4197" t="s">
        <v>641</v>
      </c>
      <c r="I4197" t="s">
        <v>713</v>
      </c>
      <c r="J4197">
        <v>99.75</v>
      </c>
      <c r="K4197">
        <v>100.099</v>
      </c>
      <c r="L4197">
        <v>5.5369999999999999</v>
      </c>
      <c r="M4197">
        <v>4.8789999999999996</v>
      </c>
      <c r="N4197">
        <v>5.4829999999999997</v>
      </c>
      <c r="O4197" t="s">
        <v>101</v>
      </c>
      <c r="P4197" t="s">
        <v>1702</v>
      </c>
      <c r="Q4197" t="s">
        <v>5188</v>
      </c>
      <c r="R4197" t="s">
        <v>2436</v>
      </c>
    </row>
    <row r="4198" spans="1:18" x14ac:dyDescent="0.5">
      <c r="A4198" t="str">
        <f>"716973AE2"</f>
        <v>716973AE2</v>
      </c>
      <c r="B4198" t="s">
        <v>101</v>
      </c>
      <c r="C4198" t="s">
        <v>5189</v>
      </c>
      <c r="D4198" t="s">
        <v>2433</v>
      </c>
      <c r="E4198">
        <v>4.75</v>
      </c>
      <c r="F4198" s="2">
        <v>48718</v>
      </c>
      <c r="G4198" s="2">
        <v>48629</v>
      </c>
      <c r="H4198" t="s">
        <v>610</v>
      </c>
      <c r="I4198" t="s">
        <v>611</v>
      </c>
      <c r="J4198">
        <v>98.251999999999995</v>
      </c>
      <c r="K4198">
        <v>98.447999999999993</v>
      </c>
      <c r="L4198">
        <v>5.0119999999999996</v>
      </c>
      <c r="M4198">
        <v>4.9820000000000002</v>
      </c>
      <c r="N4198">
        <v>4.9820000000000002</v>
      </c>
      <c r="O4198" t="s">
        <v>101</v>
      </c>
      <c r="P4198" t="s">
        <v>2472</v>
      </c>
      <c r="Q4198" t="s">
        <v>2454</v>
      </c>
      <c r="R4198" t="s">
        <v>2436</v>
      </c>
    </row>
    <row r="4199" spans="1:18" x14ac:dyDescent="0.5">
      <c r="A4199" t="str">
        <f>"747525BS1"</f>
        <v>747525BS1</v>
      </c>
      <c r="B4199" t="s">
        <v>101</v>
      </c>
      <c r="C4199" t="s">
        <v>5190</v>
      </c>
      <c r="D4199" t="s">
        <v>2433</v>
      </c>
      <c r="E4199">
        <v>5.4</v>
      </c>
      <c r="F4199" s="2">
        <v>48719</v>
      </c>
      <c r="G4199" s="2">
        <v>48630</v>
      </c>
      <c r="H4199" t="s">
        <v>610</v>
      </c>
      <c r="I4199" t="s">
        <v>611</v>
      </c>
      <c r="J4199">
        <v>103.581</v>
      </c>
      <c r="K4199">
        <v>104.071</v>
      </c>
      <c r="L4199">
        <v>4.851</v>
      </c>
      <c r="M4199">
        <v>4.7770000000000001</v>
      </c>
      <c r="N4199">
        <v>4.7919999999999998</v>
      </c>
      <c r="O4199" t="s">
        <v>101</v>
      </c>
      <c r="P4199" t="s">
        <v>3878</v>
      </c>
      <c r="Q4199" t="s">
        <v>2747</v>
      </c>
      <c r="R4199" t="s">
        <v>2436</v>
      </c>
    </row>
    <row r="4200" spans="1:18" x14ac:dyDescent="0.5">
      <c r="A4200" t="str">
        <f>"09247XAT8"</f>
        <v>09247XAT8</v>
      </c>
      <c r="B4200" t="s">
        <v>101</v>
      </c>
      <c r="C4200" t="s">
        <v>5191</v>
      </c>
      <c r="D4200" t="s">
        <v>2433</v>
      </c>
      <c r="E4200">
        <v>4.75</v>
      </c>
      <c r="F4200" s="2">
        <v>48724</v>
      </c>
      <c r="G4200" s="2">
        <v>48635</v>
      </c>
      <c r="H4200" t="s">
        <v>624</v>
      </c>
      <c r="I4200" t="s">
        <v>616</v>
      </c>
      <c r="J4200">
        <v>98.700999999999993</v>
      </c>
      <c r="K4200">
        <v>98.959000000000003</v>
      </c>
      <c r="L4200">
        <v>4.944</v>
      </c>
      <c r="M4200">
        <v>4.9050000000000002</v>
      </c>
      <c r="N4200">
        <v>4.9050000000000002</v>
      </c>
      <c r="O4200" t="s">
        <v>101</v>
      </c>
      <c r="P4200" t="s">
        <v>1702</v>
      </c>
      <c r="Q4200" t="s">
        <v>1391</v>
      </c>
      <c r="R4200" t="s">
        <v>2436</v>
      </c>
    </row>
    <row r="4201" spans="1:18" x14ac:dyDescent="0.5">
      <c r="A4201" t="str">
        <f>"78014RNA4"</f>
        <v>78014RNA4</v>
      </c>
      <c r="B4201" t="s">
        <v>101</v>
      </c>
      <c r="C4201" t="s">
        <v>5192</v>
      </c>
      <c r="D4201" t="s">
        <v>2433</v>
      </c>
      <c r="E4201">
        <v>5.5</v>
      </c>
      <c r="F4201" s="2">
        <v>48729</v>
      </c>
      <c r="G4201" s="2">
        <v>45807</v>
      </c>
      <c r="H4201" t="s">
        <v>641</v>
      </c>
      <c r="I4201" t="s">
        <v>611</v>
      </c>
      <c r="J4201">
        <v>98.929000000000002</v>
      </c>
      <c r="K4201">
        <v>99.777000000000001</v>
      </c>
      <c r="L4201">
        <v>5.6609999999999996</v>
      </c>
      <c r="M4201">
        <v>5.5330000000000004</v>
      </c>
      <c r="N4201">
        <v>5.5330000000000004</v>
      </c>
      <c r="O4201" t="s">
        <v>101</v>
      </c>
      <c r="P4201" t="s">
        <v>2595</v>
      </c>
      <c r="Q4201" t="s">
        <v>3063</v>
      </c>
      <c r="R4201" t="s">
        <v>2726</v>
      </c>
    </row>
    <row r="4202" spans="1:18" x14ac:dyDescent="0.5">
      <c r="A4202" t="str">
        <f>"02361DBA7"</f>
        <v>02361DBA7</v>
      </c>
      <c r="B4202" t="s">
        <v>101</v>
      </c>
      <c r="C4202" t="s">
        <v>5193</v>
      </c>
      <c r="D4202" t="s">
        <v>2433</v>
      </c>
      <c r="E4202">
        <v>4.95</v>
      </c>
      <c r="F4202" s="2">
        <v>48731</v>
      </c>
      <c r="G4202" s="2">
        <v>48639</v>
      </c>
      <c r="H4202" t="s">
        <v>641</v>
      </c>
      <c r="I4202" t="s">
        <v>611</v>
      </c>
      <c r="J4202">
        <v>98.665999999999997</v>
      </c>
      <c r="K4202">
        <v>99.129000000000005</v>
      </c>
      <c r="L4202">
        <v>5.15</v>
      </c>
      <c r="M4202">
        <v>5.08</v>
      </c>
      <c r="N4202">
        <v>5.08</v>
      </c>
      <c r="O4202" t="s">
        <v>101</v>
      </c>
      <c r="P4202" t="s">
        <v>4569</v>
      </c>
      <c r="Q4202" t="s">
        <v>3241</v>
      </c>
      <c r="R4202" t="s">
        <v>2436</v>
      </c>
    </row>
    <row r="4203" spans="1:18" x14ac:dyDescent="0.5">
      <c r="A4203" t="str">
        <f>"842434CZ3"</f>
        <v>842434CZ3</v>
      </c>
      <c r="B4203" t="s">
        <v>101</v>
      </c>
      <c r="C4203" t="s">
        <v>5194</v>
      </c>
      <c r="D4203" t="s">
        <v>2433</v>
      </c>
      <c r="E4203">
        <v>5.2</v>
      </c>
      <c r="F4203" s="2">
        <v>48731</v>
      </c>
      <c r="G4203" s="2">
        <v>48639</v>
      </c>
      <c r="H4203" t="s">
        <v>624</v>
      </c>
      <c r="I4203" t="s">
        <v>611</v>
      </c>
      <c r="J4203">
        <v>99.26</v>
      </c>
      <c r="K4203">
        <v>99.884</v>
      </c>
      <c r="L4203">
        <v>5.3109999999999999</v>
      </c>
      <c r="M4203">
        <v>5.2160000000000002</v>
      </c>
      <c r="N4203">
        <v>5.2160000000000002</v>
      </c>
      <c r="O4203" t="s">
        <v>101</v>
      </c>
      <c r="P4203" t="s">
        <v>2765</v>
      </c>
      <c r="Q4203" t="s">
        <v>2454</v>
      </c>
      <c r="R4203" t="s">
        <v>2436</v>
      </c>
    </row>
    <row r="4204" spans="1:18" x14ac:dyDescent="0.5">
      <c r="A4204" t="str">
        <f>"907818CS5"</f>
        <v>907818CS5</v>
      </c>
      <c r="B4204" t="s">
        <v>101</v>
      </c>
      <c r="C4204" t="s">
        <v>5195</v>
      </c>
      <c r="D4204" t="s">
        <v>2433</v>
      </c>
      <c r="E4204">
        <v>5.375</v>
      </c>
      <c r="F4204" s="2">
        <v>48731</v>
      </c>
      <c r="G4204" s="2" t="s">
        <v>101</v>
      </c>
      <c r="H4204" t="s">
        <v>627</v>
      </c>
      <c r="I4204" t="s">
        <v>713</v>
      </c>
      <c r="J4204">
        <v>102.339</v>
      </c>
      <c r="K4204">
        <v>103.10599999999999</v>
      </c>
      <c r="L4204">
        <v>5.0229999999999997</v>
      </c>
      <c r="M4204">
        <v>4.91</v>
      </c>
      <c r="N4204">
        <v>4.91</v>
      </c>
      <c r="O4204" t="s">
        <v>101</v>
      </c>
      <c r="P4204" t="s">
        <v>1236</v>
      </c>
      <c r="Q4204" t="s">
        <v>2549</v>
      </c>
      <c r="R4204" t="s">
        <v>2436</v>
      </c>
    </row>
    <row r="4205" spans="1:18" x14ac:dyDescent="0.5">
      <c r="A4205" t="str">
        <f>"06055JBG3"</f>
        <v>06055JBG3</v>
      </c>
      <c r="B4205" t="s">
        <v>101</v>
      </c>
      <c r="C4205" t="s">
        <v>5196</v>
      </c>
      <c r="D4205" t="s">
        <v>2433</v>
      </c>
      <c r="E4205">
        <v>5.6</v>
      </c>
      <c r="F4205" s="2">
        <v>48732</v>
      </c>
      <c r="G4205" s="2">
        <v>45810</v>
      </c>
      <c r="H4205" t="s">
        <v>641</v>
      </c>
      <c r="I4205" t="s">
        <v>713</v>
      </c>
      <c r="J4205">
        <v>98.337000000000003</v>
      </c>
      <c r="K4205">
        <v>100.05</v>
      </c>
      <c r="L4205">
        <v>5.8559999999999999</v>
      </c>
      <c r="M4205">
        <v>5.29</v>
      </c>
      <c r="N4205">
        <v>5.5910000000000002</v>
      </c>
      <c r="O4205" t="s">
        <v>101</v>
      </c>
      <c r="P4205" t="s">
        <v>527</v>
      </c>
      <c r="Q4205" t="s">
        <v>2507</v>
      </c>
      <c r="R4205" t="s">
        <v>2436</v>
      </c>
    </row>
    <row r="4206" spans="1:18" x14ac:dyDescent="0.5">
      <c r="A4206" t="str">
        <f>"48130CAZ8"</f>
        <v>48130CAZ8</v>
      </c>
      <c r="B4206" t="s">
        <v>101</v>
      </c>
      <c r="C4206" t="s">
        <v>5197</v>
      </c>
      <c r="D4206" t="s">
        <v>2433</v>
      </c>
      <c r="E4206">
        <v>5.6</v>
      </c>
      <c r="F4206" s="2">
        <v>48743</v>
      </c>
      <c r="G4206" s="2">
        <v>46186</v>
      </c>
      <c r="H4206" t="s">
        <v>641</v>
      </c>
      <c r="I4206" t="s">
        <v>611</v>
      </c>
      <c r="J4206">
        <v>100.286</v>
      </c>
      <c r="K4206">
        <v>101</v>
      </c>
      <c r="L4206">
        <v>5.3529999999999998</v>
      </c>
      <c r="M4206">
        <v>4.7610000000000001</v>
      </c>
      <c r="N4206">
        <v>5.4470000000000001</v>
      </c>
      <c r="O4206" t="s">
        <v>101</v>
      </c>
      <c r="P4206" t="s">
        <v>2595</v>
      </c>
      <c r="Q4206" t="s">
        <v>5198</v>
      </c>
      <c r="R4206" t="s">
        <v>2436</v>
      </c>
    </row>
    <row r="4207" spans="1:18" x14ac:dyDescent="0.5">
      <c r="A4207" t="str">
        <f>"04517PBT8"</f>
        <v>04517PBT8</v>
      </c>
      <c r="B4207" t="s">
        <v>101</v>
      </c>
      <c r="C4207" t="s">
        <v>5199</v>
      </c>
      <c r="D4207" t="s">
        <v>2433</v>
      </c>
      <c r="E4207">
        <v>3.875</v>
      </c>
      <c r="F4207" s="2">
        <v>48744</v>
      </c>
      <c r="G4207" s="2" t="s">
        <v>105</v>
      </c>
      <c r="H4207" t="s">
        <v>104</v>
      </c>
      <c r="I4207" t="s">
        <v>104</v>
      </c>
      <c r="J4207">
        <v>96.317999999999998</v>
      </c>
      <c r="K4207">
        <v>97.45</v>
      </c>
      <c r="L4207">
        <v>4.4109999999999996</v>
      </c>
      <c r="M4207">
        <v>4.2439999999999998</v>
      </c>
      <c r="N4207">
        <v>4.2439999999999998</v>
      </c>
      <c r="O4207" t="s">
        <v>101</v>
      </c>
      <c r="P4207" t="s">
        <v>2618</v>
      </c>
      <c r="Q4207" t="s">
        <v>2618</v>
      </c>
      <c r="R4207" t="s">
        <v>2713</v>
      </c>
    </row>
    <row r="4208" spans="1:18" x14ac:dyDescent="0.5">
      <c r="A4208" t="str">
        <f>"11259NAA2"</f>
        <v>11259NAA2</v>
      </c>
      <c r="B4208" t="s">
        <v>101</v>
      </c>
      <c r="C4208" t="s">
        <v>5200</v>
      </c>
      <c r="D4208" t="s">
        <v>2433</v>
      </c>
      <c r="E4208">
        <v>6.0869999999999997</v>
      </c>
      <c r="F4208" s="2">
        <v>48744</v>
      </c>
      <c r="G4208" s="2">
        <v>48652</v>
      </c>
      <c r="H4208" t="s">
        <v>627</v>
      </c>
      <c r="I4208" t="s">
        <v>713</v>
      </c>
      <c r="J4208">
        <v>104.014</v>
      </c>
      <c r="K4208">
        <v>104.60299999999999</v>
      </c>
      <c r="L4208">
        <v>5.4610000000000003</v>
      </c>
      <c r="M4208">
        <v>5.3710000000000004</v>
      </c>
      <c r="N4208">
        <v>5.3869999999999996</v>
      </c>
      <c r="O4208" t="s">
        <v>101</v>
      </c>
      <c r="P4208" t="s">
        <v>4232</v>
      </c>
      <c r="Q4208" t="s">
        <v>1838</v>
      </c>
      <c r="R4208" t="s">
        <v>2436</v>
      </c>
    </row>
    <row r="4209" spans="1:18" x14ac:dyDescent="0.5">
      <c r="A4209" t="str">
        <f>"06055JBL2"</f>
        <v>06055JBL2</v>
      </c>
      <c r="B4209" t="s">
        <v>101</v>
      </c>
      <c r="C4209" t="s">
        <v>5201</v>
      </c>
      <c r="D4209" t="s">
        <v>2433</v>
      </c>
      <c r="E4209">
        <v>5.6</v>
      </c>
      <c r="F4209" s="2">
        <v>48745</v>
      </c>
      <c r="G4209" s="2">
        <v>45823</v>
      </c>
      <c r="H4209" t="s">
        <v>641</v>
      </c>
      <c r="I4209" t="s">
        <v>713</v>
      </c>
      <c r="J4209">
        <v>99.984999999999999</v>
      </c>
      <c r="K4209">
        <v>100.18</v>
      </c>
      <c r="L4209">
        <v>5.5830000000000002</v>
      </c>
      <c r="M4209">
        <v>4.8289999999999997</v>
      </c>
      <c r="N4209">
        <v>5.5709999999999997</v>
      </c>
      <c r="O4209" t="s">
        <v>101</v>
      </c>
      <c r="P4209" t="s">
        <v>2527</v>
      </c>
      <c r="Q4209" t="s">
        <v>5202</v>
      </c>
      <c r="R4209" t="s">
        <v>2436</v>
      </c>
    </row>
    <row r="4210" spans="1:18" x14ac:dyDescent="0.5">
      <c r="A4210" t="str">
        <f>"126117AX8"</f>
        <v>126117AX8</v>
      </c>
      <c r="B4210" t="s">
        <v>101</v>
      </c>
      <c r="C4210" t="s">
        <v>5203</v>
      </c>
      <c r="D4210" t="s">
        <v>2433</v>
      </c>
      <c r="E4210">
        <v>5.5</v>
      </c>
      <c r="F4210" s="2">
        <v>48745</v>
      </c>
      <c r="G4210" s="2">
        <v>48653</v>
      </c>
      <c r="H4210" t="s">
        <v>677</v>
      </c>
      <c r="I4210" t="s">
        <v>713</v>
      </c>
      <c r="J4210">
        <v>101.203</v>
      </c>
      <c r="K4210">
        <v>101.48399999999999</v>
      </c>
      <c r="L4210">
        <v>5.3129999999999997</v>
      </c>
      <c r="M4210">
        <v>5.27</v>
      </c>
      <c r="N4210">
        <v>5.2750000000000004</v>
      </c>
      <c r="O4210" t="s">
        <v>101</v>
      </c>
      <c r="P4210" t="s">
        <v>2447</v>
      </c>
      <c r="Q4210" t="s">
        <v>2525</v>
      </c>
      <c r="R4210" t="s">
        <v>2436</v>
      </c>
    </row>
    <row r="4211" spans="1:18" x14ac:dyDescent="0.5">
      <c r="A4211" t="str">
        <f>"209111ED1"</f>
        <v>209111ED1</v>
      </c>
      <c r="B4211" t="s">
        <v>101</v>
      </c>
      <c r="C4211" t="s">
        <v>5204</v>
      </c>
      <c r="D4211" t="s">
        <v>2433</v>
      </c>
      <c r="E4211">
        <v>5.0999999999999996</v>
      </c>
      <c r="F4211" s="2">
        <v>48745</v>
      </c>
      <c r="G4211" s="2" t="s">
        <v>101</v>
      </c>
      <c r="H4211" t="s">
        <v>627</v>
      </c>
      <c r="I4211" t="s">
        <v>713</v>
      </c>
      <c r="J4211">
        <v>98.754999999999995</v>
      </c>
      <c r="K4211">
        <v>99.635000000000005</v>
      </c>
      <c r="L4211">
        <v>5.2869999999999999</v>
      </c>
      <c r="M4211">
        <v>5.1539999999999999</v>
      </c>
      <c r="N4211">
        <v>5.1539999999999999</v>
      </c>
      <c r="O4211" t="s">
        <v>101</v>
      </c>
      <c r="P4211" t="s">
        <v>858</v>
      </c>
      <c r="Q4211" t="s">
        <v>5205</v>
      </c>
      <c r="R4211" t="s">
        <v>2436</v>
      </c>
    </row>
    <row r="4212" spans="1:18" x14ac:dyDescent="0.5">
      <c r="A4212" t="str">
        <f>"693304BF3"</f>
        <v>693304BF3</v>
      </c>
      <c r="B4212" t="s">
        <v>101</v>
      </c>
      <c r="C4212" t="s">
        <v>5206</v>
      </c>
      <c r="D4212" t="s">
        <v>2433</v>
      </c>
      <c r="E4212">
        <v>4.9000000000000004</v>
      </c>
      <c r="F4212" s="2">
        <v>48745</v>
      </c>
      <c r="G4212" s="2">
        <v>48653</v>
      </c>
      <c r="H4212" t="s">
        <v>624</v>
      </c>
      <c r="I4212" t="s">
        <v>611</v>
      </c>
      <c r="J4212">
        <v>98.591999999999999</v>
      </c>
      <c r="K4212">
        <v>98.998000000000005</v>
      </c>
      <c r="L4212">
        <v>5.1100000000000003</v>
      </c>
      <c r="M4212">
        <v>5.0490000000000004</v>
      </c>
      <c r="N4212">
        <v>5.0490000000000004</v>
      </c>
      <c r="O4212" t="s">
        <v>101</v>
      </c>
      <c r="P4212" t="s">
        <v>3878</v>
      </c>
      <c r="Q4212" t="s">
        <v>2581</v>
      </c>
      <c r="R4212" t="s">
        <v>2436</v>
      </c>
    </row>
    <row r="4213" spans="1:18" x14ac:dyDescent="0.5">
      <c r="A4213" t="str">
        <f>"743315BB8"</f>
        <v>743315BB8</v>
      </c>
      <c r="B4213" t="s">
        <v>101</v>
      </c>
      <c r="C4213" t="s">
        <v>5207</v>
      </c>
      <c r="D4213" t="s">
        <v>2433</v>
      </c>
      <c r="E4213">
        <v>4.95</v>
      </c>
      <c r="F4213" s="2">
        <v>48745</v>
      </c>
      <c r="G4213" s="2">
        <v>48653</v>
      </c>
      <c r="H4213" t="s">
        <v>610</v>
      </c>
      <c r="I4213" t="s">
        <v>611</v>
      </c>
      <c r="J4213">
        <v>99.718000000000004</v>
      </c>
      <c r="K4213">
        <v>100.127</v>
      </c>
      <c r="L4213">
        <v>4.9909999999999997</v>
      </c>
      <c r="M4213">
        <v>4.93</v>
      </c>
      <c r="N4213">
        <v>4.93</v>
      </c>
      <c r="O4213" t="s">
        <v>101</v>
      </c>
      <c r="P4213" t="s">
        <v>2447</v>
      </c>
      <c r="Q4213" t="s">
        <v>2454</v>
      </c>
      <c r="R4213" t="s">
        <v>2436</v>
      </c>
    </row>
    <row r="4214" spans="1:18" x14ac:dyDescent="0.5">
      <c r="A4214" t="str">
        <f>"74340XCE9"</f>
        <v>74340XCE9</v>
      </c>
      <c r="B4214" t="s">
        <v>101</v>
      </c>
      <c r="C4214" t="s">
        <v>5208</v>
      </c>
      <c r="D4214" t="s">
        <v>2433</v>
      </c>
      <c r="E4214">
        <v>4.75</v>
      </c>
      <c r="F4214" s="2">
        <v>48745</v>
      </c>
      <c r="G4214" s="2">
        <v>48653</v>
      </c>
      <c r="H4214" t="s">
        <v>610</v>
      </c>
      <c r="I4214" t="s">
        <v>611</v>
      </c>
      <c r="J4214">
        <v>97.908000000000001</v>
      </c>
      <c r="K4214">
        <v>98.04</v>
      </c>
      <c r="L4214">
        <v>5.0620000000000003</v>
      </c>
      <c r="M4214">
        <v>5.0419999999999998</v>
      </c>
      <c r="N4214">
        <v>5.0419999999999998</v>
      </c>
      <c r="O4214" t="s">
        <v>101</v>
      </c>
      <c r="P4214" t="s">
        <v>2447</v>
      </c>
      <c r="Q4214" t="s">
        <v>1702</v>
      </c>
      <c r="R4214" t="s">
        <v>2436</v>
      </c>
    </row>
    <row r="4215" spans="1:18" x14ac:dyDescent="0.5">
      <c r="A4215" t="str">
        <f>"78014RNU0"</f>
        <v>78014RNU0</v>
      </c>
      <c r="B4215" t="s">
        <v>101</v>
      </c>
      <c r="C4215" t="s">
        <v>5209</v>
      </c>
      <c r="D4215" t="s">
        <v>2433</v>
      </c>
      <c r="E4215">
        <v>5.75</v>
      </c>
      <c r="F4215" s="2">
        <v>48760</v>
      </c>
      <c r="G4215" s="2">
        <v>46203</v>
      </c>
      <c r="H4215" t="s">
        <v>641</v>
      </c>
      <c r="I4215" t="s">
        <v>611</v>
      </c>
      <c r="J4215">
        <v>100.111</v>
      </c>
      <c r="K4215">
        <v>101.15</v>
      </c>
      <c r="L4215">
        <v>5.6520000000000001</v>
      </c>
      <c r="M4215">
        <v>4.82</v>
      </c>
      <c r="N4215">
        <v>5.5739999999999998</v>
      </c>
      <c r="O4215" t="s">
        <v>101</v>
      </c>
      <c r="P4215" t="s">
        <v>2507</v>
      </c>
      <c r="Q4215" t="s">
        <v>2527</v>
      </c>
      <c r="R4215" t="s">
        <v>2726</v>
      </c>
    </row>
    <row r="4216" spans="1:18" x14ac:dyDescent="0.5">
      <c r="A4216" t="str">
        <f>"207597EQ4"</f>
        <v>207597EQ4</v>
      </c>
      <c r="B4216" t="s">
        <v>101</v>
      </c>
      <c r="C4216" t="s">
        <v>5210</v>
      </c>
      <c r="D4216" t="s">
        <v>2433</v>
      </c>
      <c r="E4216">
        <v>4.9000000000000004</v>
      </c>
      <c r="F4216" s="2">
        <v>48761</v>
      </c>
      <c r="G4216" s="2">
        <v>48670</v>
      </c>
      <c r="H4216" t="s">
        <v>641</v>
      </c>
      <c r="I4216" t="s">
        <v>611</v>
      </c>
      <c r="J4216">
        <v>98.207999999999998</v>
      </c>
      <c r="K4216">
        <v>98.798000000000002</v>
      </c>
      <c r="L4216">
        <v>5.1669999999999998</v>
      </c>
      <c r="M4216">
        <v>5.0780000000000003</v>
      </c>
      <c r="N4216">
        <v>5.0780000000000003</v>
      </c>
      <c r="O4216" t="s">
        <v>101</v>
      </c>
      <c r="P4216" t="s">
        <v>3878</v>
      </c>
      <c r="Q4216" t="s">
        <v>2255</v>
      </c>
      <c r="R4216" t="s">
        <v>2436</v>
      </c>
    </row>
    <row r="4217" spans="1:18" x14ac:dyDescent="0.5">
      <c r="A4217" t="str">
        <f>"86562MDD9"</f>
        <v>86562MDD9</v>
      </c>
      <c r="B4217" t="s">
        <v>101</v>
      </c>
      <c r="C4217" t="s">
        <v>5211</v>
      </c>
      <c r="D4217" t="s">
        <v>2433</v>
      </c>
      <c r="E4217">
        <v>5.7759999999999998</v>
      </c>
      <c r="F4217" s="2">
        <v>48773</v>
      </c>
      <c r="G4217" s="2" t="s">
        <v>101</v>
      </c>
      <c r="H4217" t="s">
        <v>641</v>
      </c>
      <c r="I4217" t="s">
        <v>713</v>
      </c>
      <c r="J4217">
        <v>103.93300000000001</v>
      </c>
      <c r="K4217">
        <v>104.49299999999999</v>
      </c>
      <c r="L4217">
        <v>5.1879999999999997</v>
      </c>
      <c r="M4217">
        <v>5.1059999999999999</v>
      </c>
      <c r="N4217">
        <v>5.1059999999999999</v>
      </c>
      <c r="O4217" t="s">
        <v>101</v>
      </c>
      <c r="P4217" t="s">
        <v>542</v>
      </c>
      <c r="Q4217" t="s">
        <v>4977</v>
      </c>
      <c r="R4217" t="s">
        <v>2436</v>
      </c>
    </row>
    <row r="4218" spans="1:18" x14ac:dyDescent="0.5">
      <c r="A4218" t="str">
        <f>"892331AR0"</f>
        <v>892331AR0</v>
      </c>
      <c r="B4218" t="s">
        <v>101</v>
      </c>
      <c r="C4218" t="s">
        <v>5212</v>
      </c>
      <c r="D4218" t="s">
        <v>2433</v>
      </c>
      <c r="E4218">
        <v>5.1230000000000002</v>
      </c>
      <c r="F4218" s="2">
        <v>48773</v>
      </c>
      <c r="G4218" s="2">
        <v>48682</v>
      </c>
      <c r="H4218" t="s">
        <v>641</v>
      </c>
      <c r="I4218" t="s">
        <v>658</v>
      </c>
      <c r="J4218">
        <v>101.33799999999999</v>
      </c>
      <c r="K4218">
        <v>101.872</v>
      </c>
      <c r="L4218">
        <v>4.92</v>
      </c>
      <c r="M4218">
        <v>4.84</v>
      </c>
      <c r="N4218">
        <v>4.8460000000000001</v>
      </c>
      <c r="O4218" t="s">
        <v>101</v>
      </c>
      <c r="P4218" t="s">
        <v>2595</v>
      </c>
      <c r="Q4218" t="s">
        <v>3406</v>
      </c>
      <c r="R4218" t="s">
        <v>2436</v>
      </c>
    </row>
    <row r="4219" spans="1:18" x14ac:dyDescent="0.5">
      <c r="A4219" t="str">
        <f>"06050WFX8"</f>
        <v>06050WFX8</v>
      </c>
      <c r="B4219" t="s">
        <v>101</v>
      </c>
      <c r="C4219" t="s">
        <v>5213</v>
      </c>
      <c r="D4219" t="s">
        <v>2433</v>
      </c>
      <c r="E4219">
        <v>4</v>
      </c>
      <c r="F4219" s="2">
        <v>48775</v>
      </c>
      <c r="G4219" s="2" t="s">
        <v>105</v>
      </c>
      <c r="H4219" t="s">
        <v>641</v>
      </c>
      <c r="I4219" t="s">
        <v>713</v>
      </c>
      <c r="J4219">
        <v>91.605000000000004</v>
      </c>
      <c r="K4219">
        <v>93</v>
      </c>
      <c r="L4219">
        <v>5.2549999999999999</v>
      </c>
      <c r="M4219">
        <v>5.0369999999999999</v>
      </c>
      <c r="N4219">
        <v>5.0369999999999999</v>
      </c>
      <c r="O4219" t="s">
        <v>101</v>
      </c>
      <c r="P4219" t="s">
        <v>2595</v>
      </c>
      <c r="Q4219" t="s">
        <v>5214</v>
      </c>
      <c r="R4219" t="s">
        <v>2610</v>
      </c>
    </row>
    <row r="4220" spans="1:18" x14ac:dyDescent="0.5">
      <c r="A4220" t="str">
        <f>"59156RCE6"</f>
        <v>59156RCE6</v>
      </c>
      <c r="B4220" t="s">
        <v>101</v>
      </c>
      <c r="C4220" t="s">
        <v>5215</v>
      </c>
      <c r="D4220" t="s">
        <v>2433</v>
      </c>
      <c r="E4220">
        <v>5.375</v>
      </c>
      <c r="F4220" s="2">
        <v>48775</v>
      </c>
      <c r="G4220" s="2">
        <v>48684</v>
      </c>
      <c r="H4220" t="s">
        <v>627</v>
      </c>
      <c r="I4220" t="s">
        <v>713</v>
      </c>
      <c r="J4220">
        <v>101.989</v>
      </c>
      <c r="K4220">
        <v>102.149</v>
      </c>
      <c r="L4220">
        <v>5.0720000000000001</v>
      </c>
      <c r="M4220">
        <v>5.048</v>
      </c>
      <c r="N4220">
        <v>5.0549999999999997</v>
      </c>
      <c r="O4220" t="s">
        <v>101</v>
      </c>
      <c r="P4220" t="s">
        <v>2472</v>
      </c>
      <c r="Q4220" t="s">
        <v>2581</v>
      </c>
      <c r="R4220" t="s">
        <v>2436</v>
      </c>
    </row>
    <row r="4221" spans="1:18" x14ac:dyDescent="0.5">
      <c r="A4221" t="str">
        <f>"74432QAC9"</f>
        <v>74432QAC9</v>
      </c>
      <c r="B4221" t="s">
        <v>101</v>
      </c>
      <c r="C4221" t="s">
        <v>5216</v>
      </c>
      <c r="D4221" t="s">
        <v>2433</v>
      </c>
      <c r="E4221">
        <v>5.75</v>
      </c>
      <c r="F4221" s="2">
        <v>48775</v>
      </c>
      <c r="G4221" s="2" t="s">
        <v>105</v>
      </c>
      <c r="H4221" t="s">
        <v>627</v>
      </c>
      <c r="I4221" t="s">
        <v>611</v>
      </c>
      <c r="J4221">
        <v>104.749</v>
      </c>
      <c r="K4221">
        <v>105.26900000000001</v>
      </c>
      <c r="L4221">
        <v>5.0439999999999996</v>
      </c>
      <c r="M4221">
        <v>4.97</v>
      </c>
      <c r="N4221">
        <v>4.97</v>
      </c>
      <c r="O4221" t="s">
        <v>101</v>
      </c>
      <c r="P4221" t="s">
        <v>4600</v>
      </c>
      <c r="Q4221" t="s">
        <v>2564</v>
      </c>
      <c r="R4221" t="s">
        <v>2465</v>
      </c>
    </row>
    <row r="4222" spans="1:18" x14ac:dyDescent="0.5">
      <c r="A4222" t="str">
        <f>"756109BT0"</f>
        <v>756109BT0</v>
      </c>
      <c r="B4222" t="s">
        <v>101</v>
      </c>
      <c r="C4222" t="s">
        <v>5217</v>
      </c>
      <c r="D4222" t="s">
        <v>2433</v>
      </c>
      <c r="E4222">
        <v>4.9000000000000004</v>
      </c>
      <c r="F4222" s="2">
        <v>48775</v>
      </c>
      <c r="G4222" s="2">
        <v>48684</v>
      </c>
      <c r="H4222" t="s">
        <v>627</v>
      </c>
      <c r="I4222" t="s">
        <v>713</v>
      </c>
      <c r="J4222">
        <v>97.706000000000003</v>
      </c>
      <c r="K4222">
        <v>97.768000000000001</v>
      </c>
      <c r="L4222">
        <v>5.242</v>
      </c>
      <c r="M4222">
        <v>5.2329999999999997</v>
      </c>
      <c r="N4222">
        <v>5.2329999999999997</v>
      </c>
      <c r="O4222" t="s">
        <v>101</v>
      </c>
      <c r="P4222" t="s">
        <v>2447</v>
      </c>
      <c r="Q4222" t="s">
        <v>2581</v>
      </c>
      <c r="R4222" t="s">
        <v>2436</v>
      </c>
    </row>
    <row r="4223" spans="1:18" x14ac:dyDescent="0.5">
      <c r="A4223" t="str">
        <f>"168863DT2"</f>
        <v>168863DT2</v>
      </c>
      <c r="B4223" t="s">
        <v>101</v>
      </c>
      <c r="C4223" t="s">
        <v>5218</v>
      </c>
      <c r="D4223" t="s">
        <v>2433</v>
      </c>
      <c r="E4223">
        <v>2.5499999999999998</v>
      </c>
      <c r="F4223" s="2">
        <v>48787</v>
      </c>
      <c r="G4223" s="2">
        <v>48696</v>
      </c>
      <c r="H4223" t="s">
        <v>610</v>
      </c>
      <c r="I4223" t="s">
        <v>611</v>
      </c>
      <c r="J4223" t="s">
        <v>101</v>
      </c>
      <c r="K4223">
        <v>82.744</v>
      </c>
      <c r="L4223" t="s">
        <v>101</v>
      </c>
      <c r="M4223">
        <v>5.1079999999999997</v>
      </c>
      <c r="N4223">
        <v>5.1079999999999997</v>
      </c>
      <c r="O4223" t="s">
        <v>101</v>
      </c>
      <c r="P4223" t="s">
        <v>448</v>
      </c>
      <c r="Q4223" t="s">
        <v>542</v>
      </c>
      <c r="R4223" t="s">
        <v>2436</v>
      </c>
    </row>
    <row r="4224" spans="1:18" x14ac:dyDescent="0.5">
      <c r="A4224" t="str">
        <f>"571748AK8"</f>
        <v>571748AK8</v>
      </c>
      <c r="B4224" t="s">
        <v>101</v>
      </c>
      <c r="C4224" t="s">
        <v>5219</v>
      </c>
      <c r="D4224" t="s">
        <v>2433</v>
      </c>
      <c r="E4224">
        <v>5.875</v>
      </c>
      <c r="F4224" s="2">
        <v>48792</v>
      </c>
      <c r="G4224" s="2" t="s">
        <v>105</v>
      </c>
      <c r="H4224" t="s">
        <v>627</v>
      </c>
      <c r="I4224" t="s">
        <v>713</v>
      </c>
      <c r="J4224">
        <v>105.563</v>
      </c>
      <c r="K4224">
        <v>105.928</v>
      </c>
      <c r="L4224">
        <v>5.0519999999999996</v>
      </c>
      <c r="M4224">
        <v>5</v>
      </c>
      <c r="N4224">
        <v>5</v>
      </c>
      <c r="O4224" t="s">
        <v>101</v>
      </c>
      <c r="P4224" t="s">
        <v>2460</v>
      </c>
      <c r="Q4224" t="s">
        <v>2601</v>
      </c>
      <c r="R4224" t="s">
        <v>2465</v>
      </c>
    </row>
    <row r="4225" spans="1:18" x14ac:dyDescent="0.5">
      <c r="A4225" t="str">
        <f>"74460WAG2"</f>
        <v>74460WAG2</v>
      </c>
      <c r="B4225" t="s">
        <v>101</v>
      </c>
      <c r="C4225" t="s">
        <v>5220</v>
      </c>
      <c r="D4225" t="s">
        <v>2433</v>
      </c>
      <c r="E4225">
        <v>5.0999999999999996</v>
      </c>
      <c r="F4225" s="2">
        <v>48792</v>
      </c>
      <c r="G4225" s="2">
        <v>48700</v>
      </c>
      <c r="H4225" t="s">
        <v>610</v>
      </c>
      <c r="I4225" t="s">
        <v>611</v>
      </c>
      <c r="J4225">
        <v>100.259</v>
      </c>
      <c r="K4225">
        <v>100.505</v>
      </c>
      <c r="L4225">
        <v>5.0609999999999999</v>
      </c>
      <c r="M4225">
        <v>5.024</v>
      </c>
      <c r="N4225">
        <v>5.0250000000000004</v>
      </c>
      <c r="O4225" t="s">
        <v>101</v>
      </c>
      <c r="P4225" t="s">
        <v>1702</v>
      </c>
      <c r="Q4225" t="s">
        <v>2454</v>
      </c>
      <c r="R4225" t="s">
        <v>2436</v>
      </c>
    </row>
    <row r="4226" spans="1:18" x14ac:dyDescent="0.5">
      <c r="A4226" t="str">
        <f>"74456QCN4"</f>
        <v>74456QCN4</v>
      </c>
      <c r="B4226" t="s">
        <v>101</v>
      </c>
      <c r="C4226" t="s">
        <v>5221</v>
      </c>
      <c r="D4226" t="s">
        <v>2433</v>
      </c>
      <c r="E4226">
        <v>5.2</v>
      </c>
      <c r="F4226" s="2">
        <v>48792</v>
      </c>
      <c r="G4226" s="2">
        <v>48700</v>
      </c>
      <c r="H4226" t="s">
        <v>641</v>
      </c>
      <c r="I4226" t="s">
        <v>611</v>
      </c>
      <c r="J4226">
        <v>100.928</v>
      </c>
      <c r="K4226">
        <v>101.279</v>
      </c>
      <c r="L4226">
        <v>5.0590000000000002</v>
      </c>
      <c r="M4226">
        <v>5.0069999999999997</v>
      </c>
      <c r="N4226">
        <v>5.01</v>
      </c>
      <c r="O4226" t="s">
        <v>101</v>
      </c>
      <c r="P4226" t="s">
        <v>4569</v>
      </c>
      <c r="Q4226" t="s">
        <v>3178</v>
      </c>
      <c r="R4226" t="s">
        <v>2436</v>
      </c>
    </row>
    <row r="4227" spans="1:18" x14ac:dyDescent="0.5">
      <c r="A4227" t="str">
        <f>"06055JBW8"</f>
        <v>06055JBW8</v>
      </c>
      <c r="B4227" t="s">
        <v>101</v>
      </c>
      <c r="C4227" t="s">
        <v>5222</v>
      </c>
      <c r="D4227" t="s">
        <v>2433</v>
      </c>
      <c r="E4227">
        <v>5.75</v>
      </c>
      <c r="F4227" s="2">
        <v>48795</v>
      </c>
      <c r="G4227" s="2">
        <v>45873</v>
      </c>
      <c r="H4227" t="s">
        <v>641</v>
      </c>
      <c r="I4227" t="s">
        <v>713</v>
      </c>
      <c r="J4227">
        <v>100.092</v>
      </c>
      <c r="K4227">
        <v>100.464</v>
      </c>
      <c r="L4227">
        <v>5.4779999999999998</v>
      </c>
      <c r="M4227">
        <v>4.5250000000000004</v>
      </c>
      <c r="N4227">
        <v>5.6790000000000003</v>
      </c>
      <c r="O4227" t="s">
        <v>101</v>
      </c>
      <c r="P4227" t="s">
        <v>2595</v>
      </c>
      <c r="Q4227" t="s">
        <v>3556</v>
      </c>
      <c r="R4227" t="s">
        <v>2436</v>
      </c>
    </row>
    <row r="4228" spans="1:18" x14ac:dyDescent="0.5">
      <c r="A4228" t="str">
        <f>"883556CX8"</f>
        <v>883556CX8</v>
      </c>
      <c r="B4228" t="s">
        <v>101</v>
      </c>
      <c r="C4228" t="s">
        <v>5223</v>
      </c>
      <c r="D4228" t="s">
        <v>2433</v>
      </c>
      <c r="E4228">
        <v>5.0860000000000003</v>
      </c>
      <c r="F4228" s="2">
        <v>48801</v>
      </c>
      <c r="G4228" s="2">
        <v>48709</v>
      </c>
      <c r="H4228" t="s">
        <v>627</v>
      </c>
      <c r="I4228" t="s">
        <v>713</v>
      </c>
      <c r="J4228">
        <v>100.425</v>
      </c>
      <c r="K4228">
        <v>100.691</v>
      </c>
      <c r="L4228">
        <v>5.0220000000000002</v>
      </c>
      <c r="M4228">
        <v>4.9820000000000002</v>
      </c>
      <c r="N4228">
        <v>4.984</v>
      </c>
      <c r="O4228" t="s">
        <v>101</v>
      </c>
      <c r="P4228" t="s">
        <v>2472</v>
      </c>
      <c r="Q4228" t="s">
        <v>2454</v>
      </c>
      <c r="R4228" t="s">
        <v>2436</v>
      </c>
    </row>
    <row r="4229" spans="1:18" x14ac:dyDescent="0.5">
      <c r="A4229" t="str">
        <f>"61766YPS4"</f>
        <v>61766YPS4</v>
      </c>
      <c r="B4229" t="s">
        <v>101</v>
      </c>
      <c r="C4229" t="s">
        <v>5224</v>
      </c>
      <c r="D4229" t="s">
        <v>2433</v>
      </c>
      <c r="E4229">
        <v>5.5</v>
      </c>
      <c r="F4229" s="2">
        <v>48802</v>
      </c>
      <c r="G4229" s="2">
        <v>45880</v>
      </c>
      <c r="H4229" t="s">
        <v>641</v>
      </c>
      <c r="I4229" t="s">
        <v>713</v>
      </c>
      <c r="J4229">
        <v>99.991</v>
      </c>
      <c r="K4229">
        <v>100.15</v>
      </c>
      <c r="L4229">
        <v>5.4960000000000004</v>
      </c>
      <c r="M4229">
        <v>5.1059999999999999</v>
      </c>
      <c r="N4229">
        <v>5.4770000000000003</v>
      </c>
      <c r="O4229" t="s">
        <v>101</v>
      </c>
      <c r="P4229" t="s">
        <v>2594</v>
      </c>
      <c r="Q4229" t="s">
        <v>4902</v>
      </c>
      <c r="R4229" t="s">
        <v>2436</v>
      </c>
    </row>
    <row r="4230" spans="1:18" x14ac:dyDescent="0.5">
      <c r="A4230" t="str">
        <f>"48130CYJ8"</f>
        <v>48130CYJ8</v>
      </c>
      <c r="B4230" t="s">
        <v>101</v>
      </c>
      <c r="C4230" t="s">
        <v>5225</v>
      </c>
      <c r="D4230" t="s">
        <v>2433</v>
      </c>
      <c r="E4230">
        <v>5.45</v>
      </c>
      <c r="F4230" s="2">
        <v>48803</v>
      </c>
      <c r="G4230" s="2">
        <v>46432</v>
      </c>
      <c r="H4230" t="s">
        <v>641</v>
      </c>
      <c r="I4230" t="s">
        <v>611</v>
      </c>
      <c r="J4230">
        <v>99.534000000000006</v>
      </c>
      <c r="K4230">
        <v>100.9</v>
      </c>
      <c r="L4230">
        <v>5.5229999999999997</v>
      </c>
      <c r="M4230">
        <v>4.9429999999999996</v>
      </c>
      <c r="N4230">
        <v>5.3170000000000002</v>
      </c>
      <c r="O4230" t="s">
        <v>101</v>
      </c>
      <c r="P4230" t="s">
        <v>2595</v>
      </c>
      <c r="Q4230" t="s">
        <v>5226</v>
      </c>
      <c r="R4230" t="s">
        <v>2726</v>
      </c>
    </row>
    <row r="4231" spans="1:18" x14ac:dyDescent="0.5">
      <c r="A4231" t="str">
        <f>"035240AE0"</f>
        <v>035240AE0</v>
      </c>
      <c r="B4231" t="s">
        <v>101</v>
      </c>
      <c r="C4231" t="s">
        <v>5227</v>
      </c>
      <c r="D4231" t="s">
        <v>2433</v>
      </c>
      <c r="E4231">
        <v>6.625</v>
      </c>
      <c r="F4231" s="2">
        <v>48806</v>
      </c>
      <c r="G4231" s="2" t="s">
        <v>101</v>
      </c>
      <c r="H4231" t="s">
        <v>627</v>
      </c>
      <c r="I4231" t="s">
        <v>713</v>
      </c>
      <c r="J4231">
        <v>111.026</v>
      </c>
      <c r="K4231">
        <v>111.527</v>
      </c>
      <c r="L4231">
        <v>5.0039999999999996</v>
      </c>
      <c r="M4231">
        <v>4.9349999999999996</v>
      </c>
      <c r="N4231">
        <v>4.9349999999999996</v>
      </c>
      <c r="O4231" t="s">
        <v>101</v>
      </c>
      <c r="P4231" t="s">
        <v>858</v>
      </c>
      <c r="Q4231" t="s">
        <v>947</v>
      </c>
      <c r="R4231" t="s">
        <v>2436</v>
      </c>
    </row>
    <row r="4232" spans="1:18" x14ac:dyDescent="0.5">
      <c r="A4232" t="str">
        <f>"039482AE4"</f>
        <v>039482AE4</v>
      </c>
      <c r="B4232" t="s">
        <v>101</v>
      </c>
      <c r="C4232" t="s">
        <v>5228</v>
      </c>
      <c r="D4232" t="s">
        <v>2433</v>
      </c>
      <c r="E4232">
        <v>4.5</v>
      </c>
      <c r="F4232" s="2">
        <v>48806</v>
      </c>
      <c r="G4232" s="2">
        <v>48714</v>
      </c>
      <c r="H4232" t="s">
        <v>610</v>
      </c>
      <c r="I4232" t="s">
        <v>611</v>
      </c>
      <c r="J4232">
        <v>95.921000000000006</v>
      </c>
      <c r="K4232">
        <v>96.397999999999996</v>
      </c>
      <c r="L4232">
        <v>5.101</v>
      </c>
      <c r="M4232">
        <v>5.0289999999999999</v>
      </c>
      <c r="N4232">
        <v>5.0289999999999999</v>
      </c>
      <c r="O4232" t="s">
        <v>101</v>
      </c>
      <c r="P4232" t="s">
        <v>3878</v>
      </c>
      <c r="Q4232" t="s">
        <v>2564</v>
      </c>
      <c r="R4232" t="s">
        <v>2436</v>
      </c>
    </row>
    <row r="4233" spans="1:18" x14ac:dyDescent="0.5">
      <c r="A4233" t="str">
        <f>"48130CBN4"</f>
        <v>48130CBN4</v>
      </c>
      <c r="B4233" t="s">
        <v>101</v>
      </c>
      <c r="C4233" t="s">
        <v>5229</v>
      </c>
      <c r="D4233" t="s">
        <v>2433</v>
      </c>
      <c r="E4233">
        <v>6</v>
      </c>
      <c r="F4233" s="2">
        <v>48806</v>
      </c>
      <c r="G4233" s="2">
        <v>45884</v>
      </c>
      <c r="H4233" t="s">
        <v>641</v>
      </c>
      <c r="I4233" t="s">
        <v>611</v>
      </c>
      <c r="J4233">
        <v>100.133</v>
      </c>
      <c r="K4233">
        <v>100.494</v>
      </c>
      <c r="L4233">
        <v>5.6539999999999999</v>
      </c>
      <c r="M4233">
        <v>4.7919999999999998</v>
      </c>
      <c r="N4233">
        <v>5.9240000000000004</v>
      </c>
      <c r="O4233" t="s">
        <v>101</v>
      </c>
      <c r="P4233" t="s">
        <v>2595</v>
      </c>
      <c r="Q4233" t="s">
        <v>3975</v>
      </c>
      <c r="R4233" t="s">
        <v>2436</v>
      </c>
    </row>
    <row r="4234" spans="1:18" x14ac:dyDescent="0.5">
      <c r="A4234" t="str">
        <f>"86944BAK9"</f>
        <v>86944BAK9</v>
      </c>
      <c r="B4234" t="s">
        <v>101</v>
      </c>
      <c r="C4234" t="s">
        <v>5230</v>
      </c>
      <c r="D4234" t="s">
        <v>2433</v>
      </c>
      <c r="E4234">
        <v>5.1639999999999997</v>
      </c>
      <c r="F4234" s="2">
        <v>48806</v>
      </c>
      <c r="G4234" s="2">
        <v>48625</v>
      </c>
      <c r="H4234" t="s">
        <v>641</v>
      </c>
      <c r="I4234" t="s">
        <v>658</v>
      </c>
      <c r="J4234">
        <v>99.591999999999999</v>
      </c>
      <c r="K4234">
        <v>101.601</v>
      </c>
      <c r="L4234">
        <v>5.2240000000000002</v>
      </c>
      <c r="M4234">
        <v>4.9169999999999998</v>
      </c>
      <c r="N4234">
        <v>4.9290000000000003</v>
      </c>
      <c r="O4234" t="s">
        <v>101</v>
      </c>
      <c r="P4234" t="s">
        <v>663</v>
      </c>
      <c r="Q4234" t="s">
        <v>485</v>
      </c>
      <c r="R4234" t="s">
        <v>2436</v>
      </c>
    </row>
    <row r="4235" spans="1:18" x14ac:dyDescent="0.5">
      <c r="A4235" t="str">
        <f>"06055JBZ1"</f>
        <v>06055JBZ1</v>
      </c>
      <c r="B4235" t="s">
        <v>101</v>
      </c>
      <c r="C4235" t="s">
        <v>5231</v>
      </c>
      <c r="D4235" t="s">
        <v>2433</v>
      </c>
      <c r="E4235">
        <v>5.8</v>
      </c>
      <c r="F4235" s="2">
        <v>48809</v>
      </c>
      <c r="G4235" s="2">
        <v>45887</v>
      </c>
      <c r="H4235" t="s">
        <v>641</v>
      </c>
      <c r="I4235" t="s">
        <v>713</v>
      </c>
      <c r="J4235">
        <v>99.992999999999995</v>
      </c>
      <c r="K4235">
        <v>100.181</v>
      </c>
      <c r="L4235">
        <v>5.7939999999999996</v>
      </c>
      <c r="M4235">
        <v>5.3520000000000003</v>
      </c>
      <c r="N4235">
        <v>5.7720000000000002</v>
      </c>
      <c r="O4235" t="s">
        <v>101</v>
      </c>
      <c r="P4235" t="s">
        <v>2527</v>
      </c>
      <c r="Q4235" t="s">
        <v>663</v>
      </c>
      <c r="R4235" t="s">
        <v>2436</v>
      </c>
    </row>
    <row r="4236" spans="1:18" x14ac:dyDescent="0.5">
      <c r="A4236" t="str">
        <f>"06055JCC1"</f>
        <v>06055JCC1</v>
      </c>
      <c r="B4236" t="s">
        <v>101</v>
      </c>
      <c r="C4236" t="s">
        <v>5232</v>
      </c>
      <c r="D4236" t="s">
        <v>2433</v>
      </c>
      <c r="E4236">
        <v>6</v>
      </c>
      <c r="F4236" s="2">
        <v>48823</v>
      </c>
      <c r="G4236" s="2">
        <v>45901</v>
      </c>
      <c r="H4236" t="s">
        <v>641</v>
      </c>
      <c r="I4236" t="s">
        <v>713</v>
      </c>
      <c r="J4236">
        <v>99.796999999999997</v>
      </c>
      <c r="K4236">
        <v>100.441</v>
      </c>
      <c r="L4236">
        <v>6.0309999999999997</v>
      </c>
      <c r="M4236">
        <v>5.0289999999999999</v>
      </c>
      <c r="N4236">
        <v>5.9329999999999998</v>
      </c>
      <c r="O4236" t="s">
        <v>101</v>
      </c>
      <c r="P4236" t="s">
        <v>2527</v>
      </c>
      <c r="Q4236" t="s">
        <v>488</v>
      </c>
      <c r="R4236" t="s">
        <v>2726</v>
      </c>
    </row>
    <row r="4237" spans="1:18" x14ac:dyDescent="0.5">
      <c r="A4237" t="str">
        <f>"29366WAD8"</f>
        <v>29366WAD8</v>
      </c>
      <c r="B4237" t="s">
        <v>101</v>
      </c>
      <c r="C4237" t="s">
        <v>5233</v>
      </c>
      <c r="D4237" t="s">
        <v>2433</v>
      </c>
      <c r="E4237">
        <v>5</v>
      </c>
      <c r="F4237" s="2">
        <v>48823</v>
      </c>
      <c r="G4237" s="2">
        <v>48731</v>
      </c>
      <c r="H4237" t="s">
        <v>610</v>
      </c>
      <c r="I4237" t="s">
        <v>611</v>
      </c>
      <c r="J4237">
        <v>98.765000000000001</v>
      </c>
      <c r="K4237">
        <v>99.176000000000002</v>
      </c>
      <c r="L4237">
        <v>5.1820000000000004</v>
      </c>
      <c r="M4237">
        <v>5.1210000000000004</v>
      </c>
      <c r="N4237">
        <v>5.1210000000000004</v>
      </c>
      <c r="O4237" t="s">
        <v>101</v>
      </c>
      <c r="P4237" t="s">
        <v>4600</v>
      </c>
      <c r="Q4237" t="s">
        <v>2527</v>
      </c>
      <c r="R4237" t="s">
        <v>2436</v>
      </c>
    </row>
    <row r="4238" spans="1:18" x14ac:dyDescent="0.5">
      <c r="A4238" t="str">
        <f>"718172DE6"</f>
        <v>718172DE6</v>
      </c>
      <c r="B4238" t="s">
        <v>101</v>
      </c>
      <c r="C4238" t="s">
        <v>5234</v>
      </c>
      <c r="D4238" t="s">
        <v>2433</v>
      </c>
      <c r="E4238">
        <v>5.625</v>
      </c>
      <c r="F4238" s="2">
        <v>48829</v>
      </c>
      <c r="G4238" s="2">
        <v>48737</v>
      </c>
      <c r="H4238" t="s">
        <v>610</v>
      </c>
      <c r="I4238" t="s">
        <v>713</v>
      </c>
      <c r="J4238">
        <v>103.11199999999999</v>
      </c>
      <c r="K4238">
        <v>103.244</v>
      </c>
      <c r="L4238">
        <v>5.157</v>
      </c>
      <c r="M4238">
        <v>5.1379999999999999</v>
      </c>
      <c r="N4238">
        <v>5.1479999999999997</v>
      </c>
      <c r="O4238" t="s">
        <v>101</v>
      </c>
      <c r="P4238" t="s">
        <v>1702</v>
      </c>
      <c r="Q4238" t="s">
        <v>2454</v>
      </c>
      <c r="R4238" t="s">
        <v>2436</v>
      </c>
    </row>
    <row r="4239" spans="1:18" x14ac:dyDescent="0.5">
      <c r="A4239" t="str">
        <f>"055451BE7"</f>
        <v>055451BE7</v>
      </c>
      <c r="B4239" t="s">
        <v>101</v>
      </c>
      <c r="C4239" t="s">
        <v>5235</v>
      </c>
      <c r="D4239" t="s">
        <v>2433</v>
      </c>
      <c r="E4239">
        <v>5.25</v>
      </c>
      <c r="F4239" s="2">
        <v>48830</v>
      </c>
      <c r="G4239" s="2">
        <v>48738</v>
      </c>
      <c r="H4239" t="s">
        <v>641</v>
      </c>
      <c r="I4239" t="s">
        <v>713</v>
      </c>
      <c r="J4239">
        <v>100.723</v>
      </c>
      <c r="K4239">
        <v>100.879</v>
      </c>
      <c r="L4239">
        <v>5.1420000000000003</v>
      </c>
      <c r="M4239">
        <v>5.1189999999999998</v>
      </c>
      <c r="N4239">
        <v>5.1210000000000004</v>
      </c>
      <c r="O4239" t="s">
        <v>101</v>
      </c>
      <c r="P4239" t="s">
        <v>2447</v>
      </c>
      <c r="Q4239" t="s">
        <v>2454</v>
      </c>
      <c r="R4239" t="s">
        <v>2436</v>
      </c>
    </row>
    <row r="4240" spans="1:18" x14ac:dyDescent="0.5">
      <c r="A4240" t="str">
        <f>"24422EXE4"</f>
        <v>24422EXE4</v>
      </c>
      <c r="B4240" t="s">
        <v>101</v>
      </c>
      <c r="C4240" t="s">
        <v>5236</v>
      </c>
      <c r="D4240" t="s">
        <v>2433</v>
      </c>
      <c r="E4240">
        <v>5.15</v>
      </c>
      <c r="F4240" s="2">
        <v>48830</v>
      </c>
      <c r="G4240" s="2" t="s">
        <v>105</v>
      </c>
      <c r="H4240" t="s">
        <v>641</v>
      </c>
      <c r="I4240" t="s">
        <v>611</v>
      </c>
      <c r="J4240">
        <v>101.16200000000001</v>
      </c>
      <c r="K4240">
        <v>101.43</v>
      </c>
      <c r="L4240">
        <v>4.9800000000000004</v>
      </c>
      <c r="M4240">
        <v>4.9420000000000002</v>
      </c>
      <c r="N4240">
        <v>4.9420000000000002</v>
      </c>
      <c r="O4240" t="s">
        <v>101</v>
      </c>
      <c r="P4240" t="s">
        <v>3075</v>
      </c>
      <c r="Q4240" t="s">
        <v>2507</v>
      </c>
      <c r="R4240" t="s">
        <v>2465</v>
      </c>
    </row>
    <row r="4241" spans="1:18" x14ac:dyDescent="0.5">
      <c r="A4241" t="str">
        <f>"748148SE4"</f>
        <v>748148SE4</v>
      </c>
      <c r="B4241" t="s">
        <v>101</v>
      </c>
      <c r="C4241" t="s">
        <v>5237</v>
      </c>
      <c r="D4241" t="s">
        <v>2433</v>
      </c>
      <c r="E4241">
        <v>4.5</v>
      </c>
      <c r="F4241" s="2">
        <v>48830</v>
      </c>
      <c r="G4241" s="2" t="s">
        <v>105</v>
      </c>
      <c r="H4241" t="s">
        <v>613</v>
      </c>
      <c r="I4241" t="s">
        <v>616</v>
      </c>
      <c r="J4241">
        <v>98.581000000000003</v>
      </c>
      <c r="K4241">
        <v>99.793000000000006</v>
      </c>
      <c r="L4241">
        <v>4.7050000000000001</v>
      </c>
      <c r="M4241">
        <v>4.53</v>
      </c>
      <c r="N4241">
        <v>4.53</v>
      </c>
      <c r="O4241" t="s">
        <v>101</v>
      </c>
      <c r="P4241" t="s">
        <v>2618</v>
      </c>
      <c r="Q4241" t="s">
        <v>2618</v>
      </c>
      <c r="R4241" t="s">
        <v>2885</v>
      </c>
    </row>
    <row r="4242" spans="1:18" x14ac:dyDescent="0.5">
      <c r="A4242" t="str">
        <f>"10373QBV1"</f>
        <v>10373QBV1</v>
      </c>
      <c r="B4242" t="s">
        <v>101</v>
      </c>
      <c r="C4242" t="s">
        <v>5238</v>
      </c>
      <c r="D4242" t="s">
        <v>2433</v>
      </c>
      <c r="E4242">
        <v>4.8929999999999998</v>
      </c>
      <c r="F4242" s="2">
        <v>48833</v>
      </c>
      <c r="G4242" s="2">
        <v>48741</v>
      </c>
      <c r="H4242" t="s">
        <v>641</v>
      </c>
      <c r="I4242" t="s">
        <v>713</v>
      </c>
      <c r="J4242">
        <v>97.896000000000001</v>
      </c>
      <c r="K4242">
        <v>98.195999999999998</v>
      </c>
      <c r="L4242">
        <v>5.202</v>
      </c>
      <c r="M4242">
        <v>5.1580000000000004</v>
      </c>
      <c r="N4242">
        <v>5.1580000000000004</v>
      </c>
      <c r="O4242" t="s">
        <v>101</v>
      </c>
      <c r="P4242" t="s">
        <v>2527</v>
      </c>
      <c r="Q4242" t="s">
        <v>2460</v>
      </c>
      <c r="R4242" t="s">
        <v>2436</v>
      </c>
    </row>
    <row r="4243" spans="1:18" x14ac:dyDescent="0.5">
      <c r="A4243" t="str">
        <f>"48130CBX2"</f>
        <v>48130CBX2</v>
      </c>
      <c r="B4243" t="s">
        <v>101</v>
      </c>
      <c r="C4243" t="s">
        <v>5239</v>
      </c>
      <c r="D4243" t="s">
        <v>2433</v>
      </c>
      <c r="E4243">
        <v>6.15</v>
      </c>
      <c r="F4243" s="2">
        <v>48834</v>
      </c>
      <c r="G4243" s="2">
        <v>45912</v>
      </c>
      <c r="H4243" t="s">
        <v>641</v>
      </c>
      <c r="I4243" t="s">
        <v>611</v>
      </c>
      <c r="J4243">
        <v>100.236</v>
      </c>
      <c r="K4243">
        <v>100.756</v>
      </c>
      <c r="L4243">
        <v>5.665</v>
      </c>
      <c r="M4243">
        <v>4.6029999999999998</v>
      </c>
      <c r="N4243">
        <v>6.0350000000000001</v>
      </c>
      <c r="O4243" t="s">
        <v>101</v>
      </c>
      <c r="P4243" t="s">
        <v>2527</v>
      </c>
      <c r="Q4243" t="s">
        <v>2590</v>
      </c>
      <c r="R4243" t="s">
        <v>2436</v>
      </c>
    </row>
    <row r="4244" spans="1:18" x14ac:dyDescent="0.5">
      <c r="A4244" t="str">
        <f>"4581X0EL8"</f>
        <v>4581X0EL8</v>
      </c>
      <c r="B4244" t="s">
        <v>101</v>
      </c>
      <c r="C4244" t="s">
        <v>5240</v>
      </c>
      <c r="D4244" t="s">
        <v>2433</v>
      </c>
      <c r="E4244">
        <v>4.5</v>
      </c>
      <c r="F4244" s="2">
        <v>48835</v>
      </c>
      <c r="G4244" s="2" t="s">
        <v>105</v>
      </c>
      <c r="H4244" t="s">
        <v>104</v>
      </c>
      <c r="I4244" t="s">
        <v>104</v>
      </c>
      <c r="J4244">
        <v>100.238</v>
      </c>
      <c r="K4244">
        <v>101.377</v>
      </c>
      <c r="L4244">
        <v>4.4660000000000002</v>
      </c>
      <c r="M4244">
        <v>4.3049999999999997</v>
      </c>
      <c r="N4244">
        <v>4.3049999999999997</v>
      </c>
      <c r="O4244" t="s">
        <v>101</v>
      </c>
      <c r="P4244" t="s">
        <v>5241</v>
      </c>
      <c r="Q4244" t="s">
        <v>5241</v>
      </c>
      <c r="R4244" t="s">
        <v>2713</v>
      </c>
    </row>
    <row r="4245" spans="1:18" x14ac:dyDescent="0.5">
      <c r="A4245" t="str">
        <f>"86562MDJ6"</f>
        <v>86562MDJ6</v>
      </c>
      <c r="B4245" t="s">
        <v>101</v>
      </c>
      <c r="C4245" t="s">
        <v>5242</v>
      </c>
      <c r="D4245" t="s">
        <v>2433</v>
      </c>
      <c r="E4245">
        <v>5.8079999999999998</v>
      </c>
      <c r="F4245" s="2">
        <v>48836</v>
      </c>
      <c r="G4245" s="2" t="s">
        <v>101</v>
      </c>
      <c r="H4245" t="s">
        <v>641</v>
      </c>
      <c r="I4245" t="s">
        <v>713</v>
      </c>
      <c r="J4245">
        <v>104.60299999999999</v>
      </c>
      <c r="K4245">
        <v>105.02200000000001</v>
      </c>
      <c r="L4245">
        <v>5.133</v>
      </c>
      <c r="M4245">
        <v>5.0739999999999998</v>
      </c>
      <c r="N4245">
        <v>5.0739999999999998</v>
      </c>
      <c r="O4245" t="s">
        <v>101</v>
      </c>
      <c r="P4245" t="s">
        <v>4596</v>
      </c>
      <c r="Q4245" t="s">
        <v>542</v>
      </c>
      <c r="R4245" t="s">
        <v>2436</v>
      </c>
    </row>
    <row r="4246" spans="1:18" x14ac:dyDescent="0.5">
      <c r="A4246" t="str">
        <f>"20826FBF2"</f>
        <v>20826FBF2</v>
      </c>
      <c r="B4246" t="s">
        <v>101</v>
      </c>
      <c r="C4246" t="s">
        <v>5243</v>
      </c>
      <c r="D4246" t="s">
        <v>2433</v>
      </c>
      <c r="E4246">
        <v>5.05</v>
      </c>
      <c r="F4246" s="2">
        <v>48837</v>
      </c>
      <c r="G4246" s="2">
        <v>48745</v>
      </c>
      <c r="H4246" t="s">
        <v>610</v>
      </c>
      <c r="I4246" t="s">
        <v>713</v>
      </c>
      <c r="J4246">
        <v>99.742999999999995</v>
      </c>
      <c r="K4246">
        <v>99.873000000000005</v>
      </c>
      <c r="L4246">
        <v>5.0880000000000001</v>
      </c>
      <c r="M4246">
        <v>5.0679999999999996</v>
      </c>
      <c r="N4246">
        <v>5.0679999999999996</v>
      </c>
      <c r="O4246" t="s">
        <v>101</v>
      </c>
      <c r="P4246" t="s">
        <v>2776</v>
      </c>
      <c r="Q4246" t="s">
        <v>2786</v>
      </c>
      <c r="R4246" t="s">
        <v>2436</v>
      </c>
    </row>
    <row r="4247" spans="1:18" x14ac:dyDescent="0.5">
      <c r="A4247" t="str">
        <f>"144141CU0"</f>
        <v>144141CU0</v>
      </c>
      <c r="B4247" t="s">
        <v>101</v>
      </c>
      <c r="C4247" t="s">
        <v>5244</v>
      </c>
      <c r="D4247" t="s">
        <v>2433</v>
      </c>
      <c r="E4247">
        <v>6.125</v>
      </c>
      <c r="F4247" s="2">
        <v>48837</v>
      </c>
      <c r="G4247" s="2" t="s">
        <v>101</v>
      </c>
      <c r="H4247" t="s">
        <v>624</v>
      </c>
      <c r="I4247" t="s">
        <v>611</v>
      </c>
      <c r="J4247">
        <v>106.879</v>
      </c>
      <c r="K4247">
        <v>107.697</v>
      </c>
      <c r="L4247">
        <v>5.1180000000000003</v>
      </c>
      <c r="M4247">
        <v>5.0030000000000001</v>
      </c>
      <c r="N4247">
        <v>5.0030000000000001</v>
      </c>
      <c r="O4247" t="s">
        <v>101</v>
      </c>
      <c r="P4247" t="s">
        <v>858</v>
      </c>
      <c r="Q4247" t="s">
        <v>858</v>
      </c>
      <c r="R4247" t="s">
        <v>2436</v>
      </c>
    </row>
    <row r="4248" spans="1:18" x14ac:dyDescent="0.5">
      <c r="A4248" t="str">
        <f>"29366MAE8"</f>
        <v>29366MAE8</v>
      </c>
      <c r="B4248" t="s">
        <v>101</v>
      </c>
      <c r="C4248" t="s">
        <v>5245</v>
      </c>
      <c r="D4248" t="s">
        <v>2433</v>
      </c>
      <c r="E4248">
        <v>5.3</v>
      </c>
      <c r="F4248" s="2">
        <v>48837</v>
      </c>
      <c r="G4248" s="2">
        <v>48745</v>
      </c>
      <c r="H4248" t="s">
        <v>610</v>
      </c>
      <c r="I4248" t="s">
        <v>611</v>
      </c>
      <c r="J4248">
        <v>101.63500000000001</v>
      </c>
      <c r="K4248">
        <v>102.08</v>
      </c>
      <c r="L4248">
        <v>5.056</v>
      </c>
      <c r="M4248">
        <v>4.99</v>
      </c>
      <c r="N4248">
        <v>4.9969999999999999</v>
      </c>
      <c r="O4248" t="s">
        <v>101</v>
      </c>
      <c r="P4248" t="s">
        <v>4600</v>
      </c>
      <c r="Q4248" t="s">
        <v>3206</v>
      </c>
      <c r="R4248" t="s">
        <v>2436</v>
      </c>
    </row>
    <row r="4249" spans="1:18" x14ac:dyDescent="0.5">
      <c r="A4249" t="str">
        <f>"46124HAG1"</f>
        <v>46124HAG1</v>
      </c>
      <c r="B4249" t="s">
        <v>101</v>
      </c>
      <c r="C4249" t="s">
        <v>5246</v>
      </c>
      <c r="D4249" t="s">
        <v>2433</v>
      </c>
      <c r="E4249">
        <v>5.2</v>
      </c>
      <c r="F4249" s="2">
        <v>48837</v>
      </c>
      <c r="G4249" s="2">
        <v>48745</v>
      </c>
      <c r="H4249" t="s">
        <v>627</v>
      </c>
      <c r="I4249" t="s">
        <v>713</v>
      </c>
      <c r="J4249">
        <v>101.18600000000001</v>
      </c>
      <c r="K4249">
        <v>101.44499999999999</v>
      </c>
      <c r="L4249">
        <v>5.0229999999999997</v>
      </c>
      <c r="M4249">
        <v>4.9850000000000003</v>
      </c>
      <c r="N4249">
        <v>4.9889999999999999</v>
      </c>
      <c r="O4249" t="s">
        <v>101</v>
      </c>
      <c r="P4249" t="s">
        <v>4569</v>
      </c>
      <c r="Q4249" t="s">
        <v>2454</v>
      </c>
      <c r="R4249" t="s">
        <v>2436</v>
      </c>
    </row>
    <row r="4250" spans="1:18" x14ac:dyDescent="0.5">
      <c r="A4250" t="str">
        <f>"571748BU5"</f>
        <v>571748BU5</v>
      </c>
      <c r="B4250" t="s">
        <v>101</v>
      </c>
      <c r="C4250" t="s">
        <v>5247</v>
      </c>
      <c r="D4250" t="s">
        <v>2433</v>
      </c>
      <c r="E4250">
        <v>5.4</v>
      </c>
      <c r="F4250" s="2">
        <v>48837</v>
      </c>
      <c r="G4250" s="2">
        <v>48745</v>
      </c>
      <c r="H4250" t="s">
        <v>627</v>
      </c>
      <c r="I4250" t="s">
        <v>713</v>
      </c>
      <c r="J4250">
        <v>102.128</v>
      </c>
      <c r="K4250">
        <v>102.254</v>
      </c>
      <c r="L4250">
        <v>5.0819999999999999</v>
      </c>
      <c r="M4250">
        <v>5.0629999999999997</v>
      </c>
      <c r="N4250">
        <v>5.07</v>
      </c>
      <c r="O4250" t="s">
        <v>101</v>
      </c>
      <c r="P4250" t="s">
        <v>2472</v>
      </c>
      <c r="Q4250" t="s">
        <v>2581</v>
      </c>
      <c r="R4250" t="s">
        <v>2436</v>
      </c>
    </row>
    <row r="4251" spans="1:18" x14ac:dyDescent="0.5">
      <c r="A4251" t="str">
        <f>"759351AR0"</f>
        <v>759351AR0</v>
      </c>
      <c r="B4251" t="s">
        <v>101</v>
      </c>
      <c r="C4251" t="s">
        <v>5248</v>
      </c>
      <c r="D4251" t="s">
        <v>2433</v>
      </c>
      <c r="E4251">
        <v>6</v>
      </c>
      <c r="F4251" s="2">
        <v>48837</v>
      </c>
      <c r="G4251" s="2">
        <v>48745</v>
      </c>
      <c r="H4251" t="s">
        <v>670</v>
      </c>
      <c r="I4251" t="s">
        <v>611</v>
      </c>
      <c r="J4251">
        <v>103.209</v>
      </c>
      <c r="K4251">
        <v>103.373</v>
      </c>
      <c r="L4251">
        <v>5.5119999999999996</v>
      </c>
      <c r="M4251">
        <v>5.4870000000000001</v>
      </c>
      <c r="N4251">
        <v>5.4980000000000002</v>
      </c>
      <c r="O4251" t="s">
        <v>101</v>
      </c>
      <c r="P4251" t="s">
        <v>2447</v>
      </c>
      <c r="Q4251" t="s">
        <v>2454</v>
      </c>
      <c r="R4251" t="s">
        <v>2436</v>
      </c>
    </row>
    <row r="4252" spans="1:18" x14ac:dyDescent="0.5">
      <c r="A4252" t="str">
        <f>"78014RQF0"</f>
        <v>78014RQF0</v>
      </c>
      <c r="B4252" t="s">
        <v>101</v>
      </c>
      <c r="C4252" t="s">
        <v>5249</v>
      </c>
      <c r="D4252" t="s">
        <v>2433</v>
      </c>
      <c r="E4252">
        <v>6</v>
      </c>
      <c r="F4252" s="2">
        <v>48837</v>
      </c>
      <c r="G4252" s="2">
        <v>45915</v>
      </c>
      <c r="H4252" t="s">
        <v>641</v>
      </c>
      <c r="I4252" t="s">
        <v>611</v>
      </c>
      <c r="J4252">
        <v>99.643000000000001</v>
      </c>
      <c r="K4252">
        <v>100.625</v>
      </c>
      <c r="L4252">
        <v>6.0540000000000003</v>
      </c>
      <c r="M4252">
        <v>4.74</v>
      </c>
      <c r="N4252">
        <v>5.9050000000000002</v>
      </c>
      <c r="O4252" t="s">
        <v>101</v>
      </c>
      <c r="P4252" t="s">
        <v>2595</v>
      </c>
      <c r="Q4252" t="s">
        <v>457</v>
      </c>
      <c r="R4252" t="s">
        <v>2436</v>
      </c>
    </row>
    <row r="4253" spans="1:18" x14ac:dyDescent="0.5">
      <c r="A4253" t="str">
        <f>"8426EPAG3"</f>
        <v>8426EPAG3</v>
      </c>
      <c r="B4253" t="s">
        <v>101</v>
      </c>
      <c r="C4253" t="s">
        <v>5250</v>
      </c>
      <c r="D4253" t="s">
        <v>2433</v>
      </c>
      <c r="E4253">
        <v>5.75</v>
      </c>
      <c r="F4253" s="2">
        <v>48837</v>
      </c>
      <c r="G4253" s="2">
        <v>48653</v>
      </c>
      <c r="H4253" t="s">
        <v>670</v>
      </c>
      <c r="I4253" t="s">
        <v>713</v>
      </c>
      <c r="J4253">
        <v>102.63</v>
      </c>
      <c r="K4253">
        <v>103.078</v>
      </c>
      <c r="L4253">
        <v>5.3419999999999996</v>
      </c>
      <c r="M4253">
        <v>5.274</v>
      </c>
      <c r="N4253">
        <v>5.2960000000000003</v>
      </c>
      <c r="O4253" t="s">
        <v>101</v>
      </c>
      <c r="P4253" t="s">
        <v>2765</v>
      </c>
      <c r="Q4253" t="s">
        <v>1391</v>
      </c>
      <c r="R4253" t="s">
        <v>2436</v>
      </c>
    </row>
    <row r="4254" spans="1:18" x14ac:dyDescent="0.5">
      <c r="A4254" t="str">
        <f>"46513EFG2"</f>
        <v>46513EFG2</v>
      </c>
      <c r="B4254" t="s">
        <v>101</v>
      </c>
      <c r="C4254" t="s">
        <v>5251</v>
      </c>
      <c r="D4254" t="s">
        <v>2433</v>
      </c>
      <c r="E4254">
        <v>5.5</v>
      </c>
      <c r="F4254" s="2">
        <v>48840</v>
      </c>
      <c r="G4254" s="2" t="s">
        <v>105</v>
      </c>
      <c r="H4254" t="s">
        <v>104</v>
      </c>
      <c r="I4254" t="s">
        <v>509</v>
      </c>
      <c r="J4254">
        <v>100</v>
      </c>
      <c r="K4254">
        <v>106.791</v>
      </c>
      <c r="L4254">
        <v>5.5</v>
      </c>
      <c r="M4254">
        <v>4.53</v>
      </c>
      <c r="N4254">
        <v>4.53</v>
      </c>
      <c r="O4254" t="s">
        <v>101</v>
      </c>
      <c r="P4254" t="s">
        <v>2791</v>
      </c>
      <c r="Q4254" t="s">
        <v>5252</v>
      </c>
      <c r="R4254" t="s">
        <v>2839</v>
      </c>
    </row>
    <row r="4255" spans="1:18" x14ac:dyDescent="0.5">
      <c r="A4255" t="str">
        <f>"06055JCG2"</f>
        <v>06055JCG2</v>
      </c>
      <c r="B4255" t="s">
        <v>101</v>
      </c>
      <c r="C4255" t="s">
        <v>5253</v>
      </c>
      <c r="D4255" t="s">
        <v>2433</v>
      </c>
      <c r="E4255">
        <v>6</v>
      </c>
      <c r="F4255" s="2">
        <v>48841</v>
      </c>
      <c r="G4255" s="2">
        <v>45919</v>
      </c>
      <c r="H4255" t="s">
        <v>641</v>
      </c>
      <c r="I4255" t="s">
        <v>713</v>
      </c>
      <c r="J4255">
        <v>100.08199999999999</v>
      </c>
      <c r="K4255">
        <v>100.312</v>
      </c>
      <c r="L4255">
        <v>5.8339999999999996</v>
      </c>
      <c r="M4255">
        <v>5.38</v>
      </c>
      <c r="N4255">
        <v>5.9530000000000003</v>
      </c>
      <c r="O4255" t="s">
        <v>101</v>
      </c>
      <c r="P4255" t="s">
        <v>2595</v>
      </c>
      <c r="Q4255" t="s">
        <v>3712</v>
      </c>
      <c r="R4255" t="s">
        <v>2436</v>
      </c>
    </row>
    <row r="4256" spans="1:18" x14ac:dyDescent="0.5">
      <c r="A4256" t="str">
        <f>"341081ER4"</f>
        <v>341081ER4</v>
      </c>
      <c r="B4256" t="s">
        <v>101</v>
      </c>
      <c r="C4256" t="s">
        <v>5254</v>
      </c>
      <c r="D4256" t="s">
        <v>2433</v>
      </c>
      <c r="E4256">
        <v>5.95</v>
      </c>
      <c r="F4256" s="2">
        <v>48853</v>
      </c>
      <c r="G4256" s="2" t="s">
        <v>101</v>
      </c>
      <c r="H4256" t="s">
        <v>613</v>
      </c>
      <c r="I4256" t="s">
        <v>658</v>
      </c>
      <c r="J4256">
        <v>105.262</v>
      </c>
      <c r="K4256">
        <v>106.639</v>
      </c>
      <c r="L4256">
        <v>5.18</v>
      </c>
      <c r="M4256">
        <v>4.9870000000000001</v>
      </c>
      <c r="N4256">
        <v>4.9870000000000001</v>
      </c>
      <c r="O4256" t="s">
        <v>101</v>
      </c>
      <c r="P4256" t="s">
        <v>1064</v>
      </c>
      <c r="Q4256" t="s">
        <v>2507</v>
      </c>
      <c r="R4256" t="s">
        <v>2436</v>
      </c>
    </row>
    <row r="4257" spans="1:18" x14ac:dyDescent="0.5">
      <c r="A4257" t="str">
        <f>"744538AF6"</f>
        <v>744538AF6</v>
      </c>
      <c r="B4257" t="s">
        <v>101</v>
      </c>
      <c r="C4257" t="s">
        <v>5255</v>
      </c>
      <c r="D4257" t="s">
        <v>2433</v>
      </c>
      <c r="E4257">
        <v>5.35</v>
      </c>
      <c r="F4257" s="2">
        <v>48853</v>
      </c>
      <c r="G4257" s="2">
        <v>48761</v>
      </c>
      <c r="H4257" t="s">
        <v>641</v>
      </c>
      <c r="I4257" t="s">
        <v>611</v>
      </c>
      <c r="J4257">
        <v>101.371</v>
      </c>
      <c r="K4257">
        <v>101.887</v>
      </c>
      <c r="L4257">
        <v>5.1449999999999996</v>
      </c>
      <c r="M4257">
        <v>5.069</v>
      </c>
      <c r="N4257">
        <v>5.0750000000000002</v>
      </c>
      <c r="O4257" t="s">
        <v>101</v>
      </c>
      <c r="P4257" t="s">
        <v>3878</v>
      </c>
      <c r="Q4257" t="s">
        <v>2454</v>
      </c>
      <c r="R4257" t="s">
        <v>2436</v>
      </c>
    </row>
    <row r="4258" spans="1:18" x14ac:dyDescent="0.5">
      <c r="A4258" t="str">
        <f>"13607LWW9"</f>
        <v>13607LWW9</v>
      </c>
      <c r="B4258" t="s">
        <v>101</v>
      </c>
      <c r="C4258" t="s">
        <v>5256</v>
      </c>
      <c r="D4258" t="s">
        <v>2433</v>
      </c>
      <c r="E4258">
        <v>6.0919999999999996</v>
      </c>
      <c r="F4258" s="2">
        <v>48855</v>
      </c>
      <c r="G4258" s="2">
        <v>48763</v>
      </c>
      <c r="H4258" t="s">
        <v>610</v>
      </c>
      <c r="I4258" t="s">
        <v>713</v>
      </c>
      <c r="J4258">
        <v>105.32</v>
      </c>
      <c r="K4258">
        <v>105.753</v>
      </c>
      <c r="L4258">
        <v>5.2930000000000001</v>
      </c>
      <c r="M4258">
        <v>5.23</v>
      </c>
      <c r="N4258">
        <v>5.2480000000000002</v>
      </c>
      <c r="O4258" t="s">
        <v>101</v>
      </c>
      <c r="P4258" t="s">
        <v>1702</v>
      </c>
      <c r="Q4258" t="s">
        <v>2940</v>
      </c>
      <c r="R4258" t="s">
        <v>2436</v>
      </c>
    </row>
    <row r="4259" spans="1:18" x14ac:dyDescent="0.5">
      <c r="A4259" t="str">
        <f>"731011AV4"</f>
        <v>731011AV4</v>
      </c>
      <c r="B4259" t="s">
        <v>101</v>
      </c>
      <c r="C4259" t="s">
        <v>5257</v>
      </c>
      <c r="D4259" t="s">
        <v>2433</v>
      </c>
      <c r="E4259">
        <v>4.875</v>
      </c>
      <c r="F4259" s="2">
        <v>48856</v>
      </c>
      <c r="G4259" s="2">
        <v>48764</v>
      </c>
      <c r="H4259" t="s">
        <v>610</v>
      </c>
      <c r="I4259" t="s">
        <v>713</v>
      </c>
      <c r="J4259">
        <v>97.81</v>
      </c>
      <c r="K4259">
        <v>98.203000000000003</v>
      </c>
      <c r="L4259">
        <v>5.1950000000000003</v>
      </c>
      <c r="M4259">
        <v>5.1369999999999996</v>
      </c>
      <c r="N4259">
        <v>5.1369999999999996</v>
      </c>
      <c r="O4259" t="s">
        <v>101</v>
      </c>
      <c r="P4259" t="s">
        <v>5258</v>
      </c>
      <c r="Q4259" t="s">
        <v>2948</v>
      </c>
      <c r="R4259" t="s">
        <v>2436</v>
      </c>
    </row>
    <row r="4260" spans="1:18" x14ac:dyDescent="0.5">
      <c r="A4260" t="str">
        <f>"25243YBN8"</f>
        <v>25243YBN8</v>
      </c>
      <c r="B4260" t="s">
        <v>101</v>
      </c>
      <c r="C4260" t="s">
        <v>5259</v>
      </c>
      <c r="D4260" t="s">
        <v>2433</v>
      </c>
      <c r="E4260">
        <v>5.625</v>
      </c>
      <c r="F4260" s="2">
        <v>48857</v>
      </c>
      <c r="G4260" s="2">
        <v>48765</v>
      </c>
      <c r="H4260" t="s">
        <v>627</v>
      </c>
      <c r="I4260" t="s">
        <v>713</v>
      </c>
      <c r="J4260">
        <v>103.154</v>
      </c>
      <c r="K4260">
        <v>103.47499999999999</v>
      </c>
      <c r="L4260">
        <v>5.1539999999999999</v>
      </c>
      <c r="M4260">
        <v>5.1070000000000002</v>
      </c>
      <c r="N4260">
        <v>5.1180000000000003</v>
      </c>
      <c r="O4260" t="s">
        <v>101</v>
      </c>
      <c r="P4260" t="s">
        <v>4596</v>
      </c>
      <c r="Q4260" t="s">
        <v>2687</v>
      </c>
      <c r="R4260" t="s">
        <v>2436</v>
      </c>
    </row>
    <row r="4261" spans="1:18" x14ac:dyDescent="0.5">
      <c r="A4261" t="str">
        <f>"29736RAA8"</f>
        <v>29736RAA8</v>
      </c>
      <c r="B4261" t="s">
        <v>101</v>
      </c>
      <c r="C4261" t="s">
        <v>5260</v>
      </c>
      <c r="D4261" t="s">
        <v>2433</v>
      </c>
      <c r="E4261">
        <v>5.75</v>
      </c>
      <c r="F4261" s="2">
        <v>48867</v>
      </c>
      <c r="G4261" s="2" t="s">
        <v>101</v>
      </c>
      <c r="H4261" t="s">
        <v>610</v>
      </c>
      <c r="I4261" t="s">
        <v>713</v>
      </c>
      <c r="J4261">
        <v>101.6</v>
      </c>
      <c r="K4261">
        <v>108.229</v>
      </c>
      <c r="L4261">
        <v>5.5129999999999999</v>
      </c>
      <c r="M4261">
        <v>4.58</v>
      </c>
      <c r="N4261">
        <v>4.58</v>
      </c>
      <c r="O4261" t="s">
        <v>101</v>
      </c>
      <c r="P4261" t="s">
        <v>2511</v>
      </c>
      <c r="Q4261" t="s">
        <v>5261</v>
      </c>
      <c r="R4261" t="s">
        <v>2436</v>
      </c>
    </row>
    <row r="4262" spans="1:18" x14ac:dyDescent="0.5">
      <c r="A4262" t="str">
        <f>"06745NPJ9"</f>
        <v>06745NPJ9</v>
      </c>
      <c r="B4262" t="s">
        <v>101</v>
      </c>
      <c r="C4262" t="s">
        <v>5262</v>
      </c>
      <c r="D4262" t="s">
        <v>2433</v>
      </c>
      <c r="E4262">
        <v>6.3</v>
      </c>
      <c r="F4262" s="2">
        <v>48872</v>
      </c>
      <c r="G4262" s="2">
        <v>45950</v>
      </c>
      <c r="H4262" t="s">
        <v>641</v>
      </c>
      <c r="I4262" t="s">
        <v>658</v>
      </c>
      <c r="J4262">
        <v>100.012</v>
      </c>
      <c r="K4262">
        <v>100.777</v>
      </c>
      <c r="L4262">
        <v>6.266</v>
      </c>
      <c r="M4262">
        <v>4.9710000000000001</v>
      </c>
      <c r="N4262">
        <v>6.181</v>
      </c>
      <c r="O4262" t="s">
        <v>101</v>
      </c>
      <c r="P4262" t="s">
        <v>2527</v>
      </c>
      <c r="Q4262" t="s">
        <v>5263</v>
      </c>
      <c r="R4262" t="s">
        <v>2436</v>
      </c>
    </row>
    <row r="4263" spans="1:18" x14ac:dyDescent="0.5">
      <c r="A4263" t="str">
        <f>"136375DH2"</f>
        <v>136375DH2</v>
      </c>
      <c r="B4263" t="s">
        <v>101</v>
      </c>
      <c r="C4263" t="s">
        <v>5264</v>
      </c>
      <c r="D4263" t="s">
        <v>2433</v>
      </c>
      <c r="E4263">
        <v>5.85</v>
      </c>
      <c r="F4263" s="2">
        <v>48884</v>
      </c>
      <c r="G4263" s="2">
        <v>48792</v>
      </c>
      <c r="H4263" t="s">
        <v>610</v>
      </c>
      <c r="I4263" t="s">
        <v>713</v>
      </c>
      <c r="J4263">
        <v>105.32599999999999</v>
      </c>
      <c r="K4263">
        <v>106.18</v>
      </c>
      <c r="L4263">
        <v>5.0629999999999997</v>
      </c>
      <c r="M4263">
        <v>4.9409999999999998</v>
      </c>
      <c r="N4263">
        <v>4.96</v>
      </c>
      <c r="O4263" t="s">
        <v>101</v>
      </c>
      <c r="P4263" t="s">
        <v>3878</v>
      </c>
      <c r="Q4263" t="s">
        <v>3178</v>
      </c>
      <c r="R4263" t="s">
        <v>2436</v>
      </c>
    </row>
    <row r="4264" spans="1:18" x14ac:dyDescent="0.5">
      <c r="A4264" t="str">
        <f>"05964HAZ8"</f>
        <v>05964HAZ8</v>
      </c>
      <c r="B4264" t="s">
        <v>101</v>
      </c>
      <c r="C4264" t="s">
        <v>5265</v>
      </c>
      <c r="D4264" t="s">
        <v>2433</v>
      </c>
      <c r="E4264">
        <v>6.9379999999999997</v>
      </c>
      <c r="F4264" s="2">
        <v>48890</v>
      </c>
      <c r="G4264" s="2" t="s">
        <v>101</v>
      </c>
      <c r="H4264" t="s">
        <v>610</v>
      </c>
      <c r="I4264" t="s">
        <v>658</v>
      </c>
      <c r="J4264">
        <v>111.07899999999999</v>
      </c>
      <c r="K4264">
        <v>111.491</v>
      </c>
      <c r="L4264">
        <v>5.3220000000000001</v>
      </c>
      <c r="M4264">
        <v>5.266</v>
      </c>
      <c r="N4264">
        <v>5.266</v>
      </c>
      <c r="O4264" t="s">
        <v>101</v>
      </c>
      <c r="P4264" t="s">
        <v>4596</v>
      </c>
      <c r="Q4264" t="s">
        <v>4977</v>
      </c>
      <c r="R4264" t="s">
        <v>2436</v>
      </c>
    </row>
    <row r="4265" spans="1:18" x14ac:dyDescent="0.5">
      <c r="A4265" t="str">
        <f>"010392GB8"</f>
        <v>010392GB8</v>
      </c>
      <c r="B4265" t="s">
        <v>101</v>
      </c>
      <c r="C4265" t="s">
        <v>5266</v>
      </c>
      <c r="D4265" t="s">
        <v>2433</v>
      </c>
      <c r="E4265">
        <v>5.85</v>
      </c>
      <c r="F4265" s="2">
        <v>48898</v>
      </c>
      <c r="G4265" s="2">
        <v>48714</v>
      </c>
      <c r="H4265" t="s">
        <v>641</v>
      </c>
      <c r="I4265" t="s">
        <v>611</v>
      </c>
      <c r="J4265">
        <v>104.36799999999999</v>
      </c>
      <c r="K4265">
        <v>104.955</v>
      </c>
      <c r="L4265">
        <v>5.1859999999999999</v>
      </c>
      <c r="M4265">
        <v>5.0999999999999996</v>
      </c>
      <c r="N4265">
        <v>5.1340000000000003</v>
      </c>
      <c r="O4265" t="s">
        <v>101</v>
      </c>
      <c r="P4265" t="s">
        <v>4569</v>
      </c>
      <c r="Q4265" t="s">
        <v>2564</v>
      </c>
      <c r="R4265" t="s">
        <v>2436</v>
      </c>
    </row>
    <row r="4266" spans="1:18" x14ac:dyDescent="0.5">
      <c r="A4266" t="str">
        <f>"03769MAA4"</f>
        <v>03769MAA4</v>
      </c>
      <c r="B4266" t="s">
        <v>101</v>
      </c>
      <c r="C4266" t="s">
        <v>5267</v>
      </c>
      <c r="D4266" t="s">
        <v>2433</v>
      </c>
      <c r="E4266">
        <v>6.375</v>
      </c>
      <c r="F4266" s="2">
        <v>48898</v>
      </c>
      <c r="G4266" s="2">
        <v>48806</v>
      </c>
      <c r="H4266" t="s">
        <v>610</v>
      </c>
      <c r="I4266" t="s">
        <v>611</v>
      </c>
      <c r="J4266">
        <v>108.18</v>
      </c>
      <c r="K4266">
        <v>108.404</v>
      </c>
      <c r="L4266">
        <v>5.165</v>
      </c>
      <c r="M4266">
        <v>5.133</v>
      </c>
      <c r="N4266">
        <v>5.16</v>
      </c>
      <c r="O4266" t="s">
        <v>101</v>
      </c>
      <c r="P4266" t="s">
        <v>2765</v>
      </c>
      <c r="Q4266" t="s">
        <v>2454</v>
      </c>
      <c r="R4266" t="s">
        <v>2436</v>
      </c>
    </row>
    <row r="4267" spans="1:18" x14ac:dyDescent="0.5">
      <c r="A4267" t="str">
        <f>"049560AZ8"</f>
        <v>049560AZ8</v>
      </c>
      <c r="B4267" t="s">
        <v>101</v>
      </c>
      <c r="C4267" t="s">
        <v>5268</v>
      </c>
      <c r="D4267" t="s">
        <v>2433</v>
      </c>
      <c r="E4267">
        <v>5.9</v>
      </c>
      <c r="F4267" s="2">
        <v>48898</v>
      </c>
      <c r="G4267" s="2">
        <v>48806</v>
      </c>
      <c r="H4267" t="s">
        <v>641</v>
      </c>
      <c r="I4267" t="s">
        <v>713</v>
      </c>
      <c r="J4267">
        <v>105.093</v>
      </c>
      <c r="K4267">
        <v>105.35</v>
      </c>
      <c r="L4267">
        <v>5.1470000000000002</v>
      </c>
      <c r="M4267">
        <v>5.1100000000000003</v>
      </c>
      <c r="N4267">
        <v>5.1269999999999998</v>
      </c>
      <c r="O4267" t="s">
        <v>101</v>
      </c>
      <c r="P4267" t="s">
        <v>3878</v>
      </c>
      <c r="Q4267" t="s">
        <v>2454</v>
      </c>
      <c r="R4267" t="s">
        <v>2436</v>
      </c>
    </row>
    <row r="4268" spans="1:18" x14ac:dyDescent="0.5">
      <c r="A4268" t="str">
        <f>"110122DZ8"</f>
        <v>110122DZ8</v>
      </c>
      <c r="B4268" t="s">
        <v>101</v>
      </c>
      <c r="C4268" t="s">
        <v>5269</v>
      </c>
      <c r="D4268" t="s">
        <v>2433</v>
      </c>
      <c r="E4268">
        <v>5.9</v>
      </c>
      <c r="F4268" s="2">
        <v>48898</v>
      </c>
      <c r="G4268" s="2">
        <v>48806</v>
      </c>
      <c r="H4268" t="s">
        <v>610</v>
      </c>
      <c r="I4268" t="s">
        <v>611</v>
      </c>
      <c r="J4268">
        <v>106.01</v>
      </c>
      <c r="K4268">
        <v>106.32</v>
      </c>
      <c r="L4268">
        <v>5.016</v>
      </c>
      <c r="M4268">
        <v>4.9720000000000004</v>
      </c>
      <c r="N4268">
        <v>4.992</v>
      </c>
      <c r="O4268" t="s">
        <v>101</v>
      </c>
      <c r="P4268" t="s">
        <v>1999</v>
      </c>
      <c r="Q4268" t="s">
        <v>2454</v>
      </c>
      <c r="R4268" t="s">
        <v>2436</v>
      </c>
    </row>
    <row r="4269" spans="1:18" x14ac:dyDescent="0.5">
      <c r="A4269" t="str">
        <f>"26444HAQ4"</f>
        <v>26444HAQ4</v>
      </c>
      <c r="B4269" t="s">
        <v>101</v>
      </c>
      <c r="C4269" t="s">
        <v>5270</v>
      </c>
      <c r="D4269" t="s">
        <v>2433</v>
      </c>
      <c r="E4269">
        <v>5.875</v>
      </c>
      <c r="F4269" s="2">
        <v>48898</v>
      </c>
      <c r="G4269" s="2">
        <v>48806</v>
      </c>
      <c r="H4269" t="s">
        <v>641</v>
      </c>
      <c r="I4269" t="s">
        <v>611</v>
      </c>
      <c r="J4269">
        <v>104.741</v>
      </c>
      <c r="K4269">
        <v>105.2</v>
      </c>
      <c r="L4269">
        <v>5.173</v>
      </c>
      <c r="M4269">
        <v>5.1070000000000002</v>
      </c>
      <c r="N4269">
        <v>5.1239999999999997</v>
      </c>
      <c r="O4269" t="s">
        <v>101</v>
      </c>
      <c r="P4269" t="s">
        <v>3878</v>
      </c>
      <c r="Q4269" t="s">
        <v>2454</v>
      </c>
      <c r="R4269" t="s">
        <v>2436</v>
      </c>
    </row>
    <row r="4270" spans="1:18" x14ac:dyDescent="0.5">
      <c r="A4270" t="str">
        <f>"30036FAC5"</f>
        <v>30036FAC5</v>
      </c>
      <c r="B4270" t="s">
        <v>101</v>
      </c>
      <c r="C4270" t="s">
        <v>5271</v>
      </c>
      <c r="D4270" t="s">
        <v>2433</v>
      </c>
      <c r="E4270">
        <v>5.9</v>
      </c>
      <c r="F4270" s="2">
        <v>48898</v>
      </c>
      <c r="G4270" s="2">
        <v>48806</v>
      </c>
      <c r="H4270" t="s">
        <v>610</v>
      </c>
      <c r="I4270" t="s">
        <v>611</v>
      </c>
      <c r="J4270">
        <v>104.22799999999999</v>
      </c>
      <c r="K4270">
        <v>104.905</v>
      </c>
      <c r="L4270">
        <v>5.2720000000000002</v>
      </c>
      <c r="M4270">
        <v>5.1740000000000004</v>
      </c>
      <c r="N4270">
        <v>5.1890000000000001</v>
      </c>
      <c r="O4270" t="s">
        <v>101</v>
      </c>
      <c r="P4270" t="s">
        <v>2566</v>
      </c>
      <c r="Q4270" t="s">
        <v>4111</v>
      </c>
      <c r="R4270" t="s">
        <v>2436</v>
      </c>
    </row>
    <row r="4271" spans="1:18" x14ac:dyDescent="0.5">
      <c r="A4271" t="str">
        <f>"68233JCS1"</f>
        <v>68233JCS1</v>
      </c>
      <c r="B4271" t="s">
        <v>101</v>
      </c>
      <c r="C4271" t="s">
        <v>5272</v>
      </c>
      <c r="D4271" t="s">
        <v>2433</v>
      </c>
      <c r="E4271">
        <v>5.65</v>
      </c>
      <c r="F4271" s="2">
        <v>48898</v>
      </c>
      <c r="G4271" s="2">
        <v>48806</v>
      </c>
      <c r="H4271" t="s">
        <v>610</v>
      </c>
      <c r="I4271" t="s">
        <v>658</v>
      </c>
      <c r="J4271">
        <v>103.15</v>
      </c>
      <c r="K4271">
        <v>103.499</v>
      </c>
      <c r="L4271">
        <v>5.1829999999999998</v>
      </c>
      <c r="M4271">
        <v>5.133</v>
      </c>
      <c r="N4271">
        <v>5.1440000000000001</v>
      </c>
      <c r="O4271" t="s">
        <v>101</v>
      </c>
      <c r="P4271" t="s">
        <v>3803</v>
      </c>
      <c r="Q4271" t="s">
        <v>1391</v>
      </c>
      <c r="R4271" t="s">
        <v>2436</v>
      </c>
    </row>
    <row r="4272" spans="1:18" x14ac:dyDescent="0.5">
      <c r="A4272" t="str">
        <f>"961214FP3"</f>
        <v>961214FP3</v>
      </c>
      <c r="B4272" t="s">
        <v>101</v>
      </c>
      <c r="C4272" t="s">
        <v>5273</v>
      </c>
      <c r="D4272" t="s">
        <v>2433</v>
      </c>
      <c r="E4272">
        <v>6.82</v>
      </c>
      <c r="F4272" s="2">
        <v>48900</v>
      </c>
      <c r="G4272" s="2" t="s">
        <v>101</v>
      </c>
      <c r="H4272" t="s">
        <v>627</v>
      </c>
      <c r="I4272" t="s">
        <v>713</v>
      </c>
      <c r="J4272">
        <v>108.66800000000001</v>
      </c>
      <c r="K4272">
        <v>109.042</v>
      </c>
      <c r="L4272">
        <v>5.5469999999999997</v>
      </c>
      <c r="M4272">
        <v>5.4950000000000001</v>
      </c>
      <c r="N4272">
        <v>5.4950000000000001</v>
      </c>
      <c r="O4272" t="s">
        <v>101</v>
      </c>
      <c r="P4272" t="s">
        <v>3878</v>
      </c>
      <c r="Q4272" t="s">
        <v>2786</v>
      </c>
      <c r="R4272" t="s">
        <v>2436</v>
      </c>
    </row>
    <row r="4273" spans="1:18" x14ac:dyDescent="0.5">
      <c r="A4273" t="str">
        <f>"48130CEB7"</f>
        <v>48130CEB7</v>
      </c>
      <c r="B4273" t="s">
        <v>101</v>
      </c>
      <c r="C4273" t="s">
        <v>5274</v>
      </c>
      <c r="D4273" t="s">
        <v>2433</v>
      </c>
      <c r="E4273">
        <v>6.1</v>
      </c>
      <c r="F4273" s="2">
        <v>48913</v>
      </c>
      <c r="G4273" s="2">
        <v>45991</v>
      </c>
      <c r="H4273" t="s">
        <v>641</v>
      </c>
      <c r="I4273" t="s">
        <v>611</v>
      </c>
      <c r="J4273">
        <v>100.282</v>
      </c>
      <c r="K4273">
        <v>100.749</v>
      </c>
      <c r="L4273">
        <v>5.6779999999999999</v>
      </c>
      <c r="M4273">
        <v>5.01</v>
      </c>
      <c r="N4273">
        <v>5.9870000000000001</v>
      </c>
      <c r="O4273" t="s">
        <v>101</v>
      </c>
      <c r="P4273" t="s">
        <v>2527</v>
      </c>
      <c r="Q4273" t="s">
        <v>2525</v>
      </c>
      <c r="R4273" t="s">
        <v>2436</v>
      </c>
    </row>
    <row r="4274" spans="1:18" x14ac:dyDescent="0.5">
      <c r="A4274" t="str">
        <f>"478160BJ2"</f>
        <v>478160BJ2</v>
      </c>
      <c r="B4274" t="s">
        <v>101</v>
      </c>
      <c r="C4274" t="s">
        <v>5275</v>
      </c>
      <c r="D4274" t="s">
        <v>2433</v>
      </c>
      <c r="E4274">
        <v>4.375</v>
      </c>
      <c r="F4274" s="2">
        <v>48918</v>
      </c>
      <c r="G4274" s="2">
        <v>48735</v>
      </c>
      <c r="H4274" t="s">
        <v>104</v>
      </c>
      <c r="I4274" t="s">
        <v>104</v>
      </c>
      <c r="J4274">
        <v>97.938000000000002</v>
      </c>
      <c r="K4274">
        <v>98.227999999999994</v>
      </c>
      <c r="L4274">
        <v>4.6639999999999997</v>
      </c>
      <c r="M4274">
        <v>4.6230000000000002</v>
      </c>
      <c r="N4274">
        <v>4.6230000000000002</v>
      </c>
      <c r="O4274" t="s">
        <v>101</v>
      </c>
      <c r="P4274" t="s">
        <v>2438</v>
      </c>
      <c r="Q4274" t="s">
        <v>2940</v>
      </c>
      <c r="R4274" t="s">
        <v>2436</v>
      </c>
    </row>
    <row r="4275" spans="1:18" x14ac:dyDescent="0.5">
      <c r="A4275" t="str">
        <f>"053484AE1"</f>
        <v>053484AE1</v>
      </c>
      <c r="B4275" t="s">
        <v>101</v>
      </c>
      <c r="C4275" t="s">
        <v>5276</v>
      </c>
      <c r="D4275" t="s">
        <v>2433</v>
      </c>
      <c r="E4275">
        <v>5.3</v>
      </c>
      <c r="F4275" s="2">
        <v>48920</v>
      </c>
      <c r="G4275" s="2">
        <v>48829</v>
      </c>
      <c r="H4275" t="s">
        <v>627</v>
      </c>
      <c r="I4275" t="s">
        <v>713</v>
      </c>
      <c r="J4275">
        <v>100.944</v>
      </c>
      <c r="K4275">
        <v>100.96599999999999</v>
      </c>
      <c r="L4275">
        <v>5.1609999999999996</v>
      </c>
      <c r="M4275">
        <v>5.1580000000000004</v>
      </c>
      <c r="N4275">
        <v>5.16</v>
      </c>
      <c r="O4275" t="s">
        <v>101</v>
      </c>
      <c r="P4275" t="s">
        <v>2472</v>
      </c>
      <c r="Q4275" t="s">
        <v>1702</v>
      </c>
      <c r="R4275" t="s">
        <v>2436</v>
      </c>
    </row>
    <row r="4276" spans="1:18" x14ac:dyDescent="0.5">
      <c r="A4276" t="str">
        <f>"904764BT3"</f>
        <v>904764BT3</v>
      </c>
      <c r="B4276" t="s">
        <v>101</v>
      </c>
      <c r="C4276" t="s">
        <v>5277</v>
      </c>
      <c r="D4276" t="s">
        <v>2433</v>
      </c>
      <c r="E4276">
        <v>5</v>
      </c>
      <c r="F4276" s="2">
        <v>48921</v>
      </c>
      <c r="G4276" s="2">
        <v>48830</v>
      </c>
      <c r="H4276" t="s">
        <v>641</v>
      </c>
      <c r="I4276" t="s">
        <v>658</v>
      </c>
      <c r="J4276">
        <v>100.88500000000001</v>
      </c>
      <c r="K4276">
        <v>101.078</v>
      </c>
      <c r="L4276">
        <v>4.8710000000000004</v>
      </c>
      <c r="M4276">
        <v>4.843</v>
      </c>
      <c r="N4276">
        <v>4.8460000000000001</v>
      </c>
      <c r="O4276" t="s">
        <v>101</v>
      </c>
      <c r="P4276" t="s">
        <v>2635</v>
      </c>
      <c r="Q4276" t="s">
        <v>2564</v>
      </c>
      <c r="R4276" t="s">
        <v>2436</v>
      </c>
    </row>
    <row r="4277" spans="1:18" x14ac:dyDescent="0.5">
      <c r="A4277" t="str">
        <f>"06055JCX5"</f>
        <v>06055JCX5</v>
      </c>
      <c r="B4277" t="s">
        <v>101</v>
      </c>
      <c r="C4277" t="s">
        <v>5278</v>
      </c>
      <c r="D4277" t="s">
        <v>2433</v>
      </c>
      <c r="E4277">
        <v>6</v>
      </c>
      <c r="F4277" s="2">
        <v>48925</v>
      </c>
      <c r="G4277" s="2">
        <v>45820</v>
      </c>
      <c r="H4277" t="s">
        <v>641</v>
      </c>
      <c r="I4277" t="s">
        <v>713</v>
      </c>
      <c r="J4277">
        <v>100.03100000000001</v>
      </c>
      <c r="K4277">
        <v>100.30500000000001</v>
      </c>
      <c r="L4277">
        <v>5.7869999999999999</v>
      </c>
      <c r="M4277">
        <v>4.6950000000000003</v>
      </c>
      <c r="N4277">
        <v>5.9530000000000003</v>
      </c>
      <c r="O4277" t="s">
        <v>101</v>
      </c>
      <c r="P4277" t="s">
        <v>2527</v>
      </c>
      <c r="Q4277" t="s">
        <v>488</v>
      </c>
      <c r="R4277" t="s">
        <v>2436</v>
      </c>
    </row>
    <row r="4278" spans="1:18" x14ac:dyDescent="0.5">
      <c r="A4278" t="str">
        <f>"48130CEQ4"</f>
        <v>48130CEQ4</v>
      </c>
      <c r="B4278" t="s">
        <v>101</v>
      </c>
      <c r="C4278" t="s">
        <v>5279</v>
      </c>
      <c r="D4278" t="s">
        <v>2433</v>
      </c>
      <c r="E4278">
        <v>5.75</v>
      </c>
      <c r="F4278" s="2">
        <v>48925</v>
      </c>
      <c r="G4278" s="2">
        <v>46003</v>
      </c>
      <c r="H4278" t="s">
        <v>641</v>
      </c>
      <c r="I4278" t="s">
        <v>611</v>
      </c>
      <c r="J4278">
        <v>100.066</v>
      </c>
      <c r="K4278">
        <v>100.47499999999999</v>
      </c>
      <c r="L4278">
        <v>5.6449999999999996</v>
      </c>
      <c r="M4278">
        <v>5.0839999999999996</v>
      </c>
      <c r="N4278">
        <v>5.6790000000000003</v>
      </c>
      <c r="O4278" t="s">
        <v>101</v>
      </c>
      <c r="P4278" t="s">
        <v>2527</v>
      </c>
      <c r="Q4278" t="s">
        <v>2489</v>
      </c>
      <c r="R4278" t="s">
        <v>2436</v>
      </c>
    </row>
    <row r="4279" spans="1:18" x14ac:dyDescent="0.5">
      <c r="A4279" t="str">
        <f>"48130CER2"</f>
        <v>48130CER2</v>
      </c>
      <c r="B4279" t="s">
        <v>101</v>
      </c>
      <c r="C4279" t="s">
        <v>5280</v>
      </c>
      <c r="D4279" t="s">
        <v>2433</v>
      </c>
      <c r="E4279">
        <v>5.6</v>
      </c>
      <c r="F4279" s="2">
        <v>48925</v>
      </c>
      <c r="G4279" s="2">
        <v>46003</v>
      </c>
      <c r="H4279" t="s">
        <v>641</v>
      </c>
      <c r="I4279" t="s">
        <v>611</v>
      </c>
      <c r="J4279">
        <v>99.766999999999996</v>
      </c>
      <c r="K4279">
        <v>100.259</v>
      </c>
      <c r="L4279">
        <v>5.633</v>
      </c>
      <c r="M4279">
        <v>5.2309999999999999</v>
      </c>
      <c r="N4279">
        <v>5.5609999999999999</v>
      </c>
      <c r="O4279" t="s">
        <v>101</v>
      </c>
      <c r="P4279" t="s">
        <v>2527</v>
      </c>
      <c r="Q4279" t="s">
        <v>2601</v>
      </c>
      <c r="R4279" t="s">
        <v>2436</v>
      </c>
    </row>
    <row r="4280" spans="1:18" x14ac:dyDescent="0.5">
      <c r="A4280" t="str">
        <f>"013716AU9"</f>
        <v>013716AU9</v>
      </c>
      <c r="B4280" t="s">
        <v>101</v>
      </c>
      <c r="C4280" t="s">
        <v>5281</v>
      </c>
      <c r="D4280" t="s">
        <v>2433</v>
      </c>
      <c r="E4280">
        <v>6.125</v>
      </c>
      <c r="F4280" s="2">
        <v>48928</v>
      </c>
      <c r="G4280" s="2" t="s">
        <v>101</v>
      </c>
      <c r="H4280" t="s">
        <v>2760</v>
      </c>
      <c r="I4280" t="s">
        <v>611</v>
      </c>
      <c r="J4280">
        <v>105.557</v>
      </c>
      <c r="K4280">
        <v>106.34399999999999</v>
      </c>
      <c r="L4280">
        <v>5.3220000000000001</v>
      </c>
      <c r="M4280">
        <v>5.2119999999999997</v>
      </c>
      <c r="N4280">
        <v>5.2119999999999997</v>
      </c>
      <c r="O4280" t="s">
        <v>101</v>
      </c>
      <c r="P4280" t="s">
        <v>4600</v>
      </c>
      <c r="Q4280" t="s">
        <v>3160</v>
      </c>
      <c r="R4280" t="s">
        <v>2436</v>
      </c>
    </row>
    <row r="4281" spans="1:18" x14ac:dyDescent="0.5">
      <c r="A4281" t="str">
        <f>"06745P6M8"</f>
        <v>06745P6M8</v>
      </c>
      <c r="B4281" t="s">
        <v>101</v>
      </c>
      <c r="C4281" t="s">
        <v>5282</v>
      </c>
      <c r="D4281" t="s">
        <v>2433</v>
      </c>
      <c r="E4281">
        <v>6</v>
      </c>
      <c r="F4281" s="2">
        <v>48932</v>
      </c>
      <c r="G4281" s="2">
        <v>46010</v>
      </c>
      <c r="H4281" t="s">
        <v>641</v>
      </c>
      <c r="I4281" t="s">
        <v>658</v>
      </c>
      <c r="J4281">
        <v>99.545000000000002</v>
      </c>
      <c r="K4281">
        <v>101.09099999999999</v>
      </c>
      <c r="L4281">
        <v>6.0659999999999998</v>
      </c>
      <c r="M4281">
        <v>4.53</v>
      </c>
      <c r="N4281">
        <v>5.8380000000000001</v>
      </c>
      <c r="O4281" t="s">
        <v>101</v>
      </c>
      <c r="P4281" t="s">
        <v>2527</v>
      </c>
      <c r="Q4281" t="s">
        <v>5283</v>
      </c>
      <c r="R4281" t="s">
        <v>2436</v>
      </c>
    </row>
    <row r="4282" spans="1:18" x14ac:dyDescent="0.5">
      <c r="A4282" t="str">
        <f>"48130CEZ4"</f>
        <v>48130CEZ4</v>
      </c>
      <c r="B4282" t="s">
        <v>101</v>
      </c>
      <c r="C4282" t="s">
        <v>5284</v>
      </c>
      <c r="D4282" t="s">
        <v>2433</v>
      </c>
      <c r="E4282">
        <v>5.5</v>
      </c>
      <c r="F4282" s="2">
        <v>48934</v>
      </c>
      <c r="G4282" s="2">
        <v>46012</v>
      </c>
      <c r="H4282" t="s">
        <v>641</v>
      </c>
      <c r="I4282" t="s">
        <v>611</v>
      </c>
      <c r="J4282">
        <v>99.698999999999998</v>
      </c>
      <c r="K4282">
        <v>100.468</v>
      </c>
      <c r="L4282">
        <v>5.5419999999999998</v>
      </c>
      <c r="M4282">
        <v>4.8659999999999997</v>
      </c>
      <c r="N4282">
        <v>5.431</v>
      </c>
      <c r="O4282" t="s">
        <v>101</v>
      </c>
      <c r="P4282" t="s">
        <v>2942</v>
      </c>
      <c r="Q4282" t="s">
        <v>5285</v>
      </c>
      <c r="R4282" t="s">
        <v>2436</v>
      </c>
    </row>
    <row r="4283" spans="1:18" x14ac:dyDescent="0.5">
      <c r="A4283" t="str">
        <f>"61766YQY0"</f>
        <v>61766YQY0</v>
      </c>
      <c r="B4283" t="s">
        <v>101</v>
      </c>
      <c r="C4283" t="s">
        <v>5286</v>
      </c>
      <c r="D4283" t="s">
        <v>2433</v>
      </c>
      <c r="E4283">
        <v>5.5</v>
      </c>
      <c r="F4283" s="2">
        <v>48935</v>
      </c>
      <c r="G4283" s="2">
        <v>47109</v>
      </c>
      <c r="H4283" t="s">
        <v>105</v>
      </c>
      <c r="I4283" t="s">
        <v>713</v>
      </c>
      <c r="J4283">
        <v>99.403999999999996</v>
      </c>
      <c r="K4283">
        <v>100.3</v>
      </c>
      <c r="L4283">
        <v>5.585</v>
      </c>
      <c r="M4283">
        <v>5.4080000000000004</v>
      </c>
      <c r="N4283">
        <v>5.4550000000000001</v>
      </c>
      <c r="O4283" t="s">
        <v>101</v>
      </c>
      <c r="P4283" t="s">
        <v>2595</v>
      </c>
      <c r="Q4283" t="s">
        <v>5287</v>
      </c>
      <c r="R4283" t="s">
        <v>2436</v>
      </c>
    </row>
    <row r="4284" spans="1:18" x14ac:dyDescent="0.5">
      <c r="A4284" t="str">
        <f>"89114XD75"</f>
        <v>89114XD75</v>
      </c>
      <c r="B4284" t="s">
        <v>101</v>
      </c>
      <c r="C4284" t="s">
        <v>5288</v>
      </c>
      <c r="D4284" t="s">
        <v>2433</v>
      </c>
      <c r="E4284">
        <v>5.15</v>
      </c>
      <c r="F4284" s="2">
        <v>48941</v>
      </c>
      <c r="G4284" s="2">
        <v>46019</v>
      </c>
      <c r="H4284" t="s">
        <v>610</v>
      </c>
      <c r="I4284" t="s">
        <v>713</v>
      </c>
      <c r="J4284">
        <v>97.867999999999995</v>
      </c>
      <c r="K4284">
        <v>98.433999999999997</v>
      </c>
      <c r="L4284">
        <v>5.4569999999999999</v>
      </c>
      <c r="M4284">
        <v>5.3739999999999997</v>
      </c>
      <c r="N4284">
        <v>5.3739999999999997</v>
      </c>
      <c r="O4284" t="s">
        <v>101</v>
      </c>
      <c r="P4284" t="s">
        <v>1702</v>
      </c>
      <c r="Q4284" t="s">
        <v>485</v>
      </c>
      <c r="R4284" t="s">
        <v>2436</v>
      </c>
    </row>
    <row r="4285" spans="1:18" x14ac:dyDescent="0.5">
      <c r="A4285" t="str">
        <f>"11271LAK8"</f>
        <v>11271LAK8</v>
      </c>
      <c r="B4285" t="s">
        <v>101</v>
      </c>
      <c r="C4285" t="s">
        <v>5289</v>
      </c>
      <c r="D4285" t="s">
        <v>2433</v>
      </c>
      <c r="E4285">
        <v>6.35</v>
      </c>
      <c r="F4285" s="2">
        <v>48949</v>
      </c>
      <c r="G4285" s="2">
        <v>48857</v>
      </c>
      <c r="H4285" t="s">
        <v>627</v>
      </c>
      <c r="I4285" t="s">
        <v>713</v>
      </c>
      <c r="J4285">
        <v>105.495</v>
      </c>
      <c r="K4285">
        <v>105.88800000000001</v>
      </c>
      <c r="L4285">
        <v>5.5350000000000001</v>
      </c>
      <c r="M4285">
        <v>5.4790000000000001</v>
      </c>
      <c r="N4285">
        <v>5.4969999999999999</v>
      </c>
      <c r="O4285" t="s">
        <v>101</v>
      </c>
      <c r="P4285" t="s">
        <v>1702</v>
      </c>
      <c r="Q4285" t="s">
        <v>2454</v>
      </c>
      <c r="R4285" t="s">
        <v>2436</v>
      </c>
    </row>
    <row r="4286" spans="1:18" x14ac:dyDescent="0.5">
      <c r="A4286" t="str">
        <f>"89236TLM5"</f>
        <v>89236TLM5</v>
      </c>
      <c r="B4286" t="s">
        <v>101</v>
      </c>
      <c r="C4286" t="s">
        <v>5290</v>
      </c>
      <c r="D4286" t="s">
        <v>2433</v>
      </c>
      <c r="E4286">
        <v>4.8</v>
      </c>
      <c r="F4286" s="2">
        <v>48949</v>
      </c>
      <c r="G4286" s="2" t="s">
        <v>101</v>
      </c>
      <c r="H4286" t="s">
        <v>641</v>
      </c>
      <c r="I4286" t="s">
        <v>658</v>
      </c>
      <c r="J4286">
        <v>97.775000000000006</v>
      </c>
      <c r="K4286">
        <v>98.445999999999998</v>
      </c>
      <c r="L4286">
        <v>5.1159999999999997</v>
      </c>
      <c r="M4286">
        <v>5.0190000000000001</v>
      </c>
      <c r="N4286">
        <v>5.0190000000000001</v>
      </c>
      <c r="O4286" t="s">
        <v>101</v>
      </c>
      <c r="P4286" t="s">
        <v>2595</v>
      </c>
      <c r="Q4286" t="s">
        <v>2454</v>
      </c>
      <c r="R4286" t="s">
        <v>2436</v>
      </c>
    </row>
    <row r="4287" spans="1:18" x14ac:dyDescent="0.5">
      <c r="A4287" t="str">
        <f>"61766YRB9"</f>
        <v>61766YRB9</v>
      </c>
      <c r="B4287" t="s">
        <v>101</v>
      </c>
      <c r="C4287" t="s">
        <v>5291</v>
      </c>
      <c r="D4287" t="s">
        <v>2433</v>
      </c>
      <c r="E4287">
        <v>4.75</v>
      </c>
      <c r="F4287" s="2">
        <v>48950</v>
      </c>
      <c r="G4287" s="2">
        <v>47124</v>
      </c>
      <c r="H4287" t="s">
        <v>641</v>
      </c>
      <c r="I4287" t="s">
        <v>713</v>
      </c>
      <c r="J4287">
        <v>95.406999999999996</v>
      </c>
      <c r="K4287">
        <v>96.498999999999995</v>
      </c>
      <c r="L4287">
        <v>5.4109999999999996</v>
      </c>
      <c r="M4287">
        <v>5.25</v>
      </c>
      <c r="N4287">
        <v>5.25</v>
      </c>
      <c r="O4287" t="s">
        <v>101</v>
      </c>
      <c r="P4287" t="s">
        <v>2595</v>
      </c>
      <c r="Q4287" t="s">
        <v>722</v>
      </c>
      <c r="R4287" t="s">
        <v>2436</v>
      </c>
    </row>
    <row r="4288" spans="1:18" x14ac:dyDescent="0.5">
      <c r="A4288" t="str">
        <f>"02665WEZ0"</f>
        <v>02665WEZ0</v>
      </c>
      <c r="B4288" t="s">
        <v>101</v>
      </c>
      <c r="C4288" t="s">
        <v>5292</v>
      </c>
      <c r="D4288" t="s">
        <v>2433</v>
      </c>
      <c r="E4288">
        <v>4.9000000000000004</v>
      </c>
      <c r="F4288" s="2">
        <v>48954</v>
      </c>
      <c r="G4288" s="2" t="s">
        <v>101</v>
      </c>
      <c r="H4288" t="s">
        <v>627</v>
      </c>
      <c r="I4288" t="s">
        <v>713</v>
      </c>
      <c r="J4288">
        <v>96.887</v>
      </c>
      <c r="K4288">
        <v>97.582999999999998</v>
      </c>
      <c r="L4288">
        <v>5.3460000000000001</v>
      </c>
      <c r="M4288">
        <v>5.2450000000000001</v>
      </c>
      <c r="N4288">
        <v>5.2450000000000001</v>
      </c>
      <c r="O4288" t="s">
        <v>101</v>
      </c>
      <c r="P4288" t="s">
        <v>3878</v>
      </c>
      <c r="Q4288" t="s">
        <v>2454</v>
      </c>
      <c r="R4288" t="s">
        <v>2436</v>
      </c>
    </row>
    <row r="4289" spans="1:18" x14ac:dyDescent="0.5">
      <c r="A4289" t="str">
        <f>"045167GB3"</f>
        <v>045167GB3</v>
      </c>
      <c r="B4289" t="s">
        <v>101</v>
      </c>
      <c r="C4289" t="s">
        <v>5293</v>
      </c>
      <c r="D4289" t="s">
        <v>2433</v>
      </c>
      <c r="E4289">
        <v>4.125</v>
      </c>
      <c r="F4289" s="2">
        <v>48956</v>
      </c>
      <c r="G4289" s="2" t="s">
        <v>105</v>
      </c>
      <c r="H4289" t="s">
        <v>104</v>
      </c>
      <c r="I4289" t="s">
        <v>104</v>
      </c>
      <c r="J4289">
        <v>97.602999999999994</v>
      </c>
      <c r="K4289">
        <v>98.744</v>
      </c>
      <c r="L4289">
        <v>4.4560000000000004</v>
      </c>
      <c r="M4289">
        <v>4.2969999999999997</v>
      </c>
      <c r="N4289">
        <v>4.2969999999999997</v>
      </c>
      <c r="O4289" t="s">
        <v>101</v>
      </c>
      <c r="P4289" t="s">
        <v>2618</v>
      </c>
      <c r="Q4289" t="s">
        <v>2618</v>
      </c>
      <c r="R4289" t="s">
        <v>2713</v>
      </c>
    </row>
    <row r="4290" spans="1:18" x14ac:dyDescent="0.5">
      <c r="A4290" t="str">
        <f>"04686JAG6"</f>
        <v>04686JAG6</v>
      </c>
      <c r="B4290" t="s">
        <v>101</v>
      </c>
      <c r="C4290" t="s">
        <v>5294</v>
      </c>
      <c r="D4290" t="s">
        <v>2433</v>
      </c>
      <c r="E4290">
        <v>5.875</v>
      </c>
      <c r="F4290" s="2">
        <v>48959</v>
      </c>
      <c r="G4290" s="2">
        <v>48867</v>
      </c>
      <c r="H4290" t="s">
        <v>670</v>
      </c>
      <c r="I4290" t="s">
        <v>713</v>
      </c>
      <c r="J4290">
        <v>101.821</v>
      </c>
      <c r="K4290">
        <v>102.02</v>
      </c>
      <c r="L4290">
        <v>5.6050000000000004</v>
      </c>
      <c r="M4290">
        <v>5.5759999999999996</v>
      </c>
      <c r="N4290">
        <v>5.5810000000000004</v>
      </c>
      <c r="O4290" t="s">
        <v>101</v>
      </c>
      <c r="P4290" t="s">
        <v>2447</v>
      </c>
      <c r="Q4290" t="s">
        <v>2438</v>
      </c>
      <c r="R4290" t="s">
        <v>2436</v>
      </c>
    </row>
    <row r="4291" spans="1:18" x14ac:dyDescent="0.5">
      <c r="A4291" t="str">
        <f>"133131BB7"</f>
        <v>133131BB7</v>
      </c>
      <c r="B4291" t="s">
        <v>101</v>
      </c>
      <c r="C4291" t="s">
        <v>5295</v>
      </c>
      <c r="D4291" t="s">
        <v>2433</v>
      </c>
      <c r="E4291">
        <v>4.9000000000000004</v>
      </c>
      <c r="F4291" s="2">
        <v>48959</v>
      </c>
      <c r="G4291" s="2">
        <v>48867</v>
      </c>
      <c r="H4291" t="s">
        <v>627</v>
      </c>
      <c r="I4291" t="s">
        <v>713</v>
      </c>
      <c r="J4291">
        <v>97.867999999999995</v>
      </c>
      <c r="K4291">
        <v>98.016000000000005</v>
      </c>
      <c r="L4291">
        <v>5.2030000000000003</v>
      </c>
      <c r="M4291">
        <v>5.1820000000000004</v>
      </c>
      <c r="N4291">
        <v>5.1820000000000004</v>
      </c>
      <c r="O4291" t="s">
        <v>101</v>
      </c>
      <c r="P4291" t="s">
        <v>1702</v>
      </c>
      <c r="Q4291" t="s">
        <v>2454</v>
      </c>
      <c r="R4291" t="s">
        <v>2436</v>
      </c>
    </row>
    <row r="4292" spans="1:18" x14ac:dyDescent="0.5">
      <c r="A4292" t="str">
        <f>"26442CBM5"</f>
        <v>26442CBM5</v>
      </c>
      <c r="B4292" t="s">
        <v>101</v>
      </c>
      <c r="C4292" t="s">
        <v>5296</v>
      </c>
      <c r="D4292" t="s">
        <v>2433</v>
      </c>
      <c r="E4292">
        <v>4.8499999999999996</v>
      </c>
      <c r="F4292" s="2">
        <v>48959</v>
      </c>
      <c r="G4292" s="2">
        <v>48867</v>
      </c>
      <c r="H4292" t="s">
        <v>624</v>
      </c>
      <c r="I4292" t="s">
        <v>611</v>
      </c>
      <c r="J4292">
        <v>97.757000000000005</v>
      </c>
      <c r="K4292">
        <v>98.176000000000002</v>
      </c>
      <c r="L4292">
        <v>5.1680000000000001</v>
      </c>
      <c r="M4292">
        <v>5.1079999999999997</v>
      </c>
      <c r="N4292">
        <v>5.1079999999999997</v>
      </c>
      <c r="O4292" t="s">
        <v>101</v>
      </c>
      <c r="P4292" t="s">
        <v>4201</v>
      </c>
      <c r="Q4292" t="s">
        <v>2454</v>
      </c>
      <c r="R4292" t="s">
        <v>2436</v>
      </c>
    </row>
    <row r="4293" spans="1:18" x14ac:dyDescent="0.5">
      <c r="A4293" t="str">
        <f>"438516CM6"</f>
        <v>438516CM6</v>
      </c>
      <c r="B4293" t="s">
        <v>101</v>
      </c>
      <c r="C4293" t="s">
        <v>5297</v>
      </c>
      <c r="D4293" t="s">
        <v>2433</v>
      </c>
      <c r="E4293">
        <v>4.5</v>
      </c>
      <c r="F4293" s="2">
        <v>48959</v>
      </c>
      <c r="G4293" s="2">
        <v>48867</v>
      </c>
      <c r="H4293" t="s">
        <v>610</v>
      </c>
      <c r="I4293" t="s">
        <v>611</v>
      </c>
      <c r="J4293">
        <v>95.700999999999993</v>
      </c>
      <c r="K4293">
        <v>95.846999999999994</v>
      </c>
      <c r="L4293">
        <v>5.1100000000000003</v>
      </c>
      <c r="M4293">
        <v>5.0880000000000001</v>
      </c>
      <c r="N4293">
        <v>5.0880000000000001</v>
      </c>
      <c r="O4293" t="s">
        <v>101</v>
      </c>
      <c r="P4293" t="s">
        <v>2438</v>
      </c>
      <c r="Q4293" t="s">
        <v>2454</v>
      </c>
      <c r="R4293" t="s">
        <v>2436</v>
      </c>
    </row>
    <row r="4294" spans="1:18" x14ac:dyDescent="0.5">
      <c r="A4294" t="str">
        <f>"595620AX3"</f>
        <v>595620AX3</v>
      </c>
      <c r="B4294" t="s">
        <v>101</v>
      </c>
      <c r="C4294" t="s">
        <v>5298</v>
      </c>
      <c r="D4294" t="s">
        <v>2433</v>
      </c>
      <c r="E4294">
        <v>5.35</v>
      </c>
      <c r="F4294" s="2">
        <v>48959</v>
      </c>
      <c r="G4294" s="2">
        <v>48867</v>
      </c>
      <c r="H4294" t="s">
        <v>613</v>
      </c>
      <c r="I4294" t="s">
        <v>611</v>
      </c>
      <c r="J4294">
        <v>101.732</v>
      </c>
      <c r="K4294">
        <v>102.21299999999999</v>
      </c>
      <c r="L4294">
        <v>5.0979999999999999</v>
      </c>
      <c r="M4294">
        <v>5.0289999999999999</v>
      </c>
      <c r="N4294">
        <v>5.0359999999999996</v>
      </c>
      <c r="O4294" t="s">
        <v>101</v>
      </c>
      <c r="P4294" t="s">
        <v>4569</v>
      </c>
      <c r="Q4294" t="s">
        <v>2564</v>
      </c>
      <c r="R4294" t="s">
        <v>2436</v>
      </c>
    </row>
    <row r="4295" spans="1:18" x14ac:dyDescent="0.5">
      <c r="A4295" t="str">
        <f>"74340XCH2"</f>
        <v>74340XCH2</v>
      </c>
      <c r="B4295" t="s">
        <v>101</v>
      </c>
      <c r="C4295" t="s">
        <v>5299</v>
      </c>
      <c r="D4295" t="s">
        <v>2433</v>
      </c>
      <c r="E4295">
        <v>5.125</v>
      </c>
      <c r="F4295" s="2">
        <v>48959</v>
      </c>
      <c r="G4295" s="2">
        <v>48867</v>
      </c>
      <c r="H4295" t="s">
        <v>610</v>
      </c>
      <c r="I4295" t="s">
        <v>611</v>
      </c>
      <c r="J4295">
        <v>99.793999999999997</v>
      </c>
      <c r="K4295">
        <v>100.01900000000001</v>
      </c>
      <c r="L4295">
        <v>5.1529999999999996</v>
      </c>
      <c r="M4295">
        <v>5.1210000000000004</v>
      </c>
      <c r="N4295">
        <v>5.1210000000000004</v>
      </c>
      <c r="O4295" t="s">
        <v>101</v>
      </c>
      <c r="P4295" t="s">
        <v>1702</v>
      </c>
      <c r="Q4295" t="s">
        <v>1702</v>
      </c>
      <c r="R4295" t="s">
        <v>2436</v>
      </c>
    </row>
    <row r="4296" spans="1:18" x14ac:dyDescent="0.5">
      <c r="A4296" t="str">
        <f>"75884RBB8"</f>
        <v>75884RBB8</v>
      </c>
      <c r="B4296" t="s">
        <v>101</v>
      </c>
      <c r="C4296" t="s">
        <v>5300</v>
      </c>
      <c r="D4296" t="s">
        <v>2433</v>
      </c>
      <c r="E4296">
        <v>5.25</v>
      </c>
      <c r="F4296" s="2">
        <v>48959</v>
      </c>
      <c r="G4296" s="2">
        <v>48867</v>
      </c>
      <c r="H4296" t="s">
        <v>627</v>
      </c>
      <c r="I4296" t="s">
        <v>713</v>
      </c>
      <c r="J4296">
        <v>99.495999999999995</v>
      </c>
      <c r="K4296">
        <v>99.760999999999996</v>
      </c>
      <c r="L4296">
        <v>5.3209999999999997</v>
      </c>
      <c r="M4296">
        <v>5.2830000000000004</v>
      </c>
      <c r="N4296">
        <v>5.2830000000000004</v>
      </c>
      <c r="O4296" t="s">
        <v>101</v>
      </c>
      <c r="P4296" t="s">
        <v>3878</v>
      </c>
      <c r="Q4296" t="s">
        <v>1999</v>
      </c>
      <c r="R4296" t="s">
        <v>2436</v>
      </c>
    </row>
    <row r="4297" spans="1:18" x14ac:dyDescent="0.5">
      <c r="A4297" t="str">
        <f>"828807DW4"</f>
        <v>828807DW4</v>
      </c>
      <c r="B4297" t="s">
        <v>101</v>
      </c>
      <c r="C4297" t="s">
        <v>5301</v>
      </c>
      <c r="D4297" t="s">
        <v>2433</v>
      </c>
      <c r="E4297">
        <v>6.25</v>
      </c>
      <c r="F4297" s="2">
        <v>48959</v>
      </c>
      <c r="G4297" s="2">
        <v>48867</v>
      </c>
      <c r="H4297" t="s">
        <v>627</v>
      </c>
      <c r="I4297" t="s">
        <v>713</v>
      </c>
      <c r="J4297">
        <v>106.828</v>
      </c>
      <c r="K4297">
        <v>106.86</v>
      </c>
      <c r="L4297">
        <v>5.2519999999999998</v>
      </c>
      <c r="M4297">
        <v>5.242</v>
      </c>
      <c r="N4297">
        <v>5.2679999999999998</v>
      </c>
      <c r="O4297" t="s">
        <v>101</v>
      </c>
      <c r="P4297" t="s">
        <v>2472</v>
      </c>
      <c r="Q4297" t="s">
        <v>2454</v>
      </c>
      <c r="R4297" t="s">
        <v>2436</v>
      </c>
    </row>
    <row r="4298" spans="1:18" x14ac:dyDescent="0.5">
      <c r="A4298" t="str">
        <f>"842400ES8"</f>
        <v>842400ES8</v>
      </c>
      <c r="B4298" t="s">
        <v>101</v>
      </c>
      <c r="C4298" t="s">
        <v>5302</v>
      </c>
      <c r="D4298" t="s">
        <v>2433</v>
      </c>
      <c r="E4298">
        <v>6</v>
      </c>
      <c r="F4298" s="2">
        <v>48959</v>
      </c>
      <c r="G4298" s="2" t="s">
        <v>101</v>
      </c>
      <c r="H4298" t="s">
        <v>610</v>
      </c>
      <c r="I4298" t="s">
        <v>713</v>
      </c>
      <c r="J4298">
        <v>101.979</v>
      </c>
      <c r="K4298">
        <v>102.48399999999999</v>
      </c>
      <c r="L4298">
        <v>5.71</v>
      </c>
      <c r="M4298">
        <v>5.6379999999999999</v>
      </c>
      <c r="N4298">
        <v>5.6379999999999999</v>
      </c>
      <c r="O4298" t="s">
        <v>101</v>
      </c>
      <c r="P4298" t="s">
        <v>4982</v>
      </c>
      <c r="Q4298" t="s">
        <v>3082</v>
      </c>
      <c r="R4298" t="s">
        <v>2436</v>
      </c>
    </row>
    <row r="4299" spans="1:18" x14ac:dyDescent="0.5">
      <c r="A4299" t="str">
        <f>"06745PH20"</f>
        <v>06745PH20</v>
      </c>
      <c r="B4299" t="s">
        <v>101</v>
      </c>
      <c r="C4299" t="s">
        <v>5303</v>
      </c>
      <c r="D4299" t="s">
        <v>2433</v>
      </c>
      <c r="E4299">
        <v>5.3</v>
      </c>
      <c r="F4299" s="2">
        <v>48961</v>
      </c>
      <c r="G4299" s="2">
        <v>46404</v>
      </c>
      <c r="H4299" t="s">
        <v>641</v>
      </c>
      <c r="I4299" t="s">
        <v>658</v>
      </c>
      <c r="J4299">
        <v>98</v>
      </c>
      <c r="K4299">
        <v>99.727000000000004</v>
      </c>
      <c r="L4299">
        <v>5.5880000000000001</v>
      </c>
      <c r="M4299">
        <v>5.3380000000000001</v>
      </c>
      <c r="N4299">
        <v>5.3380000000000001</v>
      </c>
      <c r="O4299" t="s">
        <v>101</v>
      </c>
      <c r="P4299" t="s">
        <v>5304</v>
      </c>
      <c r="Q4299" t="s">
        <v>764</v>
      </c>
      <c r="R4299" t="s">
        <v>2436</v>
      </c>
    </row>
    <row r="4300" spans="1:18" x14ac:dyDescent="0.5">
      <c r="A4300" t="str">
        <f>"25160YAH1"</f>
        <v>25160YAH1</v>
      </c>
      <c r="B4300" t="s">
        <v>101</v>
      </c>
      <c r="C4300" t="s">
        <v>5305</v>
      </c>
      <c r="D4300" t="s">
        <v>2433</v>
      </c>
      <c r="E4300">
        <v>5.5</v>
      </c>
      <c r="F4300" s="2">
        <v>48967</v>
      </c>
      <c r="G4300" s="2">
        <v>46045</v>
      </c>
      <c r="H4300" t="s">
        <v>641</v>
      </c>
      <c r="I4300" t="s">
        <v>611</v>
      </c>
      <c r="J4300">
        <v>98.75</v>
      </c>
      <c r="K4300">
        <v>100.5</v>
      </c>
      <c r="L4300">
        <v>5.68</v>
      </c>
      <c r="M4300">
        <v>4.8940000000000001</v>
      </c>
      <c r="N4300">
        <v>5.4269999999999996</v>
      </c>
      <c r="O4300" t="s">
        <v>101</v>
      </c>
      <c r="P4300" t="s">
        <v>5306</v>
      </c>
      <c r="Q4300" t="s">
        <v>5307</v>
      </c>
      <c r="R4300" t="s">
        <v>2436</v>
      </c>
    </row>
    <row r="4301" spans="1:18" x14ac:dyDescent="0.5">
      <c r="A4301" t="str">
        <f>"742718GG8"</f>
        <v>742718GG8</v>
      </c>
      <c r="B4301" t="s">
        <v>101</v>
      </c>
      <c r="C4301" t="s">
        <v>5308</v>
      </c>
      <c r="D4301" t="s">
        <v>2433</v>
      </c>
      <c r="E4301">
        <v>4.55</v>
      </c>
      <c r="F4301" s="2">
        <v>48973</v>
      </c>
      <c r="G4301" s="2" t="s">
        <v>101</v>
      </c>
      <c r="H4301" t="s">
        <v>624</v>
      </c>
      <c r="I4301" t="s">
        <v>616</v>
      </c>
      <c r="J4301">
        <v>98.471000000000004</v>
      </c>
      <c r="K4301">
        <v>98.736999999999995</v>
      </c>
      <c r="L4301">
        <v>4.7619999999999996</v>
      </c>
      <c r="M4301">
        <v>4.7249999999999996</v>
      </c>
      <c r="N4301">
        <v>4.7249999999999996</v>
      </c>
      <c r="O4301" t="s">
        <v>101</v>
      </c>
      <c r="P4301" t="s">
        <v>2438</v>
      </c>
      <c r="Q4301" t="s">
        <v>3411</v>
      </c>
      <c r="R4301" t="s">
        <v>2436</v>
      </c>
    </row>
    <row r="4302" spans="1:18" x14ac:dyDescent="0.5">
      <c r="A4302" t="str">
        <f>"13607XVE4"</f>
        <v>13607XVE4</v>
      </c>
      <c r="B4302" t="s">
        <v>101</v>
      </c>
      <c r="C4302" t="s">
        <v>5309</v>
      </c>
      <c r="D4302" t="s">
        <v>2433</v>
      </c>
      <c r="E4302">
        <v>5.5</v>
      </c>
      <c r="F4302" s="2">
        <v>48974</v>
      </c>
      <c r="G4302" s="2">
        <v>46417</v>
      </c>
      <c r="H4302" t="s">
        <v>610</v>
      </c>
      <c r="I4302" t="s">
        <v>713</v>
      </c>
      <c r="J4302" t="s">
        <v>101</v>
      </c>
      <c r="K4302">
        <v>100.17</v>
      </c>
      <c r="L4302" t="s">
        <v>101</v>
      </c>
      <c r="M4302">
        <v>5.4</v>
      </c>
      <c r="N4302">
        <v>5.4749999999999996</v>
      </c>
      <c r="O4302" t="s">
        <v>101</v>
      </c>
      <c r="P4302" t="s">
        <v>448</v>
      </c>
      <c r="Q4302" t="s">
        <v>5310</v>
      </c>
      <c r="R4302" t="s">
        <v>2439</v>
      </c>
    </row>
    <row r="4303" spans="1:18" x14ac:dyDescent="0.5">
      <c r="A4303" t="str">
        <f>"168863DV7"</f>
        <v>168863DV7</v>
      </c>
      <c r="B4303" t="s">
        <v>101</v>
      </c>
      <c r="C4303" t="s">
        <v>5311</v>
      </c>
      <c r="D4303" t="s">
        <v>2433</v>
      </c>
      <c r="E4303">
        <v>3.5</v>
      </c>
      <c r="F4303" s="2">
        <v>48975</v>
      </c>
      <c r="G4303" s="2">
        <v>48883</v>
      </c>
      <c r="H4303" t="s">
        <v>610</v>
      </c>
      <c r="I4303" t="s">
        <v>611</v>
      </c>
      <c r="J4303" t="s">
        <v>101</v>
      </c>
      <c r="K4303">
        <v>88.436000000000007</v>
      </c>
      <c r="L4303" t="s">
        <v>101</v>
      </c>
      <c r="M4303">
        <v>5.1349999999999998</v>
      </c>
      <c r="N4303">
        <v>5.1369999999999996</v>
      </c>
      <c r="O4303" t="s">
        <v>101</v>
      </c>
      <c r="P4303" t="s">
        <v>448</v>
      </c>
      <c r="Q4303" t="s">
        <v>542</v>
      </c>
      <c r="R4303" t="s">
        <v>2439</v>
      </c>
    </row>
    <row r="4304" spans="1:18" x14ac:dyDescent="0.5">
      <c r="A4304" t="str">
        <f>"29379VCF8"</f>
        <v>29379VCF8</v>
      </c>
      <c r="B4304" t="s">
        <v>101</v>
      </c>
      <c r="C4304" t="s">
        <v>5312</v>
      </c>
      <c r="D4304" t="s">
        <v>2433</v>
      </c>
      <c r="E4304">
        <v>4.8499999999999996</v>
      </c>
      <c r="F4304" s="2">
        <v>48975</v>
      </c>
      <c r="G4304" s="2">
        <v>48883</v>
      </c>
      <c r="H4304" t="s">
        <v>627</v>
      </c>
      <c r="I4304" t="s">
        <v>713</v>
      </c>
      <c r="J4304">
        <v>97.661000000000001</v>
      </c>
      <c r="K4304">
        <v>97.947000000000003</v>
      </c>
      <c r="L4304">
        <v>5.1790000000000003</v>
      </c>
      <c r="M4304">
        <v>5.14</v>
      </c>
      <c r="N4304">
        <v>5.14</v>
      </c>
      <c r="O4304" t="s">
        <v>101</v>
      </c>
      <c r="P4304" t="s">
        <v>3270</v>
      </c>
      <c r="Q4304" t="s">
        <v>2460</v>
      </c>
      <c r="R4304" t="s">
        <v>2436</v>
      </c>
    </row>
    <row r="4305" spans="1:18" x14ac:dyDescent="0.5">
      <c r="A4305" t="str">
        <f>"48130CFW0"</f>
        <v>48130CFW0</v>
      </c>
      <c r="B4305" t="s">
        <v>101</v>
      </c>
      <c r="C4305" t="s">
        <v>5313</v>
      </c>
      <c r="D4305" t="s">
        <v>2433</v>
      </c>
      <c r="E4305">
        <v>5.5</v>
      </c>
      <c r="F4305" s="2">
        <v>48975</v>
      </c>
      <c r="G4305" s="2">
        <v>46053</v>
      </c>
      <c r="H4305" t="s">
        <v>641</v>
      </c>
      <c r="I4305" t="s">
        <v>611</v>
      </c>
      <c r="J4305">
        <v>99.275999999999996</v>
      </c>
      <c r="K4305">
        <v>100.12</v>
      </c>
      <c r="L4305">
        <v>5.6040000000000001</v>
      </c>
      <c r="M4305">
        <v>5.351</v>
      </c>
      <c r="N4305">
        <v>5.4820000000000002</v>
      </c>
      <c r="O4305" t="s">
        <v>101</v>
      </c>
      <c r="P4305" t="s">
        <v>2527</v>
      </c>
      <c r="Q4305" t="s">
        <v>5314</v>
      </c>
      <c r="R4305" t="s">
        <v>2436</v>
      </c>
    </row>
    <row r="4306" spans="1:18" x14ac:dyDescent="0.5">
      <c r="A4306" t="str">
        <f>"883556DB5"</f>
        <v>883556DB5</v>
      </c>
      <c r="B4306" t="s">
        <v>101</v>
      </c>
      <c r="C4306" t="s">
        <v>5315</v>
      </c>
      <c r="D4306" t="s">
        <v>2433</v>
      </c>
      <c r="E4306">
        <v>5.2</v>
      </c>
      <c r="F4306" s="2">
        <v>48975</v>
      </c>
      <c r="G4306" s="2">
        <v>48883</v>
      </c>
      <c r="H4306" t="s">
        <v>627</v>
      </c>
      <c r="I4306" t="s">
        <v>713</v>
      </c>
      <c r="J4306">
        <v>101.011</v>
      </c>
      <c r="K4306">
        <v>101.319</v>
      </c>
      <c r="L4306">
        <v>5.0519999999999996</v>
      </c>
      <c r="M4306">
        <v>5.008</v>
      </c>
      <c r="N4306">
        <v>5.0129999999999999</v>
      </c>
      <c r="O4306" t="s">
        <v>101</v>
      </c>
      <c r="P4306" t="s">
        <v>2472</v>
      </c>
      <c r="Q4306" t="s">
        <v>2472</v>
      </c>
      <c r="R4306" t="s">
        <v>2436</v>
      </c>
    </row>
    <row r="4307" spans="1:18" x14ac:dyDescent="0.5">
      <c r="A4307" t="str">
        <f>"06418JAC5"</f>
        <v>06418JAC5</v>
      </c>
      <c r="B4307" t="s">
        <v>101</v>
      </c>
      <c r="C4307" t="s">
        <v>5316</v>
      </c>
      <c r="D4307" t="s">
        <v>2433</v>
      </c>
      <c r="E4307">
        <v>5.65</v>
      </c>
      <c r="F4307" s="2">
        <v>48976</v>
      </c>
      <c r="G4307" s="2" t="s">
        <v>101</v>
      </c>
      <c r="H4307" t="s">
        <v>610</v>
      </c>
      <c r="I4307" t="s">
        <v>713</v>
      </c>
      <c r="J4307">
        <v>102.77500000000001</v>
      </c>
      <c r="K4307">
        <v>103.15</v>
      </c>
      <c r="L4307">
        <v>5.2539999999999996</v>
      </c>
      <c r="M4307">
        <v>5.202</v>
      </c>
      <c r="N4307">
        <v>5.202</v>
      </c>
      <c r="O4307" t="s">
        <v>101</v>
      </c>
      <c r="P4307" t="s">
        <v>1702</v>
      </c>
      <c r="Q4307" t="s">
        <v>2454</v>
      </c>
      <c r="R4307" t="s">
        <v>2436</v>
      </c>
    </row>
    <row r="4308" spans="1:18" x14ac:dyDescent="0.5">
      <c r="A4308" t="str">
        <f>"209111EF6"</f>
        <v>209111EF6</v>
      </c>
      <c r="B4308" t="s">
        <v>101</v>
      </c>
      <c r="C4308" t="s">
        <v>5317</v>
      </c>
      <c r="D4308" t="s">
        <v>2433</v>
      </c>
      <c r="E4308">
        <v>5.7</v>
      </c>
      <c r="F4308" s="2">
        <v>48976</v>
      </c>
      <c r="G4308" s="2" t="s">
        <v>101</v>
      </c>
      <c r="H4308" t="s">
        <v>627</v>
      </c>
      <c r="I4308" t="s">
        <v>713</v>
      </c>
      <c r="J4308">
        <v>103.45</v>
      </c>
      <c r="K4308">
        <v>104.178</v>
      </c>
      <c r="L4308">
        <v>5.2089999999999996</v>
      </c>
      <c r="M4308">
        <v>5.1079999999999997</v>
      </c>
      <c r="N4308">
        <v>5.1079999999999997</v>
      </c>
      <c r="O4308" t="s">
        <v>101</v>
      </c>
      <c r="P4308" t="s">
        <v>858</v>
      </c>
      <c r="Q4308" t="s">
        <v>2601</v>
      </c>
      <c r="R4308" t="s">
        <v>2436</v>
      </c>
    </row>
    <row r="4309" spans="1:18" x14ac:dyDescent="0.5">
      <c r="A4309" t="str">
        <f>"482480AP5"</f>
        <v>482480AP5</v>
      </c>
      <c r="B4309" t="s">
        <v>101</v>
      </c>
      <c r="C4309" t="s">
        <v>5318</v>
      </c>
      <c r="D4309" t="s">
        <v>2433</v>
      </c>
      <c r="E4309">
        <v>4.7</v>
      </c>
      <c r="F4309" s="2">
        <v>48976</v>
      </c>
      <c r="G4309" s="2">
        <v>48884</v>
      </c>
      <c r="H4309" t="s">
        <v>610</v>
      </c>
      <c r="I4309" t="s">
        <v>713</v>
      </c>
      <c r="J4309">
        <v>97.378</v>
      </c>
      <c r="K4309">
        <v>97.86</v>
      </c>
      <c r="L4309">
        <v>5.069</v>
      </c>
      <c r="M4309">
        <v>5.0010000000000003</v>
      </c>
      <c r="N4309">
        <v>5.0010000000000003</v>
      </c>
      <c r="O4309" t="s">
        <v>101</v>
      </c>
      <c r="P4309" t="s">
        <v>2765</v>
      </c>
      <c r="Q4309" t="s">
        <v>2564</v>
      </c>
      <c r="R4309" t="s">
        <v>2436</v>
      </c>
    </row>
    <row r="4310" spans="1:18" x14ac:dyDescent="0.5">
      <c r="A4310" t="str">
        <f>"742718CB3"</f>
        <v>742718CB3</v>
      </c>
      <c r="B4310" t="s">
        <v>101</v>
      </c>
      <c r="C4310" t="s">
        <v>5319</v>
      </c>
      <c r="D4310" t="s">
        <v>2433</v>
      </c>
      <c r="E4310">
        <v>5.5</v>
      </c>
      <c r="F4310" s="2">
        <v>48976</v>
      </c>
      <c r="G4310" s="2" t="s">
        <v>101</v>
      </c>
      <c r="H4310" t="s">
        <v>624</v>
      </c>
      <c r="I4310" t="s">
        <v>616</v>
      </c>
      <c r="J4310">
        <v>105.40300000000001</v>
      </c>
      <c r="K4310">
        <v>105.97</v>
      </c>
      <c r="L4310">
        <v>4.7469999999999999</v>
      </c>
      <c r="M4310">
        <v>4.6710000000000003</v>
      </c>
      <c r="N4310">
        <v>4.6710000000000003</v>
      </c>
      <c r="O4310" t="s">
        <v>101</v>
      </c>
      <c r="P4310" t="s">
        <v>2460</v>
      </c>
      <c r="Q4310" t="s">
        <v>2948</v>
      </c>
      <c r="R4310" t="s">
        <v>2436</v>
      </c>
    </row>
    <row r="4311" spans="1:18" x14ac:dyDescent="0.5">
      <c r="A4311" t="str">
        <f>"78016HZW3"</f>
        <v>78016HZW3</v>
      </c>
      <c r="B4311" t="s">
        <v>101</v>
      </c>
      <c r="C4311" t="s">
        <v>5320</v>
      </c>
      <c r="D4311" t="s">
        <v>2433</v>
      </c>
      <c r="E4311">
        <v>5.15</v>
      </c>
      <c r="F4311" s="2">
        <v>48976</v>
      </c>
      <c r="G4311" s="2" t="s">
        <v>101</v>
      </c>
      <c r="H4311" t="s">
        <v>641</v>
      </c>
      <c r="I4311" t="s">
        <v>611</v>
      </c>
      <c r="J4311">
        <v>100.001</v>
      </c>
      <c r="K4311">
        <v>100.342</v>
      </c>
      <c r="L4311">
        <v>5.149</v>
      </c>
      <c r="M4311">
        <v>5.101</v>
      </c>
      <c r="N4311">
        <v>5.101</v>
      </c>
      <c r="O4311" t="s">
        <v>101</v>
      </c>
      <c r="P4311" t="s">
        <v>2454</v>
      </c>
      <c r="Q4311" t="s">
        <v>2454</v>
      </c>
      <c r="R4311" t="s">
        <v>2436</v>
      </c>
    </row>
    <row r="4312" spans="1:18" x14ac:dyDescent="0.5">
      <c r="A4312" t="str">
        <f>"449276AE4"</f>
        <v>449276AE4</v>
      </c>
      <c r="B4312" t="s">
        <v>101</v>
      </c>
      <c r="C4312" t="s">
        <v>5321</v>
      </c>
      <c r="D4312" t="s">
        <v>2433</v>
      </c>
      <c r="E4312">
        <v>4.9000000000000004</v>
      </c>
      <c r="F4312" s="2">
        <v>48980</v>
      </c>
      <c r="G4312" s="2">
        <v>48888</v>
      </c>
      <c r="H4312" t="s">
        <v>627</v>
      </c>
      <c r="I4312" t="s">
        <v>713</v>
      </c>
      <c r="J4312">
        <v>97.566999999999993</v>
      </c>
      <c r="K4312">
        <v>97.983999999999995</v>
      </c>
      <c r="L4312">
        <v>5.2450000000000001</v>
      </c>
      <c r="M4312">
        <v>5.1849999999999996</v>
      </c>
      <c r="N4312">
        <v>5.1849999999999996</v>
      </c>
      <c r="O4312" t="s">
        <v>101</v>
      </c>
      <c r="P4312" t="s">
        <v>2635</v>
      </c>
      <c r="Q4312" t="s">
        <v>4383</v>
      </c>
      <c r="R4312" t="s">
        <v>2436</v>
      </c>
    </row>
    <row r="4313" spans="1:18" x14ac:dyDescent="0.5">
      <c r="A4313" t="str">
        <f>"009158BK1"</f>
        <v>009158BK1</v>
      </c>
      <c r="B4313" t="s">
        <v>101</v>
      </c>
      <c r="C4313" t="s">
        <v>5322</v>
      </c>
      <c r="D4313" t="s">
        <v>2433</v>
      </c>
      <c r="E4313">
        <v>4.8499999999999996</v>
      </c>
      <c r="F4313" s="2">
        <v>48983</v>
      </c>
      <c r="G4313" s="2">
        <v>48891</v>
      </c>
      <c r="H4313" t="s">
        <v>610</v>
      </c>
      <c r="I4313" t="s">
        <v>611</v>
      </c>
      <c r="J4313">
        <v>98.588999999999999</v>
      </c>
      <c r="K4313">
        <v>98.817999999999998</v>
      </c>
      <c r="L4313">
        <v>5.048</v>
      </c>
      <c r="M4313">
        <v>5.016</v>
      </c>
      <c r="N4313">
        <v>5.016</v>
      </c>
      <c r="O4313" t="s">
        <v>101</v>
      </c>
      <c r="P4313" t="s">
        <v>2581</v>
      </c>
      <c r="Q4313" t="s">
        <v>2454</v>
      </c>
      <c r="R4313" t="s">
        <v>2436</v>
      </c>
    </row>
    <row r="4314" spans="1:18" x14ac:dyDescent="0.5">
      <c r="A4314" t="str">
        <f>"882508CH5"</f>
        <v>882508CH5</v>
      </c>
      <c r="B4314" t="s">
        <v>101</v>
      </c>
      <c r="C4314" t="s">
        <v>5323</v>
      </c>
      <c r="D4314" t="s">
        <v>2433</v>
      </c>
      <c r="E4314">
        <v>4.8499999999999996</v>
      </c>
      <c r="F4314" s="2">
        <v>48983</v>
      </c>
      <c r="G4314" s="2">
        <v>48891</v>
      </c>
      <c r="H4314" t="s">
        <v>624</v>
      </c>
      <c r="I4314" t="s">
        <v>658</v>
      </c>
      <c r="J4314">
        <v>99.292000000000002</v>
      </c>
      <c r="K4314">
        <v>99.555999999999997</v>
      </c>
      <c r="L4314">
        <v>4.9489999999999998</v>
      </c>
      <c r="M4314">
        <v>4.9119999999999999</v>
      </c>
      <c r="N4314">
        <v>4.9119999999999999</v>
      </c>
      <c r="O4314" t="s">
        <v>101</v>
      </c>
      <c r="P4314" t="s">
        <v>4569</v>
      </c>
      <c r="Q4314" t="s">
        <v>2581</v>
      </c>
      <c r="R4314" t="s">
        <v>2436</v>
      </c>
    </row>
    <row r="4315" spans="1:18" x14ac:dyDescent="0.5">
      <c r="A4315" t="str">
        <f>"532457CL0"</f>
        <v>532457CL0</v>
      </c>
      <c r="B4315" t="s">
        <v>101</v>
      </c>
      <c r="C4315" t="s">
        <v>5324</v>
      </c>
      <c r="D4315" t="s">
        <v>2433</v>
      </c>
      <c r="E4315">
        <v>4.7</v>
      </c>
      <c r="F4315" s="2">
        <v>48984</v>
      </c>
      <c r="G4315" s="2">
        <v>48892</v>
      </c>
      <c r="H4315" t="s">
        <v>624</v>
      </c>
      <c r="I4315" t="s">
        <v>658</v>
      </c>
      <c r="J4315">
        <v>98.156000000000006</v>
      </c>
      <c r="K4315">
        <v>98.281999999999996</v>
      </c>
      <c r="L4315">
        <v>4.9580000000000002</v>
      </c>
      <c r="M4315">
        <v>4.9400000000000004</v>
      </c>
      <c r="N4315">
        <v>4.9400000000000004</v>
      </c>
      <c r="O4315" t="s">
        <v>101</v>
      </c>
      <c r="P4315" t="s">
        <v>1702</v>
      </c>
      <c r="Q4315" t="s">
        <v>2454</v>
      </c>
      <c r="R4315" t="s">
        <v>2436</v>
      </c>
    </row>
    <row r="4316" spans="1:18" x14ac:dyDescent="0.5">
      <c r="A4316" t="str">
        <f>"718172DJ5"</f>
        <v>718172DJ5</v>
      </c>
      <c r="B4316" t="s">
        <v>101</v>
      </c>
      <c r="C4316" t="s">
        <v>5325</v>
      </c>
      <c r="D4316" t="s">
        <v>2433</v>
      </c>
      <c r="E4316">
        <v>5.25</v>
      </c>
      <c r="F4316" s="2">
        <v>48988</v>
      </c>
      <c r="G4316" s="2">
        <v>48896</v>
      </c>
      <c r="H4316" t="s">
        <v>610</v>
      </c>
      <c r="I4316" t="s">
        <v>713</v>
      </c>
      <c r="J4316">
        <v>100.095</v>
      </c>
      <c r="K4316">
        <v>100.221</v>
      </c>
      <c r="L4316">
        <v>5.2359999999999998</v>
      </c>
      <c r="M4316">
        <v>5.218</v>
      </c>
      <c r="N4316">
        <v>5.218</v>
      </c>
      <c r="O4316" t="s">
        <v>101</v>
      </c>
      <c r="P4316" t="s">
        <v>2438</v>
      </c>
      <c r="Q4316" t="s">
        <v>2454</v>
      </c>
      <c r="R4316" t="s">
        <v>2436</v>
      </c>
    </row>
    <row r="4317" spans="1:18" x14ac:dyDescent="0.5">
      <c r="A4317" t="str">
        <f>"29736RAV2"</f>
        <v>29736RAV2</v>
      </c>
      <c r="B4317" t="s">
        <v>101</v>
      </c>
      <c r="C4317" t="s">
        <v>5326</v>
      </c>
      <c r="D4317" t="s">
        <v>2433</v>
      </c>
      <c r="E4317">
        <v>5</v>
      </c>
      <c r="F4317" s="2">
        <v>48989</v>
      </c>
      <c r="G4317" s="2">
        <v>48897</v>
      </c>
      <c r="H4317" t="s">
        <v>610</v>
      </c>
      <c r="I4317" t="s">
        <v>713</v>
      </c>
      <c r="J4317">
        <v>98.331000000000003</v>
      </c>
      <c r="K4317">
        <v>98.744</v>
      </c>
      <c r="L4317">
        <v>5.2359999999999998</v>
      </c>
      <c r="M4317">
        <v>5.1769999999999996</v>
      </c>
      <c r="N4317">
        <v>5.1769999999999996</v>
      </c>
      <c r="O4317" t="s">
        <v>101</v>
      </c>
      <c r="P4317" t="s">
        <v>4569</v>
      </c>
      <c r="Q4317" t="s">
        <v>2454</v>
      </c>
      <c r="R4317" t="s">
        <v>2436</v>
      </c>
    </row>
    <row r="4318" spans="1:18" x14ac:dyDescent="0.5">
      <c r="A4318" t="str">
        <f>"126117AY6"</f>
        <v>126117AY6</v>
      </c>
      <c r="B4318" t="s">
        <v>101</v>
      </c>
      <c r="C4318" t="s">
        <v>5327</v>
      </c>
      <c r="D4318" t="s">
        <v>2433</v>
      </c>
      <c r="E4318">
        <v>5.125</v>
      </c>
      <c r="F4318" s="2">
        <v>48990</v>
      </c>
      <c r="G4318" s="2">
        <v>48898</v>
      </c>
      <c r="H4318" t="s">
        <v>677</v>
      </c>
      <c r="I4318" t="s">
        <v>713</v>
      </c>
      <c r="J4318">
        <v>98.471000000000004</v>
      </c>
      <c r="K4318">
        <v>98.828000000000003</v>
      </c>
      <c r="L4318">
        <v>5.3419999999999996</v>
      </c>
      <c r="M4318">
        <v>5.2910000000000004</v>
      </c>
      <c r="N4318">
        <v>5.2910000000000004</v>
      </c>
      <c r="O4318" t="s">
        <v>101</v>
      </c>
      <c r="P4318" t="s">
        <v>2447</v>
      </c>
      <c r="Q4318" t="s">
        <v>2454</v>
      </c>
      <c r="R4318" t="s">
        <v>2436</v>
      </c>
    </row>
    <row r="4319" spans="1:18" x14ac:dyDescent="0.5">
      <c r="A4319" t="str">
        <f>"48130CGE9"</f>
        <v>48130CGE9</v>
      </c>
      <c r="B4319" t="s">
        <v>101</v>
      </c>
      <c r="C4319" t="s">
        <v>5328</v>
      </c>
      <c r="D4319" t="s">
        <v>2433</v>
      </c>
      <c r="E4319">
        <v>5.35</v>
      </c>
      <c r="F4319" s="2">
        <v>48990</v>
      </c>
      <c r="G4319" s="2">
        <v>46068</v>
      </c>
      <c r="H4319" t="s">
        <v>641</v>
      </c>
      <c r="I4319" t="s">
        <v>611</v>
      </c>
      <c r="J4319">
        <v>99.29</v>
      </c>
      <c r="K4319">
        <v>100.236</v>
      </c>
      <c r="L4319">
        <v>5.4509999999999996</v>
      </c>
      <c r="M4319">
        <v>5.0810000000000004</v>
      </c>
      <c r="N4319">
        <v>5.3159999999999998</v>
      </c>
      <c r="O4319" t="s">
        <v>101</v>
      </c>
      <c r="P4319" t="s">
        <v>2595</v>
      </c>
      <c r="Q4319" t="s">
        <v>2791</v>
      </c>
      <c r="R4319" t="s">
        <v>2436</v>
      </c>
    </row>
    <row r="4320" spans="1:18" x14ac:dyDescent="0.5">
      <c r="A4320" t="str">
        <f>"48130CGR0"</f>
        <v>48130CGR0</v>
      </c>
      <c r="B4320" t="s">
        <v>101</v>
      </c>
      <c r="C4320" t="s">
        <v>5329</v>
      </c>
      <c r="D4320" t="s">
        <v>2433</v>
      </c>
      <c r="E4320">
        <v>5.25</v>
      </c>
      <c r="F4320" s="2">
        <v>48990</v>
      </c>
      <c r="G4320" s="2">
        <v>46068</v>
      </c>
      <c r="H4320" t="s">
        <v>641</v>
      </c>
      <c r="I4320" t="s">
        <v>611</v>
      </c>
      <c r="J4320">
        <v>98.381</v>
      </c>
      <c r="K4320">
        <v>100.184</v>
      </c>
      <c r="L4320">
        <v>5.4809999999999999</v>
      </c>
      <c r="M4320">
        <v>5.0389999999999997</v>
      </c>
      <c r="N4320">
        <v>5.2229999999999999</v>
      </c>
      <c r="O4320" t="s">
        <v>101</v>
      </c>
      <c r="P4320" t="s">
        <v>2527</v>
      </c>
      <c r="Q4320" t="s">
        <v>2899</v>
      </c>
      <c r="R4320" t="s">
        <v>2436</v>
      </c>
    </row>
    <row r="4321" spans="1:18" x14ac:dyDescent="0.5">
      <c r="A4321" t="str">
        <f>"539830CA5"</f>
        <v>539830CA5</v>
      </c>
      <c r="B4321" t="s">
        <v>101</v>
      </c>
      <c r="C4321" t="s">
        <v>5330</v>
      </c>
      <c r="D4321" t="s">
        <v>2433</v>
      </c>
      <c r="E4321">
        <v>4.75</v>
      </c>
      <c r="F4321" s="2">
        <v>48990</v>
      </c>
      <c r="G4321" s="2">
        <v>48898</v>
      </c>
      <c r="H4321" t="s">
        <v>610</v>
      </c>
      <c r="I4321" t="s">
        <v>713</v>
      </c>
      <c r="J4321">
        <v>97.768000000000001</v>
      </c>
      <c r="K4321">
        <v>98.093999999999994</v>
      </c>
      <c r="L4321">
        <v>5.0629999999999997</v>
      </c>
      <c r="M4321">
        <v>5.01</v>
      </c>
      <c r="N4321">
        <v>5.0170000000000003</v>
      </c>
      <c r="O4321" t="s">
        <v>101</v>
      </c>
      <c r="P4321" t="s">
        <v>3068</v>
      </c>
      <c r="Q4321" t="s">
        <v>2454</v>
      </c>
      <c r="R4321" t="s">
        <v>2436</v>
      </c>
    </row>
    <row r="4322" spans="1:18" x14ac:dyDescent="0.5">
      <c r="A4322" t="str">
        <f>"695114DD7"</f>
        <v>695114DD7</v>
      </c>
      <c r="B4322" t="s">
        <v>101</v>
      </c>
      <c r="C4322" t="s">
        <v>5331</v>
      </c>
      <c r="D4322" t="s">
        <v>2433</v>
      </c>
      <c r="E4322">
        <v>5.45</v>
      </c>
      <c r="F4322" s="2">
        <v>48990</v>
      </c>
      <c r="G4322" s="2">
        <v>48898</v>
      </c>
      <c r="H4322" t="s">
        <v>610</v>
      </c>
      <c r="I4322" t="s">
        <v>611</v>
      </c>
      <c r="J4322">
        <v>99.790999999999997</v>
      </c>
      <c r="K4322">
        <v>100.062</v>
      </c>
      <c r="L4322">
        <v>5.4790000000000001</v>
      </c>
      <c r="M4322">
        <v>5.44</v>
      </c>
      <c r="N4322">
        <v>5.44</v>
      </c>
      <c r="O4322" t="s">
        <v>101</v>
      </c>
      <c r="P4322" t="s">
        <v>2581</v>
      </c>
      <c r="Q4322" t="s">
        <v>1702</v>
      </c>
      <c r="R4322" t="s">
        <v>2436</v>
      </c>
    </row>
    <row r="4323" spans="1:18" x14ac:dyDescent="0.5">
      <c r="A4323" t="str">
        <f>"69351UBC6"</f>
        <v>69351UBC6</v>
      </c>
      <c r="B4323" t="s">
        <v>101</v>
      </c>
      <c r="C4323" t="s">
        <v>5332</v>
      </c>
      <c r="D4323" t="s">
        <v>2433</v>
      </c>
      <c r="E4323">
        <v>4.8499999999999996</v>
      </c>
      <c r="F4323" s="2">
        <v>48990</v>
      </c>
      <c r="G4323" s="2">
        <v>48898</v>
      </c>
      <c r="H4323" t="s">
        <v>641</v>
      </c>
      <c r="I4323" t="s">
        <v>658</v>
      </c>
      <c r="J4323">
        <v>98.244</v>
      </c>
      <c r="K4323">
        <v>98.763999999999996</v>
      </c>
      <c r="L4323">
        <v>5.0970000000000004</v>
      </c>
      <c r="M4323">
        <v>5.0229999999999997</v>
      </c>
      <c r="N4323">
        <v>5.0229999999999997</v>
      </c>
      <c r="O4323" t="s">
        <v>101</v>
      </c>
      <c r="P4323" t="s">
        <v>1391</v>
      </c>
      <c r="Q4323" t="s">
        <v>2940</v>
      </c>
      <c r="R4323" t="s">
        <v>2436</v>
      </c>
    </row>
    <row r="4324" spans="1:18" x14ac:dyDescent="0.5">
      <c r="A4324" t="str">
        <f>"756109CG7"</f>
        <v>756109CG7</v>
      </c>
      <c r="B4324" t="s">
        <v>101</v>
      </c>
      <c r="C4324" t="s">
        <v>5333</v>
      </c>
      <c r="D4324" t="s">
        <v>2433</v>
      </c>
      <c r="E4324">
        <v>5.125</v>
      </c>
      <c r="F4324" s="2">
        <v>48990</v>
      </c>
      <c r="G4324" s="2">
        <v>48898</v>
      </c>
      <c r="H4324" t="s">
        <v>627</v>
      </c>
      <c r="I4324" t="s">
        <v>713</v>
      </c>
      <c r="J4324">
        <v>98.822999999999993</v>
      </c>
      <c r="K4324">
        <v>98.974000000000004</v>
      </c>
      <c r="L4324">
        <v>5.2919999999999998</v>
      </c>
      <c r="M4324">
        <v>5.27</v>
      </c>
      <c r="N4324">
        <v>5.27</v>
      </c>
      <c r="O4324" t="s">
        <v>101</v>
      </c>
      <c r="P4324" t="s">
        <v>1702</v>
      </c>
      <c r="Q4324" t="s">
        <v>2447</v>
      </c>
      <c r="R4324" t="s">
        <v>2436</v>
      </c>
    </row>
    <row r="4325" spans="1:18" x14ac:dyDescent="0.5">
      <c r="A4325" t="str">
        <f>"125523CV0"</f>
        <v>125523CV0</v>
      </c>
      <c r="B4325" t="s">
        <v>101</v>
      </c>
      <c r="C4325" t="s">
        <v>5334</v>
      </c>
      <c r="D4325" t="s">
        <v>2433</v>
      </c>
      <c r="E4325">
        <v>5.25</v>
      </c>
      <c r="F4325" s="2">
        <v>48990</v>
      </c>
      <c r="G4325" s="2">
        <v>48898</v>
      </c>
      <c r="H4325" t="s">
        <v>670</v>
      </c>
      <c r="I4325" t="s">
        <v>713</v>
      </c>
      <c r="J4325">
        <v>99.850999999999999</v>
      </c>
      <c r="K4325">
        <v>100.197</v>
      </c>
      <c r="L4325">
        <v>5.2709999999999999</v>
      </c>
      <c r="M4325">
        <v>5.2210000000000001</v>
      </c>
      <c r="N4325">
        <v>5.2210000000000001</v>
      </c>
      <c r="O4325" t="s">
        <v>101</v>
      </c>
      <c r="P4325" t="s">
        <v>2454</v>
      </c>
      <c r="Q4325" t="s">
        <v>5335</v>
      </c>
      <c r="R4325" t="s">
        <v>2436</v>
      </c>
    </row>
    <row r="4326" spans="1:18" x14ac:dyDescent="0.5">
      <c r="A4326" t="str">
        <f>"89114XDX8"</f>
        <v>89114XDX8</v>
      </c>
      <c r="B4326" t="s">
        <v>101</v>
      </c>
      <c r="C4326" t="s">
        <v>5336</v>
      </c>
      <c r="D4326" t="s">
        <v>2433</v>
      </c>
      <c r="E4326">
        <v>5.4</v>
      </c>
      <c r="F4326" s="2">
        <v>48990</v>
      </c>
      <c r="G4326" s="2">
        <v>46068</v>
      </c>
      <c r="H4326" t="s">
        <v>610</v>
      </c>
      <c r="I4326" t="s">
        <v>713</v>
      </c>
      <c r="J4326">
        <v>97.355000000000004</v>
      </c>
      <c r="K4326">
        <v>99.998000000000005</v>
      </c>
      <c r="L4326">
        <v>5.7809999999999997</v>
      </c>
      <c r="M4326">
        <v>5.4</v>
      </c>
      <c r="N4326">
        <v>5.4</v>
      </c>
      <c r="O4326" t="s">
        <v>101</v>
      </c>
      <c r="P4326" t="s">
        <v>858</v>
      </c>
      <c r="Q4326" t="s">
        <v>3343</v>
      </c>
      <c r="R4326" t="s">
        <v>2436</v>
      </c>
    </row>
    <row r="4327" spans="1:18" x14ac:dyDescent="0.5">
      <c r="A4327" t="str">
        <f>"94106LBW8"</f>
        <v>94106LBW8</v>
      </c>
      <c r="B4327" t="s">
        <v>101</v>
      </c>
      <c r="C4327" t="s">
        <v>5337</v>
      </c>
      <c r="D4327" t="s">
        <v>2433</v>
      </c>
      <c r="E4327">
        <v>4.875</v>
      </c>
      <c r="F4327" s="2">
        <v>48990</v>
      </c>
      <c r="G4327" s="2">
        <v>48898</v>
      </c>
      <c r="H4327" t="s">
        <v>627</v>
      </c>
      <c r="I4327" t="s">
        <v>713</v>
      </c>
      <c r="J4327">
        <v>98.998999999999995</v>
      </c>
      <c r="K4327">
        <v>99.213999999999999</v>
      </c>
      <c r="L4327">
        <v>5.0149999999999997</v>
      </c>
      <c r="M4327">
        <v>4.9850000000000003</v>
      </c>
      <c r="N4327">
        <v>4.9850000000000003</v>
      </c>
      <c r="O4327" t="s">
        <v>101</v>
      </c>
      <c r="P4327" t="s">
        <v>1236</v>
      </c>
      <c r="Q4327" t="s">
        <v>2454</v>
      </c>
      <c r="R4327" t="s">
        <v>2436</v>
      </c>
    </row>
    <row r="4328" spans="1:18" x14ac:dyDescent="0.5">
      <c r="A4328" t="str">
        <f>"713466AD2"</f>
        <v>713466AD2</v>
      </c>
      <c r="B4328" t="s">
        <v>101</v>
      </c>
      <c r="C4328" t="s">
        <v>5338</v>
      </c>
      <c r="D4328" t="s">
        <v>2433</v>
      </c>
      <c r="E4328">
        <v>4.7</v>
      </c>
      <c r="F4328" s="2">
        <v>48991</v>
      </c>
      <c r="G4328" s="2">
        <v>48899</v>
      </c>
      <c r="H4328" t="s">
        <v>641</v>
      </c>
      <c r="I4328" t="s">
        <v>658</v>
      </c>
      <c r="J4328">
        <v>97.700999999999993</v>
      </c>
      <c r="K4328">
        <v>98.13</v>
      </c>
      <c r="L4328">
        <v>5.0220000000000002</v>
      </c>
      <c r="M4328">
        <v>4.9610000000000003</v>
      </c>
      <c r="N4328">
        <v>4.9610000000000003</v>
      </c>
      <c r="O4328" t="s">
        <v>101</v>
      </c>
      <c r="P4328" t="s">
        <v>3878</v>
      </c>
      <c r="Q4328" t="s">
        <v>2454</v>
      </c>
      <c r="R4328" t="s">
        <v>2436</v>
      </c>
    </row>
    <row r="4329" spans="1:18" x14ac:dyDescent="0.5">
      <c r="A4329" t="str">
        <f>"231021AW6"</f>
        <v>231021AW6</v>
      </c>
      <c r="B4329" t="s">
        <v>101</v>
      </c>
      <c r="C4329" t="s">
        <v>5339</v>
      </c>
      <c r="D4329" t="s">
        <v>2433</v>
      </c>
      <c r="E4329">
        <v>5.15</v>
      </c>
      <c r="F4329" s="2">
        <v>48995</v>
      </c>
      <c r="G4329" s="2">
        <v>48903</v>
      </c>
      <c r="H4329" t="s">
        <v>610</v>
      </c>
      <c r="I4329" t="s">
        <v>611</v>
      </c>
      <c r="J4329">
        <v>101.009</v>
      </c>
      <c r="K4329">
        <v>101.52200000000001</v>
      </c>
      <c r="L4329">
        <v>5.0060000000000002</v>
      </c>
      <c r="M4329">
        <v>4.9329999999999998</v>
      </c>
      <c r="N4329">
        <v>4.9370000000000003</v>
      </c>
      <c r="O4329" t="s">
        <v>101</v>
      </c>
      <c r="P4329" t="s">
        <v>2786</v>
      </c>
      <c r="Q4329" t="s">
        <v>2755</v>
      </c>
      <c r="R4329" t="s">
        <v>2436</v>
      </c>
    </row>
    <row r="4330" spans="1:18" x14ac:dyDescent="0.5">
      <c r="A4330" t="str">
        <f>"110122EH7"</f>
        <v>110122EH7</v>
      </c>
      <c r="B4330" t="s">
        <v>101</v>
      </c>
      <c r="C4330" t="s">
        <v>5340</v>
      </c>
      <c r="D4330" t="s">
        <v>2433</v>
      </c>
      <c r="E4330">
        <v>5.2</v>
      </c>
      <c r="F4330" s="2">
        <v>48997</v>
      </c>
      <c r="G4330" s="2">
        <v>48903</v>
      </c>
      <c r="H4330" t="s">
        <v>610</v>
      </c>
      <c r="I4330" t="s">
        <v>611</v>
      </c>
      <c r="J4330">
        <v>100.9</v>
      </c>
      <c r="K4330">
        <v>101.202</v>
      </c>
      <c r="L4330">
        <v>5.0709999999999997</v>
      </c>
      <c r="M4330">
        <v>5.0279999999999996</v>
      </c>
      <c r="N4330">
        <v>5.0309999999999997</v>
      </c>
      <c r="O4330" t="s">
        <v>101</v>
      </c>
      <c r="P4330" t="s">
        <v>3493</v>
      </c>
      <c r="Q4330" t="s">
        <v>2447</v>
      </c>
      <c r="R4330" t="s">
        <v>2436</v>
      </c>
    </row>
    <row r="4331" spans="1:18" x14ac:dyDescent="0.5">
      <c r="A4331" t="str">
        <f>"04636NAN3"</f>
        <v>04636NAN3</v>
      </c>
      <c r="B4331" t="s">
        <v>101</v>
      </c>
      <c r="C4331" t="s">
        <v>5341</v>
      </c>
      <c r="D4331" t="s">
        <v>2433</v>
      </c>
      <c r="E4331">
        <v>5</v>
      </c>
      <c r="F4331" s="2">
        <v>49001</v>
      </c>
      <c r="G4331" s="2">
        <v>48909</v>
      </c>
      <c r="H4331" t="s">
        <v>641</v>
      </c>
      <c r="I4331" t="s">
        <v>658</v>
      </c>
      <c r="J4331">
        <v>100.36199999999999</v>
      </c>
      <c r="K4331">
        <v>100.468</v>
      </c>
      <c r="L4331">
        <v>4.9489999999999998</v>
      </c>
      <c r="M4331">
        <v>4.9340000000000002</v>
      </c>
      <c r="N4331">
        <v>4.9340000000000002</v>
      </c>
      <c r="O4331" t="s">
        <v>101</v>
      </c>
      <c r="P4331" t="s">
        <v>1999</v>
      </c>
      <c r="Q4331" t="s">
        <v>2454</v>
      </c>
      <c r="R4331" t="s">
        <v>2436</v>
      </c>
    </row>
    <row r="4332" spans="1:18" x14ac:dyDescent="0.5">
      <c r="A4332" t="str">
        <f>"17275RBT8"</f>
        <v>17275RBT8</v>
      </c>
      <c r="B4332" t="s">
        <v>101</v>
      </c>
      <c r="C4332" t="s">
        <v>5342</v>
      </c>
      <c r="D4332" t="s">
        <v>2433</v>
      </c>
      <c r="E4332">
        <v>5.05</v>
      </c>
      <c r="F4332" s="2">
        <v>49001</v>
      </c>
      <c r="G4332" s="2">
        <v>48909</v>
      </c>
      <c r="H4332" t="s">
        <v>641</v>
      </c>
      <c r="I4332" t="s">
        <v>616</v>
      </c>
      <c r="J4332">
        <v>100.613</v>
      </c>
      <c r="K4332">
        <v>100.788</v>
      </c>
      <c r="L4332">
        <v>4.9630000000000001</v>
      </c>
      <c r="M4332">
        <v>4.9379999999999997</v>
      </c>
      <c r="N4332">
        <v>4.9400000000000004</v>
      </c>
      <c r="O4332" t="s">
        <v>101</v>
      </c>
      <c r="P4332" t="s">
        <v>3834</v>
      </c>
      <c r="Q4332" t="s">
        <v>2454</v>
      </c>
      <c r="R4332" t="s">
        <v>2436</v>
      </c>
    </row>
    <row r="4333" spans="1:18" x14ac:dyDescent="0.5">
      <c r="A4333" t="str">
        <f>"48130CHE8"</f>
        <v>48130CHE8</v>
      </c>
      <c r="B4333" t="s">
        <v>101</v>
      </c>
      <c r="C4333" t="s">
        <v>5343</v>
      </c>
      <c r="D4333" t="s">
        <v>2433</v>
      </c>
      <c r="E4333">
        <v>5.6</v>
      </c>
      <c r="F4333" s="2">
        <v>49002</v>
      </c>
      <c r="G4333" s="2">
        <v>46080</v>
      </c>
      <c r="H4333" t="s">
        <v>641</v>
      </c>
      <c r="I4333" t="s">
        <v>611</v>
      </c>
      <c r="J4333">
        <v>100.05200000000001</v>
      </c>
      <c r="K4333">
        <v>100.432</v>
      </c>
      <c r="L4333">
        <v>5.54</v>
      </c>
      <c r="M4333">
        <v>5.1289999999999996</v>
      </c>
      <c r="N4333">
        <v>5.5380000000000003</v>
      </c>
      <c r="O4333" t="s">
        <v>101</v>
      </c>
      <c r="P4333" t="s">
        <v>2527</v>
      </c>
      <c r="Q4333" t="s">
        <v>2330</v>
      </c>
      <c r="R4333" t="s">
        <v>2436</v>
      </c>
    </row>
    <row r="4334" spans="1:18" x14ac:dyDescent="0.5">
      <c r="A4334" t="str">
        <f>"03040WBD6"</f>
        <v>03040WBD6</v>
      </c>
      <c r="B4334" t="s">
        <v>101</v>
      </c>
      <c r="C4334" t="s">
        <v>5344</v>
      </c>
      <c r="D4334" t="s">
        <v>2433</v>
      </c>
      <c r="E4334">
        <v>5.15</v>
      </c>
      <c r="F4334" s="2">
        <v>49004</v>
      </c>
      <c r="G4334" s="2">
        <v>48914</v>
      </c>
      <c r="H4334" t="s">
        <v>670</v>
      </c>
      <c r="I4334" t="s">
        <v>611</v>
      </c>
      <c r="J4334">
        <v>99.704999999999998</v>
      </c>
      <c r="K4334">
        <v>99.912000000000006</v>
      </c>
      <c r="L4334">
        <v>5.1909999999999998</v>
      </c>
      <c r="M4334">
        <v>5.1619999999999999</v>
      </c>
      <c r="N4334">
        <v>5.1619999999999999</v>
      </c>
      <c r="O4334" t="s">
        <v>101</v>
      </c>
      <c r="P4334" t="s">
        <v>5345</v>
      </c>
      <c r="Q4334" t="s">
        <v>2994</v>
      </c>
      <c r="R4334" t="s">
        <v>2436</v>
      </c>
    </row>
    <row r="4335" spans="1:18" x14ac:dyDescent="0.5">
      <c r="A4335" t="str">
        <f>"03740MAD2"</f>
        <v>03740MAD2</v>
      </c>
      <c r="B4335" t="s">
        <v>101</v>
      </c>
      <c r="C4335" t="s">
        <v>5346</v>
      </c>
      <c r="D4335" t="s">
        <v>2433</v>
      </c>
      <c r="E4335">
        <v>5.45</v>
      </c>
      <c r="F4335" s="2">
        <v>49004</v>
      </c>
      <c r="G4335" s="2">
        <v>48914</v>
      </c>
      <c r="H4335" t="s">
        <v>677</v>
      </c>
      <c r="I4335" t="s">
        <v>713</v>
      </c>
      <c r="J4335">
        <v>101.166</v>
      </c>
      <c r="K4335">
        <v>101.291</v>
      </c>
      <c r="L4335">
        <v>5.282</v>
      </c>
      <c r="M4335">
        <v>5.2640000000000002</v>
      </c>
      <c r="N4335">
        <v>5.2670000000000003</v>
      </c>
      <c r="O4335" t="s">
        <v>101</v>
      </c>
      <c r="P4335" t="s">
        <v>3383</v>
      </c>
      <c r="Q4335" t="s">
        <v>2454</v>
      </c>
      <c r="R4335" t="s">
        <v>2436</v>
      </c>
    </row>
    <row r="4336" spans="1:18" x14ac:dyDescent="0.5">
      <c r="A4336" t="str">
        <f>"15189XBE7"</f>
        <v>15189XBE7</v>
      </c>
      <c r="B4336" t="s">
        <v>101</v>
      </c>
      <c r="C4336" t="s">
        <v>5347</v>
      </c>
      <c r="D4336" t="s">
        <v>2433</v>
      </c>
      <c r="E4336">
        <v>5.15</v>
      </c>
      <c r="F4336" s="2">
        <v>49004</v>
      </c>
      <c r="G4336" s="2">
        <v>48914</v>
      </c>
      <c r="H4336" t="s">
        <v>610</v>
      </c>
      <c r="I4336" t="s">
        <v>611</v>
      </c>
      <c r="J4336">
        <v>99.177000000000007</v>
      </c>
      <c r="K4336">
        <v>99.721000000000004</v>
      </c>
      <c r="L4336">
        <v>5.266</v>
      </c>
      <c r="M4336">
        <v>5.1890000000000001</v>
      </c>
      <c r="N4336">
        <v>5.1890000000000001</v>
      </c>
      <c r="O4336" t="s">
        <v>101</v>
      </c>
      <c r="P4336" t="s">
        <v>1391</v>
      </c>
      <c r="Q4336" t="s">
        <v>3411</v>
      </c>
      <c r="R4336" t="s">
        <v>2436</v>
      </c>
    </row>
    <row r="4337" spans="1:18" x14ac:dyDescent="0.5">
      <c r="A4337" t="str">
        <f>"23338VAV8"</f>
        <v>23338VAV8</v>
      </c>
      <c r="B4337" t="s">
        <v>101</v>
      </c>
      <c r="C4337" t="s">
        <v>5348</v>
      </c>
      <c r="D4337" t="s">
        <v>2433</v>
      </c>
      <c r="E4337">
        <v>5.2</v>
      </c>
      <c r="F4337" s="2">
        <v>49004</v>
      </c>
      <c r="G4337" s="2">
        <v>48914</v>
      </c>
      <c r="H4337" t="s">
        <v>624</v>
      </c>
      <c r="I4337" t="s">
        <v>611</v>
      </c>
      <c r="J4337">
        <v>100.492</v>
      </c>
      <c r="K4337">
        <v>100.751</v>
      </c>
      <c r="L4337">
        <v>5.13</v>
      </c>
      <c r="M4337">
        <v>5.093</v>
      </c>
      <c r="N4337">
        <v>5.0940000000000003</v>
      </c>
      <c r="O4337" t="s">
        <v>101</v>
      </c>
      <c r="P4337" t="s">
        <v>2581</v>
      </c>
      <c r="Q4337" t="s">
        <v>1999</v>
      </c>
      <c r="R4337" t="s">
        <v>2436</v>
      </c>
    </row>
    <row r="4338" spans="1:18" x14ac:dyDescent="0.5">
      <c r="A4338" t="str">
        <f>"26443TAE6"</f>
        <v>26443TAE6</v>
      </c>
      <c r="B4338" t="s">
        <v>101</v>
      </c>
      <c r="C4338" t="s">
        <v>5349</v>
      </c>
      <c r="D4338" t="s">
        <v>2433</v>
      </c>
      <c r="E4338">
        <v>5.25</v>
      </c>
      <c r="F4338" s="2">
        <v>49004</v>
      </c>
      <c r="G4338" s="2">
        <v>48914</v>
      </c>
      <c r="H4338" t="s">
        <v>624</v>
      </c>
      <c r="I4338" t="s">
        <v>611</v>
      </c>
      <c r="J4338">
        <v>100.405</v>
      </c>
      <c r="K4338">
        <v>100.785</v>
      </c>
      <c r="L4338">
        <v>5.1920000000000002</v>
      </c>
      <c r="M4338">
        <v>5.1379999999999999</v>
      </c>
      <c r="N4338">
        <v>5.1390000000000002</v>
      </c>
      <c r="O4338" t="s">
        <v>101</v>
      </c>
      <c r="P4338" t="s">
        <v>4569</v>
      </c>
      <c r="Q4338" t="s">
        <v>1999</v>
      </c>
      <c r="R4338" t="s">
        <v>2436</v>
      </c>
    </row>
    <row r="4339" spans="1:18" x14ac:dyDescent="0.5">
      <c r="A4339" t="str">
        <f>"74456QCQ7"</f>
        <v>74456QCQ7</v>
      </c>
      <c r="B4339" t="s">
        <v>101</v>
      </c>
      <c r="C4339" t="s">
        <v>5350</v>
      </c>
      <c r="D4339" t="s">
        <v>2433</v>
      </c>
      <c r="E4339">
        <v>5.2</v>
      </c>
      <c r="F4339" s="2">
        <v>49004</v>
      </c>
      <c r="G4339" s="2">
        <v>48914</v>
      </c>
      <c r="H4339" t="s">
        <v>641</v>
      </c>
      <c r="I4339" t="s">
        <v>611</v>
      </c>
      <c r="J4339">
        <v>100.761</v>
      </c>
      <c r="K4339">
        <v>101.203</v>
      </c>
      <c r="L4339">
        <v>5.0910000000000002</v>
      </c>
      <c r="M4339">
        <v>5.0279999999999996</v>
      </c>
      <c r="N4339">
        <v>5.0309999999999997</v>
      </c>
      <c r="O4339" t="s">
        <v>101</v>
      </c>
      <c r="P4339" t="s">
        <v>3878</v>
      </c>
      <c r="Q4339" t="s">
        <v>2454</v>
      </c>
      <c r="R4339" t="s">
        <v>2436</v>
      </c>
    </row>
    <row r="4340" spans="1:18" x14ac:dyDescent="0.5">
      <c r="A4340" t="str">
        <f>"06055JDQ9"</f>
        <v>06055JDQ9</v>
      </c>
      <c r="B4340" t="s">
        <v>101</v>
      </c>
      <c r="C4340" t="s">
        <v>5351</v>
      </c>
      <c r="D4340" t="s">
        <v>2433</v>
      </c>
      <c r="E4340">
        <v>5.7</v>
      </c>
      <c r="F4340" s="2">
        <v>49009</v>
      </c>
      <c r="G4340" s="2">
        <v>46087</v>
      </c>
      <c r="H4340" t="s">
        <v>641</v>
      </c>
      <c r="I4340" t="s">
        <v>713</v>
      </c>
      <c r="J4340">
        <v>100.31</v>
      </c>
      <c r="K4340">
        <v>100.69</v>
      </c>
      <c r="L4340">
        <v>5.3710000000000004</v>
      </c>
      <c r="M4340">
        <v>4.9710000000000001</v>
      </c>
      <c r="N4340">
        <v>5.601</v>
      </c>
      <c r="O4340" t="s">
        <v>101</v>
      </c>
      <c r="P4340" t="s">
        <v>2595</v>
      </c>
      <c r="Q4340" t="s">
        <v>2791</v>
      </c>
      <c r="R4340" t="s">
        <v>2436</v>
      </c>
    </row>
    <row r="4341" spans="1:18" x14ac:dyDescent="0.5">
      <c r="A4341" t="str">
        <f>"09290DAB7"</f>
        <v>09290DAB7</v>
      </c>
      <c r="B4341" t="s">
        <v>101</v>
      </c>
      <c r="C4341" t="s">
        <v>5352</v>
      </c>
      <c r="D4341" t="s">
        <v>2433</v>
      </c>
      <c r="E4341">
        <v>5</v>
      </c>
      <c r="F4341" s="2">
        <v>49017</v>
      </c>
      <c r="G4341" s="2">
        <v>48927</v>
      </c>
      <c r="H4341" t="s">
        <v>624</v>
      </c>
      <c r="I4341" t="s">
        <v>616</v>
      </c>
      <c r="J4341">
        <v>99.849000000000004</v>
      </c>
      <c r="K4341">
        <v>100.111</v>
      </c>
      <c r="L4341">
        <v>5.0209999999999999</v>
      </c>
      <c r="M4341">
        <v>4.9850000000000003</v>
      </c>
      <c r="N4341">
        <v>4.9850000000000003</v>
      </c>
      <c r="O4341" t="s">
        <v>101</v>
      </c>
      <c r="P4341" t="s">
        <v>3878</v>
      </c>
      <c r="Q4341" t="s">
        <v>2454</v>
      </c>
      <c r="R4341" t="s">
        <v>2436</v>
      </c>
    </row>
    <row r="4342" spans="1:18" x14ac:dyDescent="0.5">
      <c r="A4342" t="str">
        <f>"48130CHR9"</f>
        <v>48130CHR9</v>
      </c>
      <c r="B4342" t="s">
        <v>101</v>
      </c>
      <c r="C4342" t="s">
        <v>5353</v>
      </c>
      <c r="D4342" t="s">
        <v>2433</v>
      </c>
      <c r="E4342">
        <v>5.35</v>
      </c>
      <c r="F4342" s="2">
        <v>49017</v>
      </c>
      <c r="G4342" s="2">
        <v>46095</v>
      </c>
      <c r="H4342" t="s">
        <v>641</v>
      </c>
      <c r="I4342" t="s">
        <v>611</v>
      </c>
      <c r="J4342">
        <v>99.286000000000001</v>
      </c>
      <c r="K4342">
        <v>100.75</v>
      </c>
      <c r="L4342">
        <v>5.4509999999999996</v>
      </c>
      <c r="M4342">
        <v>4.5780000000000003</v>
      </c>
      <c r="N4342">
        <v>5.2439999999999998</v>
      </c>
      <c r="O4342" t="s">
        <v>101</v>
      </c>
      <c r="P4342" t="s">
        <v>2595</v>
      </c>
      <c r="Q4342" t="s">
        <v>538</v>
      </c>
      <c r="R4342" t="s">
        <v>2436</v>
      </c>
    </row>
    <row r="4343" spans="1:18" x14ac:dyDescent="0.5">
      <c r="A4343" t="str">
        <f>"00287YDU0"</f>
        <v>00287YDU0</v>
      </c>
      <c r="B4343" t="s">
        <v>101</v>
      </c>
      <c r="C4343" t="s">
        <v>5354</v>
      </c>
      <c r="D4343" t="s">
        <v>2433</v>
      </c>
      <c r="E4343">
        <v>5.05</v>
      </c>
      <c r="F4343" s="2">
        <v>49018</v>
      </c>
      <c r="G4343" s="2">
        <v>48928</v>
      </c>
      <c r="H4343" t="s">
        <v>627</v>
      </c>
      <c r="I4343" t="s">
        <v>713</v>
      </c>
      <c r="J4343">
        <v>100.07299999999999</v>
      </c>
      <c r="K4343">
        <v>100.32599999999999</v>
      </c>
      <c r="L4343">
        <v>5.04</v>
      </c>
      <c r="M4343">
        <v>5.0039999999999996</v>
      </c>
      <c r="N4343">
        <v>5.0049999999999999</v>
      </c>
      <c r="O4343" t="s">
        <v>101</v>
      </c>
      <c r="P4343" t="s">
        <v>2786</v>
      </c>
      <c r="Q4343" t="s">
        <v>2454</v>
      </c>
      <c r="R4343" t="s">
        <v>2436</v>
      </c>
    </row>
    <row r="4344" spans="1:18" x14ac:dyDescent="0.5">
      <c r="A4344" t="str">
        <f>"171239AK2"</f>
        <v>171239AK2</v>
      </c>
      <c r="B4344" t="s">
        <v>101</v>
      </c>
      <c r="C4344" t="s">
        <v>5355</v>
      </c>
      <c r="D4344" t="s">
        <v>2433</v>
      </c>
      <c r="E4344">
        <v>5</v>
      </c>
      <c r="F4344" s="2">
        <v>49018</v>
      </c>
      <c r="G4344" s="2">
        <v>48928</v>
      </c>
      <c r="H4344" t="s">
        <v>610</v>
      </c>
      <c r="I4344" t="s">
        <v>611</v>
      </c>
      <c r="J4344">
        <v>99.406999999999996</v>
      </c>
      <c r="K4344">
        <v>99.715999999999994</v>
      </c>
      <c r="L4344">
        <v>5.0830000000000002</v>
      </c>
      <c r="M4344">
        <v>5.04</v>
      </c>
      <c r="N4344">
        <v>5.04</v>
      </c>
      <c r="O4344" t="s">
        <v>101</v>
      </c>
      <c r="P4344" t="s">
        <v>5356</v>
      </c>
      <c r="Q4344" t="s">
        <v>3411</v>
      </c>
      <c r="R4344" t="s">
        <v>2436</v>
      </c>
    </row>
    <row r="4345" spans="1:18" x14ac:dyDescent="0.5">
      <c r="A4345" t="str">
        <f>"209111GF4"</f>
        <v>209111GF4</v>
      </c>
      <c r="B4345" t="s">
        <v>101</v>
      </c>
      <c r="C4345" t="s">
        <v>5357</v>
      </c>
      <c r="D4345" t="s">
        <v>2433</v>
      </c>
      <c r="E4345">
        <v>5.5</v>
      </c>
      <c r="F4345" s="2">
        <v>49018</v>
      </c>
      <c r="G4345" s="2">
        <v>48928</v>
      </c>
      <c r="H4345" t="s">
        <v>627</v>
      </c>
      <c r="I4345" t="s">
        <v>713</v>
      </c>
      <c r="J4345">
        <v>102.405</v>
      </c>
      <c r="K4345">
        <v>102.60599999999999</v>
      </c>
      <c r="L4345">
        <v>5.1559999999999997</v>
      </c>
      <c r="M4345">
        <v>5.1280000000000001</v>
      </c>
      <c r="N4345">
        <v>5.1349999999999998</v>
      </c>
      <c r="O4345" t="s">
        <v>101</v>
      </c>
      <c r="P4345" t="s">
        <v>2743</v>
      </c>
      <c r="Q4345" t="s">
        <v>2581</v>
      </c>
      <c r="R4345" t="s">
        <v>2436</v>
      </c>
    </row>
    <row r="4346" spans="1:18" x14ac:dyDescent="0.5">
      <c r="A4346" t="str">
        <f>"26442UAS3"</f>
        <v>26442UAS3</v>
      </c>
      <c r="B4346" t="s">
        <v>101</v>
      </c>
      <c r="C4346" t="s">
        <v>5358</v>
      </c>
      <c r="D4346" t="s">
        <v>2433</v>
      </c>
      <c r="E4346">
        <v>5.0999999999999996</v>
      </c>
      <c r="F4346" s="2">
        <v>49018</v>
      </c>
      <c r="G4346" s="2">
        <v>48928</v>
      </c>
      <c r="H4346" t="s">
        <v>624</v>
      </c>
      <c r="I4346" t="s">
        <v>611</v>
      </c>
      <c r="J4346">
        <v>100.03100000000001</v>
      </c>
      <c r="K4346">
        <v>100.51</v>
      </c>
      <c r="L4346">
        <v>5.0960000000000001</v>
      </c>
      <c r="M4346">
        <v>5.0279999999999996</v>
      </c>
      <c r="N4346">
        <v>5.0289999999999999</v>
      </c>
      <c r="O4346" t="s">
        <v>101</v>
      </c>
      <c r="P4346" t="s">
        <v>4569</v>
      </c>
      <c r="Q4346" t="s">
        <v>2454</v>
      </c>
      <c r="R4346" t="s">
        <v>2436</v>
      </c>
    </row>
    <row r="4347" spans="1:18" x14ac:dyDescent="0.5">
      <c r="A4347" t="str">
        <f>"29364WBM9"</f>
        <v>29364WBM9</v>
      </c>
      <c r="B4347" t="s">
        <v>101</v>
      </c>
      <c r="C4347" t="s">
        <v>5359</v>
      </c>
      <c r="D4347" t="s">
        <v>2433</v>
      </c>
      <c r="E4347">
        <v>5.35</v>
      </c>
      <c r="F4347" s="2">
        <v>49018</v>
      </c>
      <c r="G4347" s="2">
        <v>48928</v>
      </c>
      <c r="H4347" t="s">
        <v>610</v>
      </c>
      <c r="I4347" t="s">
        <v>611</v>
      </c>
      <c r="J4347">
        <v>100.468</v>
      </c>
      <c r="K4347">
        <v>101.009</v>
      </c>
      <c r="L4347">
        <v>5.2830000000000004</v>
      </c>
      <c r="M4347">
        <v>5.2060000000000004</v>
      </c>
      <c r="N4347">
        <v>5.2080000000000002</v>
      </c>
      <c r="O4347" t="s">
        <v>101</v>
      </c>
      <c r="P4347" t="s">
        <v>4982</v>
      </c>
      <c r="Q4347" t="s">
        <v>2940</v>
      </c>
      <c r="R4347" t="s">
        <v>2436</v>
      </c>
    </row>
    <row r="4348" spans="1:18" x14ac:dyDescent="0.5">
      <c r="A4348" t="str">
        <f>"373334KW0"</f>
        <v>373334KW0</v>
      </c>
      <c r="B4348" t="s">
        <v>101</v>
      </c>
      <c r="C4348" t="s">
        <v>5360</v>
      </c>
      <c r="D4348" t="s">
        <v>2433</v>
      </c>
      <c r="E4348">
        <v>5.25</v>
      </c>
      <c r="F4348" s="2">
        <v>49018</v>
      </c>
      <c r="G4348" s="2">
        <v>48837</v>
      </c>
      <c r="H4348" t="s">
        <v>627</v>
      </c>
      <c r="I4348" t="s">
        <v>611</v>
      </c>
      <c r="J4348">
        <v>100.29600000000001</v>
      </c>
      <c r="K4348">
        <v>100.71299999999999</v>
      </c>
      <c r="L4348">
        <v>5.2060000000000004</v>
      </c>
      <c r="M4348">
        <v>5.1449999999999996</v>
      </c>
      <c r="N4348">
        <v>5.15</v>
      </c>
      <c r="O4348" t="s">
        <v>101</v>
      </c>
      <c r="P4348" t="s">
        <v>2581</v>
      </c>
      <c r="Q4348" t="s">
        <v>5361</v>
      </c>
      <c r="R4348" t="s">
        <v>2436</v>
      </c>
    </row>
    <row r="4349" spans="1:18" x14ac:dyDescent="0.5">
      <c r="A4349" t="str">
        <f>"571748BW1"</f>
        <v>571748BW1</v>
      </c>
      <c r="B4349" t="s">
        <v>101</v>
      </c>
      <c r="C4349" t="s">
        <v>5362</v>
      </c>
      <c r="D4349" t="s">
        <v>2433</v>
      </c>
      <c r="E4349">
        <v>5.15</v>
      </c>
      <c r="F4349" s="2">
        <v>49018</v>
      </c>
      <c r="G4349" s="2">
        <v>48928</v>
      </c>
      <c r="H4349" t="s">
        <v>627</v>
      </c>
      <c r="I4349" t="s">
        <v>713</v>
      </c>
      <c r="J4349">
        <v>100.41</v>
      </c>
      <c r="K4349">
        <v>100.654</v>
      </c>
      <c r="L4349">
        <v>5.0919999999999996</v>
      </c>
      <c r="M4349">
        <v>5.0570000000000004</v>
      </c>
      <c r="N4349">
        <v>5.0590000000000002</v>
      </c>
      <c r="O4349" t="s">
        <v>101</v>
      </c>
      <c r="P4349" t="s">
        <v>2447</v>
      </c>
      <c r="Q4349" t="s">
        <v>2454</v>
      </c>
      <c r="R4349" t="s">
        <v>2436</v>
      </c>
    </row>
    <row r="4350" spans="1:18" x14ac:dyDescent="0.5">
      <c r="A4350" t="str">
        <f>"59523UAV9"</f>
        <v>59523UAV9</v>
      </c>
      <c r="B4350" t="s">
        <v>101</v>
      </c>
      <c r="C4350" t="s">
        <v>5363</v>
      </c>
      <c r="D4350" t="s">
        <v>2433</v>
      </c>
      <c r="E4350">
        <v>5</v>
      </c>
      <c r="F4350" s="2">
        <v>49018</v>
      </c>
      <c r="G4350" s="2">
        <v>48928</v>
      </c>
      <c r="H4350" t="s">
        <v>627</v>
      </c>
      <c r="I4350" t="s">
        <v>713</v>
      </c>
      <c r="J4350">
        <v>98.564999999999998</v>
      </c>
      <c r="K4350">
        <v>98.858000000000004</v>
      </c>
      <c r="L4350">
        <v>5.2009999999999996</v>
      </c>
      <c r="M4350">
        <v>5.16</v>
      </c>
      <c r="N4350">
        <v>5.16</v>
      </c>
      <c r="O4350" t="s">
        <v>101</v>
      </c>
      <c r="P4350" t="s">
        <v>1999</v>
      </c>
      <c r="Q4350" t="s">
        <v>2454</v>
      </c>
      <c r="R4350" t="s">
        <v>2436</v>
      </c>
    </row>
    <row r="4351" spans="1:18" x14ac:dyDescent="0.5">
      <c r="A4351" t="str">
        <f>"737679DH0"</f>
        <v>737679DH0</v>
      </c>
      <c r="B4351" t="s">
        <v>101</v>
      </c>
      <c r="C4351" t="s">
        <v>5364</v>
      </c>
      <c r="D4351" t="s">
        <v>2433</v>
      </c>
      <c r="E4351">
        <v>5.2</v>
      </c>
      <c r="F4351" s="2">
        <v>49018</v>
      </c>
      <c r="G4351" s="2">
        <v>48928</v>
      </c>
      <c r="H4351" t="s">
        <v>610</v>
      </c>
      <c r="I4351" t="s">
        <v>611</v>
      </c>
      <c r="J4351">
        <v>99.692999999999998</v>
      </c>
      <c r="K4351">
        <v>100.343</v>
      </c>
      <c r="L4351">
        <v>5.2430000000000003</v>
      </c>
      <c r="M4351">
        <v>5.1520000000000001</v>
      </c>
      <c r="N4351">
        <v>5.1520000000000001</v>
      </c>
      <c r="O4351" t="s">
        <v>101</v>
      </c>
      <c r="P4351" t="s">
        <v>2747</v>
      </c>
      <c r="Q4351" t="s">
        <v>2566</v>
      </c>
      <c r="R4351" t="s">
        <v>2436</v>
      </c>
    </row>
    <row r="4352" spans="1:18" x14ac:dyDescent="0.5">
      <c r="A4352" t="str">
        <f>"74340XCJ8"</f>
        <v>74340XCJ8</v>
      </c>
      <c r="B4352" t="s">
        <v>101</v>
      </c>
      <c r="C4352" t="s">
        <v>5365</v>
      </c>
      <c r="D4352" t="s">
        <v>2433</v>
      </c>
      <c r="E4352">
        <v>5</v>
      </c>
      <c r="F4352" s="2">
        <v>49018</v>
      </c>
      <c r="G4352" s="2">
        <v>48928</v>
      </c>
      <c r="H4352" t="s">
        <v>610</v>
      </c>
      <c r="I4352" t="s">
        <v>611</v>
      </c>
      <c r="J4352">
        <v>99.1</v>
      </c>
      <c r="K4352">
        <v>99.212999999999994</v>
      </c>
      <c r="L4352">
        <v>5.1260000000000003</v>
      </c>
      <c r="M4352">
        <v>5.1100000000000003</v>
      </c>
      <c r="N4352">
        <v>5.1100000000000003</v>
      </c>
      <c r="O4352" t="s">
        <v>101</v>
      </c>
      <c r="P4352" t="s">
        <v>2581</v>
      </c>
      <c r="Q4352" t="s">
        <v>2472</v>
      </c>
      <c r="R4352" t="s">
        <v>2436</v>
      </c>
    </row>
    <row r="4353" spans="1:18" x14ac:dyDescent="0.5">
      <c r="A4353" t="str">
        <f>"906548BY7"</f>
        <v>906548BY7</v>
      </c>
      <c r="B4353" t="s">
        <v>101</v>
      </c>
      <c r="C4353" t="s">
        <v>5366</v>
      </c>
      <c r="D4353" t="s">
        <v>2433</v>
      </c>
      <c r="E4353">
        <v>5.5</v>
      </c>
      <c r="F4353" s="2">
        <v>49018</v>
      </c>
      <c r="G4353" s="2" t="s">
        <v>101</v>
      </c>
      <c r="H4353" t="s">
        <v>610</v>
      </c>
      <c r="I4353" t="s">
        <v>611</v>
      </c>
      <c r="J4353">
        <v>101.006</v>
      </c>
      <c r="K4353">
        <v>103.20699999999999</v>
      </c>
      <c r="L4353">
        <v>5.3579999999999997</v>
      </c>
      <c r="M4353">
        <v>5.0519999999999996</v>
      </c>
      <c r="N4353">
        <v>5.0519999999999996</v>
      </c>
      <c r="O4353" t="s">
        <v>101</v>
      </c>
      <c r="P4353" t="s">
        <v>858</v>
      </c>
      <c r="Q4353" t="s">
        <v>457</v>
      </c>
      <c r="R4353" t="s">
        <v>2436</v>
      </c>
    </row>
    <row r="4354" spans="1:18" x14ac:dyDescent="0.5">
      <c r="A4354" t="str">
        <f>"48130CJV8"</f>
        <v>48130CJV8</v>
      </c>
      <c r="B4354" t="s">
        <v>101</v>
      </c>
      <c r="C4354" t="s">
        <v>5367</v>
      </c>
      <c r="D4354" t="s">
        <v>2433</v>
      </c>
      <c r="E4354">
        <v>5.65</v>
      </c>
      <c r="F4354" s="2">
        <v>49024</v>
      </c>
      <c r="G4354" s="2">
        <v>46102</v>
      </c>
      <c r="H4354" t="s">
        <v>641</v>
      </c>
      <c r="I4354" t="s">
        <v>611</v>
      </c>
      <c r="J4354">
        <v>100.163</v>
      </c>
      <c r="K4354">
        <v>100.65900000000001</v>
      </c>
      <c r="L4354">
        <v>5.4820000000000002</v>
      </c>
      <c r="M4354">
        <v>4.9809999999999999</v>
      </c>
      <c r="N4354">
        <v>5.556</v>
      </c>
      <c r="O4354" t="s">
        <v>101</v>
      </c>
      <c r="P4354" t="s">
        <v>2527</v>
      </c>
      <c r="Q4354" t="s">
        <v>3682</v>
      </c>
      <c r="R4354" t="s">
        <v>2436</v>
      </c>
    </row>
    <row r="4355" spans="1:18" x14ac:dyDescent="0.5">
      <c r="A4355" t="str">
        <f>"69371RS98"</f>
        <v>69371RS98</v>
      </c>
      <c r="B4355" t="s">
        <v>101</v>
      </c>
      <c r="C4355" t="s">
        <v>5368</v>
      </c>
      <c r="D4355" t="s">
        <v>2433</v>
      </c>
      <c r="E4355">
        <v>5</v>
      </c>
      <c r="F4355" s="2">
        <v>49025</v>
      </c>
      <c r="G4355" s="2" t="s">
        <v>105</v>
      </c>
      <c r="H4355" t="s">
        <v>641</v>
      </c>
      <c r="I4355" t="s">
        <v>658</v>
      </c>
      <c r="J4355">
        <v>100.255</v>
      </c>
      <c r="K4355">
        <v>100.937</v>
      </c>
      <c r="L4355">
        <v>4.9640000000000004</v>
      </c>
      <c r="M4355">
        <v>4.87</v>
      </c>
      <c r="N4355">
        <v>4.87</v>
      </c>
      <c r="O4355" t="s">
        <v>101</v>
      </c>
      <c r="P4355" t="s">
        <v>4982</v>
      </c>
      <c r="Q4355" t="s">
        <v>488</v>
      </c>
      <c r="R4355" t="s">
        <v>2465</v>
      </c>
    </row>
    <row r="4356" spans="1:18" x14ac:dyDescent="0.5">
      <c r="A4356" t="str">
        <f>"976826BS5"</f>
        <v>976826BS5</v>
      </c>
      <c r="B4356" t="s">
        <v>101</v>
      </c>
      <c r="C4356" t="s">
        <v>5369</v>
      </c>
      <c r="D4356" t="s">
        <v>2433</v>
      </c>
      <c r="E4356">
        <v>5.375</v>
      </c>
      <c r="F4356" s="2">
        <v>49033</v>
      </c>
      <c r="G4356" s="2">
        <v>48943</v>
      </c>
      <c r="H4356" t="s">
        <v>670</v>
      </c>
      <c r="I4356" t="s">
        <v>713</v>
      </c>
      <c r="J4356">
        <v>100.464</v>
      </c>
      <c r="K4356">
        <v>101.008</v>
      </c>
      <c r="L4356">
        <v>5.3070000000000004</v>
      </c>
      <c r="M4356">
        <v>5.2309999999999999</v>
      </c>
      <c r="N4356">
        <v>5.2329999999999997</v>
      </c>
      <c r="O4356" t="s">
        <v>101</v>
      </c>
      <c r="P4356" t="s">
        <v>3878</v>
      </c>
      <c r="Q4356" t="s">
        <v>2454</v>
      </c>
      <c r="R4356" t="s">
        <v>2436</v>
      </c>
    </row>
    <row r="4357" spans="1:18" x14ac:dyDescent="0.5">
      <c r="A4357" t="str">
        <f>"032654BB0"</f>
        <v>032654BB0</v>
      </c>
      <c r="B4357" t="s">
        <v>101</v>
      </c>
      <c r="C4357" t="s">
        <v>5370</v>
      </c>
      <c r="D4357" t="s">
        <v>2433</v>
      </c>
      <c r="E4357">
        <v>5.05</v>
      </c>
      <c r="F4357" s="2">
        <v>49035</v>
      </c>
      <c r="G4357" s="2">
        <v>48945</v>
      </c>
      <c r="H4357" t="s">
        <v>610</v>
      </c>
      <c r="I4357" t="s">
        <v>713</v>
      </c>
      <c r="J4357">
        <v>100.59699999999999</v>
      </c>
      <c r="K4357">
        <v>101.011</v>
      </c>
      <c r="L4357">
        <v>4.9660000000000002</v>
      </c>
      <c r="M4357">
        <v>4.907</v>
      </c>
      <c r="N4357">
        <v>4.91</v>
      </c>
      <c r="O4357" t="s">
        <v>101</v>
      </c>
      <c r="P4357" t="s">
        <v>4569</v>
      </c>
      <c r="Q4357" t="s">
        <v>2940</v>
      </c>
      <c r="R4357" t="s">
        <v>2436</v>
      </c>
    </row>
    <row r="4358" spans="1:18" x14ac:dyDescent="0.5">
      <c r="A4358" t="str">
        <f>"30037DAD7"</f>
        <v>30037DAD7</v>
      </c>
      <c r="B4358" t="s">
        <v>101</v>
      </c>
      <c r="C4358" t="s">
        <v>5371</v>
      </c>
      <c r="D4358" t="s">
        <v>2433</v>
      </c>
      <c r="E4358">
        <v>5.4</v>
      </c>
      <c r="F4358" s="2">
        <v>49035</v>
      </c>
      <c r="G4358" s="2">
        <v>48945</v>
      </c>
      <c r="H4358" t="s">
        <v>610</v>
      </c>
      <c r="I4358" t="s">
        <v>611</v>
      </c>
      <c r="J4358">
        <v>100.861</v>
      </c>
      <c r="K4358">
        <v>101.557</v>
      </c>
      <c r="L4358">
        <v>5.2770000000000001</v>
      </c>
      <c r="M4358">
        <v>5.1779999999999999</v>
      </c>
      <c r="N4358">
        <v>5.1820000000000004</v>
      </c>
      <c r="O4358" t="s">
        <v>101</v>
      </c>
      <c r="P4358" t="s">
        <v>2765</v>
      </c>
      <c r="Q4358" t="s">
        <v>3178</v>
      </c>
      <c r="R4358" t="s">
        <v>2436</v>
      </c>
    </row>
    <row r="4359" spans="1:18" x14ac:dyDescent="0.5">
      <c r="A4359" t="str">
        <f>"341081EQ6"</f>
        <v>341081EQ6</v>
      </c>
      <c r="B4359" t="s">
        <v>101</v>
      </c>
      <c r="C4359" t="s">
        <v>5372</v>
      </c>
      <c r="D4359" t="s">
        <v>2433</v>
      </c>
      <c r="E4359">
        <v>5.625</v>
      </c>
      <c r="F4359" s="2">
        <v>49035</v>
      </c>
      <c r="G4359" s="2" t="s">
        <v>101</v>
      </c>
      <c r="H4359" t="s">
        <v>613</v>
      </c>
      <c r="I4359" t="s">
        <v>658</v>
      </c>
      <c r="J4359">
        <v>104.003</v>
      </c>
      <c r="K4359">
        <v>104.43</v>
      </c>
      <c r="L4359">
        <v>5.0679999999999996</v>
      </c>
      <c r="M4359">
        <v>5.01</v>
      </c>
      <c r="N4359">
        <v>5.01</v>
      </c>
      <c r="O4359" t="s">
        <v>101</v>
      </c>
      <c r="P4359" t="s">
        <v>4600</v>
      </c>
      <c r="Q4359" t="s">
        <v>4402</v>
      </c>
      <c r="R4359" t="s">
        <v>2436</v>
      </c>
    </row>
    <row r="4360" spans="1:18" x14ac:dyDescent="0.5">
      <c r="A4360" t="str">
        <f>"906548CY6"</f>
        <v>906548CY6</v>
      </c>
      <c r="B4360" t="s">
        <v>101</v>
      </c>
      <c r="C4360" t="s">
        <v>5373</v>
      </c>
      <c r="D4360" t="s">
        <v>2433</v>
      </c>
      <c r="E4360">
        <v>5.2</v>
      </c>
      <c r="F4360" s="2">
        <v>49035</v>
      </c>
      <c r="G4360" s="2">
        <v>48945</v>
      </c>
      <c r="H4360" t="s">
        <v>610</v>
      </c>
      <c r="I4360" t="s">
        <v>611</v>
      </c>
      <c r="J4360">
        <v>100.024</v>
      </c>
      <c r="K4360">
        <v>100.437</v>
      </c>
      <c r="L4360">
        <v>5.1959999999999997</v>
      </c>
      <c r="M4360">
        <v>5.1379999999999999</v>
      </c>
      <c r="N4360">
        <v>5.1390000000000002</v>
      </c>
      <c r="O4360" t="s">
        <v>101</v>
      </c>
      <c r="P4360" t="s">
        <v>3878</v>
      </c>
      <c r="Q4360" t="s">
        <v>5374</v>
      </c>
      <c r="R4360" t="s">
        <v>2436</v>
      </c>
    </row>
    <row r="4361" spans="1:18" x14ac:dyDescent="0.5">
      <c r="A4361" t="str">
        <f>"00724PAG4"</f>
        <v>00724PAG4</v>
      </c>
      <c r="B4361" t="s">
        <v>101</v>
      </c>
      <c r="C4361" t="s">
        <v>5375</v>
      </c>
      <c r="D4361" t="s">
        <v>2433</v>
      </c>
      <c r="E4361">
        <v>4.95</v>
      </c>
      <c r="F4361" s="2">
        <v>49038</v>
      </c>
      <c r="G4361" s="2">
        <v>48948</v>
      </c>
      <c r="H4361" t="s">
        <v>641</v>
      </c>
      <c r="I4361" t="s">
        <v>658</v>
      </c>
      <c r="J4361">
        <v>99.869</v>
      </c>
      <c r="K4361">
        <v>100.221</v>
      </c>
      <c r="L4361">
        <v>4.968</v>
      </c>
      <c r="M4361">
        <v>4.9189999999999996</v>
      </c>
      <c r="N4361">
        <v>4.9189999999999996</v>
      </c>
      <c r="O4361" t="s">
        <v>101</v>
      </c>
      <c r="P4361" t="s">
        <v>2454</v>
      </c>
      <c r="Q4361" t="s">
        <v>2454</v>
      </c>
      <c r="R4361" t="s">
        <v>2436</v>
      </c>
    </row>
    <row r="4362" spans="1:18" x14ac:dyDescent="0.5">
      <c r="A4362" t="str">
        <f>"032095AQ4"</f>
        <v>032095AQ4</v>
      </c>
      <c r="B4362" t="s">
        <v>101</v>
      </c>
      <c r="C4362" t="s">
        <v>5376</v>
      </c>
      <c r="D4362" t="s">
        <v>2433</v>
      </c>
      <c r="E4362">
        <v>5.25</v>
      </c>
      <c r="F4362" s="2">
        <v>49039</v>
      </c>
      <c r="G4362" s="2">
        <v>48949</v>
      </c>
      <c r="H4362" t="s">
        <v>627</v>
      </c>
      <c r="I4362" t="s">
        <v>713</v>
      </c>
      <c r="J4362">
        <v>100.621</v>
      </c>
      <c r="K4362">
        <v>101.056</v>
      </c>
      <c r="L4362">
        <v>5.1619999999999999</v>
      </c>
      <c r="M4362">
        <v>5.0999999999999996</v>
      </c>
      <c r="N4362">
        <v>5.1029999999999998</v>
      </c>
      <c r="O4362" t="s">
        <v>101</v>
      </c>
      <c r="P4362" t="s">
        <v>2525</v>
      </c>
      <c r="Q4362" t="s">
        <v>3178</v>
      </c>
      <c r="R4362" t="s">
        <v>2436</v>
      </c>
    </row>
    <row r="4363" spans="1:18" x14ac:dyDescent="0.5">
      <c r="A4363" t="str">
        <f>"89157XAA9"</f>
        <v>89157XAA9</v>
      </c>
      <c r="B4363" t="s">
        <v>101</v>
      </c>
      <c r="C4363" t="s">
        <v>5377</v>
      </c>
      <c r="D4363" t="s">
        <v>2433</v>
      </c>
      <c r="E4363">
        <v>5.15</v>
      </c>
      <c r="F4363" s="2">
        <v>49039</v>
      </c>
      <c r="G4363" s="2">
        <v>48949</v>
      </c>
      <c r="H4363" t="s">
        <v>624</v>
      </c>
      <c r="I4363" t="s">
        <v>658</v>
      </c>
      <c r="J4363">
        <v>100.325</v>
      </c>
      <c r="K4363">
        <v>100.494</v>
      </c>
      <c r="L4363">
        <v>5.1040000000000001</v>
      </c>
      <c r="M4363">
        <v>5.08</v>
      </c>
      <c r="N4363">
        <v>5.0810000000000004</v>
      </c>
      <c r="O4363" t="s">
        <v>101</v>
      </c>
      <c r="P4363" t="s">
        <v>785</v>
      </c>
      <c r="Q4363" t="s">
        <v>2472</v>
      </c>
      <c r="R4363" t="s">
        <v>2436</v>
      </c>
    </row>
    <row r="4364" spans="1:18" x14ac:dyDescent="0.5">
      <c r="A4364" t="str">
        <f>"10373QBW9"</f>
        <v>10373QBW9</v>
      </c>
      <c r="B4364" t="s">
        <v>101</v>
      </c>
      <c r="C4364" t="s">
        <v>5378</v>
      </c>
      <c r="D4364" t="s">
        <v>2433</v>
      </c>
      <c r="E4364">
        <v>4.9889999999999999</v>
      </c>
      <c r="F4364" s="2">
        <v>49044</v>
      </c>
      <c r="G4364" s="2">
        <v>48954</v>
      </c>
      <c r="H4364" t="s">
        <v>641</v>
      </c>
      <c r="I4364" t="s">
        <v>713</v>
      </c>
      <c r="J4364">
        <v>98.191999999999993</v>
      </c>
      <c r="K4364">
        <v>98.606999999999999</v>
      </c>
      <c r="L4364">
        <v>5.2409999999999997</v>
      </c>
      <c r="M4364">
        <v>5.1829999999999998</v>
      </c>
      <c r="N4364">
        <v>5.1829999999999998</v>
      </c>
      <c r="O4364" t="s">
        <v>101</v>
      </c>
      <c r="P4364" t="s">
        <v>2747</v>
      </c>
      <c r="Q4364" t="s">
        <v>2507</v>
      </c>
      <c r="R4364" t="s">
        <v>2436</v>
      </c>
    </row>
    <row r="4365" spans="1:18" x14ac:dyDescent="0.5">
      <c r="A4365" t="str">
        <f>"24422EXP9"</f>
        <v>24422EXP9</v>
      </c>
      <c r="B4365" t="s">
        <v>101</v>
      </c>
      <c r="C4365" t="s">
        <v>5379</v>
      </c>
      <c r="D4365" t="s">
        <v>2433</v>
      </c>
      <c r="E4365">
        <v>5.0999999999999996</v>
      </c>
      <c r="F4365" s="2">
        <v>49045</v>
      </c>
      <c r="G4365" s="2" t="s">
        <v>105</v>
      </c>
      <c r="H4365" t="s">
        <v>641</v>
      </c>
      <c r="I4365" t="s">
        <v>611</v>
      </c>
      <c r="J4365">
        <v>100.435</v>
      </c>
      <c r="K4365">
        <v>100.801</v>
      </c>
      <c r="L4365">
        <v>5.0389999999999997</v>
      </c>
      <c r="M4365">
        <v>4.9889999999999999</v>
      </c>
      <c r="N4365">
        <v>4.9889999999999999</v>
      </c>
      <c r="O4365" t="s">
        <v>101</v>
      </c>
      <c r="P4365" t="s">
        <v>3939</v>
      </c>
      <c r="Q4365" t="s">
        <v>3082</v>
      </c>
      <c r="R4365" t="s">
        <v>2465</v>
      </c>
    </row>
    <row r="4366" spans="1:18" x14ac:dyDescent="0.5">
      <c r="A4366" t="str">
        <f>"377372AB3"</f>
        <v>377372AB3</v>
      </c>
      <c r="B4366" t="s">
        <v>101</v>
      </c>
      <c r="C4366" t="s">
        <v>5380</v>
      </c>
      <c r="D4366" t="s">
        <v>2433</v>
      </c>
      <c r="E4366">
        <v>5.375</v>
      </c>
      <c r="F4366" s="2">
        <v>49049</v>
      </c>
      <c r="G4366" s="2" t="s">
        <v>101</v>
      </c>
      <c r="H4366" t="s">
        <v>610</v>
      </c>
      <c r="I4366" t="s">
        <v>611</v>
      </c>
      <c r="J4366">
        <v>103.05200000000001</v>
      </c>
      <c r="K4366">
        <v>103.503</v>
      </c>
      <c r="L4366">
        <v>4.9530000000000003</v>
      </c>
      <c r="M4366">
        <v>4.8920000000000003</v>
      </c>
      <c r="N4366">
        <v>4.8920000000000003</v>
      </c>
      <c r="O4366" t="s">
        <v>101</v>
      </c>
      <c r="P4366" t="s">
        <v>2595</v>
      </c>
      <c r="Q4366" t="s">
        <v>3082</v>
      </c>
      <c r="R4366" t="s">
        <v>2436</v>
      </c>
    </row>
    <row r="4367" spans="1:18" x14ac:dyDescent="0.5">
      <c r="A4367" t="str">
        <f>"737679CY4"</f>
        <v>737679CY4</v>
      </c>
      <c r="B4367" t="s">
        <v>101</v>
      </c>
      <c r="C4367" t="s">
        <v>5381</v>
      </c>
      <c r="D4367" t="s">
        <v>2433</v>
      </c>
      <c r="E4367">
        <v>5.75</v>
      </c>
      <c r="F4367" s="2">
        <v>49049</v>
      </c>
      <c r="G4367" s="2" t="s">
        <v>101</v>
      </c>
      <c r="H4367" t="s">
        <v>610</v>
      </c>
      <c r="I4367" t="s">
        <v>611</v>
      </c>
      <c r="J4367">
        <v>100.86</v>
      </c>
      <c r="K4367">
        <v>104.256</v>
      </c>
      <c r="L4367">
        <v>5.6269999999999998</v>
      </c>
      <c r="M4367">
        <v>5.157</v>
      </c>
      <c r="N4367">
        <v>5.157</v>
      </c>
      <c r="O4367" t="s">
        <v>101</v>
      </c>
      <c r="P4367" t="s">
        <v>2507</v>
      </c>
      <c r="Q4367" t="s">
        <v>2736</v>
      </c>
      <c r="R4367" t="s">
        <v>2436</v>
      </c>
    </row>
    <row r="4368" spans="1:18" x14ac:dyDescent="0.5">
      <c r="A4368" t="str">
        <f>"91324PFB3"</f>
        <v>91324PFB3</v>
      </c>
      <c r="B4368" t="s">
        <v>101</v>
      </c>
      <c r="C4368" t="s">
        <v>5382</v>
      </c>
      <c r="D4368" t="s">
        <v>2433</v>
      </c>
      <c r="E4368">
        <v>5</v>
      </c>
      <c r="F4368" s="2">
        <v>49049</v>
      </c>
      <c r="G4368" s="2">
        <v>48959</v>
      </c>
      <c r="H4368" t="s">
        <v>610</v>
      </c>
      <c r="I4368" t="s">
        <v>658</v>
      </c>
      <c r="J4368">
        <v>98.804000000000002</v>
      </c>
      <c r="K4368">
        <v>98.981999999999999</v>
      </c>
      <c r="L4368">
        <v>5.1660000000000004</v>
      </c>
      <c r="M4368">
        <v>5.141</v>
      </c>
      <c r="N4368">
        <v>5.141</v>
      </c>
      <c r="O4368" t="s">
        <v>101</v>
      </c>
      <c r="P4368" t="s">
        <v>1702</v>
      </c>
      <c r="Q4368" t="s">
        <v>2454</v>
      </c>
      <c r="R4368" t="s">
        <v>2436</v>
      </c>
    </row>
    <row r="4369" spans="1:18" x14ac:dyDescent="0.5">
      <c r="A4369" t="str">
        <f>"48130CKR5"</f>
        <v>48130CKR5</v>
      </c>
      <c r="B4369" t="s">
        <v>101</v>
      </c>
      <c r="C4369" t="s">
        <v>5383</v>
      </c>
      <c r="D4369" t="s">
        <v>2433</v>
      </c>
      <c r="E4369">
        <v>6</v>
      </c>
      <c r="F4369" s="2">
        <v>49053</v>
      </c>
      <c r="G4369" s="2">
        <v>46496</v>
      </c>
      <c r="H4369" t="s">
        <v>641</v>
      </c>
      <c r="I4369" t="s">
        <v>611</v>
      </c>
      <c r="J4369">
        <v>100.181</v>
      </c>
      <c r="K4369">
        <v>102.375</v>
      </c>
      <c r="L4369">
        <v>5.9039999999999999</v>
      </c>
      <c r="M4369">
        <v>4.7960000000000003</v>
      </c>
      <c r="N4369">
        <v>5.6619999999999999</v>
      </c>
      <c r="O4369" t="s">
        <v>101</v>
      </c>
      <c r="P4369" t="s">
        <v>2527</v>
      </c>
      <c r="Q4369" t="s">
        <v>5075</v>
      </c>
      <c r="R4369" t="s">
        <v>2436</v>
      </c>
    </row>
    <row r="4370" spans="1:18" x14ac:dyDescent="0.5">
      <c r="A4370" t="str">
        <f>"25161FW95"</f>
        <v>25161FW95</v>
      </c>
      <c r="B4370" t="s">
        <v>101</v>
      </c>
      <c r="C4370" t="s">
        <v>5384</v>
      </c>
      <c r="D4370" t="s">
        <v>2433</v>
      </c>
      <c r="E4370">
        <v>6</v>
      </c>
      <c r="F4370" s="2">
        <v>49058</v>
      </c>
      <c r="G4370" s="2">
        <v>46136</v>
      </c>
      <c r="H4370" t="s">
        <v>641</v>
      </c>
      <c r="I4370" t="s">
        <v>611</v>
      </c>
      <c r="J4370">
        <v>99.772000000000006</v>
      </c>
      <c r="K4370">
        <v>101.30500000000001</v>
      </c>
      <c r="L4370">
        <v>6.032</v>
      </c>
      <c r="M4370">
        <v>4.78</v>
      </c>
      <c r="N4370">
        <v>5.8120000000000003</v>
      </c>
      <c r="O4370" t="s">
        <v>101</v>
      </c>
      <c r="P4370" t="s">
        <v>554</v>
      </c>
      <c r="Q4370" t="s">
        <v>556</v>
      </c>
      <c r="R4370" t="s">
        <v>2436</v>
      </c>
    </row>
    <row r="4371" spans="1:18" x14ac:dyDescent="0.5">
      <c r="A4371" t="str">
        <f>"03937LAA3"</f>
        <v>03937LAA3</v>
      </c>
      <c r="B4371" t="s">
        <v>101</v>
      </c>
      <c r="C4371" t="s">
        <v>5385</v>
      </c>
      <c r="D4371" t="s">
        <v>2433</v>
      </c>
      <c r="E4371">
        <v>7.35</v>
      </c>
      <c r="F4371" s="2">
        <v>49065</v>
      </c>
      <c r="G4371" s="2" t="s">
        <v>101</v>
      </c>
      <c r="H4371" t="s">
        <v>627</v>
      </c>
      <c r="I4371" t="s">
        <v>713</v>
      </c>
      <c r="J4371">
        <v>114.078</v>
      </c>
      <c r="K4371">
        <v>114.63200000000001</v>
      </c>
      <c r="L4371">
        <v>5.3780000000000001</v>
      </c>
      <c r="M4371">
        <v>5.3070000000000004</v>
      </c>
      <c r="N4371">
        <v>5.3070000000000004</v>
      </c>
      <c r="O4371" t="s">
        <v>101</v>
      </c>
      <c r="P4371" t="s">
        <v>1702</v>
      </c>
      <c r="Q4371" t="s">
        <v>4229</v>
      </c>
      <c r="R4371" t="s">
        <v>2436</v>
      </c>
    </row>
    <row r="4372" spans="1:18" x14ac:dyDescent="0.5">
      <c r="A4372" t="str">
        <f>"907818CU0"</f>
        <v>907818CU0</v>
      </c>
      <c r="B4372" t="s">
        <v>101</v>
      </c>
      <c r="C4372" t="s">
        <v>5386</v>
      </c>
      <c r="D4372" t="s">
        <v>2433</v>
      </c>
      <c r="E4372">
        <v>6.25</v>
      </c>
      <c r="F4372" s="2">
        <v>49065</v>
      </c>
      <c r="G4372" s="2" t="s">
        <v>101</v>
      </c>
      <c r="H4372" t="s">
        <v>627</v>
      </c>
      <c r="I4372" t="s">
        <v>713</v>
      </c>
      <c r="J4372">
        <v>107.45399999999999</v>
      </c>
      <c r="K4372">
        <v>108.30200000000001</v>
      </c>
      <c r="L4372">
        <v>5.2130000000000001</v>
      </c>
      <c r="M4372">
        <v>5.101</v>
      </c>
      <c r="N4372">
        <v>5.101</v>
      </c>
      <c r="O4372" t="s">
        <v>101</v>
      </c>
      <c r="P4372" t="s">
        <v>1236</v>
      </c>
      <c r="Q4372" t="s">
        <v>2511</v>
      </c>
      <c r="R4372" t="s">
        <v>2436</v>
      </c>
    </row>
    <row r="4373" spans="1:18" x14ac:dyDescent="0.5">
      <c r="A4373" t="str">
        <f>"45906M5J6"</f>
        <v>45906M5J6</v>
      </c>
      <c r="B4373" t="s">
        <v>101</v>
      </c>
      <c r="C4373" t="s">
        <v>5387</v>
      </c>
      <c r="D4373" t="s">
        <v>2433</v>
      </c>
      <c r="E4373">
        <v>5.75</v>
      </c>
      <c r="F4373" s="2">
        <v>49066</v>
      </c>
      <c r="G4373" s="2">
        <v>46144</v>
      </c>
      <c r="H4373" t="s">
        <v>104</v>
      </c>
      <c r="I4373" t="s">
        <v>104</v>
      </c>
      <c r="J4373">
        <v>100.051</v>
      </c>
      <c r="K4373">
        <v>101.4</v>
      </c>
      <c r="L4373">
        <v>5.6849999999999996</v>
      </c>
      <c r="M4373">
        <v>4.4480000000000004</v>
      </c>
      <c r="N4373">
        <v>5.548</v>
      </c>
      <c r="O4373" t="s">
        <v>101</v>
      </c>
      <c r="P4373" t="s">
        <v>485</v>
      </c>
      <c r="Q4373" t="s">
        <v>5388</v>
      </c>
      <c r="R4373" t="s">
        <v>2726</v>
      </c>
    </row>
    <row r="4374" spans="1:18" x14ac:dyDescent="0.5">
      <c r="A4374" t="str">
        <f>"57636QAZ7"</f>
        <v>57636QAZ7</v>
      </c>
      <c r="B4374" t="s">
        <v>101</v>
      </c>
      <c r="C4374" t="s">
        <v>5389</v>
      </c>
      <c r="D4374" t="s">
        <v>2433</v>
      </c>
      <c r="E4374">
        <v>4.875</v>
      </c>
      <c r="F4374" s="2">
        <v>49073</v>
      </c>
      <c r="G4374" s="2">
        <v>48984</v>
      </c>
      <c r="H4374" t="s">
        <v>624</v>
      </c>
      <c r="I4374" t="s">
        <v>658</v>
      </c>
      <c r="J4374">
        <v>99.466999999999999</v>
      </c>
      <c r="K4374">
        <v>99.77</v>
      </c>
      <c r="L4374">
        <v>4.9470000000000001</v>
      </c>
      <c r="M4374">
        <v>4.9059999999999997</v>
      </c>
      <c r="N4374">
        <v>4.9059999999999997</v>
      </c>
      <c r="O4374" t="s">
        <v>101</v>
      </c>
      <c r="P4374" t="s">
        <v>1702</v>
      </c>
      <c r="Q4374" t="s">
        <v>2454</v>
      </c>
      <c r="R4374" t="s">
        <v>2436</v>
      </c>
    </row>
    <row r="4375" spans="1:18" x14ac:dyDescent="0.5">
      <c r="A4375" t="str">
        <f>"191216DR8"</f>
        <v>191216DR8</v>
      </c>
      <c r="B4375" t="s">
        <v>101</v>
      </c>
      <c r="C4375" t="s">
        <v>5390</v>
      </c>
      <c r="D4375" t="s">
        <v>2433</v>
      </c>
      <c r="E4375">
        <v>5</v>
      </c>
      <c r="F4375" s="2">
        <v>49077</v>
      </c>
      <c r="G4375" s="2">
        <v>48988</v>
      </c>
      <c r="H4375" t="s">
        <v>641</v>
      </c>
      <c r="I4375" t="s">
        <v>658</v>
      </c>
      <c r="J4375">
        <v>100.791</v>
      </c>
      <c r="K4375">
        <v>101.084</v>
      </c>
      <c r="L4375">
        <v>4.8890000000000002</v>
      </c>
      <c r="M4375">
        <v>4.8490000000000002</v>
      </c>
      <c r="N4375">
        <v>4.851</v>
      </c>
      <c r="O4375" t="s">
        <v>101</v>
      </c>
      <c r="P4375" t="s">
        <v>2434</v>
      </c>
      <c r="Q4375" t="s">
        <v>2454</v>
      </c>
      <c r="R4375" t="s">
        <v>2436</v>
      </c>
    </row>
    <row r="4376" spans="1:18" x14ac:dyDescent="0.5">
      <c r="A4376" t="str">
        <f>"048303CC3"</f>
        <v>048303CC3</v>
      </c>
      <c r="B4376" t="s">
        <v>101</v>
      </c>
      <c r="C4376" t="s">
        <v>5391</v>
      </c>
      <c r="D4376" t="s">
        <v>2433</v>
      </c>
      <c r="E4376">
        <v>5.8</v>
      </c>
      <c r="F4376" s="2">
        <v>49079</v>
      </c>
      <c r="G4376" s="2" t="s">
        <v>101</v>
      </c>
      <c r="H4376" t="s">
        <v>610</v>
      </c>
      <c r="I4376" t="s">
        <v>611</v>
      </c>
      <c r="J4376">
        <v>102.48</v>
      </c>
      <c r="K4376">
        <v>104.864</v>
      </c>
      <c r="L4376">
        <v>5.452</v>
      </c>
      <c r="M4376">
        <v>5.1280000000000001</v>
      </c>
      <c r="N4376">
        <v>5.1280000000000001</v>
      </c>
      <c r="O4376" t="s">
        <v>101</v>
      </c>
      <c r="P4376" t="s">
        <v>5392</v>
      </c>
      <c r="Q4376" t="s">
        <v>5393</v>
      </c>
      <c r="R4376" t="s">
        <v>2436</v>
      </c>
    </row>
    <row r="4377" spans="1:18" x14ac:dyDescent="0.5">
      <c r="A4377" t="str">
        <f>"209111GH0"</f>
        <v>209111GH0</v>
      </c>
      <c r="B4377" t="s">
        <v>101</v>
      </c>
      <c r="C4377" t="s">
        <v>5394</v>
      </c>
      <c r="D4377" t="s">
        <v>2433</v>
      </c>
      <c r="E4377">
        <v>5.375</v>
      </c>
      <c r="F4377" s="2">
        <v>49079</v>
      </c>
      <c r="G4377" s="2">
        <v>48990</v>
      </c>
      <c r="H4377" t="s">
        <v>627</v>
      </c>
      <c r="I4377" t="s">
        <v>713</v>
      </c>
      <c r="J4377">
        <v>101.206</v>
      </c>
      <c r="K4377">
        <v>101.703</v>
      </c>
      <c r="L4377">
        <v>5.2039999999999997</v>
      </c>
      <c r="M4377">
        <v>5.1340000000000003</v>
      </c>
      <c r="N4377">
        <v>5.1390000000000002</v>
      </c>
      <c r="O4377" t="s">
        <v>101</v>
      </c>
      <c r="P4377" t="s">
        <v>1391</v>
      </c>
      <c r="Q4377" t="s">
        <v>2454</v>
      </c>
      <c r="R4377" t="s">
        <v>2436</v>
      </c>
    </row>
    <row r="4378" spans="1:18" x14ac:dyDescent="0.5">
      <c r="A4378" t="str">
        <f>"744448CZ2"</f>
        <v>744448CZ2</v>
      </c>
      <c r="B4378" t="s">
        <v>101</v>
      </c>
      <c r="C4378" t="s">
        <v>5395</v>
      </c>
      <c r="D4378" t="s">
        <v>2433</v>
      </c>
      <c r="E4378">
        <v>5.35</v>
      </c>
      <c r="F4378" s="2">
        <v>49079</v>
      </c>
      <c r="G4378" s="2">
        <v>48898</v>
      </c>
      <c r="H4378" t="s">
        <v>641</v>
      </c>
      <c r="I4378" t="s">
        <v>611</v>
      </c>
      <c r="J4378">
        <v>100.21899999999999</v>
      </c>
      <c r="K4378">
        <v>100.724</v>
      </c>
      <c r="L4378">
        <v>5.3170000000000002</v>
      </c>
      <c r="M4378">
        <v>5.2439999999999998</v>
      </c>
      <c r="N4378">
        <v>5.2480000000000002</v>
      </c>
      <c r="O4378" t="s">
        <v>101</v>
      </c>
      <c r="P4378" t="s">
        <v>4569</v>
      </c>
      <c r="Q4378" t="s">
        <v>5396</v>
      </c>
      <c r="R4378" t="s">
        <v>2436</v>
      </c>
    </row>
    <row r="4379" spans="1:18" x14ac:dyDescent="0.5">
      <c r="A4379" t="str">
        <f>"25161FUG1"</f>
        <v>25161FUG1</v>
      </c>
      <c r="B4379" t="s">
        <v>101</v>
      </c>
      <c r="C4379" t="s">
        <v>5397</v>
      </c>
      <c r="D4379" t="s">
        <v>2433</v>
      </c>
      <c r="E4379">
        <v>6.25</v>
      </c>
      <c r="F4379" s="2">
        <v>49080</v>
      </c>
      <c r="G4379" s="2">
        <v>46158</v>
      </c>
      <c r="H4379" t="s">
        <v>641</v>
      </c>
      <c r="I4379" t="s">
        <v>611</v>
      </c>
      <c r="J4379">
        <v>100.179</v>
      </c>
      <c r="K4379">
        <v>101.866</v>
      </c>
      <c r="L4379">
        <v>6.0810000000000004</v>
      </c>
      <c r="M4379">
        <v>4.5970000000000004</v>
      </c>
      <c r="N4379">
        <v>5.9809999999999999</v>
      </c>
      <c r="O4379" t="s">
        <v>101</v>
      </c>
      <c r="P4379" t="s">
        <v>1236</v>
      </c>
      <c r="Q4379" t="s">
        <v>2549</v>
      </c>
      <c r="R4379" t="s">
        <v>2436</v>
      </c>
    </row>
    <row r="4380" spans="1:18" x14ac:dyDescent="0.5">
      <c r="A4380" t="str">
        <f>"48130CLM5"</f>
        <v>48130CLM5</v>
      </c>
      <c r="B4380" t="s">
        <v>101</v>
      </c>
      <c r="C4380" t="s">
        <v>5398</v>
      </c>
      <c r="D4380" t="s">
        <v>2433</v>
      </c>
      <c r="E4380">
        <v>5.75</v>
      </c>
      <c r="F4380" s="2">
        <v>49081</v>
      </c>
      <c r="G4380" s="2">
        <v>46159</v>
      </c>
      <c r="H4380" t="s">
        <v>641</v>
      </c>
      <c r="I4380" t="s">
        <v>611</v>
      </c>
      <c r="J4380">
        <v>100.032</v>
      </c>
      <c r="K4380">
        <v>100.83</v>
      </c>
      <c r="L4380">
        <v>5.7130000000000001</v>
      </c>
      <c r="M4380">
        <v>5.01</v>
      </c>
      <c r="N4380">
        <v>5.6319999999999997</v>
      </c>
      <c r="O4380" t="s">
        <v>101</v>
      </c>
      <c r="P4380" t="s">
        <v>2595</v>
      </c>
      <c r="Q4380" t="s">
        <v>5399</v>
      </c>
      <c r="R4380" t="s">
        <v>2436</v>
      </c>
    </row>
    <row r="4381" spans="1:18" x14ac:dyDescent="0.5">
      <c r="A4381" t="str">
        <f>"911312CD6"</f>
        <v>911312CD6</v>
      </c>
      <c r="B4381" t="s">
        <v>101</v>
      </c>
      <c r="C4381" t="s">
        <v>5400</v>
      </c>
      <c r="D4381" t="s">
        <v>2433</v>
      </c>
      <c r="E4381">
        <v>5.15</v>
      </c>
      <c r="F4381" s="2">
        <v>49086</v>
      </c>
      <c r="G4381" s="2">
        <v>48997</v>
      </c>
      <c r="H4381" t="s">
        <v>610</v>
      </c>
      <c r="I4381" t="s">
        <v>611</v>
      </c>
      <c r="J4381">
        <v>100.624</v>
      </c>
      <c r="K4381">
        <v>100.85</v>
      </c>
      <c r="L4381">
        <v>5.0620000000000003</v>
      </c>
      <c r="M4381">
        <v>5.03</v>
      </c>
      <c r="N4381">
        <v>5.032</v>
      </c>
      <c r="O4381" t="s">
        <v>101</v>
      </c>
      <c r="P4381" t="s">
        <v>2447</v>
      </c>
      <c r="Q4381" t="s">
        <v>2595</v>
      </c>
      <c r="R4381" t="s">
        <v>2436</v>
      </c>
    </row>
    <row r="4382" spans="1:18" x14ac:dyDescent="0.5">
      <c r="A4382" t="str">
        <f>"25161FGM4"</f>
        <v>25161FGM4</v>
      </c>
      <c r="B4382" t="s">
        <v>101</v>
      </c>
      <c r="C4382" t="s">
        <v>5401</v>
      </c>
      <c r="D4382" t="s">
        <v>2433</v>
      </c>
      <c r="E4382">
        <v>6</v>
      </c>
      <c r="F4382" s="2">
        <v>49095</v>
      </c>
      <c r="G4382" s="2">
        <v>46173</v>
      </c>
      <c r="H4382" t="s">
        <v>641</v>
      </c>
      <c r="I4382" t="s">
        <v>611</v>
      </c>
      <c r="J4382">
        <v>99.954999999999998</v>
      </c>
      <c r="K4382">
        <v>100.97</v>
      </c>
      <c r="L4382">
        <v>6.0019999999999998</v>
      </c>
      <c r="M4382">
        <v>5.1589999999999998</v>
      </c>
      <c r="N4382">
        <v>5.8609999999999998</v>
      </c>
      <c r="O4382" t="s">
        <v>101</v>
      </c>
      <c r="P4382" t="s">
        <v>2289</v>
      </c>
      <c r="Q4382" t="s">
        <v>485</v>
      </c>
      <c r="R4382" t="s">
        <v>2436</v>
      </c>
    </row>
    <row r="4383" spans="1:18" x14ac:dyDescent="0.5">
      <c r="A4383" t="str">
        <f>"48130CMH5"</f>
        <v>48130CMH5</v>
      </c>
      <c r="B4383" t="s">
        <v>101</v>
      </c>
      <c r="C4383" t="s">
        <v>5402</v>
      </c>
      <c r="D4383" t="s">
        <v>2433</v>
      </c>
      <c r="E4383">
        <v>5.5</v>
      </c>
      <c r="F4383" s="2">
        <v>49095</v>
      </c>
      <c r="G4383" s="2">
        <v>46173</v>
      </c>
      <c r="H4383" t="s">
        <v>641</v>
      </c>
      <c r="I4383" t="s">
        <v>611</v>
      </c>
      <c r="J4383">
        <v>100.012</v>
      </c>
      <c r="K4383">
        <v>100.694</v>
      </c>
      <c r="L4383">
        <v>5.4820000000000002</v>
      </c>
      <c r="M4383">
        <v>4.8979999999999997</v>
      </c>
      <c r="N4383">
        <v>5.4020000000000001</v>
      </c>
      <c r="O4383" t="s">
        <v>101</v>
      </c>
      <c r="P4383" t="s">
        <v>2527</v>
      </c>
      <c r="Q4383" t="s">
        <v>2631</v>
      </c>
      <c r="R4383" t="s">
        <v>2436</v>
      </c>
    </row>
    <row r="4384" spans="1:18" x14ac:dyDescent="0.5">
      <c r="A4384" t="str">
        <f>"48130CMR3"</f>
        <v>48130CMR3</v>
      </c>
      <c r="B4384" t="s">
        <v>101</v>
      </c>
      <c r="C4384" t="s">
        <v>5403</v>
      </c>
      <c r="D4384" t="s">
        <v>2433</v>
      </c>
      <c r="E4384">
        <v>5.75</v>
      </c>
      <c r="F4384" s="2">
        <v>49095</v>
      </c>
      <c r="G4384" s="2">
        <v>46173</v>
      </c>
      <c r="H4384" t="s">
        <v>641</v>
      </c>
      <c r="I4384" t="s">
        <v>611</v>
      </c>
      <c r="J4384">
        <v>100.232</v>
      </c>
      <c r="K4384">
        <v>100.97</v>
      </c>
      <c r="L4384">
        <v>5.5250000000000004</v>
      </c>
      <c r="M4384">
        <v>4.8890000000000002</v>
      </c>
      <c r="N4384">
        <v>5.609</v>
      </c>
      <c r="O4384" t="s">
        <v>101</v>
      </c>
      <c r="P4384" t="s">
        <v>2527</v>
      </c>
      <c r="Q4384" t="s">
        <v>2590</v>
      </c>
      <c r="R4384" t="s">
        <v>2436</v>
      </c>
    </row>
    <row r="4385" spans="1:18" x14ac:dyDescent="0.5">
      <c r="A4385" t="str">
        <f>"04621WAA8"</f>
        <v>04621WAA8</v>
      </c>
      <c r="B4385" t="s">
        <v>101</v>
      </c>
      <c r="C4385" t="s">
        <v>5404</v>
      </c>
      <c r="D4385" t="s">
        <v>2433</v>
      </c>
      <c r="E4385">
        <v>7</v>
      </c>
      <c r="F4385" s="2">
        <v>49096</v>
      </c>
      <c r="G4385" s="2" t="s">
        <v>101</v>
      </c>
      <c r="H4385" t="s">
        <v>670</v>
      </c>
      <c r="I4385" t="s">
        <v>611</v>
      </c>
      <c r="J4385">
        <v>110.254</v>
      </c>
      <c r="K4385">
        <v>111.64400000000001</v>
      </c>
      <c r="L4385">
        <v>5.5620000000000003</v>
      </c>
      <c r="M4385">
        <v>5.38</v>
      </c>
      <c r="N4385">
        <v>5.38</v>
      </c>
      <c r="O4385" t="s">
        <v>101</v>
      </c>
      <c r="P4385" t="s">
        <v>663</v>
      </c>
      <c r="Q4385" t="s">
        <v>527</v>
      </c>
      <c r="R4385" t="s">
        <v>2436</v>
      </c>
    </row>
    <row r="4386" spans="1:18" x14ac:dyDescent="0.5">
      <c r="A4386" t="str">
        <f>"053484AF8"</f>
        <v>053484AF8</v>
      </c>
      <c r="B4386" t="s">
        <v>101</v>
      </c>
      <c r="C4386" t="s">
        <v>5405</v>
      </c>
      <c r="D4386" t="s">
        <v>2433</v>
      </c>
      <c r="E4386">
        <v>5.35</v>
      </c>
      <c r="F4386" s="2">
        <v>49096</v>
      </c>
      <c r="G4386" s="2">
        <v>49004</v>
      </c>
      <c r="H4386" t="s">
        <v>627</v>
      </c>
      <c r="I4386" t="s">
        <v>713</v>
      </c>
      <c r="J4386">
        <v>101.19</v>
      </c>
      <c r="K4386">
        <v>101.328</v>
      </c>
      <c r="L4386">
        <v>5.1820000000000004</v>
      </c>
      <c r="M4386">
        <v>5.1630000000000003</v>
      </c>
      <c r="N4386">
        <v>5.1660000000000004</v>
      </c>
      <c r="O4386" t="s">
        <v>101</v>
      </c>
      <c r="P4386" t="s">
        <v>2447</v>
      </c>
      <c r="Q4386" t="s">
        <v>460</v>
      </c>
      <c r="R4386" t="s">
        <v>2436</v>
      </c>
    </row>
    <row r="4387" spans="1:18" x14ac:dyDescent="0.5">
      <c r="A4387" t="str">
        <f>"059165ER7"</f>
        <v>059165ER7</v>
      </c>
      <c r="B4387" t="s">
        <v>101</v>
      </c>
      <c r="C4387" t="s">
        <v>5406</v>
      </c>
      <c r="D4387" t="s">
        <v>2433</v>
      </c>
      <c r="E4387">
        <v>5.3</v>
      </c>
      <c r="F4387" s="2">
        <v>49096</v>
      </c>
      <c r="G4387" s="2">
        <v>49004</v>
      </c>
      <c r="H4387" t="s">
        <v>627</v>
      </c>
      <c r="I4387" t="s">
        <v>611</v>
      </c>
      <c r="J4387">
        <v>100.386</v>
      </c>
      <c r="K4387">
        <v>100.985</v>
      </c>
      <c r="L4387">
        <v>5.2450000000000001</v>
      </c>
      <c r="M4387">
        <v>5.1609999999999996</v>
      </c>
      <c r="N4387">
        <v>5.1630000000000003</v>
      </c>
      <c r="O4387" t="s">
        <v>101</v>
      </c>
      <c r="P4387" t="s">
        <v>4569</v>
      </c>
      <c r="Q4387" t="s">
        <v>3411</v>
      </c>
      <c r="R4387" t="s">
        <v>2436</v>
      </c>
    </row>
    <row r="4388" spans="1:18" x14ac:dyDescent="0.5">
      <c r="A4388" t="str">
        <f>"20030NEJ6"</f>
        <v>20030NEJ6</v>
      </c>
      <c r="B4388" t="s">
        <v>101</v>
      </c>
      <c r="C4388" t="s">
        <v>5407</v>
      </c>
      <c r="D4388" t="s">
        <v>2433</v>
      </c>
      <c r="E4388">
        <v>5.3</v>
      </c>
      <c r="F4388" s="2">
        <v>49096</v>
      </c>
      <c r="G4388" s="2">
        <v>49004</v>
      </c>
      <c r="H4388" t="s">
        <v>627</v>
      </c>
      <c r="I4388" t="s">
        <v>713</v>
      </c>
      <c r="J4388">
        <v>100.871</v>
      </c>
      <c r="K4388">
        <v>101.05500000000001</v>
      </c>
      <c r="L4388">
        <v>5.1769999999999996</v>
      </c>
      <c r="M4388">
        <v>5.1509999999999998</v>
      </c>
      <c r="N4388">
        <v>5.1539999999999999</v>
      </c>
      <c r="O4388" t="s">
        <v>101</v>
      </c>
      <c r="P4388" t="s">
        <v>1702</v>
      </c>
      <c r="Q4388" t="s">
        <v>2454</v>
      </c>
      <c r="R4388" t="s">
        <v>2436</v>
      </c>
    </row>
    <row r="4389" spans="1:18" x14ac:dyDescent="0.5">
      <c r="A4389" t="str">
        <f>"202795JZ4"</f>
        <v>202795JZ4</v>
      </c>
      <c r="B4389" t="s">
        <v>101</v>
      </c>
      <c r="C4389" t="s">
        <v>5408</v>
      </c>
      <c r="D4389" t="s">
        <v>2433</v>
      </c>
      <c r="E4389">
        <v>5.3</v>
      </c>
      <c r="F4389" s="2">
        <v>49096</v>
      </c>
      <c r="G4389" s="2">
        <v>49004</v>
      </c>
      <c r="H4389" t="s">
        <v>641</v>
      </c>
      <c r="I4389" t="s">
        <v>611</v>
      </c>
      <c r="J4389">
        <v>100.349</v>
      </c>
      <c r="K4389">
        <v>101.08799999999999</v>
      </c>
      <c r="L4389">
        <v>5.25</v>
      </c>
      <c r="M4389">
        <v>5.1470000000000002</v>
      </c>
      <c r="N4389">
        <v>5.149</v>
      </c>
      <c r="O4389" t="s">
        <v>101</v>
      </c>
      <c r="P4389" t="s">
        <v>2765</v>
      </c>
      <c r="Q4389" t="s">
        <v>3241</v>
      </c>
      <c r="R4389" t="s">
        <v>2436</v>
      </c>
    </row>
    <row r="4390" spans="1:18" x14ac:dyDescent="0.5">
      <c r="A4390" t="str">
        <f>"29366MAF5"</f>
        <v>29366MAF5</v>
      </c>
      <c r="B4390" t="s">
        <v>101</v>
      </c>
      <c r="C4390" t="s">
        <v>5409</v>
      </c>
      <c r="D4390" t="s">
        <v>2433</v>
      </c>
      <c r="E4390">
        <v>5.45</v>
      </c>
      <c r="F4390" s="2">
        <v>49096</v>
      </c>
      <c r="G4390" s="2">
        <v>49004</v>
      </c>
      <c r="H4390" t="s">
        <v>610</v>
      </c>
      <c r="I4390" t="s">
        <v>611</v>
      </c>
      <c r="J4390">
        <v>101.26600000000001</v>
      </c>
      <c r="K4390">
        <v>101.77200000000001</v>
      </c>
      <c r="L4390">
        <v>5.2709999999999999</v>
      </c>
      <c r="M4390">
        <v>5.2</v>
      </c>
      <c r="N4390">
        <v>5.2039999999999997</v>
      </c>
      <c r="O4390" t="s">
        <v>101</v>
      </c>
      <c r="P4390" t="s">
        <v>2566</v>
      </c>
      <c r="Q4390" t="s">
        <v>538</v>
      </c>
      <c r="R4390" t="s">
        <v>2436</v>
      </c>
    </row>
    <row r="4391" spans="1:18" x14ac:dyDescent="0.5">
      <c r="A4391" t="str">
        <f>"478160CW2"</f>
        <v>478160CW2</v>
      </c>
      <c r="B4391" t="s">
        <v>101</v>
      </c>
      <c r="C4391" t="s">
        <v>5410</v>
      </c>
      <c r="D4391" t="s">
        <v>2433</v>
      </c>
      <c r="E4391">
        <v>4.95</v>
      </c>
      <c r="F4391" s="2">
        <v>49096</v>
      </c>
      <c r="G4391" s="2">
        <v>49004</v>
      </c>
      <c r="H4391" t="s">
        <v>104</v>
      </c>
      <c r="I4391" t="s">
        <v>104</v>
      </c>
      <c r="J4391">
        <v>101.682</v>
      </c>
      <c r="K4391">
        <v>101.81399999999999</v>
      </c>
      <c r="L4391">
        <v>4.718</v>
      </c>
      <c r="M4391">
        <v>4.6989999999999998</v>
      </c>
      <c r="N4391">
        <v>4.7039999999999997</v>
      </c>
      <c r="O4391" t="s">
        <v>101</v>
      </c>
      <c r="P4391" t="s">
        <v>2438</v>
      </c>
      <c r="Q4391" t="s">
        <v>2581</v>
      </c>
      <c r="R4391" t="s">
        <v>2436</v>
      </c>
    </row>
    <row r="4392" spans="1:18" x14ac:dyDescent="0.5">
      <c r="A4392" t="str">
        <f>"67021CAV9"</f>
        <v>67021CAV9</v>
      </c>
      <c r="B4392" t="s">
        <v>101</v>
      </c>
      <c r="C4392" t="s">
        <v>5411</v>
      </c>
      <c r="D4392" t="s">
        <v>2433</v>
      </c>
      <c r="E4392">
        <v>5.4</v>
      </c>
      <c r="F4392" s="2">
        <v>49096</v>
      </c>
      <c r="G4392" s="2">
        <v>49004</v>
      </c>
      <c r="H4392" t="s">
        <v>610</v>
      </c>
      <c r="I4392" t="s">
        <v>713</v>
      </c>
      <c r="J4392">
        <v>100.80200000000001</v>
      </c>
      <c r="K4392">
        <v>101.336</v>
      </c>
      <c r="L4392">
        <v>5.2859999999999996</v>
      </c>
      <c r="M4392">
        <v>5.2110000000000003</v>
      </c>
      <c r="N4392">
        <v>5.2140000000000004</v>
      </c>
      <c r="O4392" t="s">
        <v>101</v>
      </c>
      <c r="P4392" t="s">
        <v>3878</v>
      </c>
      <c r="Q4392" t="s">
        <v>2566</v>
      </c>
      <c r="R4392" t="s">
        <v>2436</v>
      </c>
    </row>
    <row r="4393" spans="1:18" x14ac:dyDescent="0.5">
      <c r="A4393" t="str">
        <f>"70450YAP8"</f>
        <v>70450YAP8</v>
      </c>
      <c r="B4393" t="s">
        <v>101</v>
      </c>
      <c r="C4393" t="s">
        <v>5412</v>
      </c>
      <c r="D4393" t="s">
        <v>2433</v>
      </c>
      <c r="E4393">
        <v>5.15</v>
      </c>
      <c r="F4393" s="2">
        <v>49096</v>
      </c>
      <c r="G4393" s="2">
        <v>49004</v>
      </c>
      <c r="H4393" t="s">
        <v>627</v>
      </c>
      <c r="I4393" t="s">
        <v>713</v>
      </c>
      <c r="J4393">
        <v>99.611000000000004</v>
      </c>
      <c r="K4393">
        <v>99.878</v>
      </c>
      <c r="L4393">
        <v>5.2030000000000003</v>
      </c>
      <c r="M4393">
        <v>5.1660000000000004</v>
      </c>
      <c r="N4393">
        <v>5.1660000000000004</v>
      </c>
      <c r="O4393" t="s">
        <v>101</v>
      </c>
      <c r="P4393" t="s">
        <v>1702</v>
      </c>
      <c r="Q4393" t="s">
        <v>2454</v>
      </c>
      <c r="R4393" t="s">
        <v>2436</v>
      </c>
    </row>
    <row r="4394" spans="1:18" x14ac:dyDescent="0.5">
      <c r="A4394" t="str">
        <f>"806854AM7"</f>
        <v>806854AM7</v>
      </c>
      <c r="B4394" t="s">
        <v>101</v>
      </c>
      <c r="C4394" t="s">
        <v>5413</v>
      </c>
      <c r="D4394" t="s">
        <v>2433</v>
      </c>
      <c r="E4394">
        <v>5</v>
      </c>
      <c r="F4394" s="2">
        <v>49096</v>
      </c>
      <c r="G4394" s="2">
        <v>49004</v>
      </c>
      <c r="H4394" t="s">
        <v>641</v>
      </c>
      <c r="I4394" t="s">
        <v>611</v>
      </c>
      <c r="J4394">
        <v>98.257000000000005</v>
      </c>
      <c r="K4394">
        <v>101.224</v>
      </c>
      <c r="L4394">
        <v>5.24</v>
      </c>
      <c r="M4394">
        <v>4.83</v>
      </c>
      <c r="N4394">
        <v>4.8330000000000002</v>
      </c>
      <c r="O4394" t="s">
        <v>101</v>
      </c>
      <c r="P4394" t="s">
        <v>2587</v>
      </c>
      <c r="Q4394" t="s">
        <v>5414</v>
      </c>
      <c r="R4394" t="s">
        <v>2439</v>
      </c>
    </row>
    <row r="4395" spans="1:18" x14ac:dyDescent="0.5">
      <c r="A4395" t="str">
        <f>"842400HZ9"</f>
        <v>842400HZ9</v>
      </c>
      <c r="B4395" t="s">
        <v>101</v>
      </c>
      <c r="C4395" t="s">
        <v>5415</v>
      </c>
      <c r="D4395" t="s">
        <v>2433</v>
      </c>
      <c r="E4395">
        <v>5.2</v>
      </c>
      <c r="F4395" s="2">
        <v>49096</v>
      </c>
      <c r="G4395" s="2">
        <v>49004</v>
      </c>
      <c r="H4395" t="s">
        <v>610</v>
      </c>
      <c r="I4395" t="s">
        <v>713</v>
      </c>
      <c r="J4395">
        <v>96.878</v>
      </c>
      <c r="K4395">
        <v>97.352999999999994</v>
      </c>
      <c r="L4395">
        <v>5.6379999999999999</v>
      </c>
      <c r="M4395">
        <v>5.57</v>
      </c>
      <c r="N4395">
        <v>5.57</v>
      </c>
      <c r="O4395" t="s">
        <v>101</v>
      </c>
      <c r="P4395" t="s">
        <v>3939</v>
      </c>
      <c r="Q4395" t="s">
        <v>4229</v>
      </c>
      <c r="R4395" t="s">
        <v>2436</v>
      </c>
    </row>
    <row r="4396" spans="1:18" x14ac:dyDescent="0.5">
      <c r="A4396" t="str">
        <f>"24422EXU8"</f>
        <v>24422EXU8</v>
      </c>
      <c r="B4396" t="s">
        <v>101</v>
      </c>
      <c r="C4396" t="s">
        <v>5416</v>
      </c>
      <c r="D4396" t="s">
        <v>2433</v>
      </c>
      <c r="E4396">
        <v>5.05</v>
      </c>
      <c r="F4396" s="2">
        <v>49107</v>
      </c>
      <c r="G4396" s="2" t="s">
        <v>105</v>
      </c>
      <c r="H4396" t="s">
        <v>641</v>
      </c>
      <c r="I4396" t="s">
        <v>611</v>
      </c>
      <c r="J4396">
        <v>100.265</v>
      </c>
      <c r="K4396">
        <v>100.476</v>
      </c>
      <c r="L4396">
        <v>5.0129999999999999</v>
      </c>
      <c r="M4396">
        <v>4.984</v>
      </c>
      <c r="N4396">
        <v>4.984</v>
      </c>
      <c r="O4396" t="s">
        <v>101</v>
      </c>
      <c r="P4396" t="s">
        <v>1391</v>
      </c>
      <c r="Q4396" t="s">
        <v>3082</v>
      </c>
      <c r="R4396" t="s">
        <v>2465</v>
      </c>
    </row>
    <row r="4397" spans="1:18" x14ac:dyDescent="0.5">
      <c r="A4397" t="str">
        <f>"25161FZH4"</f>
        <v>25161FZH4</v>
      </c>
      <c r="B4397" t="s">
        <v>101</v>
      </c>
      <c r="C4397" t="s">
        <v>5417</v>
      </c>
      <c r="D4397" t="s">
        <v>2433</v>
      </c>
      <c r="E4397">
        <v>6</v>
      </c>
      <c r="F4397" s="2">
        <v>49109</v>
      </c>
      <c r="G4397" s="2">
        <v>46187</v>
      </c>
      <c r="H4397" t="s">
        <v>641</v>
      </c>
      <c r="I4397" t="s">
        <v>611</v>
      </c>
      <c r="J4397">
        <v>100.11199999999999</v>
      </c>
      <c r="K4397">
        <v>101.405</v>
      </c>
      <c r="L4397">
        <v>5.8970000000000002</v>
      </c>
      <c r="M4397">
        <v>4.8259999999999996</v>
      </c>
      <c r="N4397">
        <v>5.8</v>
      </c>
      <c r="O4397" t="s">
        <v>101</v>
      </c>
      <c r="P4397" t="s">
        <v>5205</v>
      </c>
      <c r="Q4397" t="s">
        <v>5126</v>
      </c>
      <c r="R4397" t="s">
        <v>2436</v>
      </c>
    </row>
    <row r="4398" spans="1:18" x14ac:dyDescent="0.5">
      <c r="A4398" t="str">
        <f>"63305LD42"</f>
        <v>63305LD42</v>
      </c>
      <c r="B4398" t="s">
        <v>101</v>
      </c>
      <c r="C4398" t="s">
        <v>5418</v>
      </c>
      <c r="D4398" t="s">
        <v>2433</v>
      </c>
      <c r="E4398">
        <v>6</v>
      </c>
      <c r="F4398" s="2">
        <v>49109</v>
      </c>
      <c r="G4398" s="2">
        <v>46187</v>
      </c>
      <c r="H4398" t="s">
        <v>613</v>
      </c>
      <c r="I4398" t="s">
        <v>658</v>
      </c>
      <c r="J4398">
        <v>98.033000000000001</v>
      </c>
      <c r="K4398">
        <v>101.705</v>
      </c>
      <c r="L4398">
        <v>6.282</v>
      </c>
      <c r="M4398">
        <v>4.58</v>
      </c>
      <c r="N4398">
        <v>5.758</v>
      </c>
      <c r="O4398" t="s">
        <v>101</v>
      </c>
      <c r="P4398" t="s">
        <v>1236</v>
      </c>
      <c r="Q4398" t="s">
        <v>663</v>
      </c>
      <c r="R4398" t="s">
        <v>2726</v>
      </c>
    </row>
    <row r="4399" spans="1:18" x14ac:dyDescent="0.5">
      <c r="A4399" t="str">
        <f>"03523TBY3"</f>
        <v>03523TBY3</v>
      </c>
      <c r="B4399" t="s">
        <v>101</v>
      </c>
      <c r="C4399" t="s">
        <v>5419</v>
      </c>
      <c r="D4399" t="s">
        <v>2433</v>
      </c>
      <c r="E4399">
        <v>5</v>
      </c>
      <c r="F4399" s="2">
        <v>49110</v>
      </c>
      <c r="G4399" s="2">
        <v>49018</v>
      </c>
      <c r="H4399" t="s">
        <v>627</v>
      </c>
      <c r="I4399" t="s">
        <v>713</v>
      </c>
      <c r="J4399">
        <v>99.852999999999994</v>
      </c>
      <c r="K4399">
        <v>100.124</v>
      </c>
      <c r="L4399">
        <v>5.0190000000000001</v>
      </c>
      <c r="M4399">
        <v>4.9820000000000002</v>
      </c>
      <c r="N4399">
        <v>4.9820000000000002</v>
      </c>
      <c r="O4399" t="s">
        <v>101</v>
      </c>
      <c r="P4399" t="s">
        <v>2289</v>
      </c>
      <c r="Q4399" t="s">
        <v>3082</v>
      </c>
      <c r="R4399" t="s">
        <v>2436</v>
      </c>
    </row>
    <row r="4400" spans="1:18" x14ac:dyDescent="0.5">
      <c r="A4400" t="str">
        <f>"036752AZ6"</f>
        <v>036752AZ6</v>
      </c>
      <c r="B4400" t="s">
        <v>101</v>
      </c>
      <c r="C4400" t="s">
        <v>5420</v>
      </c>
      <c r="D4400" t="s">
        <v>2433</v>
      </c>
      <c r="E4400">
        <v>5.375</v>
      </c>
      <c r="F4400" s="2">
        <v>49110</v>
      </c>
      <c r="G4400" s="2">
        <v>49018</v>
      </c>
      <c r="H4400" t="s">
        <v>677</v>
      </c>
      <c r="I4400" t="s">
        <v>611</v>
      </c>
      <c r="J4400">
        <v>100.553</v>
      </c>
      <c r="K4400">
        <v>100.67</v>
      </c>
      <c r="L4400">
        <v>5.2969999999999997</v>
      </c>
      <c r="M4400">
        <v>5.28</v>
      </c>
      <c r="N4400">
        <v>5.2809999999999997</v>
      </c>
      <c r="O4400" t="s">
        <v>101</v>
      </c>
      <c r="P4400" t="s">
        <v>1391</v>
      </c>
      <c r="Q4400" t="s">
        <v>2507</v>
      </c>
      <c r="R4400" t="s">
        <v>2726</v>
      </c>
    </row>
    <row r="4401" spans="1:18" x14ac:dyDescent="0.5">
      <c r="A4401" t="str">
        <f>"341081GU5"</f>
        <v>341081GU5</v>
      </c>
      <c r="B4401" t="s">
        <v>101</v>
      </c>
      <c r="C4401" t="s">
        <v>5421</v>
      </c>
      <c r="D4401" t="s">
        <v>2433</v>
      </c>
      <c r="E4401">
        <v>5.3</v>
      </c>
      <c r="F4401" s="2">
        <v>49110</v>
      </c>
      <c r="G4401" s="2">
        <v>49018</v>
      </c>
      <c r="H4401" t="s">
        <v>613</v>
      </c>
      <c r="I4401" t="s">
        <v>658</v>
      </c>
      <c r="J4401">
        <v>101.47199999999999</v>
      </c>
      <c r="K4401">
        <v>101.749</v>
      </c>
      <c r="L4401">
        <v>5.0940000000000003</v>
      </c>
      <c r="M4401">
        <v>5.0549999999999997</v>
      </c>
      <c r="N4401">
        <v>5.0599999999999996</v>
      </c>
      <c r="O4401" t="s">
        <v>101</v>
      </c>
      <c r="P4401" t="s">
        <v>790</v>
      </c>
      <c r="Q4401" t="s">
        <v>2454</v>
      </c>
      <c r="R4401" t="s">
        <v>2436</v>
      </c>
    </row>
    <row r="4402" spans="1:18" x14ac:dyDescent="0.5">
      <c r="A4402" t="str">
        <f>"59156RAJ7"</f>
        <v>59156RAJ7</v>
      </c>
      <c r="B4402" t="s">
        <v>101</v>
      </c>
      <c r="C4402" t="s">
        <v>5422</v>
      </c>
      <c r="D4402" t="s">
        <v>2433</v>
      </c>
      <c r="E4402">
        <v>6.375</v>
      </c>
      <c r="F4402" s="2">
        <v>49110</v>
      </c>
      <c r="G4402" s="2" t="s">
        <v>101</v>
      </c>
      <c r="H4402" t="s">
        <v>627</v>
      </c>
      <c r="I4402" t="s">
        <v>713</v>
      </c>
      <c r="J4402">
        <v>108.82899999999999</v>
      </c>
      <c r="K4402">
        <v>109.19499999999999</v>
      </c>
      <c r="L4402">
        <v>5.1619999999999999</v>
      </c>
      <c r="M4402">
        <v>5.1139999999999999</v>
      </c>
      <c r="N4402">
        <v>5.1139999999999999</v>
      </c>
      <c r="O4402" t="s">
        <v>101</v>
      </c>
      <c r="P4402" t="s">
        <v>2447</v>
      </c>
      <c r="Q4402" t="s">
        <v>2454</v>
      </c>
      <c r="R4402" t="s">
        <v>2436</v>
      </c>
    </row>
    <row r="4403" spans="1:18" x14ac:dyDescent="0.5">
      <c r="A4403" t="str">
        <f>"63743FS31"</f>
        <v>63743FS31</v>
      </c>
      <c r="B4403" t="s">
        <v>101</v>
      </c>
      <c r="C4403" t="s">
        <v>5423</v>
      </c>
      <c r="D4403" t="s">
        <v>2433</v>
      </c>
      <c r="E4403">
        <v>4</v>
      </c>
      <c r="F4403" s="2">
        <v>49110</v>
      </c>
      <c r="G4403" s="2">
        <v>45731</v>
      </c>
      <c r="H4403" t="s">
        <v>610</v>
      </c>
      <c r="I4403" t="s">
        <v>713</v>
      </c>
      <c r="J4403">
        <v>91.531000000000006</v>
      </c>
      <c r="K4403">
        <v>94.917000000000002</v>
      </c>
      <c r="L4403">
        <v>5.1520000000000001</v>
      </c>
      <c r="M4403">
        <v>4.6769999999999996</v>
      </c>
      <c r="N4403">
        <v>4.6769999999999996</v>
      </c>
      <c r="O4403" t="s">
        <v>101</v>
      </c>
      <c r="P4403" t="s">
        <v>858</v>
      </c>
      <c r="Q4403" t="s">
        <v>488</v>
      </c>
      <c r="R4403" t="s">
        <v>3643</v>
      </c>
    </row>
    <row r="4404" spans="1:18" x14ac:dyDescent="0.5">
      <c r="A4404" t="str">
        <f>"06055JFA2"</f>
        <v>06055JFA2</v>
      </c>
      <c r="B4404" t="s">
        <v>101</v>
      </c>
      <c r="C4404" t="s">
        <v>5424</v>
      </c>
      <c r="D4404" t="s">
        <v>2433</v>
      </c>
      <c r="E4404">
        <v>5.8</v>
      </c>
      <c r="F4404" s="2">
        <v>49116</v>
      </c>
      <c r="G4404" s="2">
        <v>46012</v>
      </c>
      <c r="H4404" t="s">
        <v>641</v>
      </c>
      <c r="I4404" t="s">
        <v>713</v>
      </c>
      <c r="J4404">
        <v>100.316</v>
      </c>
      <c r="K4404">
        <v>100.979</v>
      </c>
      <c r="L4404">
        <v>5.3659999999999997</v>
      </c>
      <c r="M4404">
        <v>4.49</v>
      </c>
      <c r="N4404">
        <v>5.6609999999999996</v>
      </c>
      <c r="O4404" t="s">
        <v>101</v>
      </c>
      <c r="P4404" t="s">
        <v>2595</v>
      </c>
      <c r="Q4404" t="s">
        <v>3141</v>
      </c>
      <c r="R4404" t="s">
        <v>2726</v>
      </c>
    </row>
    <row r="4405" spans="1:18" x14ac:dyDescent="0.5">
      <c r="A4405" t="str">
        <f>"437076DE9"</f>
        <v>437076DE9</v>
      </c>
      <c r="B4405" t="s">
        <v>101</v>
      </c>
      <c r="C4405" t="s">
        <v>5425</v>
      </c>
      <c r="D4405" t="s">
        <v>2433</v>
      </c>
      <c r="E4405">
        <v>4.95</v>
      </c>
      <c r="F4405" s="2">
        <v>49120</v>
      </c>
      <c r="G4405" s="2">
        <v>49028</v>
      </c>
      <c r="H4405" t="s">
        <v>610</v>
      </c>
      <c r="I4405" t="s">
        <v>611</v>
      </c>
      <c r="J4405">
        <v>99.206999999999994</v>
      </c>
      <c r="K4405">
        <v>99.5</v>
      </c>
      <c r="L4405">
        <v>5.0570000000000004</v>
      </c>
      <c r="M4405">
        <v>5.0170000000000003</v>
      </c>
      <c r="N4405">
        <v>5.0170000000000003</v>
      </c>
      <c r="O4405" t="s">
        <v>101</v>
      </c>
      <c r="P4405" t="s">
        <v>2447</v>
      </c>
      <c r="Q4405" t="s">
        <v>3920</v>
      </c>
      <c r="R4405" t="s">
        <v>2436</v>
      </c>
    </row>
    <row r="4406" spans="1:18" x14ac:dyDescent="0.5">
      <c r="A4406" t="str">
        <f>"63305LF57"</f>
        <v>63305LF57</v>
      </c>
      <c r="B4406" t="s">
        <v>101</v>
      </c>
      <c r="C4406" t="s">
        <v>5426</v>
      </c>
      <c r="D4406" t="s">
        <v>2433</v>
      </c>
      <c r="E4406">
        <v>5.75</v>
      </c>
      <c r="F4406" s="2">
        <v>49123</v>
      </c>
      <c r="G4406" s="2">
        <v>45836</v>
      </c>
      <c r="H4406" t="s">
        <v>613</v>
      </c>
      <c r="I4406" t="s">
        <v>658</v>
      </c>
      <c r="J4406">
        <v>95</v>
      </c>
      <c r="K4406">
        <v>100.1</v>
      </c>
      <c r="L4406">
        <v>6.4729999999999999</v>
      </c>
      <c r="M4406">
        <v>5.3419999999999996</v>
      </c>
      <c r="N4406">
        <v>5.7350000000000003</v>
      </c>
      <c r="O4406" t="s">
        <v>101</v>
      </c>
      <c r="P4406" t="s">
        <v>3928</v>
      </c>
      <c r="Q4406" t="s">
        <v>2791</v>
      </c>
      <c r="R4406" t="s">
        <v>2439</v>
      </c>
    </row>
    <row r="4407" spans="1:18" x14ac:dyDescent="0.5">
      <c r="A4407" t="str">
        <f>"86562MDP2"</f>
        <v>86562MDP2</v>
      </c>
      <c r="B4407" t="s">
        <v>101</v>
      </c>
      <c r="C4407" t="s">
        <v>5427</v>
      </c>
      <c r="D4407" t="s">
        <v>2433</v>
      </c>
      <c r="E4407">
        <v>5.5579999999999998</v>
      </c>
      <c r="F4407" s="2">
        <v>49134</v>
      </c>
      <c r="G4407" s="2" t="s">
        <v>101</v>
      </c>
      <c r="H4407" t="s">
        <v>641</v>
      </c>
      <c r="I4407" t="s">
        <v>713</v>
      </c>
      <c r="J4407">
        <v>102.004</v>
      </c>
      <c r="K4407">
        <v>102.404</v>
      </c>
      <c r="L4407">
        <v>5.28</v>
      </c>
      <c r="M4407">
        <v>5.2279999999999998</v>
      </c>
      <c r="N4407">
        <v>5.2279999999999998</v>
      </c>
      <c r="O4407" t="s">
        <v>101</v>
      </c>
      <c r="P4407" t="s">
        <v>2687</v>
      </c>
      <c r="Q4407" t="s">
        <v>2687</v>
      </c>
      <c r="R4407" t="s">
        <v>2436</v>
      </c>
    </row>
    <row r="4408" spans="1:18" x14ac:dyDescent="0.5">
      <c r="A4408" t="str">
        <f>"63743FS49"</f>
        <v>63743FS49</v>
      </c>
      <c r="B4408" t="s">
        <v>101</v>
      </c>
      <c r="C4408" t="s">
        <v>5428</v>
      </c>
      <c r="D4408" t="s">
        <v>2433</v>
      </c>
      <c r="E4408">
        <v>4</v>
      </c>
      <c r="F4408" s="2">
        <v>49140</v>
      </c>
      <c r="G4408" s="2">
        <v>45731</v>
      </c>
      <c r="H4408" t="s">
        <v>610</v>
      </c>
      <c r="I4408" t="s">
        <v>713</v>
      </c>
      <c r="J4408">
        <v>91.497</v>
      </c>
      <c r="K4408">
        <v>96.147999999999996</v>
      </c>
      <c r="L4408">
        <v>5.1479999999999997</v>
      </c>
      <c r="M4408">
        <v>4.5060000000000002</v>
      </c>
      <c r="N4408">
        <v>4.5060000000000002</v>
      </c>
      <c r="O4408" t="s">
        <v>101</v>
      </c>
      <c r="P4408" t="s">
        <v>858</v>
      </c>
      <c r="Q4408" t="s">
        <v>3296</v>
      </c>
      <c r="R4408" t="s">
        <v>3643</v>
      </c>
    </row>
    <row r="4409" spans="1:18" x14ac:dyDescent="0.5">
      <c r="A4409" t="str">
        <f>"91324PFJ6"</f>
        <v>91324PFJ6</v>
      </c>
      <c r="B4409" t="s">
        <v>101</v>
      </c>
      <c r="C4409" t="s">
        <v>5429</v>
      </c>
      <c r="D4409" t="s">
        <v>2433</v>
      </c>
      <c r="E4409">
        <v>5.15</v>
      </c>
      <c r="F4409" s="2">
        <v>49140</v>
      </c>
      <c r="G4409" s="2">
        <v>49049</v>
      </c>
      <c r="H4409" t="s">
        <v>610</v>
      </c>
      <c r="I4409" t="s">
        <v>658</v>
      </c>
      <c r="J4409">
        <v>99.847999999999999</v>
      </c>
      <c r="K4409">
        <v>100.014</v>
      </c>
      <c r="L4409">
        <v>5.17</v>
      </c>
      <c r="M4409">
        <v>5.1470000000000002</v>
      </c>
      <c r="N4409">
        <v>5.1470000000000002</v>
      </c>
      <c r="O4409" t="s">
        <v>101</v>
      </c>
      <c r="P4409" t="s">
        <v>1702</v>
      </c>
      <c r="Q4409" t="s">
        <v>2454</v>
      </c>
      <c r="R4409" t="s">
        <v>2726</v>
      </c>
    </row>
    <row r="4410" spans="1:18" x14ac:dyDescent="0.5">
      <c r="A4410" t="str">
        <f>"25161F5U8"</f>
        <v>25161F5U8</v>
      </c>
      <c r="B4410" t="s">
        <v>101</v>
      </c>
      <c r="C4410" t="s">
        <v>5430</v>
      </c>
      <c r="D4410" t="s">
        <v>2433</v>
      </c>
      <c r="E4410">
        <v>5.8</v>
      </c>
      <c r="F4410" s="2">
        <v>49142</v>
      </c>
      <c r="G4410" s="2">
        <v>46220</v>
      </c>
      <c r="H4410" t="s">
        <v>641</v>
      </c>
      <c r="I4410" t="s">
        <v>611</v>
      </c>
      <c r="J4410">
        <v>99.031999999999996</v>
      </c>
      <c r="K4410">
        <v>100.1</v>
      </c>
      <c r="L4410">
        <v>5.9349999999999996</v>
      </c>
      <c r="M4410">
        <v>5.7149999999999999</v>
      </c>
      <c r="N4410">
        <v>5.7850000000000001</v>
      </c>
      <c r="O4410" t="s">
        <v>101</v>
      </c>
      <c r="P4410" t="s">
        <v>2289</v>
      </c>
      <c r="Q4410" t="s">
        <v>3296</v>
      </c>
      <c r="R4410" t="s">
        <v>2436</v>
      </c>
    </row>
    <row r="4411" spans="1:18" x14ac:dyDescent="0.5">
      <c r="A4411" t="str">
        <f>"713448FY9"</f>
        <v>713448FY9</v>
      </c>
      <c r="B4411" t="s">
        <v>101</v>
      </c>
      <c r="C4411" t="s">
        <v>5431</v>
      </c>
      <c r="D4411" t="s">
        <v>2433</v>
      </c>
      <c r="E4411">
        <v>4.8</v>
      </c>
      <c r="F4411" s="2">
        <v>49142</v>
      </c>
      <c r="G4411" s="2">
        <v>49051</v>
      </c>
      <c r="H4411" t="s">
        <v>641</v>
      </c>
      <c r="I4411" t="s">
        <v>658</v>
      </c>
      <c r="J4411">
        <v>98.88</v>
      </c>
      <c r="K4411">
        <v>99.147999999999996</v>
      </c>
      <c r="L4411">
        <v>4.95</v>
      </c>
      <c r="M4411">
        <v>4.9139999999999997</v>
      </c>
      <c r="N4411">
        <v>4.9139999999999997</v>
      </c>
      <c r="O4411" t="s">
        <v>101</v>
      </c>
      <c r="P4411" t="s">
        <v>4569</v>
      </c>
      <c r="Q4411" t="s">
        <v>2454</v>
      </c>
      <c r="R4411" t="s">
        <v>2436</v>
      </c>
    </row>
    <row r="4412" spans="1:18" x14ac:dyDescent="0.5">
      <c r="A4412" t="str">
        <f>"48130CPB5"</f>
        <v>48130CPB5</v>
      </c>
      <c r="B4412" t="s">
        <v>101</v>
      </c>
      <c r="C4412" t="s">
        <v>5432</v>
      </c>
      <c r="D4412" t="s">
        <v>2433</v>
      </c>
      <c r="E4412">
        <v>5.5</v>
      </c>
      <c r="F4412" s="2">
        <v>49156</v>
      </c>
      <c r="G4412" s="2">
        <v>46234</v>
      </c>
      <c r="H4412" t="s">
        <v>641</v>
      </c>
      <c r="I4412" t="s">
        <v>611</v>
      </c>
      <c r="J4412">
        <v>99.266999999999996</v>
      </c>
      <c r="K4412">
        <v>100.435</v>
      </c>
      <c r="L4412">
        <v>5.5949999999999998</v>
      </c>
      <c r="M4412">
        <v>5.141</v>
      </c>
      <c r="N4412">
        <v>5.4349999999999996</v>
      </c>
      <c r="O4412" t="s">
        <v>101</v>
      </c>
      <c r="P4412" t="s">
        <v>2595</v>
      </c>
      <c r="Q4412" t="s">
        <v>2549</v>
      </c>
      <c r="R4412" t="s">
        <v>2436</v>
      </c>
    </row>
    <row r="4413" spans="1:18" x14ac:dyDescent="0.5">
      <c r="A4413" t="str">
        <f>"136375BL5"</f>
        <v>136375BL5</v>
      </c>
      <c r="B4413" t="s">
        <v>101</v>
      </c>
      <c r="C4413" t="s">
        <v>5433</v>
      </c>
      <c r="D4413" t="s">
        <v>2433</v>
      </c>
      <c r="E4413">
        <v>6.25</v>
      </c>
      <c r="F4413" s="2">
        <v>49157</v>
      </c>
      <c r="G4413" s="2" t="s">
        <v>101</v>
      </c>
      <c r="H4413" t="s">
        <v>610</v>
      </c>
      <c r="I4413" t="s">
        <v>713</v>
      </c>
      <c r="J4413">
        <v>108.801</v>
      </c>
      <c r="K4413">
        <v>109.539</v>
      </c>
      <c r="L4413">
        <v>5.0599999999999996</v>
      </c>
      <c r="M4413">
        <v>4.9649999999999999</v>
      </c>
      <c r="N4413">
        <v>4.9649999999999999</v>
      </c>
      <c r="O4413" t="s">
        <v>101</v>
      </c>
      <c r="P4413" t="s">
        <v>2507</v>
      </c>
      <c r="Q4413" t="s">
        <v>2566</v>
      </c>
      <c r="R4413" t="s">
        <v>2436</v>
      </c>
    </row>
    <row r="4414" spans="1:18" x14ac:dyDescent="0.5">
      <c r="A4414" t="str">
        <f>"254687DX1"</f>
        <v>254687DX1</v>
      </c>
      <c r="B4414" t="s">
        <v>101</v>
      </c>
      <c r="C4414" t="s">
        <v>5434</v>
      </c>
      <c r="D4414" t="s">
        <v>2433</v>
      </c>
      <c r="E4414">
        <v>8.4499999999999993</v>
      </c>
      <c r="F4414" s="2">
        <v>49157</v>
      </c>
      <c r="G4414" s="2" t="s">
        <v>105</v>
      </c>
      <c r="H4414" t="s">
        <v>610</v>
      </c>
      <c r="I4414" t="s">
        <v>611</v>
      </c>
      <c r="J4414">
        <v>124.86199999999999</v>
      </c>
      <c r="K4414">
        <v>126.76</v>
      </c>
      <c r="L4414">
        <v>5.085</v>
      </c>
      <c r="M4414">
        <v>4.8639999999999999</v>
      </c>
      <c r="N4414">
        <v>4.8639999999999999</v>
      </c>
      <c r="O4414" t="s">
        <v>101</v>
      </c>
      <c r="P4414" t="s">
        <v>2472</v>
      </c>
      <c r="Q4414" t="s">
        <v>4930</v>
      </c>
      <c r="R4414" t="s">
        <v>2465</v>
      </c>
    </row>
    <row r="4415" spans="1:18" x14ac:dyDescent="0.5">
      <c r="A4415" t="str">
        <f>"341081GX9"</f>
        <v>341081GX9</v>
      </c>
      <c r="B4415" t="s">
        <v>101</v>
      </c>
      <c r="C4415" t="s">
        <v>5435</v>
      </c>
      <c r="D4415" t="s">
        <v>2433</v>
      </c>
      <c r="E4415">
        <v>5</v>
      </c>
      <c r="F4415" s="2">
        <v>49157</v>
      </c>
      <c r="G4415" s="2">
        <v>49065</v>
      </c>
      <c r="H4415" t="s">
        <v>613</v>
      </c>
      <c r="I4415" t="s">
        <v>658</v>
      </c>
      <c r="J4415">
        <v>99.436000000000007</v>
      </c>
      <c r="K4415">
        <v>99.991</v>
      </c>
      <c r="L4415">
        <v>5.0759999999999996</v>
      </c>
      <c r="M4415">
        <v>5</v>
      </c>
      <c r="N4415">
        <v>5</v>
      </c>
      <c r="O4415" t="s">
        <v>101</v>
      </c>
      <c r="P4415" t="s">
        <v>2765</v>
      </c>
      <c r="Q4415" t="s">
        <v>2564</v>
      </c>
      <c r="R4415" t="s">
        <v>2436</v>
      </c>
    </row>
    <row r="4416" spans="1:18" x14ac:dyDescent="0.5">
      <c r="A4416" t="str">
        <f>"74456QCS3"</f>
        <v>74456QCS3</v>
      </c>
      <c r="B4416" t="s">
        <v>101</v>
      </c>
      <c r="C4416" t="s">
        <v>5436</v>
      </c>
      <c r="D4416" t="s">
        <v>2433</v>
      </c>
      <c r="E4416">
        <v>4.8499999999999996</v>
      </c>
      <c r="F4416" s="2">
        <v>49157</v>
      </c>
      <c r="G4416" s="2">
        <v>49065</v>
      </c>
      <c r="H4416" t="s">
        <v>641</v>
      </c>
      <c r="I4416" t="s">
        <v>611</v>
      </c>
      <c r="J4416">
        <v>97.972999999999999</v>
      </c>
      <c r="K4416">
        <v>98.423000000000002</v>
      </c>
      <c r="L4416">
        <v>5.1239999999999997</v>
      </c>
      <c r="M4416">
        <v>5.0620000000000003</v>
      </c>
      <c r="N4416">
        <v>5.0620000000000003</v>
      </c>
      <c r="O4416" t="s">
        <v>101</v>
      </c>
      <c r="P4416" t="s">
        <v>3878</v>
      </c>
      <c r="Q4416" t="s">
        <v>2581</v>
      </c>
      <c r="R4416" t="s">
        <v>2436</v>
      </c>
    </row>
    <row r="4417" spans="1:18" x14ac:dyDescent="0.5">
      <c r="A4417" t="str">
        <f>"904764BV8"</f>
        <v>904764BV8</v>
      </c>
      <c r="B4417" t="s">
        <v>101</v>
      </c>
      <c r="C4417" t="s">
        <v>5437</v>
      </c>
      <c r="D4417" t="s">
        <v>2433</v>
      </c>
      <c r="E4417">
        <v>4.625</v>
      </c>
      <c r="F4417" s="2">
        <v>49168</v>
      </c>
      <c r="G4417" s="2">
        <v>49076</v>
      </c>
      <c r="H4417" t="s">
        <v>641</v>
      </c>
      <c r="I4417" t="s">
        <v>658</v>
      </c>
      <c r="J4417">
        <v>97.236000000000004</v>
      </c>
      <c r="K4417">
        <v>97.566000000000003</v>
      </c>
      <c r="L4417">
        <v>4.9960000000000004</v>
      </c>
      <c r="M4417">
        <v>4.9509999999999996</v>
      </c>
      <c r="N4417">
        <v>4.9509999999999996</v>
      </c>
      <c r="O4417" t="s">
        <v>101</v>
      </c>
      <c r="P4417" t="s">
        <v>4692</v>
      </c>
      <c r="Q4417" t="s">
        <v>2635</v>
      </c>
      <c r="R4417" t="s">
        <v>2436</v>
      </c>
    </row>
    <row r="4418" spans="1:18" x14ac:dyDescent="0.5">
      <c r="A4418" t="str">
        <f>"191216DY3"</f>
        <v>191216DY3</v>
      </c>
      <c r="B4418" t="s">
        <v>101</v>
      </c>
      <c r="C4418" t="s">
        <v>5438</v>
      </c>
      <c r="D4418" t="s">
        <v>2433</v>
      </c>
      <c r="E4418">
        <v>4.6500000000000004</v>
      </c>
      <c r="F4418" s="2">
        <v>49170</v>
      </c>
      <c r="G4418" s="2">
        <v>49078</v>
      </c>
      <c r="H4418" t="s">
        <v>641</v>
      </c>
      <c r="I4418" t="s">
        <v>658</v>
      </c>
      <c r="J4418">
        <v>98.328999999999994</v>
      </c>
      <c r="K4418">
        <v>98.495999999999995</v>
      </c>
      <c r="L4418">
        <v>4.8730000000000002</v>
      </c>
      <c r="M4418">
        <v>4.8499999999999996</v>
      </c>
      <c r="N4418">
        <v>4.8499999999999996</v>
      </c>
      <c r="O4418" t="s">
        <v>101</v>
      </c>
      <c r="P4418" t="s">
        <v>3541</v>
      </c>
      <c r="Q4418" t="s">
        <v>2454</v>
      </c>
      <c r="R4418" t="s">
        <v>2436</v>
      </c>
    </row>
    <row r="4419" spans="1:18" x14ac:dyDescent="0.5">
      <c r="A4419" t="str">
        <f>"532457CR7"</f>
        <v>532457CR7</v>
      </c>
      <c r="B4419" t="s">
        <v>101</v>
      </c>
      <c r="C4419" t="s">
        <v>5439</v>
      </c>
      <c r="D4419" t="s">
        <v>2433</v>
      </c>
      <c r="E4419">
        <v>4.5999999999999996</v>
      </c>
      <c r="F4419" s="2">
        <v>49170</v>
      </c>
      <c r="G4419" s="2">
        <v>49078</v>
      </c>
      <c r="H4419" t="s">
        <v>624</v>
      </c>
      <c r="I4419" t="s">
        <v>658</v>
      </c>
      <c r="J4419">
        <v>97.472999999999999</v>
      </c>
      <c r="K4419">
        <v>97.725999999999999</v>
      </c>
      <c r="L4419">
        <v>4.9379999999999997</v>
      </c>
      <c r="M4419">
        <v>4.9039999999999999</v>
      </c>
      <c r="N4419">
        <v>4.9039999999999999</v>
      </c>
      <c r="O4419" t="s">
        <v>101</v>
      </c>
      <c r="P4419" t="s">
        <v>1391</v>
      </c>
      <c r="Q4419" t="s">
        <v>2454</v>
      </c>
      <c r="R4419" t="s">
        <v>2436</v>
      </c>
    </row>
    <row r="4420" spans="1:18" x14ac:dyDescent="0.5">
      <c r="A4420" t="str">
        <f>"20030NBM2"</f>
        <v>20030NBM2</v>
      </c>
      <c r="B4420" t="s">
        <v>101</v>
      </c>
      <c r="C4420" t="s">
        <v>5440</v>
      </c>
      <c r="D4420" t="s">
        <v>2433</v>
      </c>
      <c r="E4420">
        <v>4.2</v>
      </c>
      <c r="F4420" s="2">
        <v>49171</v>
      </c>
      <c r="G4420" s="2">
        <v>48990</v>
      </c>
      <c r="H4420" t="s">
        <v>627</v>
      </c>
      <c r="I4420" t="s">
        <v>713</v>
      </c>
      <c r="J4420">
        <v>92.56</v>
      </c>
      <c r="K4420">
        <v>92.683999999999997</v>
      </c>
      <c r="L4420">
        <v>5.2089999999999996</v>
      </c>
      <c r="M4420">
        <v>5.1909999999999998</v>
      </c>
      <c r="N4420">
        <v>5.1909999999999998</v>
      </c>
      <c r="O4420" t="s">
        <v>101</v>
      </c>
      <c r="P4420" t="s">
        <v>2581</v>
      </c>
      <c r="Q4420" t="s">
        <v>2786</v>
      </c>
      <c r="R4420" t="s">
        <v>2436</v>
      </c>
    </row>
    <row r="4421" spans="1:18" x14ac:dyDescent="0.5">
      <c r="A4421" t="str">
        <f>"207597ES0"</f>
        <v>207597ES0</v>
      </c>
      <c r="B4421" t="s">
        <v>101</v>
      </c>
      <c r="C4421" t="s">
        <v>5441</v>
      </c>
      <c r="D4421" t="s">
        <v>2433</v>
      </c>
      <c r="E4421">
        <v>4.95</v>
      </c>
      <c r="F4421" s="2">
        <v>49171</v>
      </c>
      <c r="G4421" s="2">
        <v>49079</v>
      </c>
      <c r="H4421" t="s">
        <v>641</v>
      </c>
      <c r="I4421" t="s">
        <v>611</v>
      </c>
      <c r="J4421">
        <v>98.423000000000002</v>
      </c>
      <c r="K4421">
        <v>99.034999999999997</v>
      </c>
      <c r="L4421">
        <v>5.1630000000000003</v>
      </c>
      <c r="M4421">
        <v>5.08</v>
      </c>
      <c r="N4421">
        <v>5.08</v>
      </c>
      <c r="O4421" t="s">
        <v>101</v>
      </c>
      <c r="P4421" t="s">
        <v>3878</v>
      </c>
      <c r="Q4421" t="s">
        <v>2454</v>
      </c>
      <c r="R4421" t="s">
        <v>2436</v>
      </c>
    </row>
    <row r="4422" spans="1:18" x14ac:dyDescent="0.5">
      <c r="A4422" t="str">
        <f>"45138LAQ6"</f>
        <v>45138LAQ6</v>
      </c>
      <c r="B4422" t="s">
        <v>101</v>
      </c>
      <c r="C4422" t="s">
        <v>5442</v>
      </c>
      <c r="D4422" t="s">
        <v>2433</v>
      </c>
      <c r="E4422">
        <v>5.875</v>
      </c>
      <c r="F4422" s="2">
        <v>49171</v>
      </c>
      <c r="G4422" s="2" t="s">
        <v>101</v>
      </c>
      <c r="H4422" t="s">
        <v>610</v>
      </c>
      <c r="I4422" t="s">
        <v>713</v>
      </c>
      <c r="J4422">
        <v>100.572</v>
      </c>
      <c r="K4422">
        <v>106.38200000000001</v>
      </c>
      <c r="L4422">
        <v>5.7949999999999999</v>
      </c>
      <c r="M4422">
        <v>5.016</v>
      </c>
      <c r="N4422">
        <v>5.016</v>
      </c>
      <c r="O4422" t="s">
        <v>101</v>
      </c>
      <c r="P4422" t="s">
        <v>2851</v>
      </c>
      <c r="Q4422" t="s">
        <v>488</v>
      </c>
      <c r="R4422" t="s">
        <v>2436</v>
      </c>
    </row>
    <row r="4423" spans="1:18" x14ac:dyDescent="0.5">
      <c r="A4423" t="str">
        <f>"45138LBK8"</f>
        <v>45138LBK8</v>
      </c>
      <c r="B4423" t="s">
        <v>101</v>
      </c>
      <c r="C4423" t="s">
        <v>5443</v>
      </c>
      <c r="D4423" t="s">
        <v>2433</v>
      </c>
      <c r="E4423">
        <v>5.2</v>
      </c>
      <c r="F4423" s="2">
        <v>49171</v>
      </c>
      <c r="G4423" s="2">
        <v>49079</v>
      </c>
      <c r="H4423" t="s">
        <v>610</v>
      </c>
      <c r="I4423" t="s">
        <v>713</v>
      </c>
      <c r="J4423">
        <v>99.956000000000003</v>
      </c>
      <c r="K4423">
        <v>100.545</v>
      </c>
      <c r="L4423">
        <v>5.2050000000000001</v>
      </c>
      <c r="M4423">
        <v>5.125</v>
      </c>
      <c r="N4423">
        <v>5.1260000000000003</v>
      </c>
      <c r="O4423" t="s">
        <v>101</v>
      </c>
      <c r="P4423" t="s">
        <v>2566</v>
      </c>
      <c r="Q4423" t="s">
        <v>2564</v>
      </c>
      <c r="R4423" t="s">
        <v>2436</v>
      </c>
    </row>
    <row r="4424" spans="1:18" x14ac:dyDescent="0.5">
      <c r="A4424" t="str">
        <f>"539830CD9"</f>
        <v>539830CD9</v>
      </c>
      <c r="B4424" t="s">
        <v>101</v>
      </c>
      <c r="C4424" t="s">
        <v>5444</v>
      </c>
      <c r="D4424" t="s">
        <v>2433</v>
      </c>
      <c r="E4424">
        <v>4.8</v>
      </c>
      <c r="F4424" s="2">
        <v>49171</v>
      </c>
      <c r="G4424" s="2">
        <v>49079</v>
      </c>
      <c r="H4424" t="s">
        <v>610</v>
      </c>
      <c r="I4424" t="s">
        <v>713</v>
      </c>
      <c r="J4424">
        <v>97.701999999999998</v>
      </c>
      <c r="K4424">
        <v>97.856999999999999</v>
      </c>
      <c r="L4424">
        <v>5.1100000000000003</v>
      </c>
      <c r="M4424">
        <v>5.0830000000000002</v>
      </c>
      <c r="N4424">
        <v>5.0890000000000004</v>
      </c>
      <c r="O4424" t="s">
        <v>101</v>
      </c>
      <c r="P4424" t="s">
        <v>1702</v>
      </c>
      <c r="Q4424" t="s">
        <v>2454</v>
      </c>
      <c r="R4424" t="s">
        <v>2436</v>
      </c>
    </row>
    <row r="4425" spans="1:18" x14ac:dyDescent="0.5">
      <c r="A4425" t="str">
        <f>"30303M8U9"</f>
        <v>30303M8U9</v>
      </c>
      <c r="B4425" t="s">
        <v>101</v>
      </c>
      <c r="C4425" t="s">
        <v>5445</v>
      </c>
      <c r="D4425" t="s">
        <v>2433</v>
      </c>
      <c r="E4425">
        <v>4.75</v>
      </c>
      <c r="F4425" s="2">
        <v>49171</v>
      </c>
      <c r="G4425" s="2">
        <v>49079</v>
      </c>
      <c r="H4425" t="s">
        <v>624</v>
      </c>
      <c r="I4425" t="s">
        <v>616</v>
      </c>
      <c r="J4425">
        <v>98.480999999999995</v>
      </c>
      <c r="K4425">
        <v>98.61</v>
      </c>
      <c r="L4425">
        <v>4.9530000000000003</v>
      </c>
      <c r="M4425">
        <v>4.9359999999999999</v>
      </c>
      <c r="N4425">
        <v>4.9359999999999999</v>
      </c>
      <c r="O4425" t="s">
        <v>101</v>
      </c>
      <c r="P4425" t="s">
        <v>1702</v>
      </c>
      <c r="Q4425" t="s">
        <v>2454</v>
      </c>
      <c r="R4425" t="s">
        <v>2436</v>
      </c>
    </row>
    <row r="4426" spans="1:18" x14ac:dyDescent="0.5">
      <c r="A4426" t="str">
        <f>"637432PC3"</f>
        <v>637432PC3</v>
      </c>
      <c r="B4426" t="s">
        <v>101</v>
      </c>
      <c r="C4426" t="s">
        <v>5446</v>
      </c>
      <c r="D4426" t="s">
        <v>2433</v>
      </c>
      <c r="E4426">
        <v>5</v>
      </c>
      <c r="F4426" s="2">
        <v>49171</v>
      </c>
      <c r="G4426" s="2">
        <v>49079</v>
      </c>
      <c r="H4426" t="s">
        <v>641</v>
      </c>
      <c r="I4426" t="s">
        <v>713</v>
      </c>
      <c r="J4426">
        <v>98.414000000000001</v>
      </c>
      <c r="K4426">
        <v>99.268000000000001</v>
      </c>
      <c r="L4426">
        <v>5.2149999999999999</v>
      </c>
      <c r="M4426">
        <v>5.0979999999999999</v>
      </c>
      <c r="N4426">
        <v>5.0979999999999999</v>
      </c>
      <c r="O4426" t="s">
        <v>101</v>
      </c>
      <c r="P4426" t="s">
        <v>2454</v>
      </c>
      <c r="Q4426" t="s">
        <v>2566</v>
      </c>
      <c r="R4426" t="s">
        <v>2436</v>
      </c>
    </row>
    <row r="4427" spans="1:18" x14ac:dyDescent="0.5">
      <c r="A4427" t="str">
        <f>"64110LAZ9"</f>
        <v>64110LAZ9</v>
      </c>
      <c r="B4427" t="s">
        <v>101</v>
      </c>
      <c r="C4427" t="s">
        <v>5447</v>
      </c>
      <c r="D4427" t="s">
        <v>2433</v>
      </c>
      <c r="E4427">
        <v>4.9000000000000004</v>
      </c>
      <c r="F4427" s="2">
        <v>49171</v>
      </c>
      <c r="G4427" s="2">
        <v>49079</v>
      </c>
      <c r="H4427" t="s">
        <v>670</v>
      </c>
      <c r="I4427" t="s">
        <v>611</v>
      </c>
      <c r="J4427">
        <v>98.906999999999996</v>
      </c>
      <c r="K4427">
        <v>98.983999999999995</v>
      </c>
      <c r="L4427">
        <v>5.0469999999999997</v>
      </c>
      <c r="M4427">
        <v>5.0359999999999996</v>
      </c>
      <c r="N4427">
        <v>5.0359999999999996</v>
      </c>
      <c r="O4427" t="s">
        <v>101</v>
      </c>
      <c r="P4427" t="s">
        <v>1702</v>
      </c>
      <c r="Q4427" t="s">
        <v>2454</v>
      </c>
      <c r="R4427" t="s">
        <v>2436</v>
      </c>
    </row>
    <row r="4428" spans="1:18" x14ac:dyDescent="0.5">
      <c r="A4428" t="str">
        <f>"742718DB2"</f>
        <v>742718DB2</v>
      </c>
      <c r="B4428" t="s">
        <v>101</v>
      </c>
      <c r="C4428" t="s">
        <v>5448</v>
      </c>
      <c r="D4428" t="s">
        <v>2433</v>
      </c>
      <c r="E4428">
        <v>5.8</v>
      </c>
      <c r="F4428" s="2">
        <v>49171</v>
      </c>
      <c r="G4428" s="2" t="s">
        <v>101</v>
      </c>
      <c r="H4428" t="s">
        <v>624</v>
      </c>
      <c r="I4428" t="s">
        <v>616</v>
      </c>
      <c r="J4428">
        <v>107.74299999999999</v>
      </c>
      <c r="K4428">
        <v>108.07899999999999</v>
      </c>
      <c r="L4428">
        <v>4.7699999999999996</v>
      </c>
      <c r="M4428">
        <v>4.7270000000000003</v>
      </c>
      <c r="N4428">
        <v>4.7270000000000003</v>
      </c>
      <c r="O4428" t="s">
        <v>101</v>
      </c>
      <c r="P4428" t="s">
        <v>2438</v>
      </c>
      <c r="Q4428" t="s">
        <v>1509</v>
      </c>
      <c r="R4428" t="s">
        <v>2436</v>
      </c>
    </row>
    <row r="4429" spans="1:18" x14ac:dyDescent="0.5">
      <c r="A4429" t="str">
        <f>"84859DAD9"</f>
        <v>84859DAD9</v>
      </c>
      <c r="B4429" t="s">
        <v>101</v>
      </c>
      <c r="C4429" t="s">
        <v>5449</v>
      </c>
      <c r="D4429" t="s">
        <v>2433</v>
      </c>
      <c r="E4429">
        <v>5.15</v>
      </c>
      <c r="F4429" s="2">
        <v>49171</v>
      </c>
      <c r="G4429" s="2">
        <v>49079</v>
      </c>
      <c r="H4429" t="s">
        <v>641</v>
      </c>
      <c r="I4429" t="s">
        <v>611</v>
      </c>
      <c r="J4429">
        <v>100.395</v>
      </c>
      <c r="K4429">
        <v>100.598</v>
      </c>
      <c r="L4429">
        <v>5.0960000000000001</v>
      </c>
      <c r="M4429">
        <v>5.0679999999999996</v>
      </c>
      <c r="N4429">
        <v>5.069</v>
      </c>
      <c r="O4429" t="s">
        <v>101</v>
      </c>
      <c r="P4429" t="s">
        <v>1391</v>
      </c>
      <c r="Q4429" t="s">
        <v>3411</v>
      </c>
      <c r="R4429" t="s">
        <v>2436</v>
      </c>
    </row>
    <row r="4430" spans="1:18" x14ac:dyDescent="0.5">
      <c r="A4430" t="str">
        <f>"25161FJE9"</f>
        <v>25161FJE9</v>
      </c>
      <c r="B4430" t="s">
        <v>101</v>
      </c>
      <c r="C4430" t="s">
        <v>5450</v>
      </c>
      <c r="D4430" t="s">
        <v>2433</v>
      </c>
      <c r="E4430">
        <v>6</v>
      </c>
      <c r="F4430" s="2">
        <v>49172</v>
      </c>
      <c r="G4430" s="2">
        <v>46250</v>
      </c>
      <c r="H4430" t="s">
        <v>641</v>
      </c>
      <c r="I4430" t="s">
        <v>611</v>
      </c>
      <c r="J4430">
        <v>98.92</v>
      </c>
      <c r="K4430">
        <v>101.867</v>
      </c>
      <c r="L4430">
        <v>6.1520000000000001</v>
      </c>
      <c r="M4430">
        <v>4.63</v>
      </c>
      <c r="N4430">
        <v>5.74</v>
      </c>
      <c r="O4430" t="s">
        <v>101</v>
      </c>
      <c r="P4430" t="s">
        <v>790</v>
      </c>
      <c r="Q4430" t="s">
        <v>1391</v>
      </c>
      <c r="R4430" t="s">
        <v>2726</v>
      </c>
    </row>
    <row r="4431" spans="1:18" x14ac:dyDescent="0.5">
      <c r="A4431" t="str">
        <f>"06055JFV6"</f>
        <v>06055JFV6</v>
      </c>
      <c r="B4431" t="s">
        <v>101</v>
      </c>
      <c r="C4431" t="s">
        <v>5451</v>
      </c>
      <c r="D4431" t="s">
        <v>2433</v>
      </c>
      <c r="E4431">
        <v>5.25</v>
      </c>
      <c r="F4431" s="2">
        <v>49184</v>
      </c>
      <c r="G4431" s="2">
        <v>46081</v>
      </c>
      <c r="H4431" t="s">
        <v>641</v>
      </c>
      <c r="I4431" t="s">
        <v>713</v>
      </c>
      <c r="J4431">
        <v>99.19</v>
      </c>
      <c r="K4431">
        <v>99.611000000000004</v>
      </c>
      <c r="L4431">
        <v>5.359</v>
      </c>
      <c r="M4431">
        <v>5.3019999999999996</v>
      </c>
      <c r="N4431">
        <v>5.3029999999999999</v>
      </c>
      <c r="O4431" t="s">
        <v>101</v>
      </c>
      <c r="P4431" t="s">
        <v>2595</v>
      </c>
      <c r="Q4431" t="s">
        <v>2489</v>
      </c>
      <c r="R4431" t="s">
        <v>2726</v>
      </c>
    </row>
    <row r="4432" spans="1:18" x14ac:dyDescent="0.5">
      <c r="A4432" t="str">
        <f>"459058LL5"</f>
        <v>459058LL5</v>
      </c>
      <c r="B4432" t="s">
        <v>101</v>
      </c>
      <c r="C4432" t="s">
        <v>5452</v>
      </c>
      <c r="D4432" t="s">
        <v>2433</v>
      </c>
      <c r="E4432">
        <v>3.875</v>
      </c>
      <c r="F4432" s="2">
        <v>49184</v>
      </c>
      <c r="G4432" s="2" t="s">
        <v>105</v>
      </c>
      <c r="H4432" t="s">
        <v>104</v>
      </c>
      <c r="I4432" t="s">
        <v>104</v>
      </c>
      <c r="J4432">
        <v>95.4</v>
      </c>
      <c r="K4432">
        <v>96.507000000000005</v>
      </c>
      <c r="L4432">
        <v>4.4770000000000003</v>
      </c>
      <c r="M4432">
        <v>4.3289999999999997</v>
      </c>
      <c r="N4432">
        <v>4.3289999999999997</v>
      </c>
      <c r="O4432" t="s">
        <v>101</v>
      </c>
      <c r="P4432" t="s">
        <v>2618</v>
      </c>
      <c r="Q4432" t="s">
        <v>2618</v>
      </c>
      <c r="R4432" t="s">
        <v>2713</v>
      </c>
    </row>
    <row r="4433" spans="1:18" x14ac:dyDescent="0.5">
      <c r="A4433" t="str">
        <f>"842434DB5"</f>
        <v>842434DB5</v>
      </c>
      <c r="B4433" t="s">
        <v>101</v>
      </c>
      <c r="C4433" t="s">
        <v>5453</v>
      </c>
      <c r="D4433" t="s">
        <v>2433</v>
      </c>
      <c r="E4433">
        <v>5.05</v>
      </c>
      <c r="F4433" s="2">
        <v>49188</v>
      </c>
      <c r="G4433" s="2">
        <v>49096</v>
      </c>
      <c r="H4433" t="s">
        <v>624</v>
      </c>
      <c r="I4433" t="s">
        <v>611</v>
      </c>
      <c r="J4433">
        <v>97.876000000000005</v>
      </c>
      <c r="K4433">
        <v>98.3</v>
      </c>
      <c r="L4433">
        <v>5.3380000000000001</v>
      </c>
      <c r="M4433">
        <v>5.28</v>
      </c>
      <c r="N4433">
        <v>5.28</v>
      </c>
      <c r="O4433" t="s">
        <v>101</v>
      </c>
      <c r="P4433" t="s">
        <v>4569</v>
      </c>
      <c r="Q4433" t="s">
        <v>1999</v>
      </c>
      <c r="R4433" t="s">
        <v>2436</v>
      </c>
    </row>
    <row r="4434" spans="1:18" x14ac:dyDescent="0.5">
      <c r="A4434" t="str">
        <f>"748148SF1"</f>
        <v>748148SF1</v>
      </c>
      <c r="B4434" t="s">
        <v>101</v>
      </c>
      <c r="C4434" t="s">
        <v>5454</v>
      </c>
      <c r="D4434" t="s">
        <v>2433</v>
      </c>
      <c r="E4434">
        <v>4.25</v>
      </c>
      <c r="F4434" s="2">
        <v>49192</v>
      </c>
      <c r="G4434" s="2" t="s">
        <v>101</v>
      </c>
      <c r="H4434" t="s">
        <v>613</v>
      </c>
      <c r="I4434" t="s">
        <v>616</v>
      </c>
      <c r="J4434">
        <v>96.103999999999999</v>
      </c>
      <c r="K4434">
        <v>97.308000000000007</v>
      </c>
      <c r="L4434">
        <v>4.7649999999999997</v>
      </c>
      <c r="M4434">
        <v>4.6029999999999998</v>
      </c>
      <c r="N4434">
        <v>4.6029999999999998</v>
      </c>
      <c r="O4434" t="s">
        <v>101</v>
      </c>
      <c r="P4434" t="s">
        <v>5455</v>
      </c>
      <c r="Q4434" t="s">
        <v>5455</v>
      </c>
      <c r="R4434" t="s">
        <v>3443</v>
      </c>
    </row>
    <row r="4435" spans="1:18" x14ac:dyDescent="0.5">
      <c r="A4435" t="str">
        <f>"053015AH6"</f>
        <v>053015AH6</v>
      </c>
      <c r="B4435" t="s">
        <v>101</v>
      </c>
      <c r="C4435" t="s">
        <v>5456</v>
      </c>
      <c r="D4435" t="s">
        <v>2433</v>
      </c>
      <c r="E4435">
        <v>4.45</v>
      </c>
      <c r="F4435" s="2">
        <v>49196</v>
      </c>
      <c r="G4435" s="2">
        <v>49104</v>
      </c>
      <c r="H4435" t="s">
        <v>624</v>
      </c>
      <c r="I4435" t="s">
        <v>616</v>
      </c>
      <c r="J4435">
        <v>96.509</v>
      </c>
      <c r="K4435">
        <v>96.688999999999993</v>
      </c>
      <c r="L4435">
        <v>4.915</v>
      </c>
      <c r="M4435">
        <v>4.8899999999999997</v>
      </c>
      <c r="N4435">
        <v>4.8899999999999997</v>
      </c>
      <c r="O4435" t="s">
        <v>101</v>
      </c>
      <c r="P4435" t="s">
        <v>2581</v>
      </c>
      <c r="Q4435" t="s">
        <v>2454</v>
      </c>
      <c r="R4435" t="s">
        <v>2726</v>
      </c>
    </row>
    <row r="4436" spans="1:18" x14ac:dyDescent="0.5">
      <c r="A4436" t="str">
        <f>"89157XAD3"</f>
        <v>89157XAD3</v>
      </c>
      <c r="B4436" t="s">
        <v>101</v>
      </c>
      <c r="C4436" t="s">
        <v>5457</v>
      </c>
      <c r="D4436" t="s">
        <v>2433</v>
      </c>
      <c r="E4436">
        <v>4.7240000000000002</v>
      </c>
      <c r="F4436" s="2">
        <v>49197</v>
      </c>
      <c r="G4436" s="2">
        <v>49105</v>
      </c>
      <c r="H4436" t="s">
        <v>624</v>
      </c>
      <c r="I4436" t="s">
        <v>658</v>
      </c>
      <c r="J4436">
        <v>97.165000000000006</v>
      </c>
      <c r="K4436">
        <v>97.203999999999994</v>
      </c>
      <c r="L4436">
        <v>5.1040000000000001</v>
      </c>
      <c r="M4436">
        <v>5.0990000000000002</v>
      </c>
      <c r="N4436">
        <v>5.0990000000000002</v>
      </c>
      <c r="O4436" t="s">
        <v>101</v>
      </c>
      <c r="P4436" t="s">
        <v>3932</v>
      </c>
      <c r="Q4436" t="s">
        <v>2447</v>
      </c>
      <c r="R4436" t="s">
        <v>2436</v>
      </c>
    </row>
    <row r="4437" spans="1:18" x14ac:dyDescent="0.5">
      <c r="A4437" t="str">
        <f>"29364WBP2"</f>
        <v>29364WBP2</v>
      </c>
      <c r="B4437" t="s">
        <v>101</v>
      </c>
      <c r="C4437" t="s">
        <v>5458</v>
      </c>
      <c r="D4437" t="s">
        <v>2433</v>
      </c>
      <c r="E4437">
        <v>5.15</v>
      </c>
      <c r="F4437" s="2">
        <v>49202</v>
      </c>
      <c r="G4437" s="2">
        <v>49110</v>
      </c>
      <c r="H4437" t="s">
        <v>610</v>
      </c>
      <c r="I4437" t="s">
        <v>611</v>
      </c>
      <c r="J4437">
        <v>98.680999999999997</v>
      </c>
      <c r="K4437">
        <v>98.992999999999995</v>
      </c>
      <c r="L4437">
        <v>5.3289999999999997</v>
      </c>
      <c r="M4437">
        <v>5.2859999999999996</v>
      </c>
      <c r="N4437">
        <v>5.2859999999999996</v>
      </c>
      <c r="O4437" t="s">
        <v>101</v>
      </c>
      <c r="P4437" t="s">
        <v>3939</v>
      </c>
      <c r="Q4437" t="s">
        <v>3075</v>
      </c>
      <c r="R4437" t="s">
        <v>2436</v>
      </c>
    </row>
    <row r="4438" spans="1:18" x14ac:dyDescent="0.5">
      <c r="A4438" t="str">
        <f>"26884ABP7"</f>
        <v>26884ABP7</v>
      </c>
      <c r="B4438" t="s">
        <v>101</v>
      </c>
      <c r="C4438" t="s">
        <v>5459</v>
      </c>
      <c r="D4438" t="s">
        <v>2433</v>
      </c>
      <c r="E4438">
        <v>4.6500000000000004</v>
      </c>
      <c r="F4438" s="2">
        <v>49202</v>
      </c>
      <c r="G4438" s="2">
        <v>49110</v>
      </c>
      <c r="H4438" t="s">
        <v>627</v>
      </c>
      <c r="I4438" t="s">
        <v>713</v>
      </c>
      <c r="J4438">
        <v>95.466999999999999</v>
      </c>
      <c r="K4438">
        <v>95.647000000000006</v>
      </c>
      <c r="L4438">
        <v>5.2619999999999996</v>
      </c>
      <c r="M4438">
        <v>5.2370000000000001</v>
      </c>
      <c r="N4438">
        <v>5.2370000000000001</v>
      </c>
      <c r="O4438" t="s">
        <v>101</v>
      </c>
      <c r="P4438" t="s">
        <v>2460</v>
      </c>
      <c r="Q4438" t="s">
        <v>1702</v>
      </c>
      <c r="R4438" t="s">
        <v>2726</v>
      </c>
    </row>
    <row r="4439" spans="1:18" x14ac:dyDescent="0.5">
      <c r="A4439" t="str">
        <f>"37959EAC6"</f>
        <v>37959EAC6</v>
      </c>
      <c r="B4439" t="s">
        <v>101</v>
      </c>
      <c r="C4439" t="s">
        <v>5460</v>
      </c>
      <c r="D4439" t="s">
        <v>2433</v>
      </c>
      <c r="E4439">
        <v>5.85</v>
      </c>
      <c r="F4439" s="2">
        <v>49202</v>
      </c>
      <c r="G4439" s="2">
        <v>49110</v>
      </c>
      <c r="H4439" t="s">
        <v>670</v>
      </c>
      <c r="I4439" t="s">
        <v>611</v>
      </c>
      <c r="J4439">
        <v>101.489</v>
      </c>
      <c r="K4439">
        <v>101.821</v>
      </c>
      <c r="L4439">
        <v>5.6420000000000003</v>
      </c>
      <c r="M4439">
        <v>5.5960000000000001</v>
      </c>
      <c r="N4439">
        <v>5.6</v>
      </c>
      <c r="O4439" t="s">
        <v>101</v>
      </c>
      <c r="P4439" t="s">
        <v>2447</v>
      </c>
      <c r="Q4439" t="s">
        <v>2564</v>
      </c>
      <c r="R4439" t="s">
        <v>2436</v>
      </c>
    </row>
    <row r="4440" spans="1:18" x14ac:dyDescent="0.5">
      <c r="A4440" t="str">
        <f>"384802AF1"</f>
        <v>384802AF1</v>
      </c>
      <c r="B4440" t="s">
        <v>101</v>
      </c>
      <c r="C4440" t="s">
        <v>5461</v>
      </c>
      <c r="D4440" t="s">
        <v>2433</v>
      </c>
      <c r="E4440">
        <v>4.45</v>
      </c>
      <c r="F4440" s="2">
        <v>49202</v>
      </c>
      <c r="G4440" s="2">
        <v>49110</v>
      </c>
      <c r="H4440" t="s">
        <v>610</v>
      </c>
      <c r="I4440" t="s">
        <v>658</v>
      </c>
      <c r="J4440">
        <v>95.447000000000003</v>
      </c>
      <c r="K4440">
        <v>95.816999999999993</v>
      </c>
      <c r="L4440">
        <v>5.0570000000000004</v>
      </c>
      <c r="M4440">
        <v>5.008</v>
      </c>
      <c r="N4440">
        <v>5.008</v>
      </c>
      <c r="O4440" t="s">
        <v>101</v>
      </c>
      <c r="P4440" t="s">
        <v>2441</v>
      </c>
      <c r="Q4440" t="s">
        <v>663</v>
      </c>
      <c r="R4440" t="s">
        <v>2726</v>
      </c>
    </row>
    <row r="4441" spans="1:18" x14ac:dyDescent="0.5">
      <c r="A4441" t="str">
        <f>"759351AS8"</f>
        <v>759351AS8</v>
      </c>
      <c r="B4441" t="s">
        <v>101</v>
      </c>
      <c r="C4441" t="s">
        <v>5462</v>
      </c>
      <c r="D4441" t="s">
        <v>2433</v>
      </c>
      <c r="E4441">
        <v>5.75</v>
      </c>
      <c r="F4441" s="2">
        <v>49202</v>
      </c>
      <c r="G4441" s="2">
        <v>49110</v>
      </c>
      <c r="H4441" t="s">
        <v>670</v>
      </c>
      <c r="I4441" t="s">
        <v>611</v>
      </c>
      <c r="J4441">
        <v>101.20699999999999</v>
      </c>
      <c r="K4441">
        <v>101.509</v>
      </c>
      <c r="L4441">
        <v>5.5819999999999999</v>
      </c>
      <c r="M4441">
        <v>5.54</v>
      </c>
      <c r="N4441">
        <v>5.5439999999999996</v>
      </c>
      <c r="O4441" t="s">
        <v>101</v>
      </c>
      <c r="P4441" t="s">
        <v>2447</v>
      </c>
      <c r="Q4441" t="s">
        <v>2454</v>
      </c>
      <c r="R4441" t="s">
        <v>2436</v>
      </c>
    </row>
    <row r="4442" spans="1:18" x14ac:dyDescent="0.5">
      <c r="A4442" t="str">
        <f>"8426EPAH1"</f>
        <v>8426EPAH1</v>
      </c>
      <c r="B4442" t="s">
        <v>101</v>
      </c>
      <c r="C4442" t="s">
        <v>5463</v>
      </c>
      <c r="D4442" t="s">
        <v>2433</v>
      </c>
      <c r="E4442">
        <v>4.95</v>
      </c>
      <c r="F4442" s="2">
        <v>49202</v>
      </c>
      <c r="G4442" s="2">
        <v>49018</v>
      </c>
      <c r="H4442" t="s">
        <v>670</v>
      </c>
      <c r="I4442" t="s">
        <v>713</v>
      </c>
      <c r="J4442">
        <v>96.834999999999994</v>
      </c>
      <c r="K4442">
        <v>97.278999999999996</v>
      </c>
      <c r="L4442">
        <v>5.38</v>
      </c>
      <c r="M4442">
        <v>5.3179999999999996</v>
      </c>
      <c r="N4442">
        <v>5.3179999999999996</v>
      </c>
      <c r="O4442" t="s">
        <v>101</v>
      </c>
      <c r="P4442" t="s">
        <v>5464</v>
      </c>
      <c r="Q4442" t="s">
        <v>2454</v>
      </c>
      <c r="R4442" t="s">
        <v>2726</v>
      </c>
    </row>
    <row r="4443" spans="1:18" x14ac:dyDescent="0.5">
      <c r="A4443" t="str">
        <f>"87612EBS4"</f>
        <v>87612EBS4</v>
      </c>
      <c r="B4443" t="s">
        <v>101</v>
      </c>
      <c r="C4443" t="s">
        <v>5465</v>
      </c>
      <c r="D4443" t="s">
        <v>2433</v>
      </c>
      <c r="E4443">
        <v>4.5</v>
      </c>
      <c r="F4443" s="2">
        <v>49202</v>
      </c>
      <c r="G4443" s="2">
        <v>49110</v>
      </c>
      <c r="H4443" t="s">
        <v>610</v>
      </c>
      <c r="I4443" t="s">
        <v>611</v>
      </c>
      <c r="J4443">
        <v>95.873000000000005</v>
      </c>
      <c r="K4443">
        <v>96.119</v>
      </c>
      <c r="L4443">
        <v>5.0519999999999996</v>
      </c>
      <c r="M4443">
        <v>5.0179999999999998</v>
      </c>
      <c r="N4443">
        <v>5.0179999999999998</v>
      </c>
      <c r="O4443" t="s">
        <v>101</v>
      </c>
      <c r="P4443" t="s">
        <v>4569</v>
      </c>
      <c r="Q4443" t="s">
        <v>2454</v>
      </c>
      <c r="R4443" t="s">
        <v>2726</v>
      </c>
    </row>
    <row r="4444" spans="1:18" x14ac:dyDescent="0.5">
      <c r="A4444" t="str">
        <f>"898813AW0"</f>
        <v>898813AW0</v>
      </c>
      <c r="B4444" t="s">
        <v>101</v>
      </c>
      <c r="C4444" t="s">
        <v>5466</v>
      </c>
      <c r="D4444" t="s">
        <v>2433</v>
      </c>
      <c r="E4444">
        <v>5.2</v>
      </c>
      <c r="F4444" s="2">
        <v>49202</v>
      </c>
      <c r="G4444" s="2">
        <v>49110</v>
      </c>
      <c r="H4444" t="s">
        <v>627</v>
      </c>
      <c r="I4444" t="s">
        <v>713</v>
      </c>
      <c r="J4444">
        <v>98.546999999999997</v>
      </c>
      <c r="K4444">
        <v>99.108000000000004</v>
      </c>
      <c r="L4444">
        <v>5.3970000000000002</v>
      </c>
      <c r="M4444">
        <v>5.3209999999999997</v>
      </c>
      <c r="N4444">
        <v>5.3209999999999997</v>
      </c>
      <c r="O4444" t="s">
        <v>101</v>
      </c>
      <c r="P4444" t="s">
        <v>4569</v>
      </c>
      <c r="Q4444" t="s">
        <v>3411</v>
      </c>
      <c r="R4444" t="s">
        <v>2436</v>
      </c>
    </row>
    <row r="4445" spans="1:18" x14ac:dyDescent="0.5">
      <c r="A4445" t="str">
        <f>"136375DR0"</f>
        <v>136375DR0</v>
      </c>
      <c r="B4445" t="s">
        <v>101</v>
      </c>
      <c r="C4445" t="s">
        <v>5467</v>
      </c>
      <c r="D4445" t="s">
        <v>2433</v>
      </c>
      <c r="E4445">
        <v>4.375</v>
      </c>
      <c r="F4445" s="2">
        <v>49205</v>
      </c>
      <c r="G4445" s="2">
        <v>49113</v>
      </c>
      <c r="H4445" t="s">
        <v>610</v>
      </c>
      <c r="I4445" t="s">
        <v>713</v>
      </c>
      <c r="J4445">
        <v>94.861000000000004</v>
      </c>
      <c r="K4445">
        <v>95.156999999999996</v>
      </c>
      <c r="L4445">
        <v>5.0620000000000003</v>
      </c>
      <c r="M4445">
        <v>5.0209999999999999</v>
      </c>
      <c r="N4445">
        <v>5.0209999999999999</v>
      </c>
      <c r="O4445" t="s">
        <v>101</v>
      </c>
      <c r="P4445" t="s">
        <v>2447</v>
      </c>
      <c r="Q4445" t="s">
        <v>2454</v>
      </c>
      <c r="R4445" t="s">
        <v>2726</v>
      </c>
    </row>
    <row r="4446" spans="1:18" x14ac:dyDescent="0.5">
      <c r="A4446" t="str">
        <f>"48130CXF7"</f>
        <v>48130CXF7</v>
      </c>
      <c r="B4446" t="s">
        <v>101</v>
      </c>
      <c r="C4446" t="s">
        <v>5468</v>
      </c>
      <c r="D4446" t="s">
        <v>2433</v>
      </c>
      <c r="E4446">
        <v>5.35</v>
      </c>
      <c r="F4446" s="2">
        <v>49205</v>
      </c>
      <c r="G4446" s="2">
        <v>46374</v>
      </c>
      <c r="H4446" t="s">
        <v>641</v>
      </c>
      <c r="I4446" t="s">
        <v>611</v>
      </c>
      <c r="J4446">
        <v>99.147000000000006</v>
      </c>
      <c r="K4446">
        <v>100.35899999999999</v>
      </c>
      <c r="L4446">
        <v>5.4660000000000002</v>
      </c>
      <c r="M4446">
        <v>5.13</v>
      </c>
      <c r="N4446">
        <v>5.3010000000000002</v>
      </c>
      <c r="O4446" t="s">
        <v>101</v>
      </c>
      <c r="P4446" t="s">
        <v>2595</v>
      </c>
      <c r="Q4446" t="s">
        <v>5469</v>
      </c>
      <c r="R4446" t="s">
        <v>2726</v>
      </c>
    </row>
    <row r="4447" spans="1:18" x14ac:dyDescent="0.5">
      <c r="A4447" t="str">
        <f>"66989HAV0"</f>
        <v>66989HAV0</v>
      </c>
      <c r="B4447" t="s">
        <v>101</v>
      </c>
      <c r="C4447" t="s">
        <v>5470</v>
      </c>
      <c r="D4447" t="s">
        <v>2433</v>
      </c>
      <c r="E4447">
        <v>4.2</v>
      </c>
      <c r="F4447" s="2">
        <v>49205</v>
      </c>
      <c r="G4447" s="2">
        <v>49113</v>
      </c>
      <c r="H4447" t="s">
        <v>624</v>
      </c>
      <c r="I4447" t="s">
        <v>616</v>
      </c>
      <c r="J4447">
        <v>94.564999999999998</v>
      </c>
      <c r="K4447">
        <v>94.778999999999996</v>
      </c>
      <c r="L4447">
        <v>4.9219999999999997</v>
      </c>
      <c r="M4447">
        <v>4.8929999999999998</v>
      </c>
      <c r="N4447">
        <v>4.8929999999999998</v>
      </c>
      <c r="O4447" t="s">
        <v>101</v>
      </c>
      <c r="P4447" t="s">
        <v>2472</v>
      </c>
      <c r="Q4447" t="s">
        <v>3241</v>
      </c>
      <c r="R4447" t="s">
        <v>2726</v>
      </c>
    </row>
    <row r="4448" spans="1:18" x14ac:dyDescent="0.5">
      <c r="A4448" t="str">
        <f>"731011AY8"</f>
        <v>731011AY8</v>
      </c>
      <c r="B4448" t="s">
        <v>101</v>
      </c>
      <c r="C4448" t="s">
        <v>5471</v>
      </c>
      <c r="D4448" t="s">
        <v>2433</v>
      </c>
      <c r="E4448">
        <v>5.125</v>
      </c>
      <c r="F4448" s="2">
        <v>49205</v>
      </c>
      <c r="G4448" s="2">
        <v>49113</v>
      </c>
      <c r="H4448" t="s">
        <v>610</v>
      </c>
      <c r="I4448" t="s">
        <v>713</v>
      </c>
      <c r="J4448">
        <v>98.870999999999995</v>
      </c>
      <c r="K4448">
        <v>99.605000000000004</v>
      </c>
      <c r="L4448">
        <v>5.2770000000000001</v>
      </c>
      <c r="M4448">
        <v>5.1779999999999999</v>
      </c>
      <c r="N4448">
        <v>5.1779999999999999</v>
      </c>
      <c r="O4448" t="s">
        <v>101</v>
      </c>
      <c r="P4448" t="s">
        <v>5472</v>
      </c>
      <c r="Q4448" t="s">
        <v>5473</v>
      </c>
      <c r="R4448" t="s">
        <v>2436</v>
      </c>
    </row>
    <row r="4449" spans="1:18" x14ac:dyDescent="0.5">
      <c r="A4449" t="str">
        <f>"828807DY0"</f>
        <v>828807DY0</v>
      </c>
      <c r="B4449" t="s">
        <v>101</v>
      </c>
      <c r="C4449" t="s">
        <v>5474</v>
      </c>
      <c r="D4449" t="s">
        <v>2433</v>
      </c>
      <c r="E4449">
        <v>4.75</v>
      </c>
      <c r="F4449" s="2">
        <v>49213</v>
      </c>
      <c r="G4449" s="2">
        <v>49121</v>
      </c>
      <c r="H4449" t="s">
        <v>627</v>
      </c>
      <c r="I4449" t="s">
        <v>713</v>
      </c>
      <c r="J4449">
        <v>95.614000000000004</v>
      </c>
      <c r="K4449">
        <v>95.804000000000002</v>
      </c>
      <c r="L4449">
        <v>5.343</v>
      </c>
      <c r="M4449">
        <v>5.3159999999999998</v>
      </c>
      <c r="N4449">
        <v>5.3159999999999998</v>
      </c>
      <c r="O4449" t="s">
        <v>101</v>
      </c>
      <c r="P4449" t="s">
        <v>2581</v>
      </c>
      <c r="Q4449" t="s">
        <v>2795</v>
      </c>
      <c r="R4449" t="s">
        <v>2726</v>
      </c>
    </row>
    <row r="4450" spans="1:18" x14ac:dyDescent="0.5">
      <c r="A4450" t="str">
        <f>"63305LS38"</f>
        <v>63305LS38</v>
      </c>
      <c r="B4450" t="s">
        <v>101</v>
      </c>
      <c r="C4450" t="s">
        <v>5475</v>
      </c>
      <c r="D4450" t="s">
        <v>2433</v>
      </c>
      <c r="E4450">
        <v>4.6500000000000004</v>
      </c>
      <c r="F4450" s="2">
        <v>49216</v>
      </c>
      <c r="G4450" s="2">
        <v>46111</v>
      </c>
      <c r="H4450" t="s">
        <v>613</v>
      </c>
      <c r="I4450" t="s">
        <v>658</v>
      </c>
      <c r="J4450">
        <v>93.936999999999998</v>
      </c>
      <c r="K4450">
        <v>95.123000000000005</v>
      </c>
      <c r="L4450">
        <v>5.4729999999999999</v>
      </c>
      <c r="M4450">
        <v>5.3070000000000004</v>
      </c>
      <c r="N4450">
        <v>5.3070000000000004</v>
      </c>
      <c r="O4450" t="s">
        <v>101</v>
      </c>
      <c r="P4450" t="s">
        <v>3928</v>
      </c>
      <c r="Q4450" t="s">
        <v>3296</v>
      </c>
      <c r="R4450" t="s">
        <v>2726</v>
      </c>
    </row>
    <row r="4451" spans="1:18" x14ac:dyDescent="0.5">
      <c r="A4451" t="str">
        <f>"001192AD5"</f>
        <v>001192AD5</v>
      </c>
      <c r="B4451" t="s">
        <v>101</v>
      </c>
      <c r="C4451" t="s">
        <v>5476</v>
      </c>
      <c r="D4451" t="s">
        <v>2433</v>
      </c>
      <c r="E4451">
        <v>6</v>
      </c>
      <c r="F4451" s="2">
        <v>49218</v>
      </c>
      <c r="G4451" s="2" t="s">
        <v>101</v>
      </c>
      <c r="H4451" t="s">
        <v>670</v>
      </c>
      <c r="I4451" t="s">
        <v>713</v>
      </c>
      <c r="J4451">
        <v>102.39700000000001</v>
      </c>
      <c r="K4451">
        <v>103.44799999999999</v>
      </c>
      <c r="L4451">
        <v>5.6710000000000003</v>
      </c>
      <c r="M4451">
        <v>5.53</v>
      </c>
      <c r="N4451">
        <v>5.53</v>
      </c>
      <c r="O4451" t="s">
        <v>101</v>
      </c>
      <c r="P4451" t="s">
        <v>2443</v>
      </c>
      <c r="Q4451" t="s">
        <v>1999</v>
      </c>
      <c r="R4451" t="s">
        <v>2436</v>
      </c>
    </row>
    <row r="4452" spans="1:18" x14ac:dyDescent="0.5">
      <c r="A4452" t="str">
        <f>"976656CS5"</f>
        <v>976656CS5</v>
      </c>
      <c r="B4452" t="s">
        <v>101</v>
      </c>
      <c r="C4452" t="s">
        <v>5477</v>
      </c>
      <c r="D4452" t="s">
        <v>2433</v>
      </c>
      <c r="E4452">
        <v>4.5999999999999996</v>
      </c>
      <c r="F4452" s="2">
        <v>49218</v>
      </c>
      <c r="G4452" s="2">
        <v>49126</v>
      </c>
      <c r="H4452" t="s">
        <v>610</v>
      </c>
      <c r="I4452" t="s">
        <v>713</v>
      </c>
      <c r="J4452">
        <v>96.221999999999994</v>
      </c>
      <c r="K4452">
        <v>96.727999999999994</v>
      </c>
      <c r="L4452">
        <v>5.1040000000000001</v>
      </c>
      <c r="M4452">
        <v>5.0350000000000001</v>
      </c>
      <c r="N4452">
        <v>5.0350000000000001</v>
      </c>
      <c r="O4452" t="s">
        <v>101</v>
      </c>
      <c r="P4452" t="s">
        <v>1391</v>
      </c>
      <c r="Q4452" t="s">
        <v>2564</v>
      </c>
      <c r="R4452" t="s">
        <v>2726</v>
      </c>
    </row>
    <row r="4453" spans="1:18" x14ac:dyDescent="0.5">
      <c r="A4453" t="str">
        <f>"00440KAD5"</f>
        <v>00440KAD5</v>
      </c>
      <c r="B4453" t="s">
        <v>101</v>
      </c>
      <c r="C4453" t="s">
        <v>5478</v>
      </c>
      <c r="D4453" t="s">
        <v>2433</v>
      </c>
      <c r="E4453">
        <v>4.5</v>
      </c>
      <c r="F4453" s="2">
        <v>49221</v>
      </c>
      <c r="G4453" s="2">
        <v>49129</v>
      </c>
      <c r="H4453" t="s">
        <v>624</v>
      </c>
      <c r="I4453" t="s">
        <v>616</v>
      </c>
      <c r="J4453">
        <v>95.730999999999995</v>
      </c>
      <c r="K4453">
        <v>95.998999999999995</v>
      </c>
      <c r="L4453">
        <v>5.069</v>
      </c>
      <c r="M4453">
        <v>5.032</v>
      </c>
      <c r="N4453">
        <v>5.032</v>
      </c>
      <c r="O4453" t="s">
        <v>101</v>
      </c>
      <c r="P4453" t="s">
        <v>2454</v>
      </c>
      <c r="Q4453" t="s">
        <v>2454</v>
      </c>
      <c r="R4453" t="s">
        <v>2726</v>
      </c>
    </row>
    <row r="4454" spans="1:18" x14ac:dyDescent="0.5">
      <c r="A4454" t="str">
        <f>"049560AG0"</f>
        <v>049560AG0</v>
      </c>
      <c r="B4454" t="s">
        <v>101</v>
      </c>
      <c r="C4454" t="s">
        <v>5479</v>
      </c>
      <c r="D4454" t="s">
        <v>2433</v>
      </c>
      <c r="E4454">
        <v>5.95</v>
      </c>
      <c r="F4454" s="2">
        <v>49232</v>
      </c>
      <c r="G4454" s="2" t="s">
        <v>101</v>
      </c>
      <c r="H4454" t="s">
        <v>641</v>
      </c>
      <c r="I4454" t="s">
        <v>713</v>
      </c>
      <c r="J4454">
        <v>105.935</v>
      </c>
      <c r="K4454">
        <v>108.44</v>
      </c>
      <c r="L4454">
        <v>5.157</v>
      </c>
      <c r="M4454">
        <v>4.8390000000000004</v>
      </c>
      <c r="N4454">
        <v>4.8390000000000004</v>
      </c>
      <c r="O4454" t="s">
        <v>101</v>
      </c>
      <c r="P4454" t="s">
        <v>1236</v>
      </c>
      <c r="Q4454" t="s">
        <v>5480</v>
      </c>
      <c r="R4454" t="s">
        <v>2436</v>
      </c>
    </row>
    <row r="4455" spans="1:18" x14ac:dyDescent="0.5">
      <c r="A4455" t="str">
        <f>"293791AP4"</f>
        <v>293791AP4</v>
      </c>
      <c r="B4455" t="s">
        <v>101</v>
      </c>
      <c r="C4455" t="s">
        <v>5481</v>
      </c>
      <c r="D4455" t="s">
        <v>2433</v>
      </c>
      <c r="E4455">
        <v>6.65</v>
      </c>
      <c r="F4455" s="2">
        <v>49232</v>
      </c>
      <c r="G4455" s="2" t="s">
        <v>101</v>
      </c>
      <c r="H4455" t="s">
        <v>627</v>
      </c>
      <c r="I4455" t="s">
        <v>713</v>
      </c>
      <c r="J4455">
        <v>110.375</v>
      </c>
      <c r="K4455">
        <v>110.867</v>
      </c>
      <c r="L4455">
        <v>5.258</v>
      </c>
      <c r="M4455">
        <v>5.1959999999999997</v>
      </c>
      <c r="N4455">
        <v>5.1959999999999997</v>
      </c>
      <c r="O4455" t="s">
        <v>101</v>
      </c>
      <c r="P4455" t="s">
        <v>1236</v>
      </c>
      <c r="Q4455" t="s">
        <v>5482</v>
      </c>
      <c r="R4455" t="s">
        <v>2436</v>
      </c>
    </row>
    <row r="4456" spans="1:18" x14ac:dyDescent="0.5">
      <c r="A4456" t="str">
        <f>"61766YVJ7"</f>
        <v>61766YVJ7</v>
      </c>
      <c r="B4456" t="s">
        <v>101</v>
      </c>
      <c r="C4456" t="s">
        <v>5483</v>
      </c>
      <c r="D4456" t="s">
        <v>2433</v>
      </c>
      <c r="E4456">
        <v>4.45</v>
      </c>
      <c r="F4456" s="2">
        <v>49237</v>
      </c>
      <c r="G4456" s="2">
        <v>47411</v>
      </c>
      <c r="H4456" t="s">
        <v>641</v>
      </c>
      <c r="I4456" t="s">
        <v>713</v>
      </c>
      <c r="J4456">
        <v>93.462000000000003</v>
      </c>
      <c r="K4456">
        <v>94.198999999999998</v>
      </c>
      <c r="L4456">
        <v>5.3280000000000003</v>
      </c>
      <c r="M4456">
        <v>5.2249999999999996</v>
      </c>
      <c r="N4456">
        <v>5.2249999999999996</v>
      </c>
      <c r="O4456" t="s">
        <v>101</v>
      </c>
      <c r="P4456" t="s">
        <v>2595</v>
      </c>
      <c r="Q4456" t="s">
        <v>3481</v>
      </c>
      <c r="R4456" t="s">
        <v>2726</v>
      </c>
    </row>
    <row r="4457" spans="1:18" x14ac:dyDescent="0.5">
      <c r="A4457" t="str">
        <f>"742718GL7"</f>
        <v>742718GL7</v>
      </c>
      <c r="B4457" t="s">
        <v>101</v>
      </c>
      <c r="C4457" t="s">
        <v>5484</v>
      </c>
      <c r="D4457" t="s">
        <v>2433</v>
      </c>
      <c r="E4457">
        <v>4.55</v>
      </c>
      <c r="F4457" s="2">
        <v>49241</v>
      </c>
      <c r="G4457" s="2" t="s">
        <v>101</v>
      </c>
      <c r="H4457" t="s">
        <v>624</v>
      </c>
      <c r="I4457" t="s">
        <v>616</v>
      </c>
      <c r="J4457">
        <v>98.712999999999994</v>
      </c>
      <c r="K4457">
        <v>98.888999999999996</v>
      </c>
      <c r="L4457">
        <v>4.7169999999999996</v>
      </c>
      <c r="M4457">
        <v>4.694</v>
      </c>
      <c r="N4457">
        <v>4.694</v>
      </c>
      <c r="O4457" t="s">
        <v>101</v>
      </c>
      <c r="P4457" t="s">
        <v>2758</v>
      </c>
      <c r="Q4457" t="s">
        <v>2581</v>
      </c>
      <c r="R4457" t="s">
        <v>2726</v>
      </c>
    </row>
    <row r="4458" spans="1:18" x14ac:dyDescent="0.5">
      <c r="A4458" t="str">
        <f>"718172DQ9"</f>
        <v>718172DQ9</v>
      </c>
      <c r="B4458" t="s">
        <v>101</v>
      </c>
      <c r="C4458" t="s">
        <v>5485</v>
      </c>
      <c r="D4458" t="s">
        <v>2433</v>
      </c>
      <c r="E4458">
        <v>4.9000000000000004</v>
      </c>
      <c r="F4458" s="2">
        <v>49249</v>
      </c>
      <c r="G4458" s="2">
        <v>49157</v>
      </c>
      <c r="H4458" t="s">
        <v>610</v>
      </c>
      <c r="I4458" t="s">
        <v>713</v>
      </c>
      <c r="J4458">
        <v>97.488</v>
      </c>
      <c r="K4458">
        <v>97.66</v>
      </c>
      <c r="L4458">
        <v>5.234</v>
      </c>
      <c r="M4458">
        <v>5.2110000000000003</v>
      </c>
      <c r="N4458">
        <v>5.2110000000000003</v>
      </c>
      <c r="O4458" t="s">
        <v>101</v>
      </c>
      <c r="P4458" t="s">
        <v>3932</v>
      </c>
      <c r="Q4458" t="s">
        <v>2454</v>
      </c>
      <c r="R4458" t="s">
        <v>2436</v>
      </c>
    </row>
    <row r="4459" spans="1:18" x14ac:dyDescent="0.5">
      <c r="A4459" t="str">
        <f>"45906M5V9"</f>
        <v>45906M5V9</v>
      </c>
      <c r="B4459" t="s">
        <v>101</v>
      </c>
      <c r="C4459" t="s">
        <v>5486</v>
      </c>
      <c r="D4459" t="s">
        <v>2433</v>
      </c>
      <c r="E4459">
        <v>4.7</v>
      </c>
      <c r="F4459" s="2">
        <v>49256</v>
      </c>
      <c r="G4459" s="2">
        <v>46699</v>
      </c>
      <c r="H4459" t="s">
        <v>104</v>
      </c>
      <c r="I4459" t="s">
        <v>104</v>
      </c>
      <c r="J4459">
        <v>97</v>
      </c>
      <c r="K4459">
        <v>100.387</v>
      </c>
      <c r="L4459">
        <v>5.0979999999999999</v>
      </c>
      <c r="M4459">
        <v>4.532</v>
      </c>
      <c r="N4459">
        <v>4.6459999999999999</v>
      </c>
      <c r="O4459" t="s">
        <v>101</v>
      </c>
      <c r="P4459" t="s">
        <v>2635</v>
      </c>
      <c r="Q4459" t="s">
        <v>5487</v>
      </c>
      <c r="R4459" t="s">
        <v>2726</v>
      </c>
    </row>
    <row r="4460" spans="1:18" x14ac:dyDescent="0.5">
      <c r="A4460" t="str">
        <f>"20826FAF3"</f>
        <v>20826FAF3</v>
      </c>
      <c r="B4460" t="s">
        <v>101</v>
      </c>
      <c r="C4460" t="s">
        <v>5488</v>
      </c>
      <c r="D4460" t="s">
        <v>2433</v>
      </c>
      <c r="E4460">
        <v>4.1500000000000004</v>
      </c>
      <c r="F4460" s="2">
        <v>49263</v>
      </c>
      <c r="G4460" s="2">
        <v>49079</v>
      </c>
      <c r="H4460" t="s">
        <v>610</v>
      </c>
      <c r="I4460" t="s">
        <v>713</v>
      </c>
      <c r="J4460">
        <v>92.802999999999997</v>
      </c>
      <c r="K4460">
        <v>93.92</v>
      </c>
      <c r="L4460">
        <v>5.101</v>
      </c>
      <c r="M4460">
        <v>4.9480000000000004</v>
      </c>
      <c r="N4460">
        <v>4.9480000000000004</v>
      </c>
      <c r="O4460" t="s">
        <v>101</v>
      </c>
      <c r="P4460" t="s">
        <v>2454</v>
      </c>
      <c r="Q4460" t="s">
        <v>5489</v>
      </c>
      <c r="R4460" t="s">
        <v>2436</v>
      </c>
    </row>
    <row r="4461" spans="1:18" x14ac:dyDescent="0.5">
      <c r="A4461" t="str">
        <f>"74432AYY0"</f>
        <v>74432AYY0</v>
      </c>
      <c r="B4461" t="s">
        <v>101</v>
      </c>
      <c r="C4461" t="s">
        <v>5490</v>
      </c>
      <c r="D4461" t="s">
        <v>2433</v>
      </c>
      <c r="E4461">
        <v>4.05</v>
      </c>
      <c r="F4461" s="2">
        <v>49263</v>
      </c>
      <c r="G4461" s="2">
        <v>45792</v>
      </c>
      <c r="H4461" t="s">
        <v>627</v>
      </c>
      <c r="I4461" t="s">
        <v>611</v>
      </c>
      <c r="J4461">
        <v>90.474000000000004</v>
      </c>
      <c r="K4461">
        <v>91.311999999999998</v>
      </c>
      <c r="L4461">
        <v>5.3220000000000001</v>
      </c>
      <c r="M4461">
        <v>5.2039999999999997</v>
      </c>
      <c r="N4461">
        <v>5.2039999999999997</v>
      </c>
      <c r="O4461" t="s">
        <v>101</v>
      </c>
      <c r="P4461" t="s">
        <v>1391</v>
      </c>
      <c r="Q4461" t="s">
        <v>3861</v>
      </c>
      <c r="R4461" t="s">
        <v>3643</v>
      </c>
    </row>
    <row r="4462" spans="1:18" x14ac:dyDescent="0.5">
      <c r="A4462" t="str">
        <f>"10373QCA6"</f>
        <v>10373QCA6</v>
      </c>
      <c r="B4462" t="s">
        <v>101</v>
      </c>
      <c r="C4462" t="s">
        <v>5491</v>
      </c>
      <c r="D4462" t="s">
        <v>2433</v>
      </c>
      <c r="E4462">
        <v>5.2270000000000003</v>
      </c>
      <c r="F4462" s="2">
        <v>49265</v>
      </c>
      <c r="G4462" s="2">
        <v>49173</v>
      </c>
      <c r="H4462" t="s">
        <v>641</v>
      </c>
      <c r="I4462" t="s">
        <v>713</v>
      </c>
      <c r="J4462">
        <v>99.879000000000005</v>
      </c>
      <c r="K4462">
        <v>100.083</v>
      </c>
      <c r="L4462">
        <v>5.242</v>
      </c>
      <c r="M4462">
        <v>5.2149999999999999</v>
      </c>
      <c r="N4462">
        <v>5.2149999999999999</v>
      </c>
      <c r="O4462" t="s">
        <v>101</v>
      </c>
      <c r="P4462" t="s">
        <v>2527</v>
      </c>
      <c r="Q4462" t="s">
        <v>5492</v>
      </c>
      <c r="R4462" t="s">
        <v>2436</v>
      </c>
    </row>
    <row r="4463" spans="1:18" x14ac:dyDescent="0.5">
      <c r="A4463" t="str">
        <f>"01609WAR3"</f>
        <v>01609WAR3</v>
      </c>
      <c r="B4463" t="s">
        <v>101</v>
      </c>
      <c r="C4463" t="s">
        <v>5493</v>
      </c>
      <c r="D4463" t="s">
        <v>2433</v>
      </c>
      <c r="E4463">
        <v>4.5</v>
      </c>
      <c r="F4463" s="2">
        <v>49276</v>
      </c>
      <c r="G4463" s="2">
        <v>49092</v>
      </c>
      <c r="H4463" t="s">
        <v>641</v>
      </c>
      <c r="I4463" t="s">
        <v>658</v>
      </c>
      <c r="J4463">
        <v>94.912000000000006</v>
      </c>
      <c r="K4463">
        <v>95.356999999999999</v>
      </c>
      <c r="L4463">
        <v>5.1719999999999997</v>
      </c>
      <c r="M4463">
        <v>5.1120000000000001</v>
      </c>
      <c r="N4463">
        <v>5.1120000000000001</v>
      </c>
      <c r="O4463" t="s">
        <v>101</v>
      </c>
      <c r="P4463" t="s">
        <v>2625</v>
      </c>
      <c r="Q4463" t="s">
        <v>228</v>
      </c>
      <c r="R4463" t="s">
        <v>2436</v>
      </c>
    </row>
    <row r="4464" spans="1:18" x14ac:dyDescent="0.5">
      <c r="A4464" t="str">
        <f>"48128GW22"</f>
        <v>48128GW22</v>
      </c>
      <c r="B4464" t="s">
        <v>101</v>
      </c>
      <c r="C4464" t="s">
        <v>5494</v>
      </c>
      <c r="D4464" t="s">
        <v>2433</v>
      </c>
      <c r="E4464">
        <v>2</v>
      </c>
      <c r="F4464" s="2">
        <v>49278</v>
      </c>
      <c r="G4464" s="2">
        <v>45991</v>
      </c>
      <c r="H4464" t="s">
        <v>641</v>
      </c>
      <c r="I4464" t="s">
        <v>611</v>
      </c>
      <c r="J4464">
        <v>74.585999999999999</v>
      </c>
      <c r="K4464">
        <v>76.61</v>
      </c>
      <c r="L4464">
        <v>5.3940000000000001</v>
      </c>
      <c r="M4464">
        <v>5.0789999999999997</v>
      </c>
      <c r="N4464">
        <v>5.0789999999999997</v>
      </c>
      <c r="O4464" t="s">
        <v>101</v>
      </c>
      <c r="P4464" t="s">
        <v>2595</v>
      </c>
      <c r="Q4464" t="s">
        <v>5205</v>
      </c>
      <c r="R4464" t="s">
        <v>2436</v>
      </c>
    </row>
    <row r="4465" spans="1:18" x14ac:dyDescent="0.5">
      <c r="A4465" t="str">
        <f>"023135AP1"</f>
        <v>023135AP1</v>
      </c>
      <c r="B4465" t="s">
        <v>101</v>
      </c>
      <c r="C4465" t="s">
        <v>5495</v>
      </c>
      <c r="D4465" t="s">
        <v>2433</v>
      </c>
      <c r="E4465">
        <v>4.8</v>
      </c>
      <c r="F4465" s="2">
        <v>49283</v>
      </c>
      <c r="G4465" s="2">
        <v>49100</v>
      </c>
      <c r="H4465" t="s">
        <v>641</v>
      </c>
      <c r="I4465" t="s">
        <v>628</v>
      </c>
      <c r="J4465">
        <v>100.11499999999999</v>
      </c>
      <c r="K4465">
        <v>100.35899999999999</v>
      </c>
      <c r="L4465">
        <v>4.7830000000000004</v>
      </c>
      <c r="M4465">
        <v>4.7510000000000003</v>
      </c>
      <c r="N4465">
        <v>4.7530000000000001</v>
      </c>
      <c r="O4465" t="s">
        <v>101</v>
      </c>
      <c r="P4465" t="s">
        <v>4569</v>
      </c>
      <c r="Q4465" t="s">
        <v>2581</v>
      </c>
      <c r="R4465" t="s">
        <v>2436</v>
      </c>
    </row>
    <row r="4466" spans="1:18" x14ac:dyDescent="0.5">
      <c r="A4466" t="str">
        <f>"092914AA8"</f>
        <v>092914AA8</v>
      </c>
      <c r="B4466" t="s">
        <v>101</v>
      </c>
      <c r="C4466" t="s">
        <v>5496</v>
      </c>
      <c r="D4466" t="s">
        <v>2433</v>
      </c>
      <c r="E4466">
        <v>5</v>
      </c>
      <c r="F4466" s="2">
        <v>49284</v>
      </c>
      <c r="G4466" s="2">
        <v>49193</v>
      </c>
      <c r="H4466" t="s">
        <v>105</v>
      </c>
      <c r="I4466" t="s">
        <v>658</v>
      </c>
      <c r="J4466">
        <v>97.724999999999994</v>
      </c>
      <c r="K4466">
        <v>97.884</v>
      </c>
      <c r="L4466">
        <v>5.3010000000000002</v>
      </c>
      <c r="M4466">
        <v>5.28</v>
      </c>
      <c r="N4466">
        <v>5.28</v>
      </c>
      <c r="O4466" t="s">
        <v>101</v>
      </c>
      <c r="P4466" t="s">
        <v>2454</v>
      </c>
      <c r="Q4466" t="s">
        <v>2454</v>
      </c>
      <c r="R4466" t="s">
        <v>2436</v>
      </c>
    </row>
    <row r="4467" spans="1:18" x14ac:dyDescent="0.5">
      <c r="A4467" t="str">
        <f>"254687DZ6"</f>
        <v>254687DZ6</v>
      </c>
      <c r="B4467" t="s">
        <v>101</v>
      </c>
      <c r="C4467" t="s">
        <v>5497</v>
      </c>
      <c r="D4467" t="s">
        <v>2433</v>
      </c>
      <c r="E4467">
        <v>6.2</v>
      </c>
      <c r="F4467" s="2">
        <v>49293</v>
      </c>
      <c r="G4467" s="2" t="s">
        <v>105</v>
      </c>
      <c r="H4467" t="s">
        <v>610</v>
      </c>
      <c r="I4467" t="s">
        <v>611</v>
      </c>
      <c r="J4467">
        <v>109.152</v>
      </c>
      <c r="K4467">
        <v>109.26900000000001</v>
      </c>
      <c r="L4467">
        <v>5.0019999999999998</v>
      </c>
      <c r="M4467">
        <v>4.9880000000000004</v>
      </c>
      <c r="N4467">
        <v>4.9880000000000004</v>
      </c>
      <c r="O4467" t="s">
        <v>101</v>
      </c>
      <c r="P4467" t="s">
        <v>2447</v>
      </c>
      <c r="Q4467" t="s">
        <v>2581</v>
      </c>
      <c r="R4467" t="s">
        <v>2465</v>
      </c>
    </row>
    <row r="4468" spans="1:18" x14ac:dyDescent="0.5">
      <c r="A4468" t="str">
        <f>"94973VAH0"</f>
        <v>94973VAH0</v>
      </c>
      <c r="B4468" t="s">
        <v>101</v>
      </c>
      <c r="C4468" t="s">
        <v>5498</v>
      </c>
      <c r="D4468" t="s">
        <v>2433</v>
      </c>
      <c r="E4468">
        <v>5.95</v>
      </c>
      <c r="F4468" s="2">
        <v>49293</v>
      </c>
      <c r="G4468" s="2" t="s">
        <v>101</v>
      </c>
      <c r="H4468" t="s">
        <v>677</v>
      </c>
      <c r="I4468" t="s">
        <v>611</v>
      </c>
      <c r="J4468">
        <v>104.642</v>
      </c>
      <c r="K4468">
        <v>105.086</v>
      </c>
      <c r="L4468">
        <v>5.3319999999999999</v>
      </c>
      <c r="M4468">
        <v>5.2750000000000004</v>
      </c>
      <c r="N4468">
        <v>5.2750000000000004</v>
      </c>
      <c r="O4468" t="s">
        <v>101</v>
      </c>
      <c r="P4468" t="s">
        <v>2765</v>
      </c>
      <c r="Q4468" t="s">
        <v>2454</v>
      </c>
      <c r="R4468" t="s">
        <v>2436</v>
      </c>
    </row>
    <row r="4469" spans="1:18" x14ac:dyDescent="0.5">
      <c r="A4469" t="str">
        <f>"59156RCN6"</f>
        <v>59156RCN6</v>
      </c>
      <c r="B4469" t="s">
        <v>101</v>
      </c>
      <c r="C4469" t="s">
        <v>5499</v>
      </c>
      <c r="D4469" t="s">
        <v>2433</v>
      </c>
      <c r="E4469">
        <v>5.3</v>
      </c>
      <c r="F4469" s="2">
        <v>49293</v>
      </c>
      <c r="G4469" s="2">
        <v>49202</v>
      </c>
      <c r="H4469" t="s">
        <v>627</v>
      </c>
      <c r="I4469" t="s">
        <v>713</v>
      </c>
      <c r="J4469">
        <v>100.79900000000001</v>
      </c>
      <c r="K4469">
        <v>100.87</v>
      </c>
      <c r="L4469">
        <v>5.1920000000000002</v>
      </c>
      <c r="M4469">
        <v>5.1829999999999998</v>
      </c>
      <c r="N4469">
        <v>5.1840000000000002</v>
      </c>
      <c r="O4469" t="s">
        <v>101</v>
      </c>
      <c r="P4469" t="s">
        <v>2447</v>
      </c>
      <c r="Q4469" t="s">
        <v>1391</v>
      </c>
      <c r="R4469" t="s">
        <v>2436</v>
      </c>
    </row>
    <row r="4470" spans="1:18" x14ac:dyDescent="0.5">
      <c r="A4470" t="str">
        <f>"48130CWS0"</f>
        <v>48130CWS0</v>
      </c>
      <c r="B4470" t="s">
        <v>101</v>
      </c>
      <c r="C4470" t="s">
        <v>5500</v>
      </c>
      <c r="D4470" t="s">
        <v>2433</v>
      </c>
      <c r="E4470">
        <v>5.0999999999999996</v>
      </c>
      <c r="F4470" s="2">
        <v>49300</v>
      </c>
      <c r="G4470" s="2">
        <v>46379</v>
      </c>
      <c r="H4470" t="s">
        <v>641</v>
      </c>
      <c r="I4470" t="s">
        <v>611</v>
      </c>
      <c r="J4470">
        <v>96.884</v>
      </c>
      <c r="K4470">
        <v>99.25</v>
      </c>
      <c r="L4470">
        <v>5.5179999999999998</v>
      </c>
      <c r="M4470">
        <v>5.1970000000000001</v>
      </c>
      <c r="N4470">
        <v>5.1970000000000001</v>
      </c>
      <c r="O4470" t="s">
        <v>101</v>
      </c>
      <c r="P4470" t="s">
        <v>2595</v>
      </c>
      <c r="Q4470" t="s">
        <v>4339</v>
      </c>
      <c r="R4470" t="s">
        <v>2726</v>
      </c>
    </row>
    <row r="4471" spans="1:18" x14ac:dyDescent="0.5">
      <c r="A4471" t="str">
        <f>"48130CWZ4"</f>
        <v>48130CWZ4</v>
      </c>
      <c r="B4471" t="s">
        <v>101</v>
      </c>
      <c r="C4471" t="s">
        <v>5501</v>
      </c>
      <c r="D4471" t="s">
        <v>2433</v>
      </c>
      <c r="E4471">
        <v>5.25</v>
      </c>
      <c r="F4471" s="2">
        <v>49300</v>
      </c>
      <c r="G4471" s="2">
        <v>46379</v>
      </c>
      <c r="H4471" t="s">
        <v>641</v>
      </c>
      <c r="I4471" t="s">
        <v>611</v>
      </c>
      <c r="J4471">
        <v>98.766999999999996</v>
      </c>
      <c r="K4471">
        <v>100.05</v>
      </c>
      <c r="L4471">
        <v>5.4130000000000003</v>
      </c>
      <c r="M4471">
        <v>5.2060000000000004</v>
      </c>
      <c r="N4471">
        <v>5.24</v>
      </c>
      <c r="O4471" t="s">
        <v>101</v>
      </c>
      <c r="P4471" t="s">
        <v>2595</v>
      </c>
      <c r="Q4471" t="s">
        <v>5502</v>
      </c>
      <c r="R4471" t="s">
        <v>2726</v>
      </c>
    </row>
    <row r="4472" spans="1:18" x14ac:dyDescent="0.5">
      <c r="A4472" t="str">
        <f>"09290DAJ0"</f>
        <v>09290DAJ0</v>
      </c>
      <c r="B4472" t="s">
        <v>101</v>
      </c>
      <c r="C4472" t="s">
        <v>5503</v>
      </c>
      <c r="D4472" t="s">
        <v>2433</v>
      </c>
      <c r="E4472">
        <v>4.9000000000000004</v>
      </c>
      <c r="F4472" s="2">
        <v>49317</v>
      </c>
      <c r="G4472" s="2">
        <v>49225</v>
      </c>
      <c r="H4472" t="s">
        <v>624</v>
      </c>
      <c r="I4472" t="s">
        <v>616</v>
      </c>
      <c r="J4472">
        <v>98.915999999999997</v>
      </c>
      <c r="K4472">
        <v>99.293999999999997</v>
      </c>
      <c r="L4472">
        <v>5.04</v>
      </c>
      <c r="M4472">
        <v>4.9909999999999997</v>
      </c>
      <c r="N4472">
        <v>4.9909999999999997</v>
      </c>
      <c r="O4472" t="s">
        <v>101</v>
      </c>
      <c r="P4472" t="s">
        <v>2581</v>
      </c>
      <c r="Q4472" t="s">
        <v>2454</v>
      </c>
      <c r="R4472" t="s">
        <v>2436</v>
      </c>
    </row>
    <row r="4473" spans="1:18" x14ac:dyDescent="0.5">
      <c r="A4473" t="str">
        <f>"89236TNB7"</f>
        <v>89236TNB7</v>
      </c>
      <c r="B4473" t="s">
        <v>101</v>
      </c>
      <c r="C4473" t="s">
        <v>5504</v>
      </c>
      <c r="D4473" t="s">
        <v>2433</v>
      </c>
      <c r="E4473">
        <v>5.35</v>
      </c>
      <c r="F4473" s="2">
        <v>49318</v>
      </c>
      <c r="G4473" s="2" t="s">
        <v>101</v>
      </c>
      <c r="H4473" t="s">
        <v>641</v>
      </c>
      <c r="I4473" t="s">
        <v>658</v>
      </c>
      <c r="J4473">
        <v>100.724</v>
      </c>
      <c r="K4473">
        <v>101.27800000000001</v>
      </c>
      <c r="L4473">
        <v>5.2539999999999996</v>
      </c>
      <c r="M4473">
        <v>5.181</v>
      </c>
      <c r="N4473">
        <v>5.181</v>
      </c>
      <c r="O4473" t="s">
        <v>101</v>
      </c>
      <c r="P4473" t="s">
        <v>2564</v>
      </c>
      <c r="Q4473" t="s">
        <v>2454</v>
      </c>
      <c r="R4473" t="s">
        <v>2436</v>
      </c>
    </row>
    <row r="4474" spans="1:18" x14ac:dyDescent="0.5">
      <c r="A4474" t="str">
        <f>"61760QRA4"</f>
        <v>61760QRA4</v>
      </c>
      <c r="B4474" t="s">
        <v>101</v>
      </c>
      <c r="C4474" t="s">
        <v>5505</v>
      </c>
      <c r="D4474" t="s">
        <v>2433</v>
      </c>
      <c r="E4474">
        <v>4.75</v>
      </c>
      <c r="F4474" s="2">
        <v>49319</v>
      </c>
      <c r="G4474" s="2" t="s">
        <v>105</v>
      </c>
      <c r="H4474" t="s">
        <v>641</v>
      </c>
      <c r="I4474" t="s">
        <v>713</v>
      </c>
      <c r="J4474">
        <v>95.825999999999993</v>
      </c>
      <c r="K4474">
        <v>102.232</v>
      </c>
      <c r="L4474">
        <v>5.2990000000000004</v>
      </c>
      <c r="M4474">
        <v>4.4660000000000002</v>
      </c>
      <c r="N4474">
        <v>4.4660000000000002</v>
      </c>
      <c r="O4474" t="s">
        <v>101</v>
      </c>
      <c r="P4474" t="s">
        <v>2595</v>
      </c>
      <c r="Q4474" t="s">
        <v>3556</v>
      </c>
      <c r="R4474" t="s">
        <v>2839</v>
      </c>
    </row>
    <row r="4475" spans="1:18" x14ac:dyDescent="0.5">
      <c r="A4475" t="str">
        <f>"032095AR2"</f>
        <v>032095AR2</v>
      </c>
      <c r="B4475" t="s">
        <v>101</v>
      </c>
      <c r="C4475" t="s">
        <v>5506</v>
      </c>
      <c r="D4475" t="s">
        <v>2433</v>
      </c>
      <c r="E4475">
        <v>5</v>
      </c>
      <c r="F4475" s="2">
        <v>49324</v>
      </c>
      <c r="G4475" s="2">
        <v>49232</v>
      </c>
      <c r="H4475" t="s">
        <v>627</v>
      </c>
      <c r="I4475" t="s">
        <v>713</v>
      </c>
      <c r="J4475">
        <v>98.768000000000001</v>
      </c>
      <c r="K4475">
        <v>99.165999999999997</v>
      </c>
      <c r="L4475">
        <v>5.16</v>
      </c>
      <c r="M4475">
        <v>5.1079999999999997</v>
      </c>
      <c r="N4475">
        <v>5.1079999999999997</v>
      </c>
      <c r="O4475" t="s">
        <v>101</v>
      </c>
      <c r="P4475" t="s">
        <v>3878</v>
      </c>
      <c r="Q4475" t="s">
        <v>2454</v>
      </c>
      <c r="R4475" t="s">
        <v>2436</v>
      </c>
    </row>
    <row r="4476" spans="1:18" x14ac:dyDescent="0.5">
      <c r="A4476" t="str">
        <f>"11271LAM4"</f>
        <v>11271LAM4</v>
      </c>
      <c r="B4476" t="s">
        <v>101</v>
      </c>
      <c r="C4476" t="s">
        <v>5507</v>
      </c>
      <c r="D4476" t="s">
        <v>2433</v>
      </c>
      <c r="E4476">
        <v>5.6749999999999998</v>
      </c>
      <c r="F4476" s="2">
        <v>49324</v>
      </c>
      <c r="G4476" s="2">
        <v>49232</v>
      </c>
      <c r="H4476" t="s">
        <v>627</v>
      </c>
      <c r="I4476" t="s">
        <v>713</v>
      </c>
      <c r="J4476">
        <v>101.438</v>
      </c>
      <c r="K4476">
        <v>101.73699999999999</v>
      </c>
      <c r="L4476">
        <v>5.48</v>
      </c>
      <c r="M4476">
        <v>5.44</v>
      </c>
      <c r="N4476">
        <v>5.444</v>
      </c>
      <c r="O4476" t="s">
        <v>101</v>
      </c>
      <c r="P4476" t="s">
        <v>2795</v>
      </c>
      <c r="Q4476" t="s">
        <v>2454</v>
      </c>
      <c r="R4476" t="s">
        <v>2436</v>
      </c>
    </row>
    <row r="4477" spans="1:18" x14ac:dyDescent="0.5">
      <c r="A4477" t="str">
        <f>"20826FBL9"</f>
        <v>20826FBL9</v>
      </c>
      <c r="B4477" t="s">
        <v>101</v>
      </c>
      <c r="C4477" t="s">
        <v>5508</v>
      </c>
      <c r="D4477" t="s">
        <v>2433</v>
      </c>
      <c r="E4477">
        <v>5</v>
      </c>
      <c r="F4477" s="2">
        <v>49324</v>
      </c>
      <c r="G4477" s="2">
        <v>49232</v>
      </c>
      <c r="H4477" t="s">
        <v>610</v>
      </c>
      <c r="I4477" t="s">
        <v>713</v>
      </c>
      <c r="J4477">
        <v>98.183000000000007</v>
      </c>
      <c r="K4477">
        <v>98.344999999999999</v>
      </c>
      <c r="L4477">
        <v>5.2359999999999998</v>
      </c>
      <c r="M4477">
        <v>5.2149999999999999</v>
      </c>
      <c r="N4477">
        <v>5.2149999999999999</v>
      </c>
      <c r="O4477" t="s">
        <v>101</v>
      </c>
      <c r="P4477" t="s">
        <v>4569</v>
      </c>
      <c r="Q4477" t="s">
        <v>2454</v>
      </c>
      <c r="R4477" t="s">
        <v>2436</v>
      </c>
    </row>
    <row r="4478" spans="1:18" x14ac:dyDescent="0.5">
      <c r="A4478" t="str">
        <f>"25731VAC8"</f>
        <v>25731VAC8</v>
      </c>
      <c r="B4478" t="s">
        <v>101</v>
      </c>
      <c r="C4478" t="s">
        <v>5509</v>
      </c>
      <c r="D4478" t="s">
        <v>2433</v>
      </c>
      <c r="E4478">
        <v>5.3</v>
      </c>
      <c r="F4478" s="2">
        <v>49324</v>
      </c>
      <c r="G4478" s="2">
        <v>49232</v>
      </c>
      <c r="H4478" t="s">
        <v>610</v>
      </c>
      <c r="I4478" t="s">
        <v>611</v>
      </c>
      <c r="J4478">
        <v>100.58199999999999</v>
      </c>
      <c r="K4478">
        <v>101.008</v>
      </c>
      <c r="L4478">
        <v>5.2220000000000004</v>
      </c>
      <c r="M4478">
        <v>5.165</v>
      </c>
      <c r="N4478">
        <v>5.1669999999999998</v>
      </c>
      <c r="O4478" t="s">
        <v>101</v>
      </c>
      <c r="P4478" t="s">
        <v>2747</v>
      </c>
      <c r="Q4478" t="s">
        <v>2454</v>
      </c>
      <c r="R4478" t="s">
        <v>2436</v>
      </c>
    </row>
    <row r="4479" spans="1:18" x14ac:dyDescent="0.5">
      <c r="A4479" t="str">
        <f>"27636AAB8"</f>
        <v>27636AAB8</v>
      </c>
      <c r="B4479" t="s">
        <v>101</v>
      </c>
      <c r="C4479" t="s">
        <v>5510</v>
      </c>
      <c r="D4479" t="s">
        <v>2433</v>
      </c>
      <c r="E4479">
        <v>5.8</v>
      </c>
      <c r="F4479" s="2">
        <v>49324</v>
      </c>
      <c r="G4479" s="2">
        <v>49232</v>
      </c>
      <c r="H4479" t="s">
        <v>670</v>
      </c>
      <c r="I4479" t="s">
        <v>713</v>
      </c>
      <c r="J4479">
        <v>102.203</v>
      </c>
      <c r="K4479">
        <v>102.70099999999999</v>
      </c>
      <c r="L4479">
        <v>5.5010000000000003</v>
      </c>
      <c r="M4479">
        <v>5.4349999999999996</v>
      </c>
      <c r="N4479">
        <v>5.4409999999999998</v>
      </c>
      <c r="O4479" t="s">
        <v>101</v>
      </c>
      <c r="P4479" t="s">
        <v>2522</v>
      </c>
      <c r="Q4479" t="s">
        <v>2454</v>
      </c>
      <c r="R4479" t="s">
        <v>2436</v>
      </c>
    </row>
    <row r="4480" spans="1:18" x14ac:dyDescent="0.5">
      <c r="A4480" t="str">
        <f>"57636QBC7"</f>
        <v>57636QBC7</v>
      </c>
      <c r="B4480" t="s">
        <v>101</v>
      </c>
      <c r="C4480" t="s">
        <v>5511</v>
      </c>
      <c r="D4480" t="s">
        <v>2433</v>
      </c>
      <c r="E4480">
        <v>4.55</v>
      </c>
      <c r="F4480" s="2">
        <v>49324</v>
      </c>
      <c r="G4480" s="2">
        <v>49232</v>
      </c>
      <c r="H4480" t="s">
        <v>624</v>
      </c>
      <c r="I4480" t="s">
        <v>658</v>
      </c>
      <c r="J4480">
        <v>96.715000000000003</v>
      </c>
      <c r="K4480">
        <v>96.956999999999994</v>
      </c>
      <c r="L4480">
        <v>4.9749999999999996</v>
      </c>
      <c r="M4480">
        <v>4.9429999999999996</v>
      </c>
      <c r="N4480">
        <v>4.9429999999999996</v>
      </c>
      <c r="O4480" t="s">
        <v>101</v>
      </c>
      <c r="P4480" t="s">
        <v>1702</v>
      </c>
      <c r="Q4480" t="s">
        <v>1702</v>
      </c>
      <c r="R4480" t="s">
        <v>2726</v>
      </c>
    </row>
    <row r="4481" spans="1:18" x14ac:dyDescent="0.5">
      <c r="A4481" t="str">
        <f>"75884RBC6"</f>
        <v>75884RBC6</v>
      </c>
      <c r="B4481" t="s">
        <v>101</v>
      </c>
      <c r="C4481" t="s">
        <v>5512</v>
      </c>
      <c r="D4481" t="s">
        <v>2433</v>
      </c>
      <c r="E4481">
        <v>5.0999999999999996</v>
      </c>
      <c r="F4481" s="2">
        <v>49324</v>
      </c>
      <c r="G4481" s="2">
        <v>49232</v>
      </c>
      <c r="H4481" t="s">
        <v>627</v>
      </c>
      <c r="I4481" t="s">
        <v>713</v>
      </c>
      <c r="J4481">
        <v>98.233999999999995</v>
      </c>
      <c r="K4481">
        <v>98.417000000000002</v>
      </c>
      <c r="L4481">
        <v>5.3319999999999999</v>
      </c>
      <c r="M4481">
        <v>5.3079999999999998</v>
      </c>
      <c r="N4481">
        <v>5.3079999999999998</v>
      </c>
      <c r="O4481" t="s">
        <v>101</v>
      </c>
      <c r="P4481" t="s">
        <v>2447</v>
      </c>
      <c r="Q4481" t="s">
        <v>2454</v>
      </c>
      <c r="R4481" t="s">
        <v>2436</v>
      </c>
    </row>
    <row r="4482" spans="1:18" x14ac:dyDescent="0.5">
      <c r="A4482" t="str">
        <f>"86562MDU1"</f>
        <v>86562MDU1</v>
      </c>
      <c r="B4482" t="s">
        <v>101</v>
      </c>
      <c r="C4482" t="s">
        <v>5513</v>
      </c>
      <c r="D4482" t="s">
        <v>2433</v>
      </c>
      <c r="E4482">
        <v>5.6319999999999997</v>
      </c>
      <c r="F4482" s="2">
        <v>49324</v>
      </c>
      <c r="G4482" s="2" t="s">
        <v>101</v>
      </c>
      <c r="H4482" t="s">
        <v>641</v>
      </c>
      <c r="I4482" t="s">
        <v>713</v>
      </c>
      <c r="J4482">
        <v>101.90900000000001</v>
      </c>
      <c r="K4482">
        <v>102.181</v>
      </c>
      <c r="L4482">
        <v>5.3789999999999996</v>
      </c>
      <c r="M4482">
        <v>5.343</v>
      </c>
      <c r="N4482">
        <v>5.343</v>
      </c>
      <c r="O4482" t="s">
        <v>101</v>
      </c>
      <c r="P4482" t="s">
        <v>228</v>
      </c>
      <c r="Q4482" t="s">
        <v>2687</v>
      </c>
      <c r="R4482" t="s">
        <v>2436</v>
      </c>
    </row>
    <row r="4483" spans="1:18" x14ac:dyDescent="0.5">
      <c r="A4483" t="str">
        <f>"244199BL8"</f>
        <v>244199BL8</v>
      </c>
      <c r="B4483" t="s">
        <v>101</v>
      </c>
      <c r="C4483" t="s">
        <v>5514</v>
      </c>
      <c r="D4483" t="s">
        <v>2433</v>
      </c>
      <c r="E4483">
        <v>5.45</v>
      </c>
      <c r="F4483" s="2">
        <v>49325</v>
      </c>
      <c r="G4483" s="2">
        <v>49233</v>
      </c>
      <c r="H4483" t="s">
        <v>641</v>
      </c>
      <c r="I4483" t="s">
        <v>611</v>
      </c>
      <c r="J4483">
        <v>102.499</v>
      </c>
      <c r="K4483">
        <v>102.86799999999999</v>
      </c>
      <c r="L4483">
        <v>5.117</v>
      </c>
      <c r="M4483">
        <v>5.069</v>
      </c>
      <c r="N4483">
        <v>5.0750000000000002</v>
      </c>
      <c r="O4483" t="s">
        <v>101</v>
      </c>
      <c r="P4483" t="s">
        <v>3878</v>
      </c>
      <c r="Q4483" t="s">
        <v>2441</v>
      </c>
      <c r="R4483" t="s">
        <v>2436</v>
      </c>
    </row>
    <row r="4484" spans="1:18" x14ac:dyDescent="0.5">
      <c r="A4484" t="str">
        <f>"00724PAK5"</f>
        <v>00724PAK5</v>
      </c>
      <c r="B4484" t="s">
        <v>101</v>
      </c>
      <c r="C4484" t="s">
        <v>5515</v>
      </c>
      <c r="D4484" t="s">
        <v>2433</v>
      </c>
      <c r="E4484">
        <v>5.3</v>
      </c>
      <c r="F4484" s="2">
        <v>49326</v>
      </c>
      <c r="G4484" s="2">
        <v>49234</v>
      </c>
      <c r="H4484" t="s">
        <v>641</v>
      </c>
      <c r="I4484" t="s">
        <v>658</v>
      </c>
      <c r="J4484">
        <v>102.256</v>
      </c>
      <c r="K4484">
        <v>102.471</v>
      </c>
      <c r="L4484">
        <v>5.0010000000000003</v>
      </c>
      <c r="M4484">
        <v>4.9690000000000003</v>
      </c>
      <c r="N4484">
        <v>4.9790000000000001</v>
      </c>
      <c r="O4484" t="s">
        <v>101</v>
      </c>
      <c r="P4484" t="s">
        <v>2581</v>
      </c>
      <c r="Q4484" t="s">
        <v>2454</v>
      </c>
      <c r="R4484" t="s">
        <v>2436</v>
      </c>
    </row>
    <row r="4485" spans="1:18" x14ac:dyDescent="0.5">
      <c r="A4485" t="str">
        <f>"05964HBK0"</f>
        <v>05964HBK0</v>
      </c>
      <c r="B4485" t="s">
        <v>101</v>
      </c>
      <c r="C4485" t="s">
        <v>5516</v>
      </c>
      <c r="D4485" t="s">
        <v>2433</v>
      </c>
      <c r="E4485">
        <v>6.0330000000000004</v>
      </c>
      <c r="F4485" s="2">
        <v>49326</v>
      </c>
      <c r="G4485" s="2" t="s">
        <v>101</v>
      </c>
      <c r="H4485" t="s">
        <v>670</v>
      </c>
      <c r="I4485" t="s">
        <v>713</v>
      </c>
      <c r="J4485">
        <v>103.081</v>
      </c>
      <c r="K4485">
        <v>103.40600000000001</v>
      </c>
      <c r="L4485">
        <v>5.62</v>
      </c>
      <c r="M4485">
        <v>5.5780000000000003</v>
      </c>
      <c r="N4485">
        <v>5.5780000000000003</v>
      </c>
      <c r="O4485" t="s">
        <v>101</v>
      </c>
      <c r="P4485" t="s">
        <v>542</v>
      </c>
      <c r="Q4485" t="s">
        <v>3424</v>
      </c>
      <c r="R4485" t="s">
        <v>2436</v>
      </c>
    </row>
    <row r="4486" spans="1:18" x14ac:dyDescent="0.5">
      <c r="A4486" t="str">
        <f>"25161FCS5"</f>
        <v>25161FCS5</v>
      </c>
      <c r="B4486" t="s">
        <v>101</v>
      </c>
      <c r="C4486" t="s">
        <v>5517</v>
      </c>
      <c r="D4486" t="s">
        <v>2433</v>
      </c>
      <c r="E4486">
        <v>6</v>
      </c>
      <c r="F4486" s="2">
        <v>49340</v>
      </c>
      <c r="G4486" s="2">
        <v>46053</v>
      </c>
      <c r="H4486" t="s">
        <v>641</v>
      </c>
      <c r="I4486" t="s">
        <v>611</v>
      </c>
      <c r="J4486">
        <v>99.935000000000002</v>
      </c>
      <c r="K4486">
        <v>100.75</v>
      </c>
      <c r="L4486">
        <v>6.0049999999999999</v>
      </c>
      <c r="M4486">
        <v>5.1130000000000004</v>
      </c>
      <c r="N4486">
        <v>5.8979999999999997</v>
      </c>
      <c r="O4486" t="s">
        <v>101</v>
      </c>
      <c r="P4486" t="s">
        <v>2289</v>
      </c>
      <c r="Q4486" t="s">
        <v>5518</v>
      </c>
      <c r="R4486" t="s">
        <v>2436</v>
      </c>
    </row>
    <row r="4487" spans="1:18" x14ac:dyDescent="0.5">
      <c r="A4487" t="str">
        <f>"48130CXK6"</f>
        <v>48130CXK6</v>
      </c>
      <c r="B4487" t="s">
        <v>101</v>
      </c>
      <c r="C4487" t="s">
        <v>5519</v>
      </c>
      <c r="D4487" t="s">
        <v>2433</v>
      </c>
      <c r="E4487">
        <v>5.5</v>
      </c>
      <c r="F4487" s="2">
        <v>49340</v>
      </c>
      <c r="G4487" s="2">
        <v>46418</v>
      </c>
      <c r="H4487" t="s">
        <v>641</v>
      </c>
      <c r="I4487" t="s">
        <v>611</v>
      </c>
      <c r="J4487">
        <v>99.031999999999996</v>
      </c>
      <c r="K4487">
        <v>100.5</v>
      </c>
      <c r="L4487">
        <v>5.6260000000000003</v>
      </c>
      <c r="M4487">
        <v>5.2060000000000004</v>
      </c>
      <c r="N4487">
        <v>5.431</v>
      </c>
      <c r="O4487" t="s">
        <v>101</v>
      </c>
      <c r="P4487" t="s">
        <v>2595</v>
      </c>
      <c r="Q4487" t="s">
        <v>5520</v>
      </c>
      <c r="R4487" t="s">
        <v>3443</v>
      </c>
    </row>
    <row r="4488" spans="1:18" x14ac:dyDescent="0.5">
      <c r="A4488" t="str">
        <f>"74340XCN9"</f>
        <v>74340XCN9</v>
      </c>
      <c r="B4488" t="s">
        <v>101</v>
      </c>
      <c r="C4488" t="s">
        <v>5521</v>
      </c>
      <c r="D4488" t="s">
        <v>2433</v>
      </c>
      <c r="E4488">
        <v>5</v>
      </c>
      <c r="F4488" s="2">
        <v>49340</v>
      </c>
      <c r="G4488" s="2">
        <v>49248</v>
      </c>
      <c r="H4488" t="s">
        <v>610</v>
      </c>
      <c r="I4488" t="s">
        <v>611</v>
      </c>
      <c r="J4488">
        <v>98.843000000000004</v>
      </c>
      <c r="K4488">
        <v>98.927000000000007</v>
      </c>
      <c r="L4488">
        <v>5.1479999999999997</v>
      </c>
      <c r="M4488">
        <v>5.1390000000000002</v>
      </c>
      <c r="N4488">
        <v>5.1390000000000002</v>
      </c>
      <c r="O4488" t="s">
        <v>101</v>
      </c>
      <c r="P4488" t="s">
        <v>1702</v>
      </c>
      <c r="Q4488" t="s">
        <v>3222</v>
      </c>
      <c r="R4488" t="s">
        <v>2436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DE016-F00A-40C7-97AD-DE9AB1371D75}">
  <dimension ref="A1:N51"/>
  <sheetViews>
    <sheetView workbookViewId="0">
      <selection activeCell="Q12" sqref="Q12"/>
    </sheetView>
  </sheetViews>
  <sheetFormatPr defaultRowHeight="14.35" x14ac:dyDescent="0.5"/>
  <cols>
    <col min="1" max="1" width="15.3515625" bestFit="1" customWidth="1"/>
    <col min="2" max="2" width="4.8203125" customWidth="1"/>
    <col min="3" max="3" width="2.703125" customWidth="1"/>
    <col min="4" max="4" width="26.1171875" bestFit="1" customWidth="1"/>
    <col min="5" max="5" width="2.703125" customWidth="1"/>
    <col min="6" max="6" width="23.1171875" bestFit="1" customWidth="1"/>
    <col min="7" max="7" width="2.703125" customWidth="1"/>
    <col min="8" max="8" width="22.3515625" bestFit="1" customWidth="1"/>
    <col min="9" max="9" width="2.703125" customWidth="1"/>
    <col min="10" max="10" width="5.1171875" customWidth="1"/>
    <col min="11" max="11" width="12" bestFit="1" customWidth="1"/>
    <col min="12" max="12" width="9.9375" bestFit="1" customWidth="1"/>
    <col min="13" max="13" width="4.17578125" bestFit="1" customWidth="1"/>
  </cols>
  <sheetData>
    <row r="1" spans="1:14" x14ac:dyDescent="0.5">
      <c r="A1" s="115" t="s">
        <v>5522</v>
      </c>
      <c r="B1" s="115"/>
      <c r="C1" s="35"/>
      <c r="D1" s="1" t="s">
        <v>5523</v>
      </c>
      <c r="E1" s="1"/>
      <c r="F1" s="1" t="s">
        <v>5524</v>
      </c>
      <c r="G1" s="1"/>
      <c r="H1" s="1" t="s">
        <v>5525</v>
      </c>
      <c r="I1" s="1"/>
      <c r="J1" s="1" t="s">
        <v>5526</v>
      </c>
      <c r="K1" s="88" t="s">
        <v>5527</v>
      </c>
      <c r="L1" s="88" t="s">
        <v>62</v>
      </c>
      <c r="M1" s="1" t="s">
        <v>5528</v>
      </c>
      <c r="N1" s="1" t="s">
        <v>36</v>
      </c>
    </row>
    <row r="2" spans="1:14" x14ac:dyDescent="0.5">
      <c r="A2" s="36" t="s">
        <v>5529</v>
      </c>
      <c r="B2" t="s">
        <v>5530</v>
      </c>
      <c r="D2" s="37">
        <v>0.1</v>
      </c>
      <c r="E2" s="37"/>
      <c r="F2" s="37">
        <v>0</v>
      </c>
      <c r="G2" s="37"/>
      <c r="H2">
        <v>1</v>
      </c>
      <c r="J2" s="87">
        <v>1</v>
      </c>
      <c r="K2" s="87" t="s">
        <v>5531</v>
      </c>
      <c r="L2" s="87" t="s">
        <v>5531</v>
      </c>
      <c r="M2">
        <v>1</v>
      </c>
      <c r="N2" t="s">
        <v>5532</v>
      </c>
    </row>
    <row r="3" spans="1:14" x14ac:dyDescent="0.5">
      <c r="A3" s="36" t="s">
        <v>5533</v>
      </c>
      <c r="B3" t="s">
        <v>507</v>
      </c>
      <c r="D3" s="37">
        <v>0.12</v>
      </c>
      <c r="E3" s="37"/>
      <c r="F3" s="37">
        <v>0.01</v>
      </c>
      <c r="G3" s="37"/>
      <c r="H3">
        <v>3</v>
      </c>
      <c r="J3" s="87">
        <v>2</v>
      </c>
      <c r="K3" s="87" t="s">
        <v>104</v>
      </c>
      <c r="L3" s="87" t="s">
        <v>104</v>
      </c>
      <c r="M3">
        <v>1</v>
      </c>
      <c r="N3" t="s">
        <v>5534</v>
      </c>
    </row>
    <row r="4" spans="1:14" x14ac:dyDescent="0.5">
      <c r="A4" s="36" t="s">
        <v>5535</v>
      </c>
      <c r="B4" t="s">
        <v>5536</v>
      </c>
      <c r="D4" s="37">
        <v>0.22</v>
      </c>
      <c r="E4" s="37"/>
      <c r="F4" s="37">
        <v>0.02</v>
      </c>
      <c r="G4" s="37"/>
      <c r="H4">
        <v>5</v>
      </c>
      <c r="J4" s="87">
        <v>3</v>
      </c>
      <c r="K4" s="87" t="s">
        <v>540</v>
      </c>
      <c r="L4" s="87" t="s">
        <v>509</v>
      </c>
      <c r="M4">
        <v>2</v>
      </c>
      <c r="N4" t="s">
        <v>5537</v>
      </c>
    </row>
    <row r="5" spans="1:14" x14ac:dyDescent="0.5">
      <c r="A5" s="36" t="s">
        <v>5538</v>
      </c>
      <c r="B5" t="s">
        <v>5539</v>
      </c>
      <c r="D5" s="37">
        <v>0.24</v>
      </c>
      <c r="E5" s="37"/>
      <c r="F5" s="37">
        <v>0.03</v>
      </c>
      <c r="G5" s="37"/>
      <c r="H5">
        <v>7</v>
      </c>
      <c r="J5" s="87">
        <f t="shared" ref="J5:J24" si="0">J4+1</f>
        <v>4</v>
      </c>
      <c r="K5" s="87" t="s">
        <v>613</v>
      </c>
      <c r="L5" s="87" t="s">
        <v>628</v>
      </c>
      <c r="M5">
        <v>2</v>
      </c>
      <c r="N5" t="s">
        <v>5537</v>
      </c>
    </row>
    <row r="6" spans="1:14" x14ac:dyDescent="0.5">
      <c r="A6" s="36" t="s">
        <v>5540</v>
      </c>
      <c r="B6" t="s">
        <v>598</v>
      </c>
      <c r="D6" s="37">
        <v>0.32</v>
      </c>
      <c r="E6" s="37"/>
      <c r="F6" s="37">
        <v>0.04</v>
      </c>
      <c r="G6" s="37"/>
      <c r="H6">
        <v>10</v>
      </c>
      <c r="J6" s="87">
        <f t="shared" si="0"/>
        <v>5</v>
      </c>
      <c r="K6" s="87" t="s">
        <v>624</v>
      </c>
      <c r="L6" s="87" t="s">
        <v>616</v>
      </c>
      <c r="M6">
        <v>2</v>
      </c>
      <c r="N6" t="s">
        <v>5537</v>
      </c>
    </row>
    <row r="7" spans="1:14" x14ac:dyDescent="0.5">
      <c r="A7" s="36" t="s">
        <v>5541</v>
      </c>
      <c r="B7" t="s">
        <v>5542</v>
      </c>
      <c r="D7" s="37">
        <v>0.35</v>
      </c>
      <c r="E7" s="37"/>
      <c r="F7" s="37">
        <v>0.05</v>
      </c>
      <c r="G7" s="37"/>
      <c r="J7" s="87">
        <f t="shared" si="0"/>
        <v>6</v>
      </c>
      <c r="K7" s="87" t="s">
        <v>641</v>
      </c>
      <c r="L7" s="87" t="s">
        <v>658</v>
      </c>
      <c r="M7">
        <v>3</v>
      </c>
      <c r="N7" t="s">
        <v>5543</v>
      </c>
    </row>
    <row r="8" spans="1:14" x14ac:dyDescent="0.5">
      <c r="A8" s="36" t="s">
        <v>5544</v>
      </c>
      <c r="B8" t="s">
        <v>473</v>
      </c>
      <c r="D8" s="37">
        <v>0.37</v>
      </c>
      <c r="E8" s="37"/>
      <c r="F8" s="37">
        <v>0.06</v>
      </c>
      <c r="G8" s="37"/>
      <c r="J8" s="87">
        <f t="shared" si="0"/>
        <v>7</v>
      </c>
      <c r="K8" s="87" t="s">
        <v>610</v>
      </c>
      <c r="L8" s="87" t="s">
        <v>611</v>
      </c>
      <c r="M8">
        <v>3</v>
      </c>
      <c r="N8" t="s">
        <v>5543</v>
      </c>
    </row>
    <row r="9" spans="1:14" x14ac:dyDescent="0.5">
      <c r="A9" s="36" t="s">
        <v>5545</v>
      </c>
      <c r="B9" t="s">
        <v>5546</v>
      </c>
      <c r="F9" s="37">
        <v>7.0000000000000007E-2</v>
      </c>
      <c r="G9" s="37"/>
      <c r="J9" s="87">
        <f t="shared" si="0"/>
        <v>8</v>
      </c>
      <c r="K9" s="87" t="s">
        <v>627</v>
      </c>
      <c r="L9" s="87" t="s">
        <v>713</v>
      </c>
      <c r="M9">
        <v>3</v>
      </c>
      <c r="N9" t="s">
        <v>5543</v>
      </c>
    </row>
    <row r="10" spans="1:14" x14ac:dyDescent="0.5">
      <c r="A10" s="36" t="s">
        <v>5547</v>
      </c>
      <c r="B10" t="s">
        <v>499</v>
      </c>
      <c r="F10" s="37">
        <v>0.08</v>
      </c>
      <c r="G10" s="37"/>
      <c r="J10" s="87">
        <f t="shared" si="0"/>
        <v>9</v>
      </c>
      <c r="K10" s="87" t="s">
        <v>670</v>
      </c>
      <c r="L10" s="87" t="s">
        <v>633</v>
      </c>
      <c r="M10">
        <v>4</v>
      </c>
      <c r="N10" t="s">
        <v>5548</v>
      </c>
    </row>
    <row r="11" spans="1:14" x14ac:dyDescent="0.5">
      <c r="A11" s="36" t="s">
        <v>5549</v>
      </c>
      <c r="B11" t="s">
        <v>445</v>
      </c>
      <c r="F11" s="37">
        <v>0.09</v>
      </c>
      <c r="G11" s="37"/>
      <c r="J11" s="87">
        <f t="shared" si="0"/>
        <v>10</v>
      </c>
      <c r="K11" s="87" t="s">
        <v>677</v>
      </c>
      <c r="L11" s="87" t="s">
        <v>887</v>
      </c>
      <c r="M11">
        <v>4</v>
      </c>
      <c r="N11" t="s">
        <v>5548</v>
      </c>
    </row>
    <row r="12" spans="1:14" x14ac:dyDescent="0.5">
      <c r="A12" s="36" t="s">
        <v>5550</v>
      </c>
      <c r="B12" t="s">
        <v>5551</v>
      </c>
      <c r="F12" s="37">
        <v>0.1</v>
      </c>
      <c r="G12" s="37"/>
      <c r="J12" s="87">
        <f t="shared" si="0"/>
        <v>11</v>
      </c>
      <c r="K12" s="87" t="s">
        <v>685</v>
      </c>
      <c r="L12" s="87" t="s">
        <v>695</v>
      </c>
      <c r="M12">
        <v>4</v>
      </c>
      <c r="N12" t="s">
        <v>5548</v>
      </c>
    </row>
    <row r="13" spans="1:14" x14ac:dyDescent="0.5">
      <c r="A13" s="36" t="s">
        <v>5552</v>
      </c>
      <c r="B13" t="s">
        <v>5553</v>
      </c>
      <c r="F13" s="37">
        <v>0.11</v>
      </c>
      <c r="G13" s="37"/>
      <c r="J13" s="87">
        <f t="shared" si="0"/>
        <v>12</v>
      </c>
      <c r="K13" s="87" t="s">
        <v>5554</v>
      </c>
      <c r="L13" s="87" t="s">
        <v>5555</v>
      </c>
      <c r="M13">
        <v>5</v>
      </c>
      <c r="N13" t="s">
        <v>5556</v>
      </c>
    </row>
    <row r="14" spans="1:14" x14ac:dyDescent="0.5">
      <c r="A14" s="36" t="s">
        <v>5557</v>
      </c>
      <c r="B14" t="s">
        <v>491</v>
      </c>
      <c r="F14" s="37">
        <v>0.12</v>
      </c>
      <c r="G14" s="37"/>
      <c r="J14" s="87">
        <f t="shared" si="0"/>
        <v>13</v>
      </c>
      <c r="K14" s="87" t="s">
        <v>5558</v>
      </c>
      <c r="L14" s="87" t="s">
        <v>5559</v>
      </c>
      <c r="M14">
        <v>5</v>
      </c>
      <c r="N14" t="s">
        <v>5560</v>
      </c>
    </row>
    <row r="15" spans="1:14" x14ac:dyDescent="0.5">
      <c r="A15" s="36" t="s">
        <v>5561</v>
      </c>
      <c r="B15" t="s">
        <v>518</v>
      </c>
      <c r="F15" s="37">
        <v>0.13</v>
      </c>
      <c r="G15" s="37"/>
      <c r="J15" s="87">
        <f t="shared" si="0"/>
        <v>14</v>
      </c>
      <c r="K15" s="87" t="s">
        <v>5562</v>
      </c>
      <c r="L15" s="87" t="s">
        <v>5563</v>
      </c>
      <c r="M15">
        <v>5</v>
      </c>
      <c r="N15" t="s">
        <v>5560</v>
      </c>
    </row>
    <row r="16" spans="1:14" x14ac:dyDescent="0.5">
      <c r="A16" s="36" t="s">
        <v>5564</v>
      </c>
      <c r="B16" t="s">
        <v>532</v>
      </c>
      <c r="J16" s="87">
        <f t="shared" si="0"/>
        <v>15</v>
      </c>
      <c r="K16" s="87" t="s">
        <v>5565</v>
      </c>
      <c r="L16" s="87" t="s">
        <v>5566</v>
      </c>
      <c r="M16">
        <v>6</v>
      </c>
      <c r="N16" t="s">
        <v>5567</v>
      </c>
    </row>
    <row r="17" spans="1:14" x14ac:dyDescent="0.5">
      <c r="A17" s="36" t="s">
        <v>5568</v>
      </c>
      <c r="B17" t="s">
        <v>494</v>
      </c>
      <c r="J17" s="87">
        <f t="shared" si="0"/>
        <v>16</v>
      </c>
      <c r="K17" s="87" t="s">
        <v>5569</v>
      </c>
      <c r="L17" s="87" t="s">
        <v>5570</v>
      </c>
      <c r="M17">
        <v>6</v>
      </c>
      <c r="N17" t="s">
        <v>5567</v>
      </c>
    </row>
    <row r="18" spans="1:14" x14ac:dyDescent="0.5">
      <c r="A18" s="36" t="s">
        <v>5571</v>
      </c>
      <c r="B18" t="s">
        <v>5572</v>
      </c>
      <c r="J18" s="87">
        <f t="shared" si="0"/>
        <v>17</v>
      </c>
      <c r="K18" s="87" t="s">
        <v>5573</v>
      </c>
      <c r="L18" s="87" t="s">
        <v>5574</v>
      </c>
      <c r="M18">
        <v>6</v>
      </c>
      <c r="N18" t="s">
        <v>5567</v>
      </c>
    </row>
    <row r="19" spans="1:14" x14ac:dyDescent="0.5">
      <c r="A19" s="36" t="s">
        <v>5575</v>
      </c>
      <c r="B19" t="s">
        <v>5576</v>
      </c>
      <c r="J19" s="87">
        <f t="shared" si="0"/>
        <v>18</v>
      </c>
      <c r="K19" s="87" t="s">
        <v>5577</v>
      </c>
      <c r="L19" s="87" t="s">
        <v>5578</v>
      </c>
      <c r="M19">
        <v>7</v>
      </c>
      <c r="N19" t="s">
        <v>5579</v>
      </c>
    </row>
    <row r="20" spans="1:14" x14ac:dyDescent="0.5">
      <c r="A20" s="36" t="s">
        <v>5580</v>
      </c>
      <c r="B20" t="s">
        <v>5581</v>
      </c>
      <c r="J20" s="87">
        <f t="shared" si="0"/>
        <v>19</v>
      </c>
      <c r="K20" s="87" t="s">
        <v>5582</v>
      </c>
      <c r="L20" s="87" t="s">
        <v>5583</v>
      </c>
      <c r="M20">
        <v>7</v>
      </c>
      <c r="N20" t="s">
        <v>5584</v>
      </c>
    </row>
    <row r="21" spans="1:14" x14ac:dyDescent="0.5">
      <c r="A21" s="36" t="s">
        <v>5585</v>
      </c>
      <c r="B21" t="s">
        <v>462</v>
      </c>
      <c r="J21" s="87">
        <f t="shared" si="0"/>
        <v>20</v>
      </c>
      <c r="K21" s="87" t="s">
        <v>5586</v>
      </c>
      <c r="L21" s="87" t="s">
        <v>5587</v>
      </c>
      <c r="M21">
        <v>7</v>
      </c>
      <c r="N21" t="s">
        <v>5584</v>
      </c>
    </row>
    <row r="22" spans="1:14" x14ac:dyDescent="0.5">
      <c r="A22" s="36" t="s">
        <v>5588</v>
      </c>
      <c r="B22" t="s">
        <v>550</v>
      </c>
      <c r="J22" s="87">
        <f t="shared" si="0"/>
        <v>21</v>
      </c>
      <c r="K22" s="87" t="s">
        <v>598</v>
      </c>
      <c r="L22" s="87" t="s">
        <v>5589</v>
      </c>
      <c r="M22">
        <v>7</v>
      </c>
      <c r="N22" t="s">
        <v>5590</v>
      </c>
    </row>
    <row r="23" spans="1:14" x14ac:dyDescent="0.5">
      <c r="A23" s="36" t="s">
        <v>5591</v>
      </c>
      <c r="B23" t="s">
        <v>5592</v>
      </c>
      <c r="J23" s="87">
        <f t="shared" si="0"/>
        <v>22</v>
      </c>
      <c r="K23" s="87" t="s">
        <v>5593</v>
      </c>
      <c r="L23" s="87" t="s">
        <v>5593</v>
      </c>
      <c r="M23">
        <v>7</v>
      </c>
      <c r="N23" t="s">
        <v>5594</v>
      </c>
    </row>
    <row r="24" spans="1:14" x14ac:dyDescent="0.5">
      <c r="A24" s="36" t="s">
        <v>5595</v>
      </c>
      <c r="B24" t="s">
        <v>515</v>
      </c>
      <c r="J24" s="87">
        <f t="shared" si="0"/>
        <v>23</v>
      </c>
      <c r="K24" s="87" t="s">
        <v>105</v>
      </c>
      <c r="L24" s="87" t="s">
        <v>105</v>
      </c>
      <c r="M24">
        <v>8</v>
      </c>
      <c r="N24" t="s">
        <v>5596</v>
      </c>
    </row>
    <row r="25" spans="1:14" x14ac:dyDescent="0.5">
      <c r="A25" s="36" t="s">
        <v>5597</v>
      </c>
      <c r="B25" t="s">
        <v>483</v>
      </c>
      <c r="J25">
        <v>24</v>
      </c>
      <c r="K25" s="87" t="s">
        <v>182</v>
      </c>
      <c r="L25" s="87" t="s">
        <v>182</v>
      </c>
      <c r="M25">
        <v>8</v>
      </c>
      <c r="N25" t="s">
        <v>5596</v>
      </c>
    </row>
    <row r="26" spans="1:14" x14ac:dyDescent="0.5">
      <c r="A26" s="36" t="s">
        <v>5598</v>
      </c>
      <c r="B26" t="s">
        <v>5599</v>
      </c>
      <c r="K26" s="36"/>
    </row>
    <row r="27" spans="1:14" x14ac:dyDescent="0.5">
      <c r="A27" s="36" t="s">
        <v>5600</v>
      </c>
      <c r="B27" t="s">
        <v>5601</v>
      </c>
      <c r="K27" s="36"/>
    </row>
    <row r="28" spans="1:14" x14ac:dyDescent="0.5">
      <c r="A28" s="36" t="s">
        <v>5602</v>
      </c>
      <c r="B28" t="s">
        <v>467</v>
      </c>
      <c r="K28" s="36"/>
    </row>
    <row r="29" spans="1:14" x14ac:dyDescent="0.5">
      <c r="A29" s="36" t="s">
        <v>5603</v>
      </c>
      <c r="B29" t="s">
        <v>5604</v>
      </c>
      <c r="K29" s="36"/>
    </row>
    <row r="30" spans="1:14" x14ac:dyDescent="0.5">
      <c r="A30" s="36" t="s">
        <v>5605</v>
      </c>
      <c r="B30" t="s">
        <v>465</v>
      </c>
      <c r="K30" s="36"/>
    </row>
    <row r="31" spans="1:14" x14ac:dyDescent="0.5">
      <c r="A31" s="36" t="s">
        <v>24</v>
      </c>
      <c r="B31" t="s">
        <v>477</v>
      </c>
      <c r="K31" s="36"/>
    </row>
    <row r="32" spans="1:14" x14ac:dyDescent="0.5">
      <c r="A32" s="36" t="s">
        <v>5606</v>
      </c>
      <c r="B32" t="s">
        <v>489</v>
      </c>
      <c r="K32" s="36"/>
    </row>
    <row r="33" spans="1:11" x14ac:dyDescent="0.5">
      <c r="A33" s="36" t="s">
        <v>5607</v>
      </c>
      <c r="B33" t="s">
        <v>455</v>
      </c>
      <c r="K33" s="36"/>
    </row>
    <row r="34" spans="1:11" x14ac:dyDescent="0.5">
      <c r="A34" s="36" t="s">
        <v>5608</v>
      </c>
      <c r="B34" t="s">
        <v>5609</v>
      </c>
      <c r="K34" s="36"/>
    </row>
    <row r="35" spans="1:11" x14ac:dyDescent="0.5">
      <c r="A35" s="36" t="s">
        <v>5610</v>
      </c>
      <c r="B35" t="s">
        <v>5611</v>
      </c>
      <c r="K35" s="36"/>
    </row>
    <row r="36" spans="1:11" x14ac:dyDescent="0.5">
      <c r="A36" s="36" t="s">
        <v>5612</v>
      </c>
      <c r="B36" t="s">
        <v>5613</v>
      </c>
      <c r="K36" s="36"/>
    </row>
    <row r="37" spans="1:11" x14ac:dyDescent="0.5">
      <c r="A37" s="36" t="s">
        <v>5614</v>
      </c>
      <c r="B37" t="s">
        <v>5615</v>
      </c>
      <c r="K37" s="36"/>
    </row>
    <row r="38" spans="1:11" x14ac:dyDescent="0.5">
      <c r="A38" s="36" t="s">
        <v>5616</v>
      </c>
      <c r="B38" t="s">
        <v>5617</v>
      </c>
      <c r="K38" s="36"/>
    </row>
    <row r="39" spans="1:11" x14ac:dyDescent="0.5">
      <c r="A39" s="36" t="s">
        <v>5618</v>
      </c>
      <c r="B39" t="s">
        <v>5619</v>
      </c>
      <c r="K39" s="36"/>
    </row>
    <row r="40" spans="1:11" x14ac:dyDescent="0.5">
      <c r="A40" s="36" t="s">
        <v>5620</v>
      </c>
      <c r="B40" t="s">
        <v>5621</v>
      </c>
      <c r="K40" s="36"/>
    </row>
    <row r="41" spans="1:11" x14ac:dyDescent="0.5">
      <c r="A41" s="36" t="s">
        <v>5622</v>
      </c>
      <c r="B41" t="s">
        <v>552</v>
      </c>
      <c r="K41" s="36"/>
    </row>
    <row r="42" spans="1:11" x14ac:dyDescent="0.5">
      <c r="A42" s="36" t="s">
        <v>5623</v>
      </c>
      <c r="B42" t="s">
        <v>458</v>
      </c>
      <c r="K42" s="36"/>
    </row>
    <row r="43" spans="1:11" x14ac:dyDescent="0.5">
      <c r="A43" s="36" t="s">
        <v>5624</v>
      </c>
      <c r="B43" t="s">
        <v>595</v>
      </c>
      <c r="K43" s="36"/>
    </row>
    <row r="44" spans="1:11" x14ac:dyDescent="0.5">
      <c r="A44" s="36" t="s">
        <v>5625</v>
      </c>
      <c r="B44" t="s">
        <v>451</v>
      </c>
      <c r="K44" s="36"/>
    </row>
    <row r="45" spans="1:11" x14ac:dyDescent="0.5">
      <c r="A45" s="36" t="s">
        <v>5626</v>
      </c>
      <c r="B45" t="s">
        <v>5627</v>
      </c>
      <c r="K45" s="36"/>
    </row>
    <row r="46" spans="1:11" x14ac:dyDescent="0.5">
      <c r="A46" s="36" t="s">
        <v>5628</v>
      </c>
      <c r="B46" t="s">
        <v>5629</v>
      </c>
      <c r="K46" s="36"/>
    </row>
    <row r="47" spans="1:11" x14ac:dyDescent="0.5">
      <c r="A47" s="36" t="s">
        <v>5630</v>
      </c>
      <c r="B47" t="s">
        <v>5631</v>
      </c>
      <c r="K47" s="36"/>
    </row>
    <row r="48" spans="1:11" x14ac:dyDescent="0.5">
      <c r="A48" s="36" t="s">
        <v>5632</v>
      </c>
      <c r="B48" t="s">
        <v>486</v>
      </c>
      <c r="K48" s="36"/>
    </row>
    <row r="49" spans="1:11" x14ac:dyDescent="0.5">
      <c r="A49" s="36" t="s">
        <v>5633</v>
      </c>
      <c r="B49" t="s">
        <v>5634</v>
      </c>
      <c r="K49" s="36"/>
    </row>
    <row r="50" spans="1:11" x14ac:dyDescent="0.5">
      <c r="A50" s="36" t="s">
        <v>5635</v>
      </c>
      <c r="B50" t="s">
        <v>496</v>
      </c>
      <c r="K50" s="36"/>
    </row>
    <row r="51" spans="1:11" x14ac:dyDescent="0.5">
      <c r="A51" s="36" t="s">
        <v>5636</v>
      </c>
      <c r="B51" t="s">
        <v>5637</v>
      </c>
      <c r="K51" s="36"/>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Investor Input</vt:lpstr>
      <vt:lpstr>High Yield Scenario</vt:lpstr>
      <vt:lpstr>Secure Bonds Scenario</vt:lpstr>
      <vt:lpstr>Stable Income Scenario</vt:lpstr>
      <vt:lpstr>YTM &amp; Duration Analysis</vt:lpstr>
      <vt:lpstr>Cash Flow Analysis</vt:lpstr>
      <vt:lpstr>Master Bond List</vt:lpstr>
      <vt:lpstr>Misc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 Basu</dc:creator>
  <cp:keywords/>
  <dc:description/>
  <cp:lastModifiedBy>Michael Winans</cp:lastModifiedBy>
  <cp:revision/>
  <dcterms:created xsi:type="dcterms:W3CDTF">2025-02-18T01:48:34Z</dcterms:created>
  <dcterms:modified xsi:type="dcterms:W3CDTF">2025-05-14T15:47:34Z</dcterms:modified>
  <cp:category/>
  <cp:contentStatus/>
</cp:coreProperties>
</file>